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Screener" sheetId="2" r:id="rId5"/>
    <sheet state="visible" name="Dados StatusInvest" sheetId="3" r:id="rId6"/>
    <sheet state="hidden" name="Setor" sheetId="4" r:id="rId7"/>
    <sheet state="hidden" name="Classificação" sheetId="5" r:id="rId8"/>
    <sheet state="hidden" name="Ranking Screeners" sheetId="6" r:id="rId9"/>
  </sheets>
  <definedNames>
    <definedName hidden="1" localSheetId="0" name="_xlnm._FilterDatabase">Capa!$A$6:$AF$709</definedName>
    <definedName hidden="1" localSheetId="1" name="_xlnm._FilterDatabase">Screener!$N$6:$BN$152</definedName>
    <definedName hidden="1" localSheetId="0" name="Z_B1A90CEA_F9E7_4DE5_8E9C_CAD6660A6BE2_.wvu.FilterData">Capa!$A$6:$AE$709</definedName>
    <definedName hidden="1" localSheetId="5" name="Z_B1A90CEA_F9E7_4DE5_8E9C_CAD6660A6BE2_.wvu.FilterData">'Ranking Screeners'!$B$5:$H$443</definedName>
  </definedNames>
  <calcPr/>
  <customWorkbookViews>
    <customWorkbookView activeSheetId="0" maximized="1" windowHeight="0" windowWidth="0" guid="{B1A90CEA-F9E7-4DE5-8E9C-CAD6660A6BE2}" name="Filtro 1"/>
  </customWorkbookViews>
</workbook>
</file>

<file path=xl/sharedStrings.xml><?xml version="1.0" encoding="utf-8"?>
<sst xmlns="http://schemas.openxmlformats.org/spreadsheetml/2006/main" count="5989" uniqueCount="1687">
  <si>
    <t>Atualizada em 05/10/2021</t>
  </si>
  <si>
    <t>IMPORTANTE: clique em "ARQUIVO &gt; FAZER UMA CÓPIA" para poder fazer seus filtros.</t>
  </si>
  <si>
    <t>PRECO</t>
  </si>
  <si>
    <t>Ações</t>
  </si>
  <si>
    <t>Vídeo: Como usar a planilha</t>
  </si>
  <si>
    <t>&gt;4%</t>
  </si>
  <si>
    <t>&gt;0 e                     &lt;15 ou &lt;10</t>
  </si>
  <si>
    <t>&lt;1,5</t>
  </si>
  <si>
    <t>Menor melhor. Quer dizer gera caixa para enfrentar a crise</t>
  </si>
  <si>
    <t>Ideal &lt;0,5 Aceitável &lt;1</t>
  </si>
  <si>
    <t>A receber + caixa divididoo que tem a pagar nos próximos 6 meses. Ideal &gt;2</t>
  </si>
  <si>
    <t>Uma empresa pode ter o PVP maior que outra. Se tiver ROE maior, proporcional</t>
  </si>
  <si>
    <t>Importante, mostrar consistência, ideal positivo. &gt;0 bom &gt;10% interessante &gt;15% excelente</t>
  </si>
  <si>
    <t>ENTENDA OS INDICADORES =&gt;</t>
  </si>
  <si>
    <t>Último dividendo pago por uma empresa em termos anuais dividido pelo seu preço atual. Seria como o aluguel pago pela empresa. Quanto maior, melhor</t>
  </si>
  <si>
    <t>O preço de mercado da empresa, dividido pelo lucro gerado de forma anualizada, ou cotação dividida prelo lucro por ação. Quanto menor, mais barata está a empresa</t>
  </si>
  <si>
    <t>Preço ou valor de mercado de uma empresa, dividido pelo valor do seu patrimônio, algo como o preço de venda e o custo para montar uma empresa igual. Quanto menor, mais barata está uma empresa.</t>
  </si>
  <si>
    <t>Preço de uma ação dividido por seus ativos totais. Ou seja, quanto do preço está nas disponibilidades da empresa. Quanto menor, mais barata a empresa</t>
  </si>
  <si>
    <t>É a divisão do Lucro Bruto pela Receita Líquida. Indica o que sobra para a empresa depois de pagar os custos do produto ou serviço. Quando maior, melhor</t>
  </si>
  <si>
    <t>É o EBITDA dividido pela Receita Líquida. Indica a porcentagem de cada R$1,00 de venda que sobrou após o pagamento dos custos dos produtos/serviços vendidos, das despesas com vendas, despesas gerais e administrativas. Quanto maior, melhor</t>
  </si>
  <si>
    <t>É a divisão do Lucro Líquido pela Receita Líquida. Indica como a empresa gera lucro depois de todos os custos.</t>
  </si>
  <si>
    <t>Preço da ação dividido pelo EBITDA por ação. O EBITDA é o lucro antes das despesas financeiras, impostos, depreciação e amortização. É uma boa aproximação do lucro operacional da empresa. Quanto menor o P/EBITDA, mais barata está a empresa</t>
  </si>
  <si>
    <t>O EV é o custo para se comprar a empresa somada a suas dívidas, ou seja, o custo total para ter a empresa. Assim, temos o preço da empresa, dividido pelo lucro operacional, quanto menor, mais barata está a empresa</t>
  </si>
  <si>
    <t>TICKER</t>
  </si>
  <si>
    <t>Setor</t>
  </si>
  <si>
    <t>SubSetor</t>
  </si>
  <si>
    <t>Segmento</t>
  </si>
  <si>
    <t>Cotação Máxima 12 meses</t>
  </si>
  <si>
    <t>Queda do Máximo</t>
  </si>
  <si>
    <t>DY</t>
  </si>
  <si>
    <t>P/L</t>
  </si>
  <si>
    <t>P/VP</t>
  </si>
  <si>
    <t>P/ATIVOS</t>
  </si>
  <si>
    <t>MARGEM BRUTA</t>
  </si>
  <si>
    <t>MARGEM EBIT</t>
  </si>
  <si>
    <t>MARG. LIQUIDA</t>
  </si>
  <si>
    <t>P/EBIT</t>
  </si>
  <si>
    <t>EV/EBIT</t>
  </si>
  <si>
    <t>DIVIDA LIQUIDA / EBIT</t>
  </si>
  <si>
    <t>DIV. LIQ. / PATRI.</t>
  </si>
  <si>
    <t>PSR</t>
  </si>
  <si>
    <t>P/CAP. GIRO</t>
  </si>
  <si>
    <t>P. AT CIR. LIQ.</t>
  </si>
  <si>
    <t>LIQ. CORRENTE</t>
  </si>
  <si>
    <t>ROE</t>
  </si>
  <si>
    <t>ROA</t>
  </si>
  <si>
    <t>ROIC</t>
  </si>
  <si>
    <t>PATRIMONIO / ATIVOS</t>
  </si>
  <si>
    <t>PASSIVOS / ATIVOS</t>
  </si>
  <si>
    <t>GIRO ATIVOS</t>
  </si>
  <si>
    <t>CAGR RECEITAS 5 ANOS</t>
  </si>
  <si>
    <t>CAGR LUCROS 5 ANOS</t>
  </si>
  <si>
    <t>LIQUIDEZ MEDIA DIARIA</t>
  </si>
  <si>
    <t>VALE3</t>
  </si>
  <si>
    <t>PETR4</t>
  </si>
  <si>
    <t>ITUB4</t>
  </si>
  <si>
    <t>BBDC4</t>
  </si>
  <si>
    <t>B3SA3</t>
  </si>
  <si>
    <t>MGLU3</t>
  </si>
  <si>
    <t>PETR3</t>
  </si>
  <si>
    <t>SUZB3</t>
  </si>
  <si>
    <t>CSNA3</t>
  </si>
  <si>
    <t>JBSS3</t>
  </si>
  <si>
    <t>USIM5</t>
  </si>
  <si>
    <t>GGBR4</t>
  </si>
  <si>
    <t>BBAS3</t>
  </si>
  <si>
    <t>RENT3</t>
  </si>
  <si>
    <t>RDOR3</t>
  </si>
  <si>
    <t>ITSA4</t>
  </si>
  <si>
    <t>VIIA3</t>
  </si>
  <si>
    <t>BPAC11</t>
  </si>
  <si>
    <t>ABEV3</t>
  </si>
  <si>
    <t>PRIO3</t>
  </si>
  <si>
    <t>WEGE3</t>
  </si>
  <si>
    <t>CASH3</t>
  </si>
  <si>
    <t>LREN3</t>
  </si>
  <si>
    <t>BRDT3</t>
  </si>
  <si>
    <t>BIDI11</t>
  </si>
  <si>
    <t>NTCO3</t>
  </si>
  <si>
    <t>GNDI3</t>
  </si>
  <si>
    <t>EMBR3</t>
  </si>
  <si>
    <t>AMER3</t>
  </si>
  <si>
    <t>CSAN3</t>
  </si>
  <si>
    <t>BRKM5</t>
  </si>
  <si>
    <t>ASAI3</t>
  </si>
  <si>
    <t>HAPV3</t>
  </si>
  <si>
    <t>RAIL3</t>
  </si>
  <si>
    <t>EQTL3</t>
  </si>
  <si>
    <t>BRAP4</t>
  </si>
  <si>
    <t>KLBN11</t>
  </si>
  <si>
    <t>CVCB3</t>
  </si>
  <si>
    <t>MRFG3</t>
  </si>
  <si>
    <t>ELET3</t>
  </si>
  <si>
    <t>AZUL4</t>
  </si>
  <si>
    <t>TOTS3</t>
  </si>
  <si>
    <t>CYRE3</t>
  </si>
  <si>
    <t>LAME4</t>
  </si>
  <si>
    <t>PETZ3</t>
  </si>
  <si>
    <t>CCRO3</t>
  </si>
  <si>
    <t>LWSA3</t>
  </si>
  <si>
    <t>UGPA3</t>
  </si>
  <si>
    <t>ALPA4</t>
  </si>
  <si>
    <t>RADL3</t>
  </si>
  <si>
    <t>MULT3</t>
  </si>
  <si>
    <t>BBSE3</t>
  </si>
  <si>
    <t>COGN3</t>
  </si>
  <si>
    <t>BRFS3</t>
  </si>
  <si>
    <t>BRML3</t>
  </si>
  <si>
    <t>GOAU4</t>
  </si>
  <si>
    <t>BBDC3</t>
  </si>
  <si>
    <t>CMIG4</t>
  </si>
  <si>
    <t>GOLL4</t>
  </si>
  <si>
    <t>SBSP3</t>
  </si>
  <si>
    <t>BIDI4</t>
  </si>
  <si>
    <t>BPAN4</t>
  </si>
  <si>
    <t>VIVT3</t>
  </si>
  <si>
    <t>HYPE3</t>
  </si>
  <si>
    <t>SULA11</t>
  </si>
  <si>
    <t>CPLE6</t>
  </si>
  <si>
    <t>AMBP3</t>
  </si>
  <si>
    <t>SANB11</t>
  </si>
  <si>
    <t>POSI3</t>
  </si>
  <si>
    <t>TAEE11</t>
  </si>
  <si>
    <t>ENEV3</t>
  </si>
  <si>
    <t>PSSA3</t>
  </si>
  <si>
    <t>LCAM3</t>
  </si>
  <si>
    <t>CIEL3</t>
  </si>
  <si>
    <t>QUAL3</t>
  </si>
  <si>
    <t>IRBR3</t>
  </si>
  <si>
    <t>RAIZ4</t>
  </si>
  <si>
    <t>CRFB3</t>
  </si>
  <si>
    <t>BEEF3</t>
  </si>
  <si>
    <t>FHER3</t>
  </si>
  <si>
    <t>MRVE3</t>
  </si>
  <si>
    <t>ELET6</t>
  </si>
  <si>
    <t>YDUQ3</t>
  </si>
  <si>
    <t>OIBR3</t>
  </si>
  <si>
    <t>SOMA3</t>
  </si>
  <si>
    <t>TIMS3</t>
  </si>
  <si>
    <t>ENGI11</t>
  </si>
  <si>
    <t>IGTA3</t>
  </si>
  <si>
    <t>VIVR3</t>
  </si>
  <si>
    <t>CPFE3</t>
  </si>
  <si>
    <t>INTB3</t>
  </si>
  <si>
    <t>PCAR3</t>
  </si>
  <si>
    <t>CMIN3</t>
  </si>
  <si>
    <t>DXCO3</t>
  </si>
  <si>
    <t>WIZS3</t>
  </si>
  <si>
    <t>ECOR3</t>
  </si>
  <si>
    <t>SLCE3</t>
  </si>
  <si>
    <t>EGIE3</t>
  </si>
  <si>
    <t>ARZZ3</t>
  </si>
  <si>
    <t>EZTC3</t>
  </si>
  <si>
    <t>RRRP3</t>
  </si>
  <si>
    <t>CESP6</t>
  </si>
  <si>
    <t>MOVI3</t>
  </si>
  <si>
    <t>ENBR3</t>
  </si>
  <si>
    <t>VAMO3</t>
  </si>
  <si>
    <t>ITUB3</t>
  </si>
  <si>
    <t>FLRY3</t>
  </si>
  <si>
    <t>SIMH3</t>
  </si>
  <si>
    <t>RAPT4</t>
  </si>
  <si>
    <t>TRPL4</t>
  </si>
  <si>
    <t>ETER3</t>
  </si>
  <si>
    <t>NEOE3</t>
  </si>
  <si>
    <t>VIVA3</t>
  </si>
  <si>
    <t>SAPR11</t>
  </si>
  <si>
    <t>LJQQ3</t>
  </si>
  <si>
    <t>SMTO3</t>
  </si>
  <si>
    <t>AMAR3</t>
  </si>
  <si>
    <t>SMFT3</t>
  </si>
  <si>
    <t>FESA4</t>
  </si>
  <si>
    <t>GMAT3</t>
  </si>
  <si>
    <t>TASA4</t>
  </si>
  <si>
    <t>STBP3</t>
  </si>
  <si>
    <t>LIGT3</t>
  </si>
  <si>
    <t>PTBL3</t>
  </si>
  <si>
    <t>OMGE3</t>
  </si>
  <si>
    <t>MDIA3</t>
  </si>
  <si>
    <t>ONCO3</t>
  </si>
  <si>
    <t>ANIM3</t>
  </si>
  <si>
    <t>GRND3</t>
  </si>
  <si>
    <t>SEQL3</t>
  </si>
  <si>
    <t>ALSO3</t>
  </si>
  <si>
    <t>ESPA3</t>
  </si>
  <si>
    <t>TEND3</t>
  </si>
  <si>
    <t>JHSF3</t>
  </si>
  <si>
    <t>LAME3</t>
  </si>
  <si>
    <t>CSMG3</t>
  </si>
  <si>
    <t>SBFG3</t>
  </si>
  <si>
    <t>ENAT3</t>
  </si>
  <si>
    <t>LEVE3</t>
  </si>
  <si>
    <t>SQIA3</t>
  </si>
  <si>
    <t>AERI3</t>
  </si>
  <si>
    <t>UNIP6</t>
  </si>
  <si>
    <t>BRPR3</t>
  </si>
  <si>
    <t>CEAB3</t>
  </si>
  <si>
    <t>CXSE3</t>
  </si>
  <si>
    <t>RCSL3</t>
  </si>
  <si>
    <t>MYPK3</t>
  </si>
  <si>
    <t>TUPY3</t>
  </si>
  <si>
    <t>CBAV3</t>
  </si>
  <si>
    <t>GGPS3</t>
  </si>
  <si>
    <t>BKBR3</t>
  </si>
  <si>
    <t>BMOB3</t>
  </si>
  <si>
    <t>DIRR3</t>
  </si>
  <si>
    <t>ALUP11</t>
  </si>
  <si>
    <t>BRSR6</t>
  </si>
  <si>
    <t>MLAS3</t>
  </si>
  <si>
    <t>HBSA3</t>
  </si>
  <si>
    <t>BIDI3</t>
  </si>
  <si>
    <t>AESB3</t>
  </si>
  <si>
    <t>MOSI3</t>
  </si>
  <si>
    <t>CLSA3</t>
  </si>
  <si>
    <t>TRAD3</t>
  </si>
  <si>
    <t>AALR3</t>
  </si>
  <si>
    <t>GFSA3</t>
  </si>
  <si>
    <t>IFCM3</t>
  </si>
  <si>
    <t>AGRO3</t>
  </si>
  <si>
    <t>SAPR4</t>
  </si>
  <si>
    <t>BRBI11</t>
  </si>
  <si>
    <t>ORVR3</t>
  </si>
  <si>
    <t>LOGN3</t>
  </si>
  <si>
    <t>ABCB4</t>
  </si>
  <si>
    <t>EVEN3</t>
  </si>
  <si>
    <t>PGMN3</t>
  </si>
  <si>
    <t>CPLE3</t>
  </si>
  <si>
    <t>CPLE11</t>
  </si>
  <si>
    <t>PNVL3</t>
  </si>
  <si>
    <t>ARML3</t>
  </si>
  <si>
    <t>TRIS3</t>
  </si>
  <si>
    <t>ENJU3</t>
  </si>
  <si>
    <t>ODPV3</t>
  </si>
  <si>
    <t>BLAU3</t>
  </si>
  <si>
    <t>CAML3</t>
  </si>
  <si>
    <t>LOGG3</t>
  </si>
  <si>
    <t>BOAS3</t>
  </si>
  <si>
    <t>ROMI3</t>
  </si>
  <si>
    <t>MEAL3</t>
  </si>
  <si>
    <t>POMO4</t>
  </si>
  <si>
    <t>ALLD3</t>
  </si>
  <si>
    <t>TECN3</t>
  </si>
  <si>
    <t>RANI3</t>
  </si>
  <si>
    <t>TTEN3</t>
  </si>
  <si>
    <t>LUPA3</t>
  </si>
  <si>
    <t>RECV3</t>
  </si>
  <si>
    <t>PARD3</t>
  </si>
  <si>
    <t>GUAR3</t>
  </si>
  <si>
    <t>DASA3</t>
  </si>
  <si>
    <t>BRAP3</t>
  </si>
  <si>
    <t>TPIS3</t>
  </si>
  <si>
    <t>SEER3</t>
  </si>
  <si>
    <t>NGRD3</t>
  </si>
  <si>
    <t>KEPL3</t>
  </si>
  <si>
    <t>MILS3</t>
  </si>
  <si>
    <t>TGMA3</t>
  </si>
  <si>
    <t>MATD3</t>
  </si>
  <si>
    <t>OPCT3</t>
  </si>
  <si>
    <t>LVTC3</t>
  </si>
  <si>
    <t>DEXP3</t>
  </si>
  <si>
    <t>MODL11</t>
  </si>
  <si>
    <t>USIM3</t>
  </si>
  <si>
    <t>CMIG3</t>
  </si>
  <si>
    <t>JPSA3</t>
  </si>
  <si>
    <t>LAVV3</t>
  </si>
  <si>
    <t>CURY3</t>
  </si>
  <si>
    <t>CARD3</t>
  </si>
  <si>
    <t>VVEO3</t>
  </si>
  <si>
    <t>DESK3</t>
  </si>
  <si>
    <t>HBOR3</t>
  </si>
  <si>
    <t>MTRE3</t>
  </si>
  <si>
    <t>AURA33</t>
  </si>
  <si>
    <t>POWE3</t>
  </si>
  <si>
    <t>BRIT3</t>
  </si>
  <si>
    <t>VULC3</t>
  </si>
  <si>
    <t>FIQE3</t>
  </si>
  <si>
    <t>JALL3</t>
  </si>
  <si>
    <t>MMXM3</t>
  </si>
  <si>
    <t>BMGB4</t>
  </si>
  <si>
    <t>JSLG3</t>
  </si>
  <si>
    <t>PMAM3</t>
  </si>
  <si>
    <t>TCSA3</t>
  </si>
  <si>
    <t>PLPL3</t>
  </si>
  <si>
    <t>AZEV4</t>
  </si>
  <si>
    <t>CSED3</t>
  </si>
  <si>
    <t>APER3</t>
  </si>
  <si>
    <t>SHUL4</t>
  </si>
  <si>
    <t>WEST3</t>
  </si>
  <si>
    <t>ELMD3</t>
  </si>
  <si>
    <t>SOJA3</t>
  </si>
  <si>
    <t>SYNE3</t>
  </si>
  <si>
    <t>SHOW3</t>
  </si>
  <si>
    <t>BBRK3</t>
  </si>
  <si>
    <t>KLBN4</t>
  </si>
  <si>
    <t>RCSL4</t>
  </si>
  <si>
    <t>VLID3</t>
  </si>
  <si>
    <t>CRPG5</t>
  </si>
  <si>
    <t>GPIV33</t>
  </si>
  <si>
    <t>LPSB3</t>
  </si>
  <si>
    <t>MELK3</t>
  </si>
  <si>
    <t>INEP4</t>
  </si>
  <si>
    <t>TFCO4</t>
  </si>
  <si>
    <t>VITT3</t>
  </si>
  <si>
    <t>DMMO3</t>
  </si>
  <si>
    <t>FRAS3</t>
  </si>
  <si>
    <t>INEP3</t>
  </si>
  <si>
    <t>UNIP3</t>
  </si>
  <si>
    <t>MDNE3</t>
  </si>
  <si>
    <t>SAPR3</t>
  </si>
  <si>
    <t>JFEN3</t>
  </si>
  <si>
    <t>GGBR3</t>
  </si>
  <si>
    <t>KRSA3</t>
  </si>
  <si>
    <t>TAEE4</t>
  </si>
  <si>
    <t>LLIS3</t>
  </si>
  <si>
    <t>NINJ3</t>
  </si>
  <si>
    <t>ITSA3</t>
  </si>
  <si>
    <t>PDGR3</t>
  </si>
  <si>
    <t>WSON33</t>
  </si>
  <si>
    <t>OIBR4</t>
  </si>
  <si>
    <t>G2DI33</t>
  </si>
  <si>
    <t>AGXY3</t>
  </si>
  <si>
    <t>PFRM3</t>
  </si>
  <si>
    <t>AZEV3</t>
  </si>
  <si>
    <t>MBLY3</t>
  </si>
  <si>
    <t>COCE5</t>
  </si>
  <si>
    <t>MOAR3</t>
  </si>
  <si>
    <t>EUCA4</t>
  </si>
  <si>
    <t>PDTC3</t>
  </si>
  <si>
    <t>TASA3</t>
  </si>
  <si>
    <t>LAND3</t>
  </si>
  <si>
    <t>KLBN3</t>
  </si>
  <si>
    <t>TAEE3</t>
  </si>
  <si>
    <t>DMVF3</t>
  </si>
  <si>
    <t>RSID3</t>
  </si>
  <si>
    <t>SANB4</t>
  </si>
  <si>
    <t>DOTZ3</t>
  </si>
  <si>
    <t>POMO3</t>
  </si>
  <si>
    <t>BRKM3</t>
  </si>
  <si>
    <t>PTNT3</t>
  </si>
  <si>
    <t>SGPS3</t>
  </si>
  <si>
    <t>PRNR3</t>
  </si>
  <si>
    <t>OFSA3</t>
  </si>
  <si>
    <t>RNEW4</t>
  </si>
  <si>
    <t>PINE4</t>
  </si>
  <si>
    <t>RSUL4</t>
  </si>
  <si>
    <t>CGRA4</t>
  </si>
  <si>
    <t>HBRE3</t>
  </si>
  <si>
    <t>SANB3</t>
  </si>
  <si>
    <t>TCNO4</t>
  </si>
  <si>
    <t>CGAS5</t>
  </si>
  <si>
    <t>IGBR3</t>
  </si>
  <si>
    <t>MODL4</t>
  </si>
  <si>
    <t>GOAU3</t>
  </si>
  <si>
    <t>RAPT3</t>
  </si>
  <si>
    <t>CLSC4</t>
  </si>
  <si>
    <t>RDNI3</t>
  </si>
  <si>
    <t>SLED4</t>
  </si>
  <si>
    <t>CAMB3</t>
  </si>
  <si>
    <t>RPMG3</t>
  </si>
  <si>
    <t>UCAS3</t>
  </si>
  <si>
    <t>PTNT4</t>
  </si>
  <si>
    <t>CEBR6</t>
  </si>
  <si>
    <t>CEBR3</t>
  </si>
  <si>
    <t>SULA4</t>
  </si>
  <si>
    <t>SCAR3</t>
  </si>
  <si>
    <t>EALT4</t>
  </si>
  <si>
    <t>ATMP3</t>
  </si>
  <si>
    <t>CEBR5</t>
  </si>
  <si>
    <t>RNEW3</t>
  </si>
  <si>
    <t>TCNO3</t>
  </si>
  <si>
    <t>MODL3</t>
  </si>
  <si>
    <t>HOOT4</t>
  </si>
  <si>
    <t>ATOM3</t>
  </si>
  <si>
    <t>SULA3</t>
  </si>
  <si>
    <t>CESP3</t>
  </si>
  <si>
    <t>DEXP4</t>
  </si>
  <si>
    <t>MNPR3</t>
  </si>
  <si>
    <t>EMAE4</t>
  </si>
  <si>
    <t>ALPA3</t>
  </si>
  <si>
    <t>ALPK3</t>
  </si>
  <si>
    <t>BPAC3</t>
  </si>
  <si>
    <t>MWET4</t>
  </si>
  <si>
    <t>HAGA4</t>
  </si>
  <si>
    <t>CRPG6</t>
  </si>
  <si>
    <t>RNEW11</t>
  </si>
  <si>
    <t>BIOM3</t>
  </si>
  <si>
    <t>SLED3</t>
  </si>
  <si>
    <t>WHRL4</t>
  </si>
  <si>
    <t>MTSA4</t>
  </si>
  <si>
    <t>AVLL3</t>
  </si>
  <si>
    <t>ENGI4</t>
  </si>
  <si>
    <t>ALUP4</t>
  </si>
  <si>
    <t>EEEL4</t>
  </si>
  <si>
    <t>BOBR4</t>
  </si>
  <si>
    <t>ENMT3</t>
  </si>
  <si>
    <t>BEES3</t>
  </si>
  <si>
    <t>MGEL4</t>
  </si>
  <si>
    <t>EUCA3</t>
  </si>
  <si>
    <t>ENGI3</t>
  </si>
  <si>
    <t>BPAC5</t>
  </si>
  <si>
    <t>TELB4</t>
  </si>
  <si>
    <t>WHRL3</t>
  </si>
  <si>
    <t>ALUP3</t>
  </si>
  <si>
    <t>MSPA3</t>
  </si>
  <si>
    <t>BRSR3</t>
  </si>
  <si>
    <t>CGRA3</t>
  </si>
  <si>
    <t>CEPE3</t>
  </si>
  <si>
    <t>CTNM4</t>
  </si>
  <si>
    <t>CTKA4</t>
  </si>
  <si>
    <t>CTSA4</t>
  </si>
  <si>
    <t>MNDL3</t>
  </si>
  <si>
    <t>TELB3</t>
  </si>
  <si>
    <t>CEGR3</t>
  </si>
  <si>
    <t>EQPA3</t>
  </si>
  <si>
    <t>EPAR3</t>
  </si>
  <si>
    <t>WLMM4</t>
  </si>
  <si>
    <t>OSXB3</t>
  </si>
  <si>
    <t>BMEB4</t>
  </si>
  <si>
    <t>FRTA3</t>
  </si>
  <si>
    <t>ENMT4</t>
  </si>
  <si>
    <t>EQPA7</t>
  </si>
  <si>
    <t>DOHL4</t>
  </si>
  <si>
    <t>SHUL3</t>
  </si>
  <si>
    <t>BALM4</t>
  </si>
  <si>
    <t>HAGA3</t>
  </si>
  <si>
    <t>LUXM4</t>
  </si>
  <si>
    <t>TRPL3</t>
  </si>
  <si>
    <t>CTSA3</t>
  </si>
  <si>
    <t>BMEB3</t>
  </si>
  <si>
    <t>CEEB3</t>
  </si>
  <si>
    <t>BAZA3</t>
  </si>
  <si>
    <t>EEEL3</t>
  </si>
  <si>
    <t>NORD3</t>
  </si>
  <si>
    <t>CEDO4</t>
  </si>
  <si>
    <t>BSLI3</t>
  </si>
  <si>
    <t>PATI3</t>
  </si>
  <si>
    <t>UNIP5</t>
  </si>
  <si>
    <t>PLAS3</t>
  </si>
  <si>
    <t>BAHI3</t>
  </si>
  <si>
    <t>ECPR4</t>
  </si>
  <si>
    <t>HETA3</t>
  </si>
  <si>
    <t>BAUH4</t>
  </si>
  <si>
    <t>MTIG4</t>
  </si>
  <si>
    <t>ODER4</t>
  </si>
  <si>
    <t>EKTR3</t>
  </si>
  <si>
    <t>TEKA4</t>
  </si>
  <si>
    <t>BMKS3</t>
  </si>
  <si>
    <t>HBTS5</t>
  </si>
  <si>
    <t>REDE3</t>
  </si>
  <si>
    <t>FESA3</t>
  </si>
  <si>
    <t>BEES4</t>
  </si>
  <si>
    <t>LIPR3</t>
  </si>
  <si>
    <t>GSHP3</t>
  </si>
  <si>
    <t>JOPA4</t>
  </si>
  <si>
    <t>PEAB3</t>
  </si>
  <si>
    <t>CBEE3</t>
  </si>
  <si>
    <t>SNSY5</t>
  </si>
  <si>
    <t>EKTR4</t>
  </si>
  <si>
    <t>EQPA5</t>
  </si>
  <si>
    <t>CGAS3</t>
  </si>
  <si>
    <t>BNBR3</t>
  </si>
  <si>
    <t>ESTR4</t>
  </si>
  <si>
    <t>NUTR3</t>
  </si>
  <si>
    <t>CSRN6</t>
  </si>
  <si>
    <t>SOND5</t>
  </si>
  <si>
    <t>BGIP4</t>
  </si>
  <si>
    <t>CEPE5</t>
  </si>
  <si>
    <t>CRPG3</t>
  </si>
  <si>
    <t>TXRX4</t>
  </si>
  <si>
    <t>CSRN3</t>
  </si>
  <si>
    <t>WLMM3</t>
  </si>
  <si>
    <t>CLSC3</t>
  </si>
  <si>
    <t>HETA4</t>
  </si>
  <si>
    <t>BMIN4</t>
  </si>
  <si>
    <t>JOPA3</t>
  </si>
  <si>
    <t>BDLL3</t>
  </si>
  <si>
    <t>CPLE5</t>
  </si>
  <si>
    <t>MERC4</t>
  </si>
  <si>
    <t>CTKA3</t>
  </si>
  <si>
    <t>SOND6</t>
  </si>
  <si>
    <t>CRIV4</t>
  </si>
  <si>
    <t>BSLI4</t>
  </si>
  <si>
    <t>SNSY3</t>
  </si>
  <si>
    <t>GEPA3</t>
  </si>
  <si>
    <t>DTCY3</t>
  </si>
  <si>
    <t>PATI4</t>
  </si>
  <si>
    <t>MAPT3</t>
  </si>
  <si>
    <t>GEPA4</t>
  </si>
  <si>
    <t>PEAB4</t>
  </si>
  <si>
    <t>CSRN5</t>
  </si>
  <si>
    <t>CEED3</t>
  </si>
  <si>
    <t>CESP5</t>
  </si>
  <si>
    <t>CSAB3</t>
  </si>
  <si>
    <t>AFLT3</t>
  </si>
  <si>
    <t>FRIO3</t>
  </si>
  <si>
    <t>AHEB3</t>
  </si>
  <si>
    <t>MERC3</t>
  </si>
  <si>
    <t>ELET5</t>
  </si>
  <si>
    <t>BRGE3</t>
  </si>
  <si>
    <t>BDLL4</t>
  </si>
  <si>
    <t>BRIV4</t>
  </si>
  <si>
    <t>BGIP3</t>
  </si>
  <si>
    <t>CALI4</t>
  </si>
  <si>
    <t>MTSA3</t>
  </si>
  <si>
    <t>TKNO4</t>
  </si>
  <si>
    <t>BALM3</t>
  </si>
  <si>
    <t>CEDO3</t>
  </si>
  <si>
    <t>MWET3</t>
  </si>
  <si>
    <t>EALT3</t>
  </si>
  <si>
    <t>ECPR3</t>
  </si>
  <si>
    <t>COCE3</t>
  </si>
  <si>
    <t>MAPT4</t>
  </si>
  <si>
    <t>RPAD3</t>
  </si>
  <si>
    <t>MRSA6B</t>
  </si>
  <si>
    <t>CRDE3</t>
  </si>
  <si>
    <t>BMIN3</t>
  </si>
  <si>
    <t>CSAB4</t>
  </si>
  <si>
    <t>PPLA11</t>
  </si>
  <si>
    <t>AHEB6</t>
  </si>
  <si>
    <t>BRSR5</t>
  </si>
  <si>
    <t>CRIV3</t>
  </si>
  <si>
    <t>TEKA3</t>
  </si>
  <si>
    <t>CEEB5</t>
  </si>
  <si>
    <t>CEED4</t>
  </si>
  <si>
    <t>BRKM6</t>
  </si>
  <si>
    <t>MRSA3B</t>
  </si>
  <si>
    <t>AHEB5</t>
  </si>
  <si>
    <t>BRGE8</t>
  </si>
  <si>
    <t>MRSA5B</t>
  </si>
  <si>
    <t>TXRX3</t>
  </si>
  <si>
    <t>RPAD5</t>
  </si>
  <si>
    <t>GPAR3</t>
  </si>
  <si>
    <t>BRIV3</t>
  </si>
  <si>
    <t>DOHL3</t>
  </si>
  <si>
    <t>SOND3</t>
  </si>
  <si>
    <t>CTNM3</t>
  </si>
  <si>
    <t>RPAD6</t>
  </si>
  <si>
    <t>BRGE12</t>
  </si>
  <si>
    <t>CEPE6</t>
  </si>
  <si>
    <t>USIM6</t>
  </si>
  <si>
    <t>BRGE11</t>
  </si>
  <si>
    <t>BRGE6</t>
  </si>
  <si>
    <t>FNCN3</t>
  </si>
  <si>
    <t>BRGE5</t>
  </si>
  <si>
    <t>SNSY6</t>
  </si>
  <si>
    <t>MSPA4</t>
  </si>
  <si>
    <t>ESTR3</t>
  </si>
  <si>
    <t>EQPA6</t>
  </si>
  <si>
    <t>CORR4</t>
  </si>
  <si>
    <t>CASN3</t>
  </si>
  <si>
    <t>Ranking (inspirado no método do livro "The Little Book that beats the market")</t>
  </si>
  <si>
    <t>Liquidez</t>
  </si>
  <si>
    <t>Liquidez Diária</t>
  </si>
  <si>
    <t>SOMA</t>
  </si>
  <si>
    <t>LIQUIDEZ (selecione acima a liquidez minima)</t>
  </si>
  <si>
    <t>Clique na Seta para gerar os rankings pré programados</t>
  </si>
  <si>
    <t>Magic</t>
  </si>
  <si>
    <t>* A fórmula manda não comprar Utilidade Pública</t>
  </si>
  <si>
    <t>MagicLucros</t>
  </si>
  <si>
    <t>Baratas</t>
  </si>
  <si>
    <t>Solidas</t>
  </si>
  <si>
    <t>Mix</t>
  </si>
  <si>
    <t>Dividendos</t>
  </si>
  <si>
    <t>Graham</t>
  </si>
  <si>
    <t>Menor</t>
  </si>
  <si>
    <t>Maior</t>
  </si>
  <si>
    <t>VPA</t>
  </si>
  <si>
    <t>LPA</t>
  </si>
  <si>
    <t>PEG Ratio</t>
  </si>
  <si>
    <t>VALOR DE MERCADO</t>
  </si>
  <si>
    <t>ADHM3</t>
  </si>
  <si>
    <t>APTI3</t>
  </si>
  <si>
    <t>APTI4</t>
  </si>
  <si>
    <t>BBML3</t>
  </si>
  <si>
    <t>BFRE11</t>
  </si>
  <si>
    <t>BFRE12</t>
  </si>
  <si>
    <t>BLUT3</t>
  </si>
  <si>
    <t>BLUT4</t>
  </si>
  <si>
    <t>BOBR3</t>
  </si>
  <si>
    <t>BPAR3</t>
  </si>
  <si>
    <t>BPAT33</t>
  </si>
  <si>
    <t>BPHA3</t>
  </si>
  <si>
    <t>BRBI3</t>
  </si>
  <si>
    <t>BRBI4</t>
  </si>
  <si>
    <t>BRGE7</t>
  </si>
  <si>
    <t>BRQB3</t>
  </si>
  <si>
    <t>BSEV3</t>
  </si>
  <si>
    <t>BTTL4</t>
  </si>
  <si>
    <t>CALI3</t>
  </si>
  <si>
    <t>CAMB4</t>
  </si>
  <si>
    <t>CASN4</t>
  </si>
  <si>
    <t>CATA3</t>
  </si>
  <si>
    <t>CATA4</t>
  </si>
  <si>
    <t>CCXC3</t>
  </si>
  <si>
    <t>CEEB6</t>
  </si>
  <si>
    <t>CMSA3</t>
  </si>
  <si>
    <t>CMSA4</t>
  </si>
  <si>
    <t>CNSY3</t>
  </si>
  <si>
    <t>COCE6</t>
  </si>
  <si>
    <t>CORR3</t>
  </si>
  <si>
    <t>CPRE3</t>
  </si>
  <si>
    <t>CREM3</t>
  </si>
  <si>
    <t>CTCA3</t>
  </si>
  <si>
    <t>CTSA8</t>
  </si>
  <si>
    <t>DTCY4</t>
  </si>
  <si>
    <t>ELEK3</t>
  </si>
  <si>
    <t>ELEK4</t>
  </si>
  <si>
    <t>ELPL3</t>
  </si>
  <si>
    <t>EMAE3</t>
  </si>
  <si>
    <t>ENMA3B</t>
  </si>
  <si>
    <t>ENMA6B</t>
  </si>
  <si>
    <t>FBMC3</t>
  </si>
  <si>
    <t>FBMC4</t>
  </si>
  <si>
    <t>FIGE3</t>
  </si>
  <si>
    <t>FIGE4</t>
  </si>
  <si>
    <t>FLEX3</t>
  </si>
  <si>
    <t>FTRT3B</t>
  </si>
  <si>
    <t>GBIO33</t>
  </si>
  <si>
    <t>GRAO3</t>
  </si>
  <si>
    <t>HGTX3</t>
  </si>
  <si>
    <t>HOOT3</t>
  </si>
  <si>
    <t>IDVL3</t>
  </si>
  <si>
    <t>IDVL4</t>
  </si>
  <si>
    <t>IGSN3</t>
  </si>
  <si>
    <t>INNT3</t>
  </si>
  <si>
    <t>ITEC3</t>
  </si>
  <si>
    <t>LHER3</t>
  </si>
  <si>
    <t>LHER4</t>
  </si>
  <si>
    <t>LINX3</t>
  </si>
  <si>
    <t>LTEL3B</t>
  </si>
  <si>
    <t>LUXM3</t>
  </si>
  <si>
    <t>MGEL3</t>
  </si>
  <si>
    <t>MSRO3</t>
  </si>
  <si>
    <t>MTIG3</t>
  </si>
  <si>
    <t>NAFG3</t>
  </si>
  <si>
    <t>NAFG4</t>
  </si>
  <si>
    <t>NEMO3</t>
  </si>
  <si>
    <t>NEMO5</t>
  </si>
  <si>
    <t>NEMO6</t>
  </si>
  <si>
    <t>NRTQ3</t>
  </si>
  <si>
    <t>OGXP3</t>
  </si>
  <si>
    <t>PCAR4</t>
  </si>
  <si>
    <t>PINE3</t>
  </si>
  <si>
    <t>PNVL4</t>
  </si>
  <si>
    <t>PPAR3</t>
  </si>
  <si>
    <t>PTCA11</t>
  </si>
  <si>
    <t>PTCA3</t>
  </si>
  <si>
    <t>QUSW3</t>
  </si>
  <si>
    <t>QVQP3B</t>
  </si>
  <si>
    <t>RANI4</t>
  </si>
  <si>
    <t>RLOG3</t>
  </si>
  <si>
    <t>RSUL3</t>
  </si>
  <si>
    <t>SEDU3</t>
  </si>
  <si>
    <t>SMLS3</t>
  </si>
  <si>
    <t>SPRT3B</t>
  </si>
  <si>
    <t>STKF3</t>
  </si>
  <si>
    <t>STTR3</t>
  </si>
  <si>
    <t>TESA3</t>
  </si>
  <si>
    <t>TIET11</t>
  </si>
  <si>
    <t>TIET3</t>
  </si>
  <si>
    <t>TIET4</t>
  </si>
  <si>
    <t>TKNO3</t>
  </si>
  <si>
    <t>TOYB3</t>
  </si>
  <si>
    <t>TOYB4</t>
  </si>
  <si>
    <t>VIVT4</t>
  </si>
  <si>
    <t>VSPT3</t>
  </si>
  <si>
    <t>VSPT4</t>
  </si>
  <si>
    <t>CÓDIGO</t>
  </si>
  <si>
    <t>SEGMENTO</t>
  </si>
  <si>
    <t>SETOR ECONÔMICO</t>
  </si>
  <si>
    <t>SUBSETOR</t>
  </si>
  <si>
    <t>CSAN</t>
  </si>
  <si>
    <t>NM</t>
  </si>
  <si>
    <t>Petróleo, Gás e Biocombustíveis</t>
  </si>
  <si>
    <t>Exploração, Refino e Distribuição</t>
  </si>
  <si>
    <t>DMMO</t>
  </si>
  <si>
    <t>ENAT</t>
  </si>
  <si>
    <t>RPMG</t>
  </si>
  <si>
    <t>PETR</t>
  </si>
  <si>
    <t>N2</t>
  </si>
  <si>
    <t>BRDT</t>
  </si>
  <si>
    <t>PRIO</t>
  </si>
  <si>
    <t>UGPA</t>
  </si>
  <si>
    <t>LUPA</t>
  </si>
  <si>
    <t>Equipamentos e Serviços</t>
  </si>
  <si>
    <t>OSXB</t>
  </si>
  <si>
    <t>BRAP</t>
  </si>
  <si>
    <t>N1</t>
  </si>
  <si>
    <t>Materiais Básicos</t>
  </si>
  <si>
    <t>Mineração</t>
  </si>
  <si>
    <t>Minerais Metálicos</t>
  </si>
  <si>
    <t>LTEL</t>
  </si>
  <si>
    <t>MB</t>
  </si>
  <si>
    <t>LTLA</t>
  </si>
  <si>
    <t>MMXM</t>
  </si>
  <si>
    <t>VALE</t>
  </si>
  <si>
    <t>FESA</t>
  </si>
  <si>
    <t>Siderurgia e Metalurgia</t>
  </si>
  <si>
    <t>Siderurgia</t>
  </si>
  <si>
    <t>GGBR</t>
  </si>
  <si>
    <t>GOAU</t>
  </si>
  <si>
    <t>CSNA</t>
  </si>
  <si>
    <t>USIM</t>
  </si>
  <si>
    <t>MGEL</t>
  </si>
  <si>
    <t>Artefatos de Ferro e Aço</t>
  </si>
  <si>
    <t>PATI</t>
  </si>
  <si>
    <t>TKNO</t>
  </si>
  <si>
    <t>PMAM</t>
  </si>
  <si>
    <t>Artefatos de Cobre</t>
  </si>
  <si>
    <t>BRKM</t>
  </si>
  <si>
    <t>Químicos</t>
  </si>
  <si>
    <t>Petroquímicos</t>
  </si>
  <si>
    <t>ELEK</t>
  </si>
  <si>
    <t>GPCP</t>
  </si>
  <si>
    <t>FHER</t>
  </si>
  <si>
    <t>Fertilizantes e Defensivos</t>
  </si>
  <si>
    <t>NUTR</t>
  </si>
  <si>
    <t>MA</t>
  </si>
  <si>
    <t>CRPG</t>
  </si>
  <si>
    <t>Químicos Diversos</t>
  </si>
  <si>
    <t>UNIP</t>
  </si>
  <si>
    <t>DTEX</t>
  </si>
  <si>
    <t>Madeira e Papel</t>
  </si>
  <si>
    <t>Madeira</t>
  </si>
  <si>
    <t>EUCA</t>
  </si>
  <si>
    <t>RANI</t>
  </si>
  <si>
    <t>Papel e Celulose</t>
  </si>
  <si>
    <t>KLBN</t>
  </si>
  <si>
    <t>MSPA</t>
  </si>
  <si>
    <t>STTZ</t>
  </si>
  <si>
    <t>NEMO</t>
  </si>
  <si>
    <t>SUZB</t>
  </si>
  <si>
    <t>MTIG</t>
  </si>
  <si>
    <t>Embalagens</t>
  </si>
  <si>
    <t>SNSY</t>
  </si>
  <si>
    <t>Materiais Diversos</t>
  </si>
  <si>
    <t>ETER</t>
  </si>
  <si>
    <t>Bens Industriais</t>
  </si>
  <si>
    <t>Construção e Engenharia</t>
  </si>
  <si>
    <t>Produtos para Construção</t>
  </si>
  <si>
    <t>HAGA</t>
  </si>
  <si>
    <t>PTBL</t>
  </si>
  <si>
    <t>AZEV</t>
  </si>
  <si>
    <t>Construção Pesada</t>
  </si>
  <si>
    <t>SOND</t>
  </si>
  <si>
    <t>Engenharia Consultiva</t>
  </si>
  <si>
    <t>TCNO</t>
  </si>
  <si>
    <t>MILS</t>
  </si>
  <si>
    <t>Serviços Diversos</t>
  </si>
  <si>
    <t>EMBR</t>
  </si>
  <si>
    <t>Material de Transporte</t>
  </si>
  <si>
    <t>Material Aeronáutico e de Defesa</t>
  </si>
  <si>
    <t>FRAS</t>
  </si>
  <si>
    <t>Material Rodoviário</t>
  </si>
  <si>
    <t>POMO</t>
  </si>
  <si>
    <t>RAPT</t>
  </si>
  <si>
    <t>RCSL</t>
  </si>
  <si>
    <t>RSUL</t>
  </si>
  <si>
    <t>TUPY</t>
  </si>
  <si>
    <t>MWET</t>
  </si>
  <si>
    <t>SHUL</t>
  </si>
  <si>
    <t>Máquinas e Equipamentos</t>
  </si>
  <si>
    <t>Motores, Compressores e Outros</t>
  </si>
  <si>
    <t>WEGE</t>
  </si>
  <si>
    <t>EALT</t>
  </si>
  <si>
    <t>Máq. e Equip. Industriais</t>
  </si>
  <si>
    <t>BDLL</t>
  </si>
  <si>
    <t>ROMI</t>
  </si>
  <si>
    <t>INEP</t>
  </si>
  <si>
    <t>KEPL</t>
  </si>
  <si>
    <t>FRIO</t>
  </si>
  <si>
    <t>NORD</t>
  </si>
  <si>
    <t>PTCA</t>
  </si>
  <si>
    <t>M2</t>
  </si>
  <si>
    <t>MTSA</t>
  </si>
  <si>
    <t>Máq. e Equip. Construção e Agrícolas</t>
  </si>
  <si>
    <t>STTR</t>
  </si>
  <si>
    <t>TASA</t>
  </si>
  <si>
    <t>Armas e Munições</t>
  </si>
  <si>
    <t>AZUL</t>
  </si>
  <si>
    <t>Transporte</t>
  </si>
  <si>
    <t>Transporte Aéreo</t>
  </si>
  <si>
    <t>GOLL</t>
  </si>
  <si>
    <t>FRRN</t>
  </si>
  <si>
    <t>Transporte Ferroviário</t>
  </si>
  <si>
    <t>GASC</t>
  </si>
  <si>
    <t>RLOG</t>
  </si>
  <si>
    <t>VSPT</t>
  </si>
  <si>
    <t>MRSA</t>
  </si>
  <si>
    <t>RAIL</t>
  </si>
  <si>
    <t>LOGN</t>
  </si>
  <si>
    <t>Transporte Hidroviário</t>
  </si>
  <si>
    <t>LUXM</t>
  </si>
  <si>
    <t>Transporte Rodoviário</t>
  </si>
  <si>
    <t>TGMA</t>
  </si>
  <si>
    <t>ANHB</t>
  </si>
  <si>
    <t>Exploração de Rodovias</t>
  </si>
  <si>
    <t>CCRO</t>
  </si>
  <si>
    <t>RPTA</t>
  </si>
  <si>
    <t>CRTE</t>
  </si>
  <si>
    <t>ERDV</t>
  </si>
  <si>
    <t>ECNT</t>
  </si>
  <si>
    <t>ASCP</t>
  </si>
  <si>
    <t>ECOR</t>
  </si>
  <si>
    <t>ECOV</t>
  </si>
  <si>
    <t>COLN</t>
  </si>
  <si>
    <t>RDVT</t>
  </si>
  <si>
    <t>CRBD</t>
  </si>
  <si>
    <t>TRIA</t>
  </si>
  <si>
    <t>TPIS</t>
  </si>
  <si>
    <t>VOES</t>
  </si>
  <si>
    <t>AGRU</t>
  </si>
  <si>
    <t>Serviços de Apoio e Armazenagem</t>
  </si>
  <si>
    <t>PSVM</t>
  </si>
  <si>
    <t>IVPR</t>
  </si>
  <si>
    <t>SAIP</t>
  </si>
  <si>
    <t>STBP</t>
  </si>
  <si>
    <t>WSON</t>
  </si>
  <si>
    <t>DR3</t>
  </si>
  <si>
    <t>ATMP</t>
  </si>
  <si>
    <t>BBML</t>
  </si>
  <si>
    <t>CARD</t>
  </si>
  <si>
    <t>DTCY</t>
  </si>
  <si>
    <t>FLEX</t>
  </si>
  <si>
    <t>PRNR</t>
  </si>
  <si>
    <t>VLID</t>
  </si>
  <si>
    <t>BTTL</t>
  </si>
  <si>
    <t>Comércio</t>
  </si>
  <si>
    <t>MMAQ</t>
  </si>
  <si>
    <t>WLMM</t>
  </si>
  <si>
    <t>APTI</t>
  </si>
  <si>
    <t>Consumo não Cíclico</t>
  </si>
  <si>
    <t>Agropecuária</t>
  </si>
  <si>
    <t>Agricultura</t>
  </si>
  <si>
    <t>AGRO</t>
  </si>
  <si>
    <t>FRTA</t>
  </si>
  <si>
    <t>SLCE</t>
  </si>
  <si>
    <t>TESA</t>
  </si>
  <si>
    <t>BSEV</t>
  </si>
  <si>
    <t>Alimentos Processados</t>
  </si>
  <si>
    <t>Açucar e Alcool</t>
  </si>
  <si>
    <t>RESA</t>
  </si>
  <si>
    <t>SMTO</t>
  </si>
  <si>
    <t>BRFS</t>
  </si>
  <si>
    <t>Carnes e Derivados</t>
  </si>
  <si>
    <t>BAUH</t>
  </si>
  <si>
    <t>JBSS</t>
  </si>
  <si>
    <t>MRFG</t>
  </si>
  <si>
    <t>BEEF</t>
  </si>
  <si>
    <t>MNPR</t>
  </si>
  <si>
    <t>CAML</t>
  </si>
  <si>
    <t>Alimentos Diversos</t>
  </si>
  <si>
    <t>JMCD</t>
  </si>
  <si>
    <t>JOPA</t>
  </si>
  <si>
    <t>MDIA</t>
  </si>
  <si>
    <t>ODER</t>
  </si>
  <si>
    <t>ABEV</t>
  </si>
  <si>
    <t>Bebidas</t>
  </si>
  <si>
    <t>Cervejas e Refrigerantes</t>
  </si>
  <si>
    <t>NTCO</t>
  </si>
  <si>
    <t>Produtos de Uso Pessoal e de Limpeza</t>
  </si>
  <si>
    <t>Produtos de Uso Pessoal</t>
  </si>
  <si>
    <t>BOBR</t>
  </si>
  <si>
    <t>Produtos de Limpeza</t>
  </si>
  <si>
    <t>CRFB</t>
  </si>
  <si>
    <t>Comércio e Distribuição</t>
  </si>
  <si>
    <t>Alimentos</t>
  </si>
  <si>
    <t>PCAR</t>
  </si>
  <si>
    <t>CALI</t>
  </si>
  <si>
    <t>Consumo Cíclico</t>
  </si>
  <si>
    <t>Construção Civil</t>
  </si>
  <si>
    <t>Incorporações</t>
  </si>
  <si>
    <t>CRDE</t>
  </si>
  <si>
    <t>CYRE</t>
  </si>
  <si>
    <t>DIRR</t>
  </si>
  <si>
    <t>EVEN</t>
  </si>
  <si>
    <t>EZTC</t>
  </si>
  <si>
    <t>GFSA</t>
  </si>
  <si>
    <t>HBOR</t>
  </si>
  <si>
    <t>INNT</t>
  </si>
  <si>
    <t>JHSF</t>
  </si>
  <si>
    <t>JFEN</t>
  </si>
  <si>
    <t>MTRE</t>
  </si>
  <si>
    <t>MDNE</t>
  </si>
  <si>
    <t>MRVE</t>
  </si>
  <si>
    <t>PDGR</t>
  </si>
  <si>
    <t>RDNI</t>
  </si>
  <si>
    <t>RSID</t>
  </si>
  <si>
    <t>TCSA</t>
  </si>
  <si>
    <t>TEND</t>
  </si>
  <si>
    <t>TRIS</t>
  </si>
  <si>
    <t>VIVR</t>
  </si>
  <si>
    <t>CEDO</t>
  </si>
  <si>
    <t>Tecidos, Vestuário e Calçados</t>
  </si>
  <si>
    <t>Fios e Tecidos</t>
  </si>
  <si>
    <t>CTNM</t>
  </si>
  <si>
    <t>DOHL</t>
  </si>
  <si>
    <t>ECPR</t>
  </si>
  <si>
    <t>CATA</t>
  </si>
  <si>
    <t>CTKA</t>
  </si>
  <si>
    <t>PTNT</t>
  </si>
  <si>
    <t>CTSA</t>
  </si>
  <si>
    <t>SGPS</t>
  </si>
  <si>
    <t>TEKA</t>
  </si>
  <si>
    <t>TXRX</t>
  </si>
  <si>
    <t>HGTX</t>
  </si>
  <si>
    <t>Vestuário</t>
  </si>
  <si>
    <t>ALPA</t>
  </si>
  <si>
    <t>Calçados</t>
  </si>
  <si>
    <t>CAMB</t>
  </si>
  <si>
    <t>GRND</t>
  </si>
  <si>
    <t>VULC</t>
  </si>
  <si>
    <t>MNDL</t>
  </si>
  <si>
    <t>Acessórios</t>
  </si>
  <si>
    <t>TECN</t>
  </si>
  <si>
    <t>VIVA</t>
  </si>
  <si>
    <t>WHRL</t>
  </si>
  <si>
    <t>Utilidades Domésticas</t>
  </si>
  <si>
    <t>Eletrodomésticos</t>
  </si>
  <si>
    <t>UCAS</t>
  </si>
  <si>
    <t>Móveis</t>
  </si>
  <si>
    <t>HETA</t>
  </si>
  <si>
    <t>Utensílios Domésticos</t>
  </si>
  <si>
    <t>NAFG</t>
  </si>
  <si>
    <t>MYPK</t>
  </si>
  <si>
    <t>Automóveis e Motocicletas</t>
  </si>
  <si>
    <t>LEVE</t>
  </si>
  <si>
    <t>PLAS</t>
  </si>
  <si>
    <t>HOOT</t>
  </si>
  <si>
    <t>Hoteis e Restaurantes</t>
  </si>
  <si>
    <t>Hotelaria</t>
  </si>
  <si>
    <t>BKBR</t>
  </si>
  <si>
    <t>Restaurante e Similares</t>
  </si>
  <si>
    <t>MEAL</t>
  </si>
  <si>
    <t>BMKS</t>
  </si>
  <si>
    <t>Viagens e Lazer</t>
  </si>
  <si>
    <t>Bicicletas</t>
  </si>
  <si>
    <t>ESTR</t>
  </si>
  <si>
    <t>Brinquedos e Jogos</t>
  </si>
  <si>
    <t>AHEB</t>
  </si>
  <si>
    <t>Produção de Eventos e Shows</t>
  </si>
  <si>
    <t>SHOW</t>
  </si>
  <si>
    <t>CVCB</t>
  </si>
  <si>
    <t>Viagens e Turismo</t>
  </si>
  <si>
    <t>SMFT</t>
  </si>
  <si>
    <t>Atividades Esportivas</t>
  </si>
  <si>
    <t>ANIM</t>
  </si>
  <si>
    <t>Diversos</t>
  </si>
  <si>
    <t>Serviços Educacionais</t>
  </si>
  <si>
    <t>BAHI</t>
  </si>
  <si>
    <t>COGN</t>
  </si>
  <si>
    <t>SEER</t>
  </si>
  <si>
    <t>YDUQ</t>
  </si>
  <si>
    <t>RENT</t>
  </si>
  <si>
    <t>Aluguel de carros</t>
  </si>
  <si>
    <t>LCAM</t>
  </si>
  <si>
    <t>MSRO</t>
  </si>
  <si>
    <t>MOVI</t>
  </si>
  <si>
    <t>UNID</t>
  </si>
  <si>
    <t>SMLS</t>
  </si>
  <si>
    <t>Programas de Fidelização</t>
  </si>
  <si>
    <t>ARZZ</t>
  </si>
  <si>
    <t>CEAB</t>
  </si>
  <si>
    <t>CGRA</t>
  </si>
  <si>
    <t>GUAR</t>
  </si>
  <si>
    <t>LLIS</t>
  </si>
  <si>
    <t>AMAR</t>
  </si>
  <si>
    <t>LREN</t>
  </si>
  <si>
    <t>MGLU</t>
  </si>
  <si>
    <t>VVAR</t>
  </si>
  <si>
    <t>BTOW</t>
  </si>
  <si>
    <t>Produtos Diversos</t>
  </si>
  <si>
    <t>CNTO</t>
  </si>
  <si>
    <t>LAME</t>
  </si>
  <si>
    <t>SLED</t>
  </si>
  <si>
    <t>BIOM</t>
  </si>
  <si>
    <t>Saúde</t>
  </si>
  <si>
    <t>Medicamentos e Outros Produtos</t>
  </si>
  <si>
    <t>GBIO</t>
  </si>
  <si>
    <t>NRTQ</t>
  </si>
  <si>
    <t>OFSA</t>
  </si>
  <si>
    <t>ADHM</t>
  </si>
  <si>
    <t>Análises e Diagnósticos</t>
  </si>
  <si>
    <t>AALR</t>
  </si>
  <si>
    <t>DASA</t>
  </si>
  <si>
    <t>FLRY</t>
  </si>
  <si>
    <t>HAPV</t>
  </si>
  <si>
    <t>PARD</t>
  </si>
  <si>
    <t>GNDI</t>
  </si>
  <si>
    <t>ODPV</t>
  </si>
  <si>
    <t>QUAL</t>
  </si>
  <si>
    <t>BALM</t>
  </si>
  <si>
    <t>Equipamentos</t>
  </si>
  <si>
    <t>LMED</t>
  </si>
  <si>
    <t>PNVL</t>
  </si>
  <si>
    <t>HYPE</t>
  </si>
  <si>
    <t>PFRM</t>
  </si>
  <si>
    <t>RADL</t>
  </si>
  <si>
    <t>POSI</t>
  </si>
  <si>
    <t>Tecnologia da Informação</t>
  </si>
  <si>
    <t>Computadores e Equipamentos</t>
  </si>
  <si>
    <t>BRQB</t>
  </si>
  <si>
    <t>Programas e Serviços</t>
  </si>
  <si>
    <t>LINX</t>
  </si>
  <si>
    <t>LWSA</t>
  </si>
  <si>
    <t>QUSW</t>
  </si>
  <si>
    <t>SQIA</t>
  </si>
  <si>
    <t>TOTS</t>
  </si>
  <si>
    <t>ALGT</t>
  </si>
  <si>
    <t>Comunicações</t>
  </si>
  <si>
    <t>Telecomunicações</t>
  </si>
  <si>
    <t>OIBR</t>
  </si>
  <si>
    <t>TELB</t>
  </si>
  <si>
    <t>VIVT</t>
  </si>
  <si>
    <t>TIMS</t>
  </si>
  <si>
    <t>CNSY</t>
  </si>
  <si>
    <t>Mídia</t>
  </si>
  <si>
    <t>Produção e Difusão de Filmes e Programas</t>
  </si>
  <si>
    <t>AESL</t>
  </si>
  <si>
    <t>Utilidade Pública</t>
  </si>
  <si>
    <t>Energia Elétrica</t>
  </si>
  <si>
    <t>TIET</t>
  </si>
  <si>
    <t>AFLT</t>
  </si>
  <si>
    <t>ALUP</t>
  </si>
  <si>
    <t>CBEE</t>
  </si>
  <si>
    <t>CPTE</t>
  </si>
  <si>
    <t>CEBR</t>
  </si>
  <si>
    <t>CEED</t>
  </si>
  <si>
    <t>EEEL</t>
  </si>
  <si>
    <t>CLSC</t>
  </si>
  <si>
    <t>GPAR</t>
  </si>
  <si>
    <t>CEPE</t>
  </si>
  <si>
    <t>CMIG</t>
  </si>
  <si>
    <t>CMGD</t>
  </si>
  <si>
    <t>CMGT</t>
  </si>
  <si>
    <t>CESP</t>
  </si>
  <si>
    <t>CEEB</t>
  </si>
  <si>
    <t>COCE</t>
  </si>
  <si>
    <t>CPLE</t>
  </si>
  <si>
    <t>CSRN</t>
  </si>
  <si>
    <t>CPFE</t>
  </si>
  <si>
    <t>CPFG</t>
  </si>
  <si>
    <t>CPFP</t>
  </si>
  <si>
    <t>CPRE</t>
  </si>
  <si>
    <t>EBEN</t>
  </si>
  <si>
    <t>EKTR</t>
  </si>
  <si>
    <t>ELET</t>
  </si>
  <si>
    <t>LIPR</t>
  </si>
  <si>
    <t>EMAE</t>
  </si>
  <si>
    <t>ENBR</t>
  </si>
  <si>
    <t>ENGI</t>
  </si>
  <si>
    <t>ENMT</t>
  </si>
  <si>
    <t>ENER</t>
  </si>
  <si>
    <t>ENEV</t>
  </si>
  <si>
    <t>EGIE</t>
  </si>
  <si>
    <t>EQPA</t>
  </si>
  <si>
    <t>EQMA</t>
  </si>
  <si>
    <t>EQTL</t>
  </si>
  <si>
    <t>ESCE</t>
  </si>
  <si>
    <t>FGEN</t>
  </si>
  <si>
    <t>GEPA</t>
  </si>
  <si>
    <t>ITPB</t>
  </si>
  <si>
    <t>LIGH</t>
  </si>
  <si>
    <t>LIGT</t>
  </si>
  <si>
    <t>NEOE</t>
  </si>
  <si>
    <t>OMGE</t>
  </si>
  <si>
    <t>PALF</t>
  </si>
  <si>
    <t>PRMN</t>
  </si>
  <si>
    <t>REDE</t>
  </si>
  <si>
    <t>RNEW</t>
  </si>
  <si>
    <t>STKF</t>
  </si>
  <si>
    <t>STEN</t>
  </si>
  <si>
    <t>TAEE</t>
  </si>
  <si>
    <t>TMPE</t>
  </si>
  <si>
    <t>TEPE</t>
  </si>
  <si>
    <t>TRPL</t>
  </si>
  <si>
    <t>UPKP</t>
  </si>
  <si>
    <t>CASN</t>
  </si>
  <si>
    <t>Água e Saneamento</t>
  </si>
  <si>
    <t>CSMG</t>
  </si>
  <si>
    <t>IGSN</t>
  </si>
  <si>
    <t>SBSP</t>
  </si>
  <si>
    <t>SAPR</t>
  </si>
  <si>
    <t>SNST</t>
  </si>
  <si>
    <t>CEGR</t>
  </si>
  <si>
    <t>Gás</t>
  </si>
  <si>
    <t>CGAS</t>
  </si>
  <si>
    <t>ABCB</t>
  </si>
  <si>
    <t>Financeiro</t>
  </si>
  <si>
    <t>Intermediários Financeiros</t>
  </si>
  <si>
    <t>Bancos</t>
  </si>
  <si>
    <t>RPAD</t>
  </si>
  <si>
    <t>BRIV</t>
  </si>
  <si>
    <t>BAZA</t>
  </si>
  <si>
    <t>BMGB</t>
  </si>
  <si>
    <t>BIDI</t>
  </si>
  <si>
    <t>BPAN</t>
  </si>
  <si>
    <t>BGIP</t>
  </si>
  <si>
    <t>BEES</t>
  </si>
  <si>
    <t>BPAR</t>
  </si>
  <si>
    <t>BRSR</t>
  </si>
  <si>
    <t>BBDC</t>
  </si>
  <si>
    <t>BBAS</t>
  </si>
  <si>
    <t>BSLI</t>
  </si>
  <si>
    <t>BPAC</t>
  </si>
  <si>
    <t>IDVL</t>
  </si>
  <si>
    <t>ITSA</t>
  </si>
  <si>
    <t>ITUB</t>
  </si>
  <si>
    <t>BMEB</t>
  </si>
  <si>
    <t>BMIN</t>
  </si>
  <si>
    <t>BNBR</t>
  </si>
  <si>
    <t>PRBC</t>
  </si>
  <si>
    <t>PINE</t>
  </si>
  <si>
    <t>SANB</t>
  </si>
  <si>
    <t>CRIV</t>
  </si>
  <si>
    <t>Soc. Crédito e Financiamento</t>
  </si>
  <si>
    <t>FNCN</t>
  </si>
  <si>
    <t>MERC</t>
  </si>
  <si>
    <t>BDLS</t>
  </si>
  <si>
    <t>Soc. Arrendamento Mercantil</t>
  </si>
  <si>
    <t>BVLS</t>
  </si>
  <si>
    <t>DBEN</t>
  </si>
  <si>
    <t>BZRS</t>
  </si>
  <si>
    <t>Securitizadoras de Recebíveis</t>
  </si>
  <si>
    <t>BSCS</t>
  </si>
  <si>
    <t>BRCS</t>
  </si>
  <si>
    <t>WTVR</t>
  </si>
  <si>
    <t>CBSC</t>
  </si>
  <si>
    <t>ECOA</t>
  </si>
  <si>
    <t>GAFL</t>
  </si>
  <si>
    <t>GAIA</t>
  </si>
  <si>
    <t>OCTS</t>
  </si>
  <si>
    <t>PDGS</t>
  </si>
  <si>
    <t>PLSC</t>
  </si>
  <si>
    <t>RBRA</t>
  </si>
  <si>
    <t>APCS</t>
  </si>
  <si>
    <t>VERT</t>
  </si>
  <si>
    <t>WTPI</t>
  </si>
  <si>
    <t>BNDP</t>
  </si>
  <si>
    <t>Serviços Financeiros Diversos</t>
  </si>
  <si>
    <t>Gestão de Recursos e Investimentos</t>
  </si>
  <si>
    <t>BFRE</t>
  </si>
  <si>
    <t>GPIV</t>
  </si>
  <si>
    <t>IDNT</t>
  </si>
  <si>
    <t>PPLA</t>
  </si>
  <si>
    <t>B3SA</t>
  </si>
  <si>
    <t>CIEL</t>
  </si>
  <si>
    <t>BRGE</t>
  </si>
  <si>
    <t>Previdência e Seguros</t>
  </si>
  <si>
    <t>Seguradoras</t>
  </si>
  <si>
    <t>BBSE</t>
  </si>
  <si>
    <t>IRBR</t>
  </si>
  <si>
    <t>PSSA</t>
  </si>
  <si>
    <t>CSAB</t>
  </si>
  <si>
    <t>SULA</t>
  </si>
  <si>
    <t>APER</t>
  </si>
  <si>
    <t>Corretoras de Seguros</t>
  </si>
  <si>
    <t>WIZS</t>
  </si>
  <si>
    <t>ALSO</t>
  </si>
  <si>
    <t>Exploração de Imóveis</t>
  </si>
  <si>
    <t>BRML</t>
  </si>
  <si>
    <t>BRPR</t>
  </si>
  <si>
    <t>CORR</t>
  </si>
  <si>
    <t>CCPR</t>
  </si>
  <si>
    <t>GSHP</t>
  </si>
  <si>
    <t>HBTS</t>
  </si>
  <si>
    <t>IGBR</t>
  </si>
  <si>
    <t>IGTA</t>
  </si>
  <si>
    <t>JPSA</t>
  </si>
  <si>
    <t>LOGG</t>
  </si>
  <si>
    <t>MNZC</t>
  </si>
  <si>
    <t>MULT</t>
  </si>
  <si>
    <t>SCAR</t>
  </si>
  <si>
    <t>BBRK</t>
  </si>
  <si>
    <t>Intermediação Imobiliária</t>
  </si>
  <si>
    <t>LPSB</t>
  </si>
  <si>
    <t>MOAR</t>
  </si>
  <si>
    <t>Holdings Diversificadas</t>
  </si>
  <si>
    <t>PEAB</t>
  </si>
  <si>
    <t>SPRI</t>
  </si>
  <si>
    <t>CTBA</t>
  </si>
  <si>
    <t>Outros Títulos</t>
  </si>
  <si>
    <t>MCRJ</t>
  </si>
  <si>
    <t>PMSP</t>
  </si>
  <si>
    <t>QVQP</t>
  </si>
  <si>
    <t>Outros</t>
  </si>
  <si>
    <t>ALEF</t>
  </si>
  <si>
    <t>ATOM</t>
  </si>
  <si>
    <t>BETP</t>
  </si>
  <si>
    <t>CABI</t>
  </si>
  <si>
    <t>CACO</t>
  </si>
  <si>
    <t>CPTP</t>
  </si>
  <si>
    <t>MAPT</t>
  </si>
  <si>
    <t>CMSA</t>
  </si>
  <si>
    <t>OPGM</t>
  </si>
  <si>
    <t>FIGE</t>
  </si>
  <si>
    <t>JBDU</t>
  </si>
  <si>
    <t>SPRT</t>
  </si>
  <si>
    <t>MGIP</t>
  </si>
  <si>
    <t>OPHE</t>
  </si>
  <si>
    <t>PPAR</t>
  </si>
  <si>
    <t>PRPT</t>
  </si>
  <si>
    <t>SLCT</t>
  </si>
  <si>
    <t>OPSE</t>
  </si>
  <si>
    <t>OPTS</t>
  </si>
  <si>
    <t>GMAT</t>
  </si>
  <si>
    <t>PETZ</t>
  </si>
  <si>
    <t>ENJU</t>
  </si>
  <si>
    <t>LJQQ</t>
  </si>
  <si>
    <t>HBSA</t>
  </si>
  <si>
    <t>CASH</t>
  </si>
  <si>
    <t>BOAS</t>
  </si>
  <si>
    <t>AMBP</t>
  </si>
  <si>
    <t>LAVV</t>
  </si>
  <si>
    <t>SIMH</t>
  </si>
  <si>
    <t>CURY</t>
  </si>
  <si>
    <t>PGMN</t>
  </si>
  <si>
    <t>PLPL</t>
  </si>
  <si>
    <t>DMVF</t>
  </si>
  <si>
    <t>MELK</t>
  </si>
  <si>
    <t>ALPK</t>
  </si>
  <si>
    <t>PDTC</t>
  </si>
  <si>
    <t>CLASSIFICAÇÃO SETORIAL DAS EMPRESAS NEGOCIADAS NA B3</t>
  </si>
  <si>
    <t>LISTAGEM</t>
  </si>
  <si>
    <t>3R PETROLEUM</t>
  </si>
  <si>
    <t>RRRP</t>
  </si>
  <si>
    <t>COSAN</t>
  </si>
  <si>
    <t>DOMMO</t>
  </si>
  <si>
    <t>ENAUTA PART</t>
  </si>
  <si>
    <t>PET MANGUINH</t>
  </si>
  <si>
    <t>PETROBRAS</t>
  </si>
  <si>
    <t>PETROBRAS BR</t>
  </si>
  <si>
    <t>PETRORIO</t>
  </si>
  <si>
    <t>ULTRAPAR</t>
  </si>
  <si>
    <t>LUPATECH</t>
  </si>
  <si>
    <t>OSX BRASIL</t>
  </si>
  <si>
    <t>BRADESPAR</t>
  </si>
  <si>
    <t>LITEL</t>
  </si>
  <si>
    <t>LITELA</t>
  </si>
  <si>
    <t>MMX MINER</t>
  </si>
  <si>
    <t>FERBASA</t>
  </si>
  <si>
    <t>GERDAU</t>
  </si>
  <si>
    <t>GERDAU MET</t>
  </si>
  <si>
    <t>SID NACIONAL</t>
  </si>
  <si>
    <t>USIMINAS</t>
  </si>
  <si>
    <t>MANGELS INDL</t>
  </si>
  <si>
    <t>PANATLANTICA</t>
  </si>
  <si>
    <t>TEKNO</t>
  </si>
  <si>
    <t>PARANAPANEMA</t>
  </si>
  <si>
    <t>BRASKEM</t>
  </si>
  <si>
    <t>GPC PART</t>
  </si>
  <si>
    <t>FER HERINGER</t>
  </si>
  <si>
    <t>NUTRIPLANT</t>
  </si>
  <si>
    <t>CRISTAL</t>
  </si>
  <si>
    <t>UNIPAR</t>
  </si>
  <si>
    <t>DURATEX</t>
  </si>
  <si>
    <t>EUCATEX</t>
  </si>
  <si>
    <t>IRANI</t>
  </si>
  <si>
    <t>KLABIN S/A</t>
  </si>
  <si>
    <t>MELHOR SP</t>
  </si>
  <si>
    <t>SANTHER</t>
  </si>
  <si>
    <t>SUZANO HOLD</t>
  </si>
  <si>
    <t>SUZANO S.A.</t>
  </si>
  <si>
    <t>METAL IGUACU</t>
  </si>
  <si>
    <t>SANSUY</t>
  </si>
  <si>
    <t>ETERNIT</t>
  </si>
  <si>
    <t>HAGA S/A</t>
  </si>
  <si>
    <t>PORTOBELLO</t>
  </si>
  <si>
    <t>AZEVEDO</t>
  </si>
  <si>
    <t>SONDOTECNICA</t>
  </si>
  <si>
    <t>TECNOSOLO</t>
  </si>
  <si>
    <t>MILLS</t>
  </si>
  <si>
    <t>EMBRAER</t>
  </si>
  <si>
    <t>FRAS-LE</t>
  </si>
  <si>
    <t>MARCOPOLO</t>
  </si>
  <si>
    <t>RANDON PART</t>
  </si>
  <si>
    <t>RECRUSUL</t>
  </si>
  <si>
    <t>RIOSULENSE</t>
  </si>
  <si>
    <t>WETZEL S/A</t>
  </si>
  <si>
    <t>SCHULZ</t>
  </si>
  <si>
    <t>WEG</t>
  </si>
  <si>
    <t>ACO ALTONA</t>
  </si>
  <si>
    <t>AERIS</t>
  </si>
  <si>
    <t>AERI</t>
  </si>
  <si>
    <t>BARDELLA</t>
  </si>
  <si>
    <t>INDS ROMI</t>
  </si>
  <si>
    <t>INEPAR</t>
  </si>
  <si>
    <t>KEPLER WEBER</t>
  </si>
  <si>
    <t>METALFRIO</t>
  </si>
  <si>
    <t>NORDON MET</t>
  </si>
  <si>
    <t>PRATICA</t>
  </si>
  <si>
    <t>METISA</t>
  </si>
  <si>
    <t>STARA</t>
  </si>
  <si>
    <t>TAURUS ARMAS</t>
  </si>
  <si>
    <t>GOL</t>
  </si>
  <si>
    <t>ALL NORTE</t>
  </si>
  <si>
    <t>ALL PAULISTA</t>
  </si>
  <si>
    <t>COSAN LOG</t>
  </si>
  <si>
    <t>FER C ATLANT</t>
  </si>
  <si>
    <t>MRS LOGIST</t>
  </si>
  <si>
    <t>RUMO S.A.</t>
  </si>
  <si>
    <t>HIDROVIAS</t>
  </si>
  <si>
    <t>LOG-IN</t>
  </si>
  <si>
    <t>TREVISA</t>
  </si>
  <si>
    <t>JSL</t>
  </si>
  <si>
    <t>JSLG</t>
  </si>
  <si>
    <t>TEGMA</t>
  </si>
  <si>
    <t>AUTOBAN</t>
  </si>
  <si>
    <t>CCR SA</t>
  </si>
  <si>
    <t>CONC RAPOSO</t>
  </si>
  <si>
    <t>CONC RIO TER</t>
  </si>
  <si>
    <t>ECON</t>
  </si>
  <si>
    <t>ECONORTE</t>
  </si>
  <si>
    <t>ECOPISTAS</t>
  </si>
  <si>
    <t>ECORODOVIAS</t>
  </si>
  <si>
    <t>ECOVIAS</t>
  </si>
  <si>
    <t>ROD COLINAS</t>
  </si>
  <si>
    <t>ROD TIETE</t>
  </si>
  <si>
    <t>RT BANDEIRAS</t>
  </si>
  <si>
    <t>TRIANGULOSOL</t>
  </si>
  <si>
    <t>TRIUNFO PART</t>
  </si>
  <si>
    <t>VIAOESTE</t>
  </si>
  <si>
    <t>GRUAIRPORT</t>
  </si>
  <si>
    <t>PORTO VM</t>
  </si>
  <si>
    <t>INVEPAR</t>
  </si>
  <si>
    <t>SALUS INFRA</t>
  </si>
  <si>
    <t>SANTOS BRP</t>
  </si>
  <si>
    <t>WILSON SONS</t>
  </si>
  <si>
    <t>ATMASA</t>
  </si>
  <si>
    <t>AMBIPAR</t>
  </si>
  <si>
    <t>BBMLOGISTICA</t>
  </si>
  <si>
    <t>CSU CARDSYST</t>
  </si>
  <si>
    <t>DTCOM-DIRECT</t>
  </si>
  <si>
    <t>ESTAPAR</t>
  </si>
  <si>
    <t>FLEX S/A</t>
  </si>
  <si>
    <t>PRINER</t>
  </si>
  <si>
    <t>SEQUOIA LOG</t>
  </si>
  <si>
    <t>SEQL</t>
  </si>
  <si>
    <t>VALID</t>
  </si>
  <si>
    <t>BATTISTELLA</t>
  </si>
  <si>
    <t>MINASMAQUINA</t>
  </si>
  <si>
    <t>WLM IND COM</t>
  </si>
  <si>
    <t>ALIPERTI</t>
  </si>
  <si>
    <t>BRASILAGRO</t>
  </si>
  <si>
    <t>POMIFRUTAS</t>
  </si>
  <si>
    <t>SLC AGRICOLA</t>
  </si>
  <si>
    <t>TERRA SANTA</t>
  </si>
  <si>
    <t>BIOSEV</t>
  </si>
  <si>
    <t>RAIZEN ENERG</t>
  </si>
  <si>
    <t>SAO MARTINHO</t>
  </si>
  <si>
    <t>BRF SA</t>
  </si>
  <si>
    <t>EXCELSIOR</t>
  </si>
  <si>
    <t>JBS</t>
  </si>
  <si>
    <t>MARFRIG</t>
  </si>
  <si>
    <t>MINERVA</t>
  </si>
  <si>
    <t>MINUPAR</t>
  </si>
  <si>
    <t>CAMIL</t>
  </si>
  <si>
    <t>J.MACEDO</t>
  </si>
  <si>
    <t>JOSAPAR</t>
  </si>
  <si>
    <t>M.DIASBRANCO</t>
  </si>
  <si>
    <t>ODERICH</t>
  </si>
  <si>
    <t>AMBEV S/A</t>
  </si>
  <si>
    <t>GRUPO NATURA</t>
  </si>
  <si>
    <t>BOMBRIL</t>
  </si>
  <si>
    <t>CARREFOUR BR</t>
  </si>
  <si>
    <t>GRUPO MATEUS</t>
  </si>
  <si>
    <t>P.ACUCAR-CBD</t>
  </si>
  <si>
    <t>CONST A LIND</t>
  </si>
  <si>
    <t>CR2</t>
  </si>
  <si>
    <t>CURY S/A</t>
  </si>
  <si>
    <t>CYRELA REALT</t>
  </si>
  <si>
    <t>DIRECIONAL</t>
  </si>
  <si>
    <t>EZTEC</t>
  </si>
  <si>
    <t>GAFISA</t>
  </si>
  <si>
    <t>HELBOR</t>
  </si>
  <si>
    <t>INTER SA</t>
  </si>
  <si>
    <t>JHSF PART</t>
  </si>
  <si>
    <t>JOAO FORTES</t>
  </si>
  <si>
    <t>LAVVI</t>
  </si>
  <si>
    <t>MELNICK</t>
  </si>
  <si>
    <t>MITRE REALTY</t>
  </si>
  <si>
    <t>MOURA DUBEUX</t>
  </si>
  <si>
    <t>MRV</t>
  </si>
  <si>
    <t>PDG REALT</t>
  </si>
  <si>
    <t>PLANOEPLANO</t>
  </si>
  <si>
    <t>RNI</t>
  </si>
  <si>
    <t>ROSSI RESID</t>
  </si>
  <si>
    <t>TECNISA</t>
  </si>
  <si>
    <t>TENDA</t>
  </si>
  <si>
    <t>TRISUL</t>
  </si>
  <si>
    <t>VIVER</t>
  </si>
  <si>
    <t>CEDRO</t>
  </si>
  <si>
    <t>COTEMINAS</t>
  </si>
  <si>
    <t>DOHLER</t>
  </si>
  <si>
    <t>ENCORPAR</t>
  </si>
  <si>
    <t>IND CATAGUAS</t>
  </si>
  <si>
    <t>KARSTEN</t>
  </si>
  <si>
    <t>PETTENATI</t>
  </si>
  <si>
    <t>SANTANENSE</t>
  </si>
  <si>
    <t>SPRINGS</t>
  </si>
  <si>
    <t>TEX RENAUX</t>
  </si>
  <si>
    <t>CIA HERING</t>
  </si>
  <si>
    <t>TRACK FIELD</t>
  </si>
  <si>
    <t>TFCO</t>
  </si>
  <si>
    <t>ALPARGATAS</t>
  </si>
  <si>
    <t>CAMBUCI</t>
  </si>
  <si>
    <t>GRENDENE</t>
  </si>
  <si>
    <t>VULCABRAS</t>
  </si>
  <si>
    <t>MUNDIAL</t>
  </si>
  <si>
    <t>TECHNOS</t>
  </si>
  <si>
    <t>VIVARA S.A.</t>
  </si>
  <si>
    <t>WHIRLPOOL</t>
  </si>
  <si>
    <t>UNICASA</t>
  </si>
  <si>
    <t>HERCULES</t>
  </si>
  <si>
    <t>IOCHP-MAXION</t>
  </si>
  <si>
    <t>METAL LEVE</t>
  </si>
  <si>
    <t>PLASCAR PART</t>
  </si>
  <si>
    <t>HOTEIS OTHON</t>
  </si>
  <si>
    <t>BK BRASIL</t>
  </si>
  <si>
    <t>IMC S/A</t>
  </si>
  <si>
    <t>BIC MONARK</t>
  </si>
  <si>
    <t>ESTRELA</t>
  </si>
  <si>
    <t>SPTURIS</t>
  </si>
  <si>
    <t>TIME FOR FUN</t>
  </si>
  <si>
    <t>CVC BRASIL</t>
  </si>
  <si>
    <t>SMART FIT</t>
  </si>
  <si>
    <t>ANIMA</t>
  </si>
  <si>
    <t>BAHEMA</t>
  </si>
  <si>
    <t>COGNA ON</t>
  </si>
  <si>
    <t>SER EDUCA</t>
  </si>
  <si>
    <t>YDUQS PART</t>
  </si>
  <si>
    <t>LOCALIZA</t>
  </si>
  <si>
    <t>LOCAMERICA</t>
  </si>
  <si>
    <t>MAESTROLOC</t>
  </si>
  <si>
    <t>MOVIDA</t>
  </si>
  <si>
    <t>UNIDAS</t>
  </si>
  <si>
    <t>SMILES</t>
  </si>
  <si>
    <t>AREZZO CO</t>
  </si>
  <si>
    <t>CEA MODAS</t>
  </si>
  <si>
    <t>GRAZZIOTIN</t>
  </si>
  <si>
    <t>GRUPO SOMA</t>
  </si>
  <si>
    <t>GUARARAPES</t>
  </si>
  <si>
    <t>LE LIS BLANC</t>
  </si>
  <si>
    <t>LOJAS MARISA</t>
  </si>
  <si>
    <t>LOJAS RENNER</t>
  </si>
  <si>
    <t>MAGAZ LUIZA</t>
  </si>
  <si>
    <t>VIAVAREJO</t>
  </si>
  <si>
    <t>B2W DIGITAL</t>
  </si>
  <si>
    <t>CENTAURO</t>
  </si>
  <si>
    <t>LOJAS AMERIC</t>
  </si>
  <si>
    <t>QUERO-QUERO</t>
  </si>
  <si>
    <t>SARAIVA LIVR</t>
  </si>
  <si>
    <t>BIOMM</t>
  </si>
  <si>
    <t>BIOTOSCANA</t>
  </si>
  <si>
    <t>NORTCQUIMICA</t>
  </si>
  <si>
    <t>OUROFINO S/A</t>
  </si>
  <si>
    <t>Serviços Médico - Hospitalares,</t>
  </si>
  <si>
    <t>ADVANCED-DH</t>
  </si>
  <si>
    <t>ALLIAR</t>
  </si>
  <si>
    <t>FLEURY</t>
  </si>
  <si>
    <t>HAPVIDA</t>
  </si>
  <si>
    <t>IHPARDINI</t>
  </si>
  <si>
    <t>INTERMEDICA</t>
  </si>
  <si>
    <t>ODONTOPREV</t>
  </si>
  <si>
    <t>QUALICORP</t>
  </si>
  <si>
    <t>BAUMER</t>
  </si>
  <si>
    <t>LIFEMED</t>
  </si>
  <si>
    <t>DIMED</t>
  </si>
  <si>
    <t>D1000VFARMA</t>
  </si>
  <si>
    <t>HYPERA</t>
  </si>
  <si>
    <t>PAGUE MENOS</t>
  </si>
  <si>
    <t>PROFARMA</t>
  </si>
  <si>
    <t>RAIADROGASIL</t>
  </si>
  <si>
    <t>POSITIVO TEC</t>
  </si>
  <si>
    <t>BRQ</t>
  </si>
  <si>
    <t>ENJOEI</t>
  </si>
  <si>
    <t>LOCAWEB</t>
  </si>
  <si>
    <t>MELIUZ</t>
  </si>
  <si>
    <t>QUALITY SOFT</t>
  </si>
  <si>
    <t>SINQIA</t>
  </si>
  <si>
    <t>TOTVS</t>
  </si>
  <si>
    <t>ALGAR TELEC</t>
  </si>
  <si>
    <t>OI</t>
  </si>
  <si>
    <t>TELEBRAS</t>
  </si>
  <si>
    <t>TELEF BRASIL</t>
  </si>
  <si>
    <t>TIM</t>
  </si>
  <si>
    <t>TIM PART S/A</t>
  </si>
  <si>
    <t>TIMP</t>
  </si>
  <si>
    <t>CINESYSTEM</t>
  </si>
  <si>
    <t>AES SUL</t>
  </si>
  <si>
    <t>AES TIETE E</t>
  </si>
  <si>
    <t>AFLUENTE T</t>
  </si>
  <si>
    <t>ALUPAR</t>
  </si>
  <si>
    <t>AMPLA ENERG</t>
  </si>
  <si>
    <t>CACHOEIRA</t>
  </si>
  <si>
    <t>CEB</t>
  </si>
  <si>
    <t>CEEE-D</t>
  </si>
  <si>
    <t>CEEE-GT</t>
  </si>
  <si>
    <t>CELESC</t>
  </si>
  <si>
    <t>CELGPAR</t>
  </si>
  <si>
    <t>CELPE</t>
  </si>
  <si>
    <t>CEMIG</t>
  </si>
  <si>
    <t>CEMIG DIST</t>
  </si>
  <si>
    <t>CEMIG GT</t>
  </si>
  <si>
    <t>COELBA</t>
  </si>
  <si>
    <t>COELCE</t>
  </si>
  <si>
    <t>COPEL</t>
  </si>
  <si>
    <t>COSERN</t>
  </si>
  <si>
    <t>CPFL ENERGIA</t>
  </si>
  <si>
    <t>CPFL GERACAO</t>
  </si>
  <si>
    <t>CPFL PIRATIN</t>
  </si>
  <si>
    <t>CPFL RENOVAV</t>
  </si>
  <si>
    <t>EBE</t>
  </si>
  <si>
    <t>ELEKTRO</t>
  </si>
  <si>
    <t>ELETROBRAS</t>
  </si>
  <si>
    <t>ELETROPAR</t>
  </si>
  <si>
    <t>ENERGIAS BR</t>
  </si>
  <si>
    <t>ENERGISA</t>
  </si>
  <si>
    <t>ENERGISA MT</t>
  </si>
  <si>
    <t>ENERSUL</t>
  </si>
  <si>
    <t>ENEVA</t>
  </si>
  <si>
    <t>ENGIE BRASIL</t>
  </si>
  <si>
    <t>EQTL PARA</t>
  </si>
  <si>
    <t>EQTLMARANHAO</t>
  </si>
  <si>
    <t>EQUATORIAL</t>
  </si>
  <si>
    <t>ESCELSA</t>
  </si>
  <si>
    <t>FGENERGIA</t>
  </si>
  <si>
    <t>GER PARANAP</t>
  </si>
  <si>
    <t>ITAPEBI</t>
  </si>
  <si>
    <t>LIGHT</t>
  </si>
  <si>
    <t>LIGHT S/A</t>
  </si>
  <si>
    <t>NEOENERGIA</t>
  </si>
  <si>
    <t>OMEGA GER</t>
  </si>
  <si>
    <t>PAUL F LUZ</t>
  </si>
  <si>
    <t>PROMAN</t>
  </si>
  <si>
    <t>REDE ENERGIA</t>
  </si>
  <si>
    <t>RENOVA</t>
  </si>
  <si>
    <t>STATKRAFT</t>
  </si>
  <si>
    <t>STO ANTONIO</t>
  </si>
  <si>
    <t>TAESA</t>
  </si>
  <si>
    <t>TERMOPE</t>
  </si>
  <si>
    <t>TERM. PE III</t>
  </si>
  <si>
    <t>TRAN PAULIST</t>
  </si>
  <si>
    <t>UPTICK</t>
  </si>
  <si>
    <t>CASAN</t>
  </si>
  <si>
    <t>COPASA</t>
  </si>
  <si>
    <t>IGUA SA</t>
  </si>
  <si>
    <t>SABESP</t>
  </si>
  <si>
    <t>SANEPAR</t>
  </si>
  <si>
    <t>SANESALTO</t>
  </si>
  <si>
    <t>CEG</t>
  </si>
  <si>
    <t>COMGAS</t>
  </si>
  <si>
    <t>ABC BRASIL</t>
  </si>
  <si>
    <t>ALFA HOLDING</t>
  </si>
  <si>
    <t>ALFA INVEST</t>
  </si>
  <si>
    <t>AMAZONIA</t>
  </si>
  <si>
    <t>BANCO BMG</t>
  </si>
  <si>
    <t>BANCO INTER</t>
  </si>
  <si>
    <t>BANCO PAN</t>
  </si>
  <si>
    <t>BANESE</t>
  </si>
  <si>
    <t>BANESTES</t>
  </si>
  <si>
    <t>BANPARA</t>
  </si>
  <si>
    <t>BANRISUL</t>
  </si>
  <si>
    <t>BRADESCO</t>
  </si>
  <si>
    <t>BRASIL</t>
  </si>
  <si>
    <t>BRB BANCO</t>
  </si>
  <si>
    <t>BTGP BANCO</t>
  </si>
  <si>
    <t>INDUSVAL</t>
  </si>
  <si>
    <t>ITAUSA</t>
  </si>
  <si>
    <t>ITAUUNIBANCO</t>
  </si>
  <si>
    <t>MERC BRASIL</t>
  </si>
  <si>
    <t>MERC INVEST</t>
  </si>
  <si>
    <t>NORD BRASIL</t>
  </si>
  <si>
    <t>PARANA</t>
  </si>
  <si>
    <t>SANTANDER BR</t>
  </si>
  <si>
    <t>ALFA FINANC</t>
  </si>
  <si>
    <t>FINANSINOS</t>
  </si>
  <si>
    <t>MERC FINANC</t>
  </si>
  <si>
    <t>BRADESCO LSG</t>
  </si>
  <si>
    <t>DIBENS LSG</t>
  </si>
  <si>
    <t>BRAZIL REALT</t>
  </si>
  <si>
    <t>BRAZILIAN SC</t>
  </si>
  <si>
    <t>BRPR 56 SEC</t>
  </si>
  <si>
    <t>CIBRASEC</t>
  </si>
  <si>
    <t>ECO SEC AGRO</t>
  </si>
  <si>
    <t>GAIA AGRO</t>
  </si>
  <si>
    <t>GAIA SECURIT</t>
  </si>
  <si>
    <t>OCTANTE SEC</t>
  </si>
  <si>
    <t>PDG SECURIT</t>
  </si>
  <si>
    <t>POLO CAP SEC</t>
  </si>
  <si>
    <t>RBCAPITALRES</t>
  </si>
  <si>
    <t>TRUESEC</t>
  </si>
  <si>
    <t>VERTCIASEC</t>
  </si>
  <si>
    <t>WTORRE PIC</t>
  </si>
  <si>
    <t>BNDESPAR</t>
  </si>
  <si>
    <t>BRAZILIAN FR</t>
  </si>
  <si>
    <t>GP INVEST</t>
  </si>
  <si>
    <t>PADTEC</t>
  </si>
  <si>
    <t>B3</t>
  </si>
  <si>
    <t>BOA VISTA</t>
  </si>
  <si>
    <t>CIELO</t>
  </si>
  <si>
    <t>ALFA CONSORC</t>
  </si>
  <si>
    <t>BBSEGURIDADE</t>
  </si>
  <si>
    <t>IRBBRASIL RE</t>
  </si>
  <si>
    <t>PORTO SEGURO</t>
  </si>
  <si>
    <t>SEG AL BAHIA</t>
  </si>
  <si>
    <t>SUL AMERICA</t>
  </si>
  <si>
    <t>ALPER S.A.</t>
  </si>
  <si>
    <t>WIZ S.A.</t>
  </si>
  <si>
    <t>ALIANSCSONAE</t>
  </si>
  <si>
    <t>BR MALLS PAR</t>
  </si>
  <si>
    <t>BR PROPERT</t>
  </si>
  <si>
    <t>COR RIBEIRO</t>
  </si>
  <si>
    <t>CYRE COM-CCP</t>
  </si>
  <si>
    <t>GENERALSHOPP</t>
  </si>
  <si>
    <t>HABITASUL</t>
  </si>
  <si>
    <t>IGB S/A</t>
  </si>
  <si>
    <t>IGUATEMI</t>
  </si>
  <si>
    <t>JEREISSATI</t>
  </si>
  <si>
    <t>LOG COM PROP</t>
  </si>
  <si>
    <t>MENEZES CORT</t>
  </si>
  <si>
    <t>MULTIPLAN</t>
  </si>
  <si>
    <t>SAO CARLOS</t>
  </si>
  <si>
    <t>BR BROKERS</t>
  </si>
  <si>
    <t>LOPES BRASIL</t>
  </si>
  <si>
    <t>MONT ARANHA</t>
  </si>
  <si>
    <t>PAR AL BAHIA</t>
  </si>
  <si>
    <t>SIMPAR</t>
  </si>
  <si>
    <t>CEPAC - CTBA</t>
  </si>
  <si>
    <t>CEPAC - MCRJ</t>
  </si>
  <si>
    <t>CEPAC - PMSP</t>
  </si>
  <si>
    <t>524 PARTICIP</t>
  </si>
  <si>
    <t>ALEF S/A</t>
  </si>
  <si>
    <t>ATOMPAR</t>
  </si>
  <si>
    <t>BETAPART</t>
  </si>
  <si>
    <t>CABINDA PART</t>
  </si>
  <si>
    <t>CACONDE PART</t>
  </si>
  <si>
    <t>CEMEPE</t>
  </si>
  <si>
    <t>CIMS</t>
  </si>
  <si>
    <t>GAMA PART</t>
  </si>
  <si>
    <t>INVEST BEMGE</t>
  </si>
  <si>
    <t>J B DUARTE</t>
  </si>
  <si>
    <t>MGI PARTICIP</t>
  </si>
  <si>
    <t>OPPORT ENERG</t>
  </si>
  <si>
    <t>POLPAR</t>
  </si>
  <si>
    <t>PROMPT PART</t>
  </si>
  <si>
    <t>SUDESTE S/A</t>
  </si>
  <si>
    <t>SUL 116 PART</t>
  </si>
  <si>
    <t>(DR1) BDR Nível 1</t>
  </si>
  <si>
    <t>(DR2) BDR Nível 2</t>
  </si>
  <si>
    <t>(DR3) BDR Nível 3</t>
  </si>
  <si>
    <t>(N1) Nível 1 de Governança Corporativa</t>
  </si>
  <si>
    <t>(N2) Nível 2 de Governança Corporativa</t>
  </si>
  <si>
    <t>(NM) Novo Mercado</t>
  </si>
  <si>
    <t>(MA) Bovespa Mais</t>
  </si>
  <si>
    <t>(M2) Bovespa Mais - Nível 2</t>
  </si>
  <si>
    <t>(MB) Balcão Organizado Tradicional</t>
  </si>
  <si>
    <t>ATENÇÃO</t>
  </si>
  <si>
    <t>Este trabalho não é uma recomendação de investimento.</t>
  </si>
  <si>
    <t>As informações recebidas das empresas admitidas à negociação na B3 estão disponíveis para consulta em</t>
  </si>
  <si>
    <t>nosso site www.b3.com.br.</t>
  </si>
  <si>
    <t>Para mais esclarecimentos, sugerimos procurar sua corretora.  Ela pode ajudá-lo a avaliar os riscos e benefícios</t>
  </si>
  <si>
    <t>potenciais das negociações com valores mobiliários.</t>
  </si>
  <si>
    <t>B3 S.A. - Brasil, Bolsa, Balcão</t>
  </si>
  <si>
    <t>s</t>
  </si>
  <si>
    <t>Maior que:</t>
  </si>
  <si>
    <t>É Boa empresa</t>
  </si>
  <si>
    <t>Está Barato?</t>
  </si>
  <si>
    <t>Papel</t>
  </si>
  <si>
    <t>Rank</t>
  </si>
  <si>
    <t>Ebit/EV</t>
  </si>
  <si>
    <t>Soma</t>
  </si>
  <si>
    <t>Ranking</t>
  </si>
  <si>
    <t>L/P</t>
  </si>
  <si>
    <t>VVAR3</t>
  </si>
  <si>
    <t>BTOW3</t>
  </si>
  <si>
    <t>TIMP3</t>
  </si>
  <si>
    <t>CNTO3</t>
  </si>
  <si>
    <t>DTEX3</t>
  </si>
  <si>
    <t>CCPR3</t>
  </si>
  <si>
    <t>IDNT3</t>
  </si>
  <si>
    <t>JBDU4</t>
  </si>
  <si>
    <t>BTTL3</t>
  </si>
  <si>
    <t>JBDU3</t>
  </si>
  <si>
    <t>SPRI3</t>
  </si>
  <si>
    <t>SPRI5</t>
  </si>
  <si>
    <t>SPRI6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</si>
</sst>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3">
    <font>
      <sz val="10.0"/>
      <color rgb="FF000000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color theme="1"/>
      <name val="Arial"/>
    </font>
    <font>
      <sz val="9.0"/>
      <color theme="1"/>
      <name val="Arial"/>
    </font>
    <font>
      <sz val="11.0"/>
      <color rgb="FF000000"/>
      <name val="Calibri"/>
    </font>
    <font>
      <color theme="1"/>
      <name val="Arial"/>
    </font>
    <font>
      <b/>
      <sz val="24.0"/>
      <color rgb="FF4040F4"/>
      <name val="Proxima Nova"/>
    </font>
    <font>
      <u/>
      <sz val="12.0"/>
      <color rgb="FF1155CC"/>
    </font>
    <font>
      <u/>
      <sz val="12.0"/>
      <color rgb="FF1155CC"/>
      <name val="Arial"/>
    </font>
    <font>
      <sz val="8.0"/>
      <color theme="1"/>
      <name val="Arial"/>
    </font>
    <font>
      <color rgb="FFEBE4D5"/>
      <name val="Arial"/>
    </font>
    <font>
      <b/>
      <sz val="9.0"/>
      <color theme="1"/>
      <name val="Arial"/>
    </font>
    <font>
      <b/>
      <color rgb="FFFFFAF1"/>
      <name val="Arial"/>
    </font>
    <font>
      <sz val="9.0"/>
      <color rgb="FFFFFAF1"/>
      <name val="Arial"/>
    </font>
    <font>
      <color rgb="FFFFFAF1"/>
      <name val="Arial"/>
    </font>
    <font>
      <sz val="11.0"/>
      <color rgb="FF000000"/>
      <name val="Inconsolata"/>
    </font>
    <font>
      <u/>
      <color theme="1"/>
      <name val="Arial"/>
    </font>
    <font>
      <b/>
      <sz val="11.0"/>
      <color rgb="FF000000"/>
      <name val="Inconsolata"/>
    </font>
    <font>
      <sz val="8.0"/>
      <color rgb="FF000000"/>
      <name val="Inconsolata"/>
    </font>
    <font>
      <sz val="11.0"/>
      <color rgb="FF000000"/>
      <name val="Arial"/>
    </font>
    <font>
      <u/>
      <sz val="11.0"/>
      <color rgb="FF000000"/>
      <name val="Arial"/>
    </font>
    <font>
      <u/>
      <color theme="1"/>
      <name val="Arial"/>
    </font>
    <font>
      <b/>
      <u/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color rgb="FF000000"/>
      <name val="Arial"/>
    </font>
    <font>
      <b/>
      <sz val="9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85631"/>
        <bgColor rgb="FFF85631"/>
      </patternFill>
    </fill>
    <fill>
      <patternFill patternType="solid">
        <fgColor rgb="FF4040F4"/>
        <bgColor rgb="FF4040F4"/>
      </patternFill>
    </fill>
    <fill>
      <patternFill patternType="solid">
        <fgColor rgb="FFEBE4D5"/>
        <bgColor rgb="FFEBE4D5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CA56"/>
        <bgColor rgb="FFFFCA56"/>
      </patternFill>
    </fill>
    <fill>
      <patternFill patternType="solid">
        <fgColor rgb="FF008080"/>
        <bgColor rgb="FF008080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EBE4D5"/>
      </left>
      <top style="medium">
        <color rgb="FFEBE4D5"/>
      </top>
    </border>
    <border>
      <top style="medium">
        <color rgb="FFEBE4D5"/>
      </top>
    </border>
    <border>
      <right style="medium">
        <color rgb="FFEBE4D5"/>
      </right>
      <top style="medium">
        <color rgb="FFEBE4D5"/>
      </top>
    </border>
    <border>
      <left style="medium">
        <color rgb="FFEBE4D5"/>
      </left>
    </border>
    <border>
      <right style="medium">
        <color rgb="FFEBE4D5"/>
      </right>
    </border>
    <border>
      <left style="medium">
        <color rgb="FFEBE4D5"/>
      </left>
      <bottom style="medium">
        <color rgb="FFEBE4D5"/>
      </bottom>
    </border>
    <border>
      <bottom style="medium">
        <color rgb="FFEBE4D5"/>
      </bottom>
    </border>
    <border>
      <right style="medium">
        <color rgb="FFEBE4D5"/>
      </right>
      <bottom style="medium">
        <color rgb="FFEBE4D5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vertical="center"/>
    </xf>
    <xf borderId="0" fillId="2" fontId="1" numFmtId="164" xfId="0" applyAlignment="1" applyFont="1" applyNumberFormat="1">
      <alignment horizontal="left" readingOrder="0" shrinkToFit="0" vertical="center" wrapText="1"/>
    </xf>
    <xf borderId="0" fillId="2" fontId="2" numFmtId="0" xfId="0" applyAlignment="1" applyFont="1">
      <alignment horizontal="right" vertical="center"/>
    </xf>
    <xf borderId="0" fillId="2" fontId="2" numFmtId="164" xfId="0" applyAlignment="1" applyFont="1" applyNumberFormat="1">
      <alignment horizontal="right" vertical="center"/>
    </xf>
    <xf borderId="0" fillId="2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6" numFmtId="0" xfId="0" applyAlignment="1" applyFont="1">
      <alignment horizontal="right" vertical="center"/>
    </xf>
    <xf borderId="0" fillId="0" fontId="6" numFmtId="9" xfId="0" applyAlignment="1" applyFont="1" applyNumberFormat="1">
      <alignment horizontal="right" readingOrder="0" vertical="center"/>
    </xf>
    <xf borderId="0" fillId="0" fontId="6" numFmtId="10" xfId="0" applyAlignment="1" applyFont="1" applyNumberFormat="1">
      <alignment horizontal="right" vertical="center"/>
    </xf>
    <xf borderId="0" fillId="0" fontId="6" numFmtId="164" xfId="0" applyAlignment="1" applyFont="1" applyNumberFormat="1">
      <alignment horizontal="right" vertical="center"/>
    </xf>
    <xf borderId="0" fillId="0" fontId="6" numFmtId="164" xfId="0" applyAlignment="1" applyFont="1" applyNumberFormat="1">
      <alignment horizontal="center" vertical="center"/>
    </xf>
    <xf borderId="0" fillId="3" fontId="4" numFmtId="164" xfId="0" applyAlignment="1" applyFill="1" applyFont="1" applyNumberFormat="1">
      <alignment horizontal="center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0" fillId="0" fontId="8" numFmtId="164" xfId="0" applyAlignment="1" applyFont="1" applyNumberFormat="1">
      <alignment horizontal="left" readingOrder="0" shrinkToFit="0" vertical="bottom" wrapText="0"/>
    </xf>
    <xf borderId="0" fillId="0" fontId="9" numFmtId="164" xfId="0" applyAlignment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4" xfId="0" applyAlignment="1" applyFont="1" applyNumberFormat="1">
      <alignment horizontal="left" readingOrder="0" shrinkToFit="0" vertical="bottom" wrapText="1"/>
    </xf>
    <xf borderId="0" fillId="0" fontId="6" numFmtId="0" xfId="0" applyAlignment="1" applyFont="1">
      <alignment horizontal="left" vertical="center"/>
    </xf>
    <xf borderId="0" fillId="4" fontId="11" numFmtId="0" xfId="0" applyAlignment="1" applyFill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6" numFmtId="164" xfId="0" applyAlignment="1" applyFont="1" applyNumberFormat="1">
      <alignment horizontal="center" readingOrder="0" shrinkToFit="0" vertical="center" wrapText="1"/>
    </xf>
    <xf borderId="0" fillId="4" fontId="6" numFmtId="164" xfId="0" applyAlignment="1" applyFont="1" applyNumberFormat="1">
      <alignment horizontal="center" vertical="center"/>
    </xf>
    <xf borderId="0" fillId="3" fontId="13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right" readingOrder="0" shrinkToFit="0" vertical="center" wrapText="1"/>
    </xf>
    <xf borderId="0" fillId="3" fontId="15" numFmtId="164" xfId="0" applyAlignment="1" applyFont="1" applyNumberFormat="1">
      <alignment horizontal="right" readingOrder="0" shrinkToFit="0" vertical="center" wrapText="1"/>
    </xf>
    <xf borderId="0" fillId="5" fontId="15" numFmtId="0" xfId="0" applyAlignment="1" applyFill="1" applyFont="1">
      <alignment horizontal="right" readingOrder="0" shrinkToFit="0" vertical="center" wrapText="1"/>
    </xf>
    <xf borderId="0" fillId="3" fontId="15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4" fontId="6" numFmtId="10" xfId="0" applyAlignment="1" applyFont="1" applyNumberFormat="1">
      <alignment horizontal="right"/>
    </xf>
    <xf borderId="0" fillId="4" fontId="6" numFmtId="4" xfId="0" applyAlignment="1" applyFont="1" applyNumberFormat="1">
      <alignment horizontal="right"/>
    </xf>
    <xf borderId="0" fillId="0" fontId="6" numFmtId="4" xfId="0" applyAlignment="1" applyFont="1" applyNumberFormat="1">
      <alignment horizontal="right"/>
    </xf>
    <xf borderId="0" fillId="6" fontId="16" numFmtId="10" xfId="0" applyAlignment="1" applyFill="1" applyFont="1" applyNumberFormat="1">
      <alignment horizontal="right" readingOrder="0"/>
    </xf>
    <xf borderId="0" fillId="6" fontId="16" numFmtId="0" xfId="0" applyAlignment="1" applyFont="1">
      <alignment horizontal="right" readingOrder="0"/>
    </xf>
    <xf borderId="0" fillId="4" fontId="16" numFmtId="0" xfId="0" applyAlignment="1" applyFont="1">
      <alignment horizontal="right" readingOrder="0"/>
    </xf>
    <xf borderId="0" fillId="6" fontId="16" numFmtId="164" xfId="0" applyAlignment="1" applyFont="1" applyNumberFormat="1">
      <alignment horizontal="right" readingOrder="0"/>
    </xf>
    <xf borderId="0" fillId="6" fontId="16" numFmtId="4" xfId="0" applyAlignment="1" applyFont="1" applyNumberFormat="1">
      <alignment horizontal="right" readingOrder="0"/>
    </xf>
    <xf borderId="0" fillId="4" fontId="16" numFmtId="4" xfId="0" applyAlignment="1" applyFont="1" applyNumberFormat="1">
      <alignment horizontal="right" readingOrder="0"/>
    </xf>
    <xf borderId="0" fillId="6" fontId="16" numFmtId="164" xfId="0" applyAlignment="1" applyFont="1" applyNumberFormat="1">
      <alignment readingOrder="0"/>
    </xf>
    <xf borderId="0" fillId="6" fontId="16" numFmtId="164" xfId="0" applyAlignment="1" applyFont="1" applyNumberFormat="1">
      <alignment readingOrder="0"/>
    </xf>
    <xf borderId="0" fillId="0" fontId="6" numFmtId="164" xfId="0" applyAlignment="1" applyFont="1" applyNumberFormat="1">
      <alignment horizontal="center" vertical="center"/>
    </xf>
    <xf borderId="0" fillId="0" fontId="4" numFmtId="164" xfId="0" applyFont="1" applyNumberFormat="1"/>
    <xf borderId="0" fillId="0" fontId="6" numFmtId="164" xfId="0" applyAlignment="1" applyFont="1" applyNumberFormat="1">
      <alignment horizontal="right"/>
    </xf>
    <xf borderId="0" fillId="0" fontId="6" numFmtId="10" xfId="0" applyAlignment="1" applyFont="1" applyNumberFormat="1">
      <alignment horizontal="right"/>
    </xf>
    <xf borderId="0" fillId="4" fontId="6" numFmtId="10" xfId="0" applyAlignment="1" applyFont="1" applyNumberFormat="1">
      <alignment horizontal="right" vertical="bottom"/>
    </xf>
    <xf borderId="0" fillId="4" fontId="6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6" fontId="16" numFmtId="10" xfId="0" applyAlignment="1" applyFont="1" applyNumberFormat="1">
      <alignment horizontal="right" vertical="bottom"/>
    </xf>
    <xf borderId="0" fillId="6" fontId="16" numFmtId="0" xfId="0" applyAlignment="1" applyFont="1">
      <alignment horizontal="right" vertical="bottom"/>
    </xf>
    <xf borderId="0" fillId="4" fontId="16" numFmtId="0" xfId="0" applyAlignment="1" applyFont="1">
      <alignment horizontal="right" vertical="bottom"/>
    </xf>
    <xf borderId="0" fillId="4" fontId="16" numFmtId="4" xfId="0" applyAlignment="1" applyFont="1" applyNumberFormat="1">
      <alignment horizontal="right" vertical="bottom"/>
    </xf>
    <xf borderId="0" fillId="6" fontId="16" numFmtId="164" xfId="0" applyAlignment="1" applyFont="1" applyNumberFormat="1">
      <alignment horizontal="right" vertical="bottom"/>
    </xf>
    <xf borderId="0" fillId="6" fontId="16" numFmtId="4" xfId="0" applyAlignment="1" applyFont="1" applyNumberFormat="1">
      <alignment horizontal="right" vertical="bottom"/>
    </xf>
    <xf borderId="0" fillId="6" fontId="4" numFmtId="164" xfId="0" applyAlignment="1" applyFont="1" applyNumberFormat="1">
      <alignment horizontal="left" vertical="center"/>
    </xf>
    <xf borderId="0" fillId="6" fontId="6" numFmtId="164" xfId="0" applyAlignment="1" applyFont="1" applyNumberFormat="1">
      <alignment horizontal="right" vertical="center"/>
    </xf>
    <xf borderId="0" fillId="6" fontId="6" numFmtId="10" xfId="0" applyAlignment="1" applyFont="1" applyNumberFormat="1">
      <alignment horizontal="right" vertical="center"/>
    </xf>
    <xf borderId="0" fillId="7" fontId="6" numFmtId="4" xfId="0" applyAlignment="1" applyFill="1" applyFont="1" applyNumberFormat="1">
      <alignment horizontal="right"/>
    </xf>
    <xf borderId="0" fillId="7" fontId="4" numFmtId="164" xfId="0" applyAlignment="1" applyFont="1" applyNumberFormat="1">
      <alignment horizontal="left" vertical="center"/>
    </xf>
    <xf borderId="0" fillId="7" fontId="6" numFmtId="164" xfId="0" applyAlignment="1" applyFont="1" applyNumberFormat="1">
      <alignment horizontal="right" vertical="center"/>
    </xf>
    <xf borderId="0" fillId="7" fontId="6" numFmtId="10" xfId="0" applyAlignment="1" applyFont="1" applyNumberFormat="1">
      <alignment horizontal="right" vertical="center"/>
    </xf>
    <xf borderId="0" fillId="0" fontId="3" numFmtId="0" xfId="0" applyAlignment="1" applyFont="1">
      <alignment horizontal="center"/>
    </xf>
    <xf borderId="0" fillId="4" fontId="6" numFmtId="0" xfId="0" applyFont="1"/>
    <xf borderId="0" fillId="0" fontId="3" numFmtId="0" xfId="0" applyFont="1"/>
    <xf borderId="0" fillId="0" fontId="10" numFmtId="0" xfId="0" applyAlignment="1" applyFont="1">
      <alignment horizontal="left"/>
    </xf>
    <xf borderId="0" fillId="0" fontId="6" numFmtId="2" xfId="0" applyAlignment="1" applyFont="1" applyNumberFormat="1">
      <alignment horizontal="center" shrinkToFit="0" wrapText="1"/>
    </xf>
    <xf borderId="0" fillId="0" fontId="6" numFmtId="164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17" numFmtId="0" xfId="0" applyAlignment="1" applyFont="1">
      <alignment horizontal="center" readingOrder="0" shrinkToFit="0" wrapText="1"/>
    </xf>
    <xf borderId="0" fillId="0" fontId="6" numFmtId="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vertical="center"/>
    </xf>
    <xf borderId="1" fillId="0" fontId="6" numFmtId="2" xfId="0" applyAlignment="1" applyBorder="1" applyFont="1" applyNumberFormat="1">
      <alignment horizontal="center" readingOrder="0" shrinkToFit="0" wrapText="1"/>
    </xf>
    <xf borderId="1" fillId="0" fontId="6" numFmtId="164" xfId="0" applyAlignment="1" applyBorder="1" applyFont="1" applyNumberFormat="1">
      <alignment horizontal="center" readingOrder="0" shrinkToFit="0" wrapText="1"/>
    </xf>
    <xf borderId="0" fillId="6" fontId="18" numFmtId="0" xfId="0" applyFont="1"/>
    <xf borderId="0" fillId="6" fontId="19" numFmtId="0" xfId="0" applyAlignment="1" applyFont="1">
      <alignment horizontal="left"/>
    </xf>
    <xf borderId="0" fillId="6" fontId="16" numFmtId="0" xfId="0" applyFont="1"/>
    <xf borderId="0" fillId="6" fontId="20" numFmtId="2" xfId="0" applyAlignment="1" applyFont="1" applyNumberFormat="1">
      <alignment horizontal="center" readingOrder="0"/>
    </xf>
    <xf borderId="0" fillId="6" fontId="20" numFmtId="0" xfId="0" applyAlignment="1" applyFont="1">
      <alignment horizontal="center" readingOrder="0"/>
    </xf>
    <xf borderId="0" fillId="6" fontId="21" numFmtId="0" xfId="0" applyAlignment="1" applyFont="1">
      <alignment horizontal="center" readingOrder="0"/>
    </xf>
    <xf borderId="0" fillId="6" fontId="20" numFmtId="4" xfId="0" applyAlignment="1" applyFont="1" applyNumberFormat="1">
      <alignment readingOrder="0"/>
    </xf>
    <xf borderId="0" fillId="6" fontId="20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6" numFmtId="2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22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vertical="center"/>
    </xf>
    <xf borderId="0" fillId="3" fontId="4" numFmtId="164" xfId="0" applyAlignment="1" applyFont="1" applyNumberFormat="1">
      <alignment horizontal="left" readingOrder="0" shrinkToFit="0" vertical="center" wrapText="1"/>
    </xf>
    <xf borderId="0" fillId="4" fontId="16" numFmtId="0" xfId="0" applyAlignment="1" applyFont="1">
      <alignment horizontal="center" vertical="center"/>
    </xf>
    <xf borderId="0" fillId="4" fontId="6" numFmtId="0" xfId="0" applyAlignment="1" applyFont="1">
      <alignment horizontal="center" vertical="center"/>
    </xf>
    <xf borderId="0" fillId="4" fontId="6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8" fontId="3" numFmtId="2" xfId="0" applyAlignment="1" applyFill="1" applyFont="1" applyNumberFormat="1">
      <alignment horizontal="center" readingOrder="0" shrinkToFit="0" vertical="center" wrapText="1"/>
    </xf>
    <xf borderId="0" fillId="4" fontId="3" numFmtId="4" xfId="0" applyAlignment="1" applyFont="1" applyNumberFormat="1">
      <alignment horizontal="center" readingOrder="0" shrinkToFit="0" vertical="center" wrapText="1"/>
    </xf>
    <xf borderId="0" fillId="4" fontId="23" numFmtId="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left" readingOrder="0" vertical="bottom"/>
    </xf>
    <xf borderId="0" fillId="6" fontId="18" numFmtId="0" xfId="0" applyFont="1"/>
    <xf borderId="0" fillId="6" fontId="10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center" readingOrder="0" vertical="center"/>
    </xf>
    <xf borderId="2" fillId="0" fontId="6" numFmtId="2" xfId="0" applyAlignment="1" applyBorder="1" applyFont="1" applyNumberFormat="1">
      <alignment horizontal="center" shrinkToFit="0" wrapText="1"/>
    </xf>
    <xf borderId="3" fillId="0" fontId="4" numFmtId="164" xfId="0" applyAlignment="1" applyBorder="1" applyFont="1" applyNumberFormat="1">
      <alignment horizontal="center" shrinkToFit="0" wrapText="1"/>
    </xf>
    <xf borderId="0" fillId="0" fontId="6" numFmtId="1" xfId="0" applyAlignment="1" applyFont="1" applyNumberFormat="1">
      <alignment horizontal="center" shrinkToFit="0" wrapText="1"/>
    </xf>
    <xf borderId="0" fillId="0" fontId="25" numFmtId="1" xfId="0" applyAlignment="1" applyFont="1" applyNumberFormat="1">
      <alignment horizontal="center" shrinkToFit="0" wrapText="1"/>
    </xf>
    <xf borderId="4" fillId="0" fontId="6" numFmtId="4" xfId="0" applyAlignment="1" applyBorder="1" applyFont="1" applyNumberFormat="1">
      <alignment shrinkToFit="0" wrapText="1"/>
    </xf>
    <xf borderId="0" fillId="0" fontId="6" numFmtId="4" xfId="0" applyAlignment="1" applyFont="1" applyNumberFormat="1">
      <alignment shrinkToFit="0" wrapText="1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26" numFmtId="0" xfId="0" applyFont="1"/>
    <xf borderId="0" fillId="0" fontId="27" numFmtId="0" xfId="0" applyFont="1"/>
    <xf borderId="0" fillId="0" fontId="6" numFmtId="0" xfId="0" applyAlignment="1" applyFont="1">
      <alignment readingOrder="0"/>
    </xf>
    <xf borderId="5" fillId="4" fontId="3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8" fillId="4" fontId="3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/>
    </xf>
    <xf borderId="10" fillId="4" fontId="3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0" fillId="0" fontId="10" numFmtId="0" xfId="0" applyAlignment="1" applyFont="1">
      <alignment horizontal="left" readingOrder="0" vertical="center"/>
    </xf>
    <xf borderId="2" fillId="0" fontId="6" numFmtId="4" xfId="0" applyAlignment="1" applyBorder="1" applyFont="1" applyNumberFormat="1">
      <alignment shrinkToFit="0" wrapText="1"/>
    </xf>
    <xf borderId="0" fillId="0" fontId="5" numFmtId="0" xfId="0" applyAlignment="1" applyFont="1">
      <alignment horizontal="right" readingOrder="0" shrinkToFit="0" vertical="bottom" wrapText="0"/>
    </xf>
    <xf borderId="0" fillId="0" fontId="5" numFmtId="4" xfId="0" applyAlignment="1" applyFont="1" applyNumberFormat="1">
      <alignment horizontal="center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5" numFmtId="11" xfId="0" applyAlignment="1" applyFont="1" applyNumberFormat="1">
      <alignment horizontal="center" readingOrder="0" shrinkToFit="0" vertical="bottom" wrapText="0"/>
    </xf>
    <xf borderId="0" fillId="0" fontId="5" numFmtId="4" xfId="0" applyAlignment="1" applyFont="1" applyNumberFormat="1">
      <alignment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0" fontId="5" numFmtId="11" xfId="0" applyAlignment="1" applyFont="1" applyNumberFormat="1">
      <alignment readingOrder="0" shrinkToFit="0" vertical="bottom" wrapText="0"/>
    </xf>
    <xf borderId="0" fillId="9" fontId="28" numFmtId="0" xfId="0" applyAlignment="1" applyFill="1" applyFont="1">
      <alignment readingOrder="0" shrinkToFit="0" wrapText="0"/>
    </xf>
    <xf borderId="0" fillId="0" fontId="29" numFmtId="0" xfId="0" applyAlignment="1" applyFont="1">
      <alignment readingOrder="0"/>
    </xf>
    <xf borderId="0" fillId="0" fontId="29" numFmtId="0" xfId="0" applyFont="1"/>
    <xf borderId="0" fillId="0" fontId="29" numFmtId="4" xfId="0" applyAlignment="1" applyFont="1" applyNumberFormat="1">
      <alignment horizontal="center" readingOrder="0"/>
    </xf>
    <xf borderId="0" fillId="0" fontId="6" numFmtId="10" xfId="0" applyAlignment="1" applyFont="1" applyNumberFormat="1">
      <alignment horizontal="center"/>
    </xf>
    <xf borderId="0" fillId="0" fontId="29" numFmtId="0" xfId="0" applyAlignment="1" applyFont="1">
      <alignment readingOrder="0" shrinkToFit="0" wrapText="1"/>
    </xf>
    <xf borderId="0" fillId="0" fontId="29" numFmtId="0" xfId="0" applyAlignment="1" applyFont="1">
      <alignment horizontal="center"/>
    </xf>
    <xf borderId="0" fillId="0" fontId="6" numFmtId="1" xfId="0" applyAlignment="1" applyFont="1" applyNumberFormat="1">
      <alignment horizontal="center"/>
    </xf>
    <xf borderId="0" fillId="0" fontId="30" numFmtId="4" xfId="0" applyAlignment="1" applyFont="1" applyNumberFormat="1">
      <alignment horizontal="center" readingOrder="0"/>
    </xf>
    <xf borderId="0" fillId="0" fontId="29" numFmtId="0" xfId="0" applyAlignment="1" applyFont="1">
      <alignment readingOrder="0" shrinkToFit="0" wrapText="1"/>
    </xf>
    <xf borderId="1" fillId="0" fontId="29" numFmtId="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0" xfId="0" applyAlignment="1" applyFont="1" applyNumberFormat="1">
      <alignment horizontal="center" readingOrder="0"/>
    </xf>
    <xf borderId="0" fillId="0" fontId="29" numFmtId="164" xfId="0" applyAlignment="1" applyFont="1" applyNumberFormat="1">
      <alignment horizontal="center" readingOrder="0"/>
    </xf>
    <xf borderId="0" fillId="0" fontId="29" numFmtId="0" xfId="0" applyAlignment="1" applyFont="1">
      <alignment horizontal="center" readingOrder="0"/>
    </xf>
    <xf borderId="0" fillId="0" fontId="29" numFmtId="1" xfId="0" applyAlignment="1" applyFont="1" applyNumberFormat="1">
      <alignment horizontal="center" readingOrder="0"/>
    </xf>
    <xf borderId="0" fillId="0" fontId="6" numFmtId="4" xfId="0" applyFont="1" applyNumberFormat="1"/>
    <xf borderId="0" fillId="0" fontId="6" numFmtId="10" xfId="0" applyFont="1" applyNumberFormat="1"/>
    <xf borderId="1" fillId="10" fontId="30" numFmtId="0" xfId="0" applyAlignment="1" applyBorder="1" applyFill="1" applyFont="1">
      <alignment readingOrder="0" shrinkToFit="0" wrapText="1"/>
    </xf>
    <xf borderId="13" fillId="10" fontId="30" numFmtId="4" xfId="0" applyAlignment="1" applyBorder="1" applyFont="1" applyNumberFormat="1">
      <alignment horizontal="center" readingOrder="0"/>
    </xf>
    <xf borderId="14" fillId="10" fontId="30" numFmtId="0" xfId="0" applyAlignment="1" applyBorder="1" applyFont="1">
      <alignment horizontal="center" readingOrder="0"/>
    </xf>
    <xf borderId="13" fillId="10" fontId="30" numFmtId="0" xfId="0" applyAlignment="1" applyBorder="1" applyFont="1">
      <alignment horizontal="center" readingOrder="0"/>
    </xf>
    <xf borderId="14" fillId="10" fontId="30" numFmtId="10" xfId="0" applyAlignment="1" applyBorder="1" applyFont="1" applyNumberFormat="1">
      <alignment horizontal="center" readingOrder="0"/>
    </xf>
    <xf borderId="13" fillId="10" fontId="30" numFmtId="3" xfId="0" applyAlignment="1" applyBorder="1" applyFont="1" applyNumberFormat="1">
      <alignment horizontal="center" readingOrder="0"/>
    </xf>
    <xf borderId="15" fillId="11" fontId="3" numFmtId="0" xfId="0" applyAlignment="1" applyBorder="1" applyFill="1" applyFont="1">
      <alignment horizontal="center" readingOrder="0"/>
    </xf>
    <xf borderId="13" fillId="0" fontId="31" numFmtId="0" xfId="0" applyBorder="1" applyFont="1"/>
    <xf borderId="3" fillId="0" fontId="29" numFmtId="0" xfId="0" applyAlignment="1" applyBorder="1" applyFont="1">
      <alignment readingOrder="0"/>
    </xf>
    <xf borderId="3" fillId="0" fontId="29" numFmtId="4" xfId="0" applyAlignment="1" applyBorder="1" applyFont="1" applyNumberFormat="1">
      <alignment horizontal="center"/>
    </xf>
    <xf borderId="4" fillId="0" fontId="29" numFmtId="10" xfId="0" applyAlignment="1" applyBorder="1" applyFont="1" applyNumberFormat="1">
      <alignment horizontal="center" readingOrder="0"/>
    </xf>
    <xf borderId="4" fillId="6" fontId="32" numFmtId="10" xfId="0" applyAlignment="1" applyBorder="1" applyFont="1" applyNumberFormat="1">
      <alignment horizontal="center" readingOrder="0"/>
    </xf>
    <xf borderId="0" fillId="0" fontId="6" numFmtId="3" xfId="0" applyAlignment="1" applyFont="1" applyNumberFormat="1">
      <alignment horizontal="center"/>
    </xf>
    <xf borderId="3" fillId="11" fontId="6" numFmtId="3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0" fontId="6" numFmtId="0" xfId="0" applyFont="1"/>
    <xf borderId="4" fillId="0" fontId="29" numFmtId="10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0" fillId="6" fontId="32" numFmtId="10" xfId="0" applyAlignment="1" applyFont="1" applyNumberFormat="1">
      <alignment horizontal="center" readingOrder="0"/>
    </xf>
    <xf borderId="2" fillId="0" fontId="6" numFmtId="3" xfId="0" applyAlignment="1" applyBorder="1" applyFont="1" applyNumberFormat="1">
      <alignment horizontal="center"/>
    </xf>
    <xf borderId="2" fillId="11" fontId="6" numFmtId="3" xfId="0" applyAlignment="1" applyBorder="1" applyFont="1" applyNumberFormat="1">
      <alignment horizontal="center"/>
    </xf>
    <xf borderId="0" fillId="0" fontId="29" numFmtId="0" xfId="0" applyAlignment="1" applyFont="1">
      <alignment readingOrder="0"/>
    </xf>
    <xf borderId="2" fillId="0" fontId="29" numFmtId="4" xfId="0" applyAlignment="1" applyBorder="1" applyFont="1" applyNumberFormat="1">
      <alignment horizontal="center"/>
    </xf>
    <xf borderId="0" fillId="0" fontId="29" numFmtId="4" xfId="0" applyAlignment="1" applyFont="1" applyNumberFormat="1">
      <alignment horizontal="center"/>
    </xf>
    <xf borderId="0" fillId="0" fontId="29" numFmtId="10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AF1"/>
          <bgColor rgb="FFFFFAF1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2" pivot="0" name="Screener-style">
      <tableStyleElement dxfId="1" type="firstRowStripe"/>
      <tableStyleElement dxfId="2" type="secondRowStripe"/>
    </tableStyle>
    <tableStyle count="2" pivot="0" name="Screener-style 2">
      <tableStyleElement dxfId="1" type="firstRowStripe"/>
      <tableStyleElement dxfId="2" type="secondRowStripe"/>
    </tableStyle>
    <tableStyle count="3" pivot="0" name="Screener-style 3">
      <tableStyleElement dxfId="3" type="headerRow"/>
      <tableStyleElement dxfId="1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10668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1571625</xdr:colOff>
      <xdr:row>6</xdr:row>
      <xdr:rowOff>190500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1571625</xdr:colOff>
      <xdr:row>7</xdr:row>
      <xdr:rowOff>209550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1571625</xdr:colOff>
      <xdr:row>8</xdr:row>
      <xdr:rowOff>209550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1571625</xdr:colOff>
      <xdr:row>9</xdr:row>
      <xdr:rowOff>209550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1571625</xdr:colOff>
      <xdr:row>10</xdr:row>
      <xdr:rowOff>209550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1571625</xdr:colOff>
      <xdr:row>11</xdr:row>
      <xdr:rowOff>209550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1571625</xdr:colOff>
      <xdr:row>12</xdr:row>
      <xdr:rowOff>209550</xdr:rowOff>
    </xdr:from>
    <xdr:ext cx="190500" cy="219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057275" cy="838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257:BN258" displayName="Table_1" id="1">
  <tableColumns count="5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</tableColumns>
  <tableStyleInfo name="Screener-style" showColumnStripes="0" showFirstColumn="1" showLastColumn="1" showRowStripes="1"/>
</table>
</file>

<file path=xl/tables/table2.xml><?xml version="1.0" encoding="utf-8"?>
<table xmlns="http://schemas.openxmlformats.org/spreadsheetml/2006/main" headerRowCount="0" ref="N270:N271" displayName="Table_2" id="2">
  <tableColumns count="1">
    <tableColumn name="Column1" id="1"/>
  </tableColumns>
  <tableStyleInfo name="Screener-style 2" showColumnStripes="0" showFirstColumn="1" showLastColumn="1" showRowStripes="1"/>
</table>
</file>

<file path=xl/tables/table3.xml><?xml version="1.0" encoding="utf-8"?>
<table xmlns="http://schemas.openxmlformats.org/spreadsheetml/2006/main" ref="N268:N269" displayName="Table_3" id="3">
  <tableColumns count="1">
    <tableColumn name="NINJ3" id="1"/>
  </tableColumns>
  <tableStyleInfo name="Screener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ktDkx1aK3y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cols>
    <col customWidth="1" min="1" max="1" width="19.29"/>
    <col customWidth="1" min="2" max="2" width="20.29"/>
    <col customWidth="1" min="3" max="3" width="21.14"/>
    <col customWidth="1" min="4" max="4" width="27.57"/>
    <col customWidth="1" min="5" max="5" width="14.0"/>
    <col customWidth="1" min="6" max="6" width="12.71"/>
    <col customWidth="1" min="7" max="7" width="14.0"/>
    <col customWidth="1" min="8" max="10" width="12.0"/>
    <col customWidth="1" min="11" max="11" width="13.86"/>
    <col customWidth="1" min="12" max="12" width="13.71"/>
    <col customWidth="1" min="13" max="19" width="12.0"/>
    <col customWidth="1" min="20" max="20" width="12.14"/>
    <col customWidth="1" min="21" max="22" width="15.43"/>
    <col customWidth="1" min="23" max="24" width="12.0"/>
    <col customWidth="1" min="25" max="25" width="10.0"/>
    <col customWidth="1" min="26" max="26" width="18.14"/>
    <col customWidth="1" min="27" max="27" width="14.0"/>
    <col customWidth="1" min="28" max="28" width="12.0"/>
    <col customWidth="1" min="29" max="29" width="16.43"/>
    <col customWidth="1" min="30" max="30" width="14.43"/>
    <col customWidth="1" min="31" max="31" width="40.29"/>
    <col customWidth="1" min="32" max="32" width="19.14"/>
  </cols>
  <sheetData>
    <row r="1" ht="29.25" customHeight="1">
      <c r="A1" s="1"/>
      <c r="B1" s="2" t="s">
        <v>0</v>
      </c>
      <c r="C1" s="3"/>
      <c r="D1" s="4" t="s">
        <v>1</v>
      </c>
      <c r="W1" s="5"/>
      <c r="X1" s="5"/>
      <c r="Y1" s="5"/>
      <c r="Z1" s="5"/>
      <c r="AA1" s="5"/>
      <c r="AB1" s="5"/>
      <c r="AC1" s="5"/>
      <c r="AD1" s="5"/>
      <c r="AE1" s="6"/>
      <c r="AF1" s="7"/>
    </row>
    <row r="2" ht="6.0" customHeight="1">
      <c r="A2" s="8"/>
      <c r="B2" s="9"/>
      <c r="C2" s="9"/>
      <c r="D2" s="9"/>
      <c r="E2" s="10" t="s">
        <v>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</row>
    <row r="3" ht="6.0" customHeight="1">
      <c r="A3" s="12"/>
      <c r="B3" s="13"/>
      <c r="C3" s="13"/>
      <c r="D3" s="13"/>
      <c r="E3" s="14"/>
      <c r="F3" s="14"/>
      <c r="G3" s="14"/>
      <c r="H3" s="15"/>
      <c r="I3" s="14"/>
      <c r="J3" s="14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7"/>
      <c r="AF3" s="18"/>
    </row>
    <row r="4" ht="66.75" customHeight="1">
      <c r="A4" s="19"/>
      <c r="B4" s="20" t="s">
        <v>3</v>
      </c>
      <c r="C4" s="21" t="s">
        <v>4</v>
      </c>
      <c r="F4" s="22"/>
      <c r="H4" s="23" t="s">
        <v>5</v>
      </c>
      <c r="I4" s="24" t="s">
        <v>6</v>
      </c>
      <c r="J4" s="23" t="s">
        <v>7</v>
      </c>
      <c r="K4" s="25"/>
      <c r="L4" s="25"/>
      <c r="M4" s="25"/>
      <c r="N4" s="25"/>
      <c r="O4" s="23" t="s">
        <v>8</v>
      </c>
      <c r="P4" s="25"/>
      <c r="Q4" s="25"/>
      <c r="R4" s="23" t="s">
        <v>9</v>
      </c>
      <c r="S4" s="14"/>
      <c r="T4" s="14"/>
      <c r="U4" s="14"/>
      <c r="V4" s="23" t="s">
        <v>10</v>
      </c>
      <c r="W4" s="23" t="s">
        <v>11</v>
      </c>
      <c r="X4" s="25"/>
      <c r="Y4" s="25"/>
      <c r="Z4" s="25"/>
      <c r="AA4" s="25"/>
      <c r="AB4" s="25"/>
      <c r="AC4" s="23" t="s">
        <v>12</v>
      </c>
      <c r="AD4" s="23" t="s">
        <v>12</v>
      </c>
      <c r="AE4" s="17"/>
      <c r="AF4" s="18"/>
    </row>
    <row r="5" ht="40.5" customHeight="1">
      <c r="A5" s="26">
        <v>5.0</v>
      </c>
      <c r="B5" s="27"/>
      <c r="C5" s="27"/>
      <c r="D5" s="27"/>
      <c r="E5" s="28" t="s">
        <v>13</v>
      </c>
      <c r="H5" s="29" t="s">
        <v>14</v>
      </c>
      <c r="I5" s="29" t="s">
        <v>15</v>
      </c>
      <c r="J5" s="29" t="s">
        <v>16</v>
      </c>
      <c r="K5" s="29" t="s">
        <v>17</v>
      </c>
      <c r="L5" s="29" t="s">
        <v>18</v>
      </c>
      <c r="M5" s="29" t="s">
        <v>19</v>
      </c>
      <c r="N5" s="29" t="s">
        <v>20</v>
      </c>
      <c r="O5" s="29" t="s">
        <v>21</v>
      </c>
      <c r="P5" s="29" t="s">
        <v>22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1"/>
      <c r="AF5" s="32"/>
    </row>
    <row r="6" ht="39.0" customHeight="1">
      <c r="A6" s="33" t="s">
        <v>23</v>
      </c>
      <c r="B6" s="34" t="s">
        <v>24</v>
      </c>
      <c r="C6" s="34" t="s">
        <v>25</v>
      </c>
      <c r="D6" s="34" t="s">
        <v>26</v>
      </c>
      <c r="E6" s="35" t="s">
        <v>2</v>
      </c>
      <c r="F6" s="36" t="s">
        <v>27</v>
      </c>
      <c r="G6" s="35" t="s">
        <v>28</v>
      </c>
      <c r="H6" s="35" t="s">
        <v>29</v>
      </c>
      <c r="I6" s="35" t="s">
        <v>30</v>
      </c>
      <c r="J6" s="35" t="s">
        <v>31</v>
      </c>
      <c r="K6" s="35" t="s">
        <v>32</v>
      </c>
      <c r="L6" s="35" t="s">
        <v>33</v>
      </c>
      <c r="M6" s="35" t="s">
        <v>34</v>
      </c>
      <c r="N6" s="35" t="s">
        <v>35</v>
      </c>
      <c r="O6" s="35" t="s">
        <v>36</v>
      </c>
      <c r="P6" s="37" t="s">
        <v>37</v>
      </c>
      <c r="Q6" s="35" t="s">
        <v>38</v>
      </c>
      <c r="R6" s="35" t="s">
        <v>39</v>
      </c>
      <c r="S6" s="35" t="s">
        <v>40</v>
      </c>
      <c r="T6" s="35" t="s">
        <v>41</v>
      </c>
      <c r="U6" s="35" t="s">
        <v>42</v>
      </c>
      <c r="V6" s="35" t="s">
        <v>43</v>
      </c>
      <c r="W6" s="35" t="s">
        <v>44</v>
      </c>
      <c r="X6" s="35" t="s">
        <v>45</v>
      </c>
      <c r="Y6" s="37" t="s">
        <v>46</v>
      </c>
      <c r="Z6" s="35" t="s">
        <v>47</v>
      </c>
      <c r="AA6" s="35" t="s">
        <v>48</v>
      </c>
      <c r="AB6" s="35" t="s">
        <v>49</v>
      </c>
      <c r="AC6" s="35" t="s">
        <v>50</v>
      </c>
      <c r="AD6" s="35" t="s">
        <v>51</v>
      </c>
      <c r="AE6" s="36" t="s">
        <v>52</v>
      </c>
      <c r="AF6" s="38"/>
    </row>
    <row r="7">
      <c r="A7" s="10" t="s">
        <v>53</v>
      </c>
      <c r="B7" s="39" t="str">
        <f>VLOOKUP(lEFT($A7,4),Setor!$A:$E,3,0)</f>
        <v>Materiais Básicos</v>
      </c>
      <c r="C7" s="39" t="str">
        <f>VLOOKUP(lEFT($A7,4),Setor!$A:$E,4,0)</f>
        <v>Mineração</v>
      </c>
      <c r="D7" s="39" t="str">
        <f>VLOOKUP(lEFT($A7,4),Setor!$A:$E,5,0)</f>
        <v>Minerais Metálicos</v>
      </c>
      <c r="E7" s="17">
        <f>IFERROR(__xludf.DUMMYFUNCTION("GOOGLEFINANCE(A7)"),80.8)</f>
        <v>80.8</v>
      </c>
      <c r="F7" s="17">
        <f>IFERROR(__xludf.DUMMYFUNCTION("GOOGLEFINANCE($A7,""high52"")"),120.45)</f>
        <v>120.45</v>
      </c>
      <c r="G7" s="16">
        <f t="shared" ref="G7:G503" si="1">(E7-F7)/F7</f>
        <v>-0.3291822333</v>
      </c>
      <c r="H7" s="40">
        <f>VLOOKUP($A7,'Dados StatusInvest'!$A:$AY,column(H7)-$A$5,0)*VLOOKUP($A7,'Dados StatusInvest'!$A:$AY,2,0)/$E7/100</f>
        <v>0.1811928218</v>
      </c>
      <c r="I7" s="41">
        <f>VLOOKUP($A7,'Dados StatusInvest'!$A:$AY,column(I7)-$A$5,0)/VLOOKUP($A7,'Dados StatusInvest'!$A:$AY,2,0)*$E7</f>
        <v>4.557675033</v>
      </c>
      <c r="J7" s="41">
        <f>VLOOKUP($A7,'Dados StatusInvest'!$A:$AY,column(J7)-$A$5,0)/VLOOKUP($A7,'Dados StatusInvest'!$A:$AY,2,0)*$E7</f>
        <v>1.995984148</v>
      </c>
      <c r="K7" s="42">
        <f>VLOOKUP($A7,'Dados StatusInvest'!$A:$AY,column(K7)-$A$5,0)/VLOOKUP($A7,'Dados StatusInvest'!$A:$AY,2,0)*$E7</f>
        <v>0.8538969617</v>
      </c>
      <c r="L7" s="43">
        <f>VLOOKUP($A7,'Dados StatusInvest'!$A:$AY,column(L7)-$A$5,0)/100</f>
        <v>0.6168</v>
      </c>
      <c r="M7" s="44">
        <f>VLOOKUP($A7,'Dados StatusInvest'!$A:$AY,column(M7)-$A$5,0)</f>
        <v>42.53</v>
      </c>
      <c r="N7" s="44">
        <f>VLOOKUP($A7,'Dados StatusInvest'!$A:$AY,column(N7)-$A$5,0)</f>
        <v>30.99</v>
      </c>
      <c r="O7" s="41">
        <f>VLOOKUP($A7,'Dados StatusInvest'!$A:$AY,column(O7)-$A$5,0)/VLOOKUP($A7,'Dados StatusInvest'!$A:$AY,2,0)*$E7</f>
        <v>3.319524439</v>
      </c>
      <c r="P7" s="41">
        <f>VLOOKUP($A7,'Dados StatusInvest'!$A:$AY,column(P7)-$A$5,0)-VLOOKUP($A7,'Dados StatusInvest'!$A:$AY,column(P7)-$A$5-1,0)+O7</f>
        <v>3.329524439</v>
      </c>
      <c r="Q7" s="44">
        <f>VLOOKUP($A7,'Dados StatusInvest'!$A:$AY,column(Q7)-$A$5,0)</f>
        <v>0.01</v>
      </c>
      <c r="R7" s="44">
        <f>VLOOKUP($A7,'Dados StatusInvest'!$A:$AY,column(R7)-$A$5,0)</f>
        <v>0.01</v>
      </c>
      <c r="S7" s="41">
        <f>VLOOKUP($A7,'Dados StatusInvest'!$A:$AY,column(S7)-$A$5,0)/VLOOKUP($A7,'Dados StatusInvest'!$A:$AY,2,0)*$E7</f>
        <v>1.408929987</v>
      </c>
      <c r="T7" s="42">
        <f>VLOOKUP($A7,'Dados StatusInvest'!$A:$AY,column(T7)-$A$5,0)/VLOOKUP($A7,'Dados StatusInvest'!$A:$AY,2,0)*$E7</f>
        <v>7.492945839</v>
      </c>
      <c r="U7" s="44">
        <f>VLOOKUP($A7,'Dados StatusInvest'!$A:$AY,column(U7)-$A$5,0)</f>
        <v>-1.09</v>
      </c>
      <c r="V7" s="45">
        <f>VLOOKUP($A7,'Dados StatusInvest'!$A:$AY,column(V7)-$A$5,0)</f>
        <v>1.77</v>
      </c>
      <c r="W7" s="45">
        <f>VLOOKUP($A7,'Dados StatusInvest'!$A:$AY,column(W7)-$A$5,0)</f>
        <v>43.71</v>
      </c>
      <c r="X7" s="45">
        <f>VLOOKUP($A7,'Dados StatusInvest'!$A:$AY,column(X7)-$A$5,0)</f>
        <v>18.83</v>
      </c>
      <c r="Y7" s="45">
        <f>VLOOKUP($A7,'Dados StatusInvest'!$A:$AY,column(Y7)-$A$5,0)</f>
        <v>35.12</v>
      </c>
      <c r="Z7" s="44">
        <f>VLOOKUP($A7,'Dados StatusInvest'!$A:$AY,column(Z7)-$A$5,0)</f>
        <v>0.43</v>
      </c>
      <c r="AA7" s="44">
        <f>VLOOKUP($A7,'Dados StatusInvest'!$A:$AY,column(AA7)-$A$5,0)</f>
        <v>0.56</v>
      </c>
      <c r="AB7" s="44">
        <f>VLOOKUP($A7,'Dados StatusInvest'!$A:$AY,column(AB7)-$A$5,0)</f>
        <v>0.61</v>
      </c>
      <c r="AC7" s="44">
        <f>VLOOKUP($A7,'Dados StatusInvest'!$A:$AY,column(AC7)-$A$5,0)</f>
        <v>21.72</v>
      </c>
      <c r="AD7" s="45">
        <f>VLOOKUP($A7,'Dados StatusInvest'!$A:$AY,column(AD7)-$A$5,0)</f>
        <v>0</v>
      </c>
      <c r="AE7" s="46">
        <f>VLOOKUP($A7,'Dados StatusInvest'!$A:$AY,column(AE7)-$A$5,0)</f>
        <v>2820511501</v>
      </c>
      <c r="AF7" s="18"/>
    </row>
    <row r="8">
      <c r="A8" s="10" t="s">
        <v>54</v>
      </c>
      <c r="B8" s="39" t="str">
        <f>VLOOKUP(lEFT($A8,4),Setor!$A:$E,3,0)</f>
        <v>Petróleo, Gás e Biocombustíveis</v>
      </c>
      <c r="C8" s="39" t="str">
        <f>VLOOKUP(lEFT($A8,4),Setor!$A:$E,4,0)</f>
        <v>Petróleo, Gás e Biocombustíveis</v>
      </c>
      <c r="D8" s="39" t="str">
        <f>VLOOKUP(lEFT($A8,4),Setor!$A:$E,5,0)</f>
        <v>Exploração, Refino e Distribuição</v>
      </c>
      <c r="E8" s="17">
        <f>IFERROR(__xludf.DUMMYFUNCTION("GOOGLEFINANCE(A8)"),29.22)</f>
        <v>29.22</v>
      </c>
      <c r="F8" s="17">
        <f>IFERROR(__xludf.DUMMYFUNCTION("GOOGLEFINANCE($A8,""high52"")"),31.76)</f>
        <v>31.76</v>
      </c>
      <c r="G8" s="16">
        <f t="shared" si="1"/>
        <v>-0.07997481108</v>
      </c>
      <c r="H8" s="40">
        <f>VLOOKUP($A8,'Dados StatusInvest'!$A:$AY,column(H8)-$A$5,0)*VLOOKUP($A8,'Dados StatusInvest'!$A:$AY,2,0)/$E8/100</f>
        <v>0.08218429158</v>
      </c>
      <c r="I8" s="41">
        <f>VLOOKUP($A8,'Dados StatusInvest'!$A:$AY,column(I8)-$A$5,0)/VLOOKUP($A8,'Dados StatusInvest'!$A:$AY,2,0)*$E8</f>
        <v>3.726174359</v>
      </c>
      <c r="J8" s="41">
        <f>VLOOKUP($A8,'Dados StatusInvest'!$A:$AY,column(J8)-$A$5,0)/VLOOKUP($A8,'Dados StatusInvest'!$A:$AY,2,0)*$E8</f>
        <v>1.068902564</v>
      </c>
      <c r="K8" s="42">
        <f>VLOOKUP($A8,'Dados StatusInvest'!$A:$AY,column(K8)-$A$5,0)/VLOOKUP($A8,'Dados StatusInvest'!$A:$AY,2,0)*$E8</f>
        <v>0.4095794872</v>
      </c>
      <c r="L8" s="43">
        <f>VLOOKUP($A8,'Dados StatusInvest'!$A:$AY,column(L8)-$A$5,0)/100</f>
        <v>0.5113</v>
      </c>
      <c r="M8" s="44">
        <f>VLOOKUP($A8,'Dados StatusInvest'!$A:$AY,column(M8)-$A$5,0)</f>
        <v>50.24</v>
      </c>
      <c r="N8" s="47">
        <f>VLOOKUP($A8,'Dados StatusInvest'!$A:$AY,column(N8)-$A$5,0)</f>
        <v>29.88</v>
      </c>
      <c r="O8" s="41">
        <f>VLOOKUP($A8,'Dados StatusInvest'!$A:$AY,column(O8)-$A$5,0)/VLOOKUP($A8,'Dados StatusInvest'!$A:$AY,2,0)*$E8</f>
        <v>2.217723077</v>
      </c>
      <c r="P8" s="41">
        <f>VLOOKUP($A8,'Dados StatusInvest'!$A:$AY,column(P8)-$A$5,0)-VLOOKUP($A8,'Dados StatusInvest'!$A:$AY,column(P8)-$A$5-1,0)+O8</f>
        <v>3.787723077</v>
      </c>
      <c r="Q8" s="44">
        <f>VLOOKUP($A8,'Dados StatusInvest'!$A:$AY,column(Q8)-$A$5,0)</f>
        <v>1.55</v>
      </c>
      <c r="R8" s="44">
        <f>VLOOKUP($A8,'Dados StatusInvest'!$A:$AY,column(R8)-$A$5,0)</f>
        <v>0.75</v>
      </c>
      <c r="S8" s="41">
        <f>VLOOKUP($A8,'Dados StatusInvest'!$A:$AY,column(S8)-$A$5,0)/VLOOKUP($A8,'Dados StatusInvest'!$A:$AY,2,0)*$E8</f>
        <v>1.108861538</v>
      </c>
      <c r="T8" s="42">
        <f>VLOOKUP($A8,'Dados StatusInvest'!$A:$AY,column(T8)-$A$5,0)/VLOOKUP($A8,'Dados StatusInvest'!$A:$AY,2,0)*$E8</f>
        <v>10.69901538</v>
      </c>
      <c r="U8" s="47">
        <f>VLOOKUP($A8,'Dados StatusInvest'!$A:$AY,column(U8)-$A$5,0)</f>
        <v>-0.48</v>
      </c>
      <c r="V8" s="45">
        <f>VLOOKUP($A8,'Dados StatusInvest'!$A:$AY,column(V8)-$A$5,0)</f>
        <v>1.31</v>
      </c>
      <c r="W8" s="48">
        <f>VLOOKUP($A8,'Dados StatusInvest'!$A:$AY,column(W8)-$A$5,0)</f>
        <v>28.75</v>
      </c>
      <c r="X8" s="45">
        <f>VLOOKUP($A8,'Dados StatusInvest'!$A:$AY,column(X8)-$A$5,0)</f>
        <v>10.87</v>
      </c>
      <c r="Y8" s="45">
        <f>VLOOKUP($A8,'Dados StatusInvest'!$A:$AY,column(Y8)-$A$5,0)</f>
        <v>20.44</v>
      </c>
      <c r="Z8" s="44">
        <f>VLOOKUP($A8,'Dados StatusInvest'!$A:$AY,column(Z8)-$A$5,0)</f>
        <v>0.38</v>
      </c>
      <c r="AA8" s="44">
        <f>VLOOKUP($A8,'Dados StatusInvest'!$A:$AY,column(AA8)-$A$5,0)</f>
        <v>0.62</v>
      </c>
      <c r="AB8" s="44">
        <f>VLOOKUP($A8,'Dados StatusInvest'!$A:$AY,column(AB8)-$A$5,0)</f>
        <v>0.36</v>
      </c>
      <c r="AC8" s="44">
        <f>VLOOKUP($A8,'Dados StatusInvest'!$A:$AY,column(AC8)-$A$5,0)</f>
        <v>-3.29</v>
      </c>
      <c r="AD8" s="45">
        <f>VLOOKUP($A8,'Dados StatusInvest'!$A:$AY,column(AD8)-$A$5,0)</f>
        <v>0</v>
      </c>
      <c r="AE8" s="46">
        <f>VLOOKUP($A8,'Dados StatusInvest'!$A:$AY,column(AE8)-$A$5,0)</f>
        <v>1987397901</v>
      </c>
      <c r="AF8" s="18"/>
    </row>
    <row r="9">
      <c r="A9" s="10" t="s">
        <v>55</v>
      </c>
      <c r="B9" s="39" t="str">
        <f>VLOOKUP(lEFT($A9,4),Setor!$A:$E,3,0)</f>
        <v>Financeiro</v>
      </c>
      <c r="C9" s="39" t="str">
        <f>VLOOKUP(lEFT($A9,4),Setor!$A:$E,4,0)</f>
        <v>Intermediários Financeiros</v>
      </c>
      <c r="D9" s="39" t="str">
        <f>VLOOKUP(lEFT($A9,4),Setor!$A:$E,5,0)</f>
        <v>Bancos</v>
      </c>
      <c r="E9" s="17">
        <f>IFERROR(__xludf.DUMMYFUNCTION("GOOGLEFINANCE(A9)"),25.07)</f>
        <v>25.07</v>
      </c>
      <c r="F9" s="17">
        <f>IFERROR(__xludf.DUMMYFUNCTION("GOOGLEFINANCE($A9,""high52"")"),34.34)</f>
        <v>34.34</v>
      </c>
      <c r="G9" s="16">
        <f t="shared" si="1"/>
        <v>-0.269947583</v>
      </c>
      <c r="H9" s="40">
        <f>VLOOKUP($A9,'Dados StatusInvest'!$A:$AY,column(H9)-$A$5,0)*VLOOKUP($A9,'Dados StatusInvest'!$A:$AY,2,0)/$E9/100</f>
        <v>0.02797766254</v>
      </c>
      <c r="I9" s="41">
        <f>VLOOKUP($A9,'Dados StatusInvest'!$A:$AY,column(I9)-$A$5,0)/VLOOKUP($A9,'Dados StatusInvest'!$A:$AY,2,0)*$E9</f>
        <v>8.8370499</v>
      </c>
      <c r="J9" s="41">
        <f>VLOOKUP($A9,'Dados StatusInvest'!$A:$AY,column(J9)-$A$5,0)/VLOOKUP($A9,'Dados StatusInvest'!$A:$AY,2,0)*$E9</f>
        <v>1.711365269</v>
      </c>
      <c r="K9" s="42">
        <f>VLOOKUP($A9,'Dados StatusInvest'!$A:$AY,column(K9)-$A$5,0)/VLOOKUP($A9,'Dados StatusInvest'!$A:$AY,2,0)*$E9</f>
        <v>0.1301037924</v>
      </c>
      <c r="L9" s="43">
        <f>VLOOKUP($A9,'Dados StatusInvest'!$A:$AY,column(L9)-$A$5,0)/100</f>
        <v>0.699</v>
      </c>
      <c r="M9" s="44">
        <f>VLOOKUP($A9,'Dados StatusInvest'!$A:$AY,column(M9)-$A$5,0)</f>
        <v>22.63</v>
      </c>
      <c r="N9" s="44">
        <f>VLOOKUP($A9,'Dados StatusInvest'!$A:$AY,column(N9)-$A$5,0)</f>
        <v>15.24</v>
      </c>
      <c r="O9" s="41">
        <f>VLOOKUP($A9,'Dados StatusInvest'!$A:$AY,column(O9)-$A$5,0)/VLOOKUP($A9,'Dados StatusInvest'!$A:$AY,2,0)*$E9</f>
        <v>5.954750499</v>
      </c>
      <c r="P9" s="41">
        <f>VLOOKUP($A9,'Dados StatusInvest'!$A:$AY,column(P9)-$A$5,0)-VLOOKUP($A9,'Dados StatusInvest'!$A:$AY,column(P9)-$A$5-1,0)+O9</f>
        <v>5.644750499</v>
      </c>
      <c r="Q9" s="44">
        <f>VLOOKUP($A9,'Dados StatusInvest'!$A:$AY,column(Q9)-$A$5,0)</f>
        <v>0</v>
      </c>
      <c r="R9" s="44">
        <f>VLOOKUP($A9,'Dados StatusInvest'!$A:$AY,column(R9)-$A$5,0)</f>
        <v>0</v>
      </c>
      <c r="S9" s="41">
        <f>VLOOKUP($A9,'Dados StatusInvest'!$A:$AY,column(S9)-$A$5,0)/VLOOKUP($A9,'Dados StatusInvest'!$A:$AY,2,0)*$E9</f>
        <v>1.351077844</v>
      </c>
      <c r="T9" s="42">
        <f>VLOOKUP($A9,'Dados StatusInvest'!$A:$AY,column(T9)-$A$5,0)/VLOOKUP($A9,'Dados StatusInvest'!$A:$AY,2,0)*$E9</f>
        <v>0</v>
      </c>
      <c r="U9" s="44">
        <f>VLOOKUP($A9,'Dados StatusInvest'!$A:$AY,column(U9)-$A$5,0)</f>
        <v>-0.13</v>
      </c>
      <c r="V9" s="45">
        <f>VLOOKUP($A9,'Dados StatusInvest'!$A:$AY,column(V9)-$A$5,0)</f>
        <v>0</v>
      </c>
      <c r="W9" s="45">
        <f>VLOOKUP($A9,'Dados StatusInvest'!$A:$AY,column(W9)-$A$5,0)</f>
        <v>19.39</v>
      </c>
      <c r="X9" s="45">
        <f>VLOOKUP($A9,'Dados StatusInvest'!$A:$AY,column(X9)-$A$5,0)</f>
        <v>1.42</v>
      </c>
      <c r="Y9" s="45">
        <f>VLOOKUP($A9,'Dados StatusInvest'!$A:$AY,column(Y9)-$A$5,0)</f>
        <v>0</v>
      </c>
      <c r="Z9" s="44">
        <f>VLOOKUP($A9,'Dados StatusInvest'!$A:$AY,column(Z9)-$A$5,0)</f>
        <v>0.07</v>
      </c>
      <c r="AA9" s="44">
        <f>VLOOKUP($A9,'Dados StatusInvest'!$A:$AY,column(AA9)-$A$5,0)</f>
        <v>0.92</v>
      </c>
      <c r="AB9" s="44">
        <f>VLOOKUP($A9,'Dados StatusInvest'!$A:$AY,column(AB9)-$A$5,0)</f>
        <v>0.09</v>
      </c>
      <c r="AC9" s="44">
        <f>VLOOKUP($A9,'Dados StatusInvest'!$A:$AY,column(AC9)-$A$5,0)</f>
        <v>6.04</v>
      </c>
      <c r="AD9" s="45">
        <f>VLOOKUP($A9,'Dados StatusInvest'!$A:$AY,column(AD9)-$A$5,0)</f>
        <v>1.55</v>
      </c>
      <c r="AE9" s="46">
        <f>VLOOKUP($A9,'Dados StatusInvest'!$A:$AY,column(AE9)-$A$5,0)</f>
        <v>1189784441</v>
      </c>
      <c r="AF9" s="49"/>
    </row>
    <row r="10">
      <c r="A10" s="10" t="s">
        <v>56</v>
      </c>
      <c r="B10" s="39" t="str">
        <f>VLOOKUP(lEFT($A10,4),Setor!$A:$E,3,0)</f>
        <v>Financeiro</v>
      </c>
      <c r="C10" s="39" t="str">
        <f>VLOOKUP(lEFT($A10,4),Setor!$A:$E,4,0)</f>
        <v>Intermediários Financeiros</v>
      </c>
      <c r="D10" s="39" t="str">
        <f>VLOOKUP(lEFT($A10,4),Setor!$A:$E,5,0)</f>
        <v>Bancos</v>
      </c>
      <c r="E10" s="17">
        <f>IFERROR(__xludf.DUMMYFUNCTION("GOOGLEFINANCE(A10)"),21.21)</f>
        <v>21.21</v>
      </c>
      <c r="F10" s="17">
        <f>IFERROR(__xludf.DUMMYFUNCTION("GOOGLEFINANCE($A10,""high52"")"),28.83)</f>
        <v>28.83</v>
      </c>
      <c r="G10" s="16">
        <f t="shared" si="1"/>
        <v>-0.2643080125</v>
      </c>
      <c r="H10" s="40">
        <f>VLOOKUP($A10,'Dados StatusInvest'!$A:$AY,column(H10)-$A$5,0)*VLOOKUP($A10,'Dados StatusInvest'!$A:$AY,2,0)/$E10/100</f>
        <v>0.05665855728</v>
      </c>
      <c r="I10" s="41">
        <f>VLOOKUP($A10,'Dados StatusInvest'!$A:$AY,column(I10)-$A$5,0)/VLOOKUP($A10,'Dados StatusInvest'!$A:$AY,2,0)*$E10</f>
        <v>9.480227273</v>
      </c>
      <c r="J10" s="41">
        <f>VLOOKUP($A10,'Dados StatusInvest'!$A:$AY,column(J10)-$A$5,0)/VLOOKUP($A10,'Dados StatusInvest'!$A:$AY,2,0)*$E10</f>
        <v>1.405965909</v>
      </c>
      <c r="K10" s="42">
        <f>VLOOKUP($A10,'Dados StatusInvest'!$A:$AY,column(K10)-$A$5,0)/VLOOKUP($A10,'Dados StatusInvest'!$A:$AY,2,0)*$E10</f>
        <v>0.1506392045</v>
      </c>
      <c r="L10" s="43">
        <f>VLOOKUP($A10,'Dados StatusInvest'!$A:$AY,column(L10)-$A$5,0)/100</f>
        <v>0.5665</v>
      </c>
      <c r="M10" s="44">
        <f>VLOOKUP($A10,'Dados StatusInvest'!$A:$AY,column(M10)-$A$5,0)</f>
        <v>31.41</v>
      </c>
      <c r="N10" s="44">
        <f>VLOOKUP($A10,'Dados StatusInvest'!$A:$AY,column(N10)-$A$5,0)</f>
        <v>24.55</v>
      </c>
      <c r="O10" s="41">
        <f>VLOOKUP($A10,'Dados StatusInvest'!$A:$AY,column(O10)-$A$5,0)/VLOOKUP($A10,'Dados StatusInvest'!$A:$AY,2,0)*$E10</f>
        <v>7.40140625</v>
      </c>
      <c r="P10" s="41">
        <f>VLOOKUP($A10,'Dados StatusInvest'!$A:$AY,column(P10)-$A$5,0)-VLOOKUP($A10,'Dados StatusInvest'!$A:$AY,column(P10)-$A$5-1,0)+O10</f>
        <v>6.87140625</v>
      </c>
      <c r="Q10" s="44">
        <f>VLOOKUP($A10,'Dados StatusInvest'!$A:$AY,column(Q10)-$A$5,0)</f>
        <v>0</v>
      </c>
      <c r="R10" s="44">
        <f>VLOOKUP($A10,'Dados StatusInvest'!$A:$AY,column(R10)-$A$5,0)</f>
        <v>0</v>
      </c>
      <c r="S10" s="41">
        <f>VLOOKUP($A10,'Dados StatusInvest'!$A:$AY,column(S10)-$A$5,0)/VLOOKUP($A10,'Dados StatusInvest'!$A:$AY,2,0)*$E10</f>
        <v>2.329886364</v>
      </c>
      <c r="T10" s="42">
        <f>VLOOKUP($A10,'Dados StatusInvest'!$A:$AY,column(T10)-$A$5,0)/VLOOKUP($A10,'Dados StatusInvest'!$A:$AY,2,0)*$E10</f>
        <v>2.570909091</v>
      </c>
      <c r="U10" s="44">
        <f>VLOOKUP($A10,'Dados StatusInvest'!$A:$AY,column(U10)-$A$5,0)</f>
        <v>-0.16</v>
      </c>
      <c r="V10" s="45">
        <f>VLOOKUP($A10,'Dados StatusInvest'!$A:$AY,column(V10)-$A$5,0)</f>
        <v>4.97</v>
      </c>
      <c r="W10" s="45">
        <f>VLOOKUP($A10,'Dados StatusInvest'!$A:$AY,column(W10)-$A$5,0)</f>
        <v>14.87</v>
      </c>
      <c r="X10" s="45">
        <f>VLOOKUP($A10,'Dados StatusInvest'!$A:$AY,column(X10)-$A$5,0)</f>
        <v>1.56</v>
      </c>
      <c r="Y10" s="45">
        <f>VLOOKUP($A10,'Dados StatusInvest'!$A:$AY,column(Y10)-$A$5,0)</f>
        <v>0</v>
      </c>
      <c r="Z10" s="44">
        <f>VLOOKUP($A10,'Dados StatusInvest'!$A:$AY,column(Z10)-$A$5,0)</f>
        <v>0.1</v>
      </c>
      <c r="AA10" s="44">
        <f>VLOOKUP($A10,'Dados StatusInvest'!$A:$AY,column(AA10)-$A$5,0)</f>
        <v>0.9</v>
      </c>
      <c r="AB10" s="44">
        <f>VLOOKUP($A10,'Dados StatusInvest'!$A:$AY,column(AB10)-$A$5,0)</f>
        <v>0.06</v>
      </c>
      <c r="AC10" s="44">
        <f>VLOOKUP($A10,'Dados StatusInvest'!$A:$AY,column(AC10)-$A$5,0)</f>
        <v>-3</v>
      </c>
      <c r="AD10" s="45">
        <f>VLOOKUP($A10,'Dados StatusInvest'!$A:$AY,column(AD10)-$A$5,0)</f>
        <v>3.74</v>
      </c>
      <c r="AE10" s="46">
        <f>VLOOKUP($A10,'Dados StatusInvest'!$A:$AY,column(AE10)-$A$5,0)</f>
        <v>1033416064</v>
      </c>
      <c r="AF10" s="50"/>
    </row>
    <row r="11">
      <c r="A11" s="10" t="s">
        <v>57</v>
      </c>
      <c r="B11" s="39" t="str">
        <f>VLOOKUP(lEFT($A11,4),Setor!$A:$E,3,0)</f>
        <v>Financeiro</v>
      </c>
      <c r="C11" s="39" t="str">
        <f>VLOOKUP(lEFT($A11,4),Setor!$A:$E,4,0)</f>
        <v>Serviços Financeiros Diversos</v>
      </c>
      <c r="D11" s="39" t="str">
        <f>VLOOKUP(lEFT($A11,4),Setor!$A:$E,5,0)</f>
        <v>Serviços Financeiros Diversos</v>
      </c>
      <c r="E11" s="17">
        <f>IFERROR(__xludf.DUMMYFUNCTION("GOOGLEFINANCE(A11)"),12.39)</f>
        <v>12.39</v>
      </c>
      <c r="F11" s="17">
        <f>IFERROR(__xludf.DUMMYFUNCTION("GOOGLEFINANCE($A11,""high52"")"),21.37)</f>
        <v>21.37</v>
      </c>
      <c r="G11" s="16">
        <f t="shared" si="1"/>
        <v>-0.420215255</v>
      </c>
      <c r="H11" s="40">
        <f>VLOOKUP($A11,'Dados StatusInvest'!$A:$AY,column(H11)-$A$5,0)*VLOOKUP($A11,'Dados StatusInvest'!$A:$AY,2,0)/$E11/100</f>
        <v>0.07747473769</v>
      </c>
      <c r="I11" s="41">
        <f>VLOOKUP($A11,'Dados StatusInvest'!$A:$AY,column(I11)-$A$5,0)/VLOOKUP($A11,'Dados StatusInvest'!$A:$AY,2,0)*$E11</f>
        <v>16.1961439</v>
      </c>
      <c r="J11" s="41">
        <f>VLOOKUP($A11,'Dados StatusInvest'!$A:$AY,column(J11)-$A$5,0)/VLOOKUP($A11,'Dados StatusInvest'!$A:$AY,2,0)*$E11</f>
        <v>3.345400162</v>
      </c>
      <c r="K11" s="42">
        <f>VLOOKUP($A11,'Dados StatusInvest'!$A:$AY,column(K11)-$A$5,0)/VLOOKUP($A11,'Dados StatusInvest'!$A:$AY,2,0)*$E11</f>
        <v>1.532473727</v>
      </c>
      <c r="L11" s="43">
        <f>VLOOKUP($A11,'Dados StatusInvest'!$A:$AY,column(L11)-$A$5,0)/100</f>
        <v>0.9085</v>
      </c>
      <c r="M11" s="44">
        <f>VLOOKUP($A11,'Dados StatusInvest'!$A:$AY,column(M11)-$A$5,0)</f>
        <v>63.19</v>
      </c>
      <c r="N11" s="44">
        <f>VLOOKUP($A11,'Dados StatusInvest'!$A:$AY,column(N11)-$A$5,0)</f>
        <v>45.35</v>
      </c>
      <c r="O11" s="41">
        <f>VLOOKUP($A11,'Dados StatusInvest'!$A:$AY,column(O11)-$A$5,0)/VLOOKUP($A11,'Dados StatusInvest'!$A:$AY,2,0)*$E11</f>
        <v>11.61875505</v>
      </c>
      <c r="P11" s="41">
        <f>VLOOKUP($A11,'Dados StatusInvest'!$A:$AY,column(P11)-$A$5,0)-VLOOKUP($A11,'Dados StatusInvest'!$A:$AY,column(P11)-$A$5-1,0)+O11</f>
        <v>10.39875505</v>
      </c>
      <c r="Q11" s="44">
        <f>VLOOKUP($A11,'Dados StatusInvest'!$A:$AY,column(Q11)-$A$5,0)</f>
        <v>-1.27</v>
      </c>
      <c r="R11" s="44">
        <f>VLOOKUP($A11,'Dados StatusInvest'!$A:$AY,column(R11)-$A$5,0)</f>
        <v>-0.36</v>
      </c>
      <c r="S11" s="41">
        <f>VLOOKUP($A11,'Dados StatusInvest'!$A:$AY,column(S11)-$A$5,0)/VLOOKUP($A11,'Dados StatusInvest'!$A:$AY,2,0)*$E11</f>
        <v>7.341851253</v>
      </c>
      <c r="T11" s="42">
        <f>VLOOKUP($A11,'Dados StatusInvest'!$A:$AY,column(T11)-$A$5,0)/VLOOKUP($A11,'Dados StatusInvest'!$A:$AY,2,0)*$E11</f>
        <v>10.29662086</v>
      </c>
      <c r="U11" s="44">
        <f>VLOOKUP($A11,'Dados StatusInvest'!$A:$AY,column(U11)-$A$5,0)</f>
        <v>-2.55</v>
      </c>
      <c r="V11" s="45">
        <f>VLOOKUP($A11,'Dados StatusInvest'!$A:$AY,column(V11)-$A$5,0)</f>
        <v>1.59</v>
      </c>
      <c r="W11" s="45">
        <f>VLOOKUP($A11,'Dados StatusInvest'!$A:$AY,column(W11)-$A$5,0)</f>
        <v>20.64</v>
      </c>
      <c r="X11" s="45">
        <f>VLOOKUP($A11,'Dados StatusInvest'!$A:$AY,column(X11)-$A$5,0)</f>
        <v>9.46</v>
      </c>
      <c r="Y11" s="45">
        <f>VLOOKUP($A11,'Dados StatusInvest'!$A:$AY,column(Y11)-$A$5,0)</f>
        <v>13.91</v>
      </c>
      <c r="Z11" s="44">
        <f>VLOOKUP($A11,'Dados StatusInvest'!$A:$AY,column(Z11)-$A$5,0)</f>
        <v>0.46</v>
      </c>
      <c r="AA11" s="44">
        <f>VLOOKUP($A11,'Dados StatusInvest'!$A:$AY,column(AA11)-$A$5,0)</f>
        <v>0.54</v>
      </c>
      <c r="AB11" s="44">
        <f>VLOOKUP($A11,'Dados StatusInvest'!$A:$AY,column(AB11)-$A$5,0)</f>
        <v>0.21</v>
      </c>
      <c r="AC11" s="44">
        <f>VLOOKUP($A11,'Dados StatusInvest'!$A:$AY,column(AC11)-$A$5,0)</f>
        <v>33.29</v>
      </c>
      <c r="AD11" s="45">
        <f>VLOOKUP($A11,'Dados StatusInvest'!$A:$AY,column(AD11)-$A$5,0)</f>
        <v>16.29</v>
      </c>
      <c r="AE11" s="46">
        <f>VLOOKUP($A11,'Dados StatusInvest'!$A:$AY,column(AE11)-$A$5,0)</f>
        <v>676684293.5</v>
      </c>
      <c r="AF11" s="51"/>
    </row>
    <row r="12">
      <c r="A12" s="10" t="s">
        <v>58</v>
      </c>
      <c r="B12" s="52" t="str">
        <f>VLOOKUP(LEFT($A12,4),Setor!$A:$E,3,0)</f>
        <v>Consumo Cíclico</v>
      </c>
      <c r="C12" s="52" t="str">
        <f>VLOOKUP(LEFT($A12,4),Setor!$A:$E,4,0)</f>
        <v>Comércio</v>
      </c>
      <c r="D12" s="52" t="str">
        <f>VLOOKUP(LEFT($A12,4),Setor!$A:$E,5,0)</f>
        <v>Eletrodomésticos</v>
      </c>
      <c r="E12" s="53">
        <f>IFERROR(__xludf.DUMMYFUNCTION("GOOGLEFINANCE(A12)"),14.91)</f>
        <v>14.91</v>
      </c>
      <c r="F12" s="53">
        <f>IFERROR(__xludf.DUMMYFUNCTION("GOOGLEFINANCE($A12,""high52"")"),28.31)</f>
        <v>28.31</v>
      </c>
      <c r="G12" s="54">
        <f t="shared" si="1"/>
        <v>-0.4733309785</v>
      </c>
      <c r="H12" s="55">
        <f>VLOOKUP($A12,'Dados StatusInvest'!$A:$AY,COLUMN(H12)-$A$5,0)*VLOOKUP($A12,'Dados StatusInvest'!$A:$AY,2,0)/$E12/100</f>
        <v>0.002800804829</v>
      </c>
      <c r="I12" s="56">
        <f>VLOOKUP($A12,'Dados StatusInvest'!$A:$AY,COLUMN(I12)-$A$5,0)/VLOOKUP($A12,'Dados StatusInvest'!$A:$AY,2,0)*$E12</f>
        <v>127.6347414</v>
      </c>
      <c r="J12" s="56">
        <f>VLOOKUP($A12,'Dados StatusInvest'!$A:$AY,COLUMN(J12)-$A$5,0)/VLOOKUP($A12,'Dados StatusInvest'!$A:$AY,2,0)*$E12</f>
        <v>13.69963362</v>
      </c>
      <c r="K12" s="57">
        <f>VLOOKUP($A12,'Dados StatusInvest'!$A:$AY,COLUMN(K12)-$A$5,0)/VLOOKUP($A12,'Dados StatusInvest'!$A:$AY,2,0)*$E12</f>
        <v>3.973857759</v>
      </c>
      <c r="L12" s="58">
        <f>VLOOKUP($A12,'Dados StatusInvest'!$A:$AY,COLUMN(L12)-$A$5,0)/100</f>
        <v>0.2537</v>
      </c>
      <c r="M12" s="59">
        <f>VLOOKUP($A12,'Dados StatusInvest'!$A:$AY,COLUMN(M12)-$A$5,0)</f>
        <v>4.13</v>
      </c>
      <c r="N12" s="59">
        <f>VLOOKUP($A12,'Dados StatusInvest'!$A:$AY,COLUMN(N12)-$A$5,0)</f>
        <v>2.19</v>
      </c>
      <c r="O12" s="56">
        <f>VLOOKUP($A12,'Dados StatusInvest'!$A:$AY,COLUMN(O12)-$A$5,0)/VLOOKUP($A12,'Dados StatusInvest'!$A:$AY,2,0)*$E12</f>
        <v>67.5555819</v>
      </c>
      <c r="P12" s="56">
        <f>VLOOKUP($A12,'Dados StatusInvest'!$A:$AY,COLUMN(P12)-$A$5,0)-VLOOKUP($A12,'Dados StatusInvest'!$A:$AY,COLUMN(P12)-$A$5-1,0)+O12</f>
        <v>68.6255819</v>
      </c>
      <c r="Q12" s="59">
        <f>VLOOKUP($A12,'Dados StatusInvest'!$A:$AY,COLUMN(Q12)-$A$5,0)</f>
        <v>0.39</v>
      </c>
      <c r="R12" s="59">
        <f>VLOOKUP($A12,'Dados StatusInvest'!$A:$AY,COLUMN(R12)-$A$5,0)</f>
        <v>0.08</v>
      </c>
      <c r="S12" s="56">
        <f>VLOOKUP($A12,'Dados StatusInvest'!$A:$AY,COLUMN(S12)-$A$5,0)/VLOOKUP($A12,'Dados StatusInvest'!$A:$AY,2,0)*$E12</f>
        <v>2.795625</v>
      </c>
      <c r="T12" s="57">
        <f>VLOOKUP($A12,'Dados StatusInvest'!$A:$AY,COLUMN(T12)-$A$5,0)/VLOOKUP($A12,'Dados StatusInvest'!$A:$AY,2,0)*$E12</f>
        <v>21.72232759</v>
      </c>
      <c r="U12" s="59">
        <f>VLOOKUP($A12,'Dados StatusInvest'!$A:$AY,COLUMN(U12)-$A$5,0)</f>
        <v>-10.24</v>
      </c>
      <c r="V12" s="60">
        <f>VLOOKUP($A12,'Dados StatusInvest'!$A:$AY,COLUMN(V12)-$A$5,0)</f>
        <v>1.4</v>
      </c>
      <c r="W12" s="61">
        <f>VLOOKUP($A12,'Dados StatusInvest'!$A:$AY,COLUMN(W12)-$A$5,0)</f>
        <v>10.73</v>
      </c>
      <c r="X12" s="60">
        <f>VLOOKUP($A12,'Dados StatusInvest'!$A:$AY,COLUMN(X12)-$A$5,0)</f>
        <v>3.11</v>
      </c>
      <c r="Y12" s="60">
        <f>VLOOKUP($A12,'Dados StatusInvest'!$A:$AY,COLUMN(Y12)-$A$5,0)</f>
        <v>14.6</v>
      </c>
      <c r="Z12" s="59">
        <f>VLOOKUP($A12,'Dados StatusInvest'!$A:$AY,COLUMN(Z12)-$A$5,0)</f>
        <v>0.29</v>
      </c>
      <c r="AA12" s="59">
        <f>VLOOKUP($A12,'Dados StatusInvest'!$A:$AY,COLUMN(AA12)-$A$5,0)</f>
        <v>0.71</v>
      </c>
      <c r="AB12" s="59">
        <f>VLOOKUP($A12,'Dados StatusInvest'!$A:$AY,COLUMN(AB12)-$A$5,0)</f>
        <v>1.42</v>
      </c>
      <c r="AC12" s="59">
        <f>VLOOKUP($A12,'Dados StatusInvest'!$A:$AY,COLUMN(AC12)-$A$5,0)</f>
        <v>26.58</v>
      </c>
      <c r="AD12" s="60">
        <f>VLOOKUP($A12,'Dados StatusInvest'!$A:$AY,COLUMN(AD12)-$A$5,0)</f>
        <v>0</v>
      </c>
      <c r="AE12" s="62">
        <f>VLOOKUP($A12,'Dados StatusInvest'!$A:$AY,COLUMN(AE12)-$A$5,0)</f>
        <v>598729703.8</v>
      </c>
      <c r="AF12" s="18"/>
    </row>
    <row r="13">
      <c r="A13" s="10" t="s">
        <v>59</v>
      </c>
      <c r="B13" s="39" t="str">
        <f>VLOOKUP(lEFT($A13,4),Setor!$A:$E,3,0)</f>
        <v>Petróleo, Gás e Biocombustíveis</v>
      </c>
      <c r="C13" s="39" t="str">
        <f>VLOOKUP(lEFT($A13,4),Setor!$A:$E,4,0)</f>
        <v>Petróleo, Gás e Biocombustíveis</v>
      </c>
      <c r="D13" s="39" t="str">
        <f>VLOOKUP(lEFT($A13,4),Setor!$A:$E,5,0)</f>
        <v>Exploração, Refino e Distribuição</v>
      </c>
      <c r="E13" s="17">
        <f>IFERROR(__xludf.DUMMYFUNCTION("GOOGLEFINANCE(A13)"),29.91)</f>
        <v>29.91</v>
      </c>
      <c r="F13" s="17">
        <f>IFERROR(__xludf.DUMMYFUNCTION("GOOGLEFINANCE($A13,""high52"")"),32.34)</f>
        <v>32.34</v>
      </c>
      <c r="G13" s="16">
        <f t="shared" si="1"/>
        <v>-0.07513914657</v>
      </c>
      <c r="H13" s="40">
        <f>VLOOKUP($A13,'Dados StatusInvest'!$A:$AY,column(H13)-$A$5,0)*VLOOKUP($A13,'Dados StatusInvest'!$A:$AY,2,0)/$E13/100</f>
        <v>0.08033406887</v>
      </c>
      <c r="I13" s="41">
        <f>VLOOKUP($A13,'Dados StatusInvest'!$A:$AY,column(I13)-$A$5,0)/VLOOKUP($A13,'Dados StatusInvest'!$A:$AY,2,0)*$E13</f>
        <v>3.813624833</v>
      </c>
      <c r="J13" s="41">
        <f>VLOOKUP($A13,'Dados StatusInvest'!$A:$AY,column(J13)-$A$5,0)/VLOOKUP($A13,'Dados StatusInvest'!$A:$AY,2,0)*$E13</f>
        <v>1.098164219</v>
      </c>
      <c r="K13" s="42">
        <f>VLOOKUP($A13,'Dados StatusInvest'!$A:$AY,column(K13)-$A$5,0)/VLOOKUP($A13,'Dados StatusInvest'!$A:$AY,2,0)*$E13</f>
        <v>0.4192990654</v>
      </c>
      <c r="L13" s="43">
        <f>VLOOKUP($A13,'Dados StatusInvest'!$A:$AY,column(L13)-$A$5,0)/100</f>
        <v>0.5113</v>
      </c>
      <c r="M13" s="47">
        <f>VLOOKUP($A13,'Dados StatusInvest'!$A:$AY,column(M13)-$A$5,0)</f>
        <v>50.24</v>
      </c>
      <c r="N13" s="47">
        <f>VLOOKUP($A13,'Dados StatusInvest'!$A:$AY,column(N13)-$A$5,0)</f>
        <v>29.88</v>
      </c>
      <c r="O13" s="41">
        <f>VLOOKUP($A13,'Dados StatusInvest'!$A:$AY,column(O13)-$A$5,0)/VLOOKUP($A13,'Dados StatusInvest'!$A:$AY,2,0)*$E13</f>
        <v>2.266211615</v>
      </c>
      <c r="P13" s="41">
        <f>VLOOKUP($A13,'Dados StatusInvest'!$A:$AY,column(P13)-$A$5,0)-VLOOKUP($A13,'Dados StatusInvest'!$A:$AY,column(P13)-$A$5-1,0)+O13</f>
        <v>3.786211615</v>
      </c>
      <c r="Q13" s="44">
        <f>VLOOKUP($A13,'Dados StatusInvest'!$A:$AY,column(Q13)-$A$5,0)</f>
        <v>1.55</v>
      </c>
      <c r="R13" s="44">
        <f>VLOOKUP($A13,'Dados StatusInvest'!$A:$AY,column(R13)-$A$5,0)</f>
        <v>0.75</v>
      </c>
      <c r="S13" s="41">
        <f>VLOOKUP($A13,'Dados StatusInvest'!$A:$AY,column(S13)-$A$5,0)/VLOOKUP($A13,'Dados StatusInvest'!$A:$AY,2,0)*$E13</f>
        <v>1.138097463</v>
      </c>
      <c r="T13" s="42">
        <f>VLOOKUP($A13,'Dados StatusInvest'!$A:$AY,column(T13)-$A$5,0)/VLOOKUP($A13,'Dados StatusInvest'!$A:$AY,2,0)*$E13</f>
        <v>10.95169226</v>
      </c>
      <c r="U13" s="47">
        <f>VLOOKUP($A13,'Dados StatusInvest'!$A:$AY,column(U13)-$A$5,0)</f>
        <v>-0.49</v>
      </c>
      <c r="V13" s="45">
        <f>VLOOKUP($A13,'Dados StatusInvest'!$A:$AY,column(V13)-$A$5,0)</f>
        <v>1.31</v>
      </c>
      <c r="W13" s="48">
        <f>VLOOKUP($A13,'Dados StatusInvest'!$A:$AY,column(W13)-$A$5,0)</f>
        <v>28.75</v>
      </c>
      <c r="X13" s="45">
        <f>VLOOKUP($A13,'Dados StatusInvest'!$A:$AY,column(X13)-$A$5,0)</f>
        <v>10.87</v>
      </c>
      <c r="Y13" s="45">
        <f>VLOOKUP($A13,'Dados StatusInvest'!$A:$AY,column(Y13)-$A$5,0)</f>
        <v>20.44</v>
      </c>
      <c r="Z13" s="44">
        <f>VLOOKUP($A13,'Dados StatusInvest'!$A:$AY,column(Z13)-$A$5,0)</f>
        <v>0.38</v>
      </c>
      <c r="AA13" s="44">
        <f>VLOOKUP($A13,'Dados StatusInvest'!$A:$AY,column(AA13)-$A$5,0)</f>
        <v>0.62</v>
      </c>
      <c r="AB13" s="44">
        <f>VLOOKUP($A13,'Dados StatusInvest'!$A:$AY,column(AB13)-$A$5,0)</f>
        <v>0.36</v>
      </c>
      <c r="AC13" s="44">
        <f>VLOOKUP($A13,'Dados StatusInvest'!$A:$AY,column(AC13)-$A$5,0)</f>
        <v>-3.29</v>
      </c>
      <c r="AD13" s="45">
        <f>VLOOKUP($A13,'Dados StatusInvest'!$A:$AY,column(AD13)-$A$5,0)</f>
        <v>0</v>
      </c>
      <c r="AE13" s="46">
        <f>VLOOKUP($A13,'Dados StatusInvest'!$A:$AY,column(AE13)-$A$5,0)</f>
        <v>482490808.3</v>
      </c>
      <c r="AF13" s="49"/>
    </row>
    <row r="14">
      <c r="A14" s="10" t="s">
        <v>60</v>
      </c>
      <c r="B14" s="39" t="str">
        <f>VLOOKUP(lEFT($A14,4),Setor!$A:$E,3,0)</f>
        <v>Materiais Básicos</v>
      </c>
      <c r="C14" s="39" t="str">
        <f>VLOOKUP(lEFT($A14,4),Setor!$A:$E,4,0)</f>
        <v>Madeira e Papel</v>
      </c>
      <c r="D14" s="39" t="str">
        <f>VLOOKUP(lEFT($A14,4),Setor!$A:$E,5,0)</f>
        <v>Papel e Celulose</v>
      </c>
      <c r="E14" s="17">
        <f>IFERROR(__xludf.DUMMYFUNCTION("GOOGLEFINANCE(A14)"),49.4)</f>
        <v>49.4</v>
      </c>
      <c r="F14" s="17">
        <f>IFERROR(__xludf.DUMMYFUNCTION("GOOGLEFINANCE($A14,""high52"")"),79.81)</f>
        <v>79.81</v>
      </c>
      <c r="G14" s="16">
        <f t="shared" si="1"/>
        <v>-0.3810299461</v>
      </c>
      <c r="H14" s="40">
        <f>VLOOKUP($A14,'Dados StatusInvest'!$A:$AY,column(H14)-$A$5,0)*VLOOKUP($A14,'Dados StatusInvest'!$A:$AY,2,0)/$E14/100</f>
        <v>0</v>
      </c>
      <c r="I14" s="41">
        <f>VLOOKUP($A14,'Dados StatusInvest'!$A:$AY,column(I14)-$A$5,0)/VLOOKUP($A14,'Dados StatusInvest'!$A:$AY,2,0)*$E14</f>
        <v>5.585796469</v>
      </c>
      <c r="J14" s="41">
        <f>VLOOKUP($A14,'Dados StatusInvest'!$A:$AY,column(J14)-$A$5,0)/VLOOKUP($A14,'Dados StatusInvest'!$A:$AY,2,0)*$E14</f>
        <v>4.645030748</v>
      </c>
      <c r="K14" s="42">
        <f>VLOOKUP($A14,'Dados StatusInvest'!$A:$AY,column(K14)-$A$5,0)/VLOOKUP($A14,'Dados StatusInvest'!$A:$AY,2,0)*$E14</f>
        <v>0.6467764332</v>
      </c>
      <c r="L14" s="43">
        <f>VLOOKUP($A14,'Dados StatusInvest'!$A:$AY,column(L14)-$A$5,0)/100</f>
        <v>0.4453</v>
      </c>
      <c r="M14" s="44">
        <f>VLOOKUP($A14,'Dados StatusInvest'!$A:$AY,column(M14)-$A$5,0)</f>
        <v>39.14</v>
      </c>
      <c r="N14" s="44">
        <f>VLOOKUP($A14,'Dados StatusInvest'!$A:$AY,column(N14)-$A$5,0)</f>
        <v>35.17</v>
      </c>
      <c r="O14" s="41">
        <f>VLOOKUP($A14,'Dados StatusInvest'!$A:$AY,column(O14)-$A$5,0)/VLOOKUP($A14,'Dados StatusInvest'!$A:$AY,2,0)*$E14</f>
        <v>5.017417179</v>
      </c>
      <c r="P14" s="41">
        <f>VLOOKUP($A14,'Dados StatusInvest'!$A:$AY,column(P14)-$A$5,0)-VLOOKUP($A14,'Dados StatusInvest'!$A:$AY,column(P14)-$A$5-1,0)+O14</f>
        <v>9.307417179</v>
      </c>
      <c r="Q14" s="44">
        <f>VLOOKUP($A14,'Dados StatusInvest'!$A:$AY,column(Q14)-$A$5,0)</f>
        <v>4.29</v>
      </c>
      <c r="R14" s="44">
        <f>VLOOKUP($A14,'Dados StatusInvest'!$A:$AY,column(R14)-$A$5,0)</f>
        <v>3.96</v>
      </c>
      <c r="S14" s="41">
        <f>VLOOKUP($A14,'Dados StatusInvest'!$A:$AY,column(S14)-$A$5,0)/VLOOKUP($A14,'Dados StatusInvest'!$A:$AY,2,0)*$E14</f>
        <v>1.969728229</v>
      </c>
      <c r="T14" s="42">
        <f>VLOOKUP($A14,'Dados StatusInvest'!$A:$AY,column(T14)-$A$5,0)/VLOOKUP($A14,'Dados StatusInvest'!$A:$AY,2,0)*$E14</f>
        <v>4.664630034</v>
      </c>
      <c r="U14" s="44">
        <f>VLOOKUP($A14,'Dados StatusInvest'!$A:$AY,column(U14)-$A$5,0)</f>
        <v>-0.84</v>
      </c>
      <c r="V14" s="45">
        <f>VLOOKUP($A14,'Dados StatusInvest'!$A:$AY,column(V14)-$A$5,0)</f>
        <v>2.95</v>
      </c>
      <c r="W14" s="45">
        <f>VLOOKUP($A14,'Dados StatusInvest'!$A:$AY,column(W14)-$A$5,0)</f>
        <v>83.05</v>
      </c>
      <c r="X14" s="45">
        <f>VLOOKUP($A14,'Dados StatusInvest'!$A:$AY,column(X14)-$A$5,0)</f>
        <v>11.65</v>
      </c>
      <c r="Y14" s="45">
        <f>VLOOKUP($A14,'Dados StatusInvest'!$A:$AY,column(Y14)-$A$5,0)</f>
        <v>10.77</v>
      </c>
      <c r="Z14" s="44">
        <f>VLOOKUP($A14,'Dados StatusInvest'!$A:$AY,column(Z14)-$A$5,0)</f>
        <v>0.14</v>
      </c>
      <c r="AA14" s="44">
        <f>VLOOKUP($A14,'Dados StatusInvest'!$A:$AY,column(AA14)-$A$5,0)</f>
        <v>0.86</v>
      </c>
      <c r="AB14" s="44">
        <f>VLOOKUP($A14,'Dados StatusInvest'!$A:$AY,column(AB14)-$A$5,0)</f>
        <v>0.33</v>
      </c>
      <c r="AC14" s="44">
        <f>VLOOKUP($A14,'Dados StatusInvest'!$A:$AY,column(AC14)-$A$5,0)</f>
        <v>24.4</v>
      </c>
      <c r="AD14" s="45">
        <f>VLOOKUP($A14,'Dados StatusInvest'!$A:$AY,column(AD14)-$A$5,0)</f>
        <v>0</v>
      </c>
      <c r="AE14" s="46">
        <f>VLOOKUP($A14,'Dados StatusInvest'!$A:$AY,column(AE14)-$A$5,0)</f>
        <v>472551404.8</v>
      </c>
      <c r="AF14" s="18"/>
    </row>
    <row r="15">
      <c r="A15" s="10" t="s">
        <v>61</v>
      </c>
      <c r="B15" s="52" t="str">
        <f>VLOOKUP(LEFT($A15,4),Setor!$A:$E,3,0)</f>
        <v>Materiais Básicos</v>
      </c>
      <c r="C15" s="52" t="str">
        <f>VLOOKUP(LEFT($A15,4),Setor!$A:$E,4,0)</f>
        <v>Siderurgia e Metalurgia</v>
      </c>
      <c r="D15" s="52" t="str">
        <f>VLOOKUP(LEFT($A15,4),Setor!$A:$E,5,0)</f>
        <v>Siderurgia</v>
      </c>
      <c r="E15" s="53">
        <f>IFERROR(__xludf.DUMMYFUNCTION("GOOGLEFINANCE(A15)"),28.98)</f>
        <v>28.98</v>
      </c>
      <c r="F15" s="53">
        <f>IFERROR(__xludf.DUMMYFUNCTION("GOOGLEFINANCE($A15,""high52"")"),53.9)</f>
        <v>53.9</v>
      </c>
      <c r="G15" s="54">
        <f t="shared" si="1"/>
        <v>-0.4623376623</v>
      </c>
      <c r="H15" s="55">
        <f>VLOOKUP($A15,'Dados StatusInvest'!$A:$AY,COLUMN(H15)-$A$5,0)*VLOOKUP($A15,'Dados StatusInvest'!$A:$AY,2,0)/$E15/100</f>
        <v>0.06625652174</v>
      </c>
      <c r="I15" s="56">
        <f>VLOOKUP($A15,'Dados StatusInvest'!$A:$AY,COLUMN(I15)-$A$5,0)/VLOOKUP($A15,'Dados StatusInvest'!$A:$AY,2,0)*$E15</f>
        <v>2.681607717</v>
      </c>
      <c r="J15" s="56">
        <f>VLOOKUP($A15,'Dados StatusInvest'!$A:$AY,COLUMN(J15)-$A$5,0)/VLOOKUP($A15,'Dados StatusInvest'!$A:$AY,2,0)*$E15</f>
        <v>1.853311897</v>
      </c>
      <c r="K15" s="57">
        <f>VLOOKUP($A15,'Dados StatusInvest'!$A:$AY,COLUMN(K15)-$A$5,0)/VLOOKUP($A15,'Dados StatusInvest'!$A:$AY,2,0)*$E15</f>
        <v>0.5073311897</v>
      </c>
      <c r="L15" s="58">
        <f>VLOOKUP($A15,'Dados StatusInvest'!$A:$AY,COLUMN(L15)-$A$5,0)/100</f>
        <v>0.4757</v>
      </c>
      <c r="M15" s="59">
        <f>VLOOKUP($A15,'Dados StatusInvest'!$A:$AY,COLUMN(M15)-$A$5,0)</f>
        <v>42.24</v>
      </c>
      <c r="N15" s="59">
        <f>VLOOKUP($A15,'Dados StatusInvest'!$A:$AY,COLUMN(N15)-$A$5,0)</f>
        <v>32.78</v>
      </c>
      <c r="O15" s="56">
        <f>VLOOKUP($A15,'Dados StatusInvest'!$A:$AY,COLUMN(O15)-$A$5,0)/VLOOKUP($A15,'Dados StatusInvest'!$A:$AY,2,0)*$E15</f>
        <v>2.081093248</v>
      </c>
      <c r="P15" s="56">
        <f>VLOOKUP($A15,'Dados StatusInvest'!$A:$AY,COLUMN(P15)-$A$5,0)-VLOOKUP($A15,'Dados StatusInvest'!$A:$AY,COLUMN(P15)-$A$5-1,0)+O15</f>
        <v>2.561093248</v>
      </c>
      <c r="Q15" s="59">
        <f>VLOOKUP($A15,'Dados StatusInvest'!$A:$AY,COLUMN(Q15)-$A$5,0)</f>
        <v>0.48</v>
      </c>
      <c r="R15" s="59">
        <f>VLOOKUP($A15,'Dados StatusInvest'!$A:$AY,COLUMN(R15)-$A$5,0)</f>
        <v>0.43</v>
      </c>
      <c r="S15" s="56">
        <f>VLOOKUP($A15,'Dados StatusInvest'!$A:$AY,COLUMN(S15)-$A$5,0)/VLOOKUP($A15,'Dados StatusInvest'!$A:$AY,2,0)*$E15</f>
        <v>0.8800643087</v>
      </c>
      <c r="T15" s="57">
        <f>VLOOKUP($A15,'Dados StatusInvest'!$A:$AY,COLUMN(T15)-$A$5,0)/VLOOKUP($A15,'Dados StatusInvest'!$A:$AY,2,0)*$E15</f>
        <v>2.029324759</v>
      </c>
      <c r="U15" s="63">
        <f>VLOOKUP($A15,'Dados StatusInvest'!$A:$AY,COLUMN(U15)-$A$5,0)</f>
        <v>-0.96</v>
      </c>
      <c r="V15" s="60">
        <f>VLOOKUP($A15,'Dados StatusInvest'!$A:$AY,COLUMN(V15)-$A$5,0)</f>
        <v>2.05</v>
      </c>
      <c r="W15" s="61">
        <f>VLOOKUP($A15,'Dados StatusInvest'!$A:$AY,COLUMN(W15)-$A$5,0)</f>
        <v>69.14</v>
      </c>
      <c r="X15" s="61">
        <f>VLOOKUP($A15,'Dados StatusInvest'!$A:$AY,COLUMN(X15)-$A$5,0)</f>
        <v>18.9</v>
      </c>
      <c r="Y15" s="61">
        <f>VLOOKUP($A15,'Dados StatusInvest'!$A:$AY,COLUMN(Y15)-$A$5,0)</f>
        <v>28.12</v>
      </c>
      <c r="Z15" s="59">
        <f>VLOOKUP($A15,'Dados StatusInvest'!$A:$AY,COLUMN(Z15)-$A$5,0)</f>
        <v>0.27</v>
      </c>
      <c r="AA15" s="59">
        <f>VLOOKUP($A15,'Dados StatusInvest'!$A:$AY,COLUMN(AA15)-$A$5,0)</f>
        <v>0.68</v>
      </c>
      <c r="AB15" s="59">
        <f>VLOOKUP($A15,'Dados StatusInvest'!$A:$AY,COLUMN(AB15)-$A$5,0)</f>
        <v>0.58</v>
      </c>
      <c r="AC15" s="59">
        <f>VLOOKUP($A15,'Dados StatusInvest'!$A:$AY,COLUMN(AC15)-$A$5,0)</f>
        <v>14.52</v>
      </c>
      <c r="AD15" s="60">
        <f>VLOOKUP($A15,'Dados StatusInvest'!$A:$AY,COLUMN(AD15)-$A$5,0)</f>
        <v>0</v>
      </c>
      <c r="AE15" s="62">
        <f>VLOOKUP($A15,'Dados StatusInvest'!$A:$AY,COLUMN(AE15)-$A$5,0)</f>
        <v>407425386.5</v>
      </c>
      <c r="AF15" s="18"/>
    </row>
    <row r="16">
      <c r="A16" s="10" t="s">
        <v>62</v>
      </c>
      <c r="B16" s="52" t="str">
        <f>VLOOKUP(LEFT($A16,4),Setor!$A:$E,3,0)</f>
        <v>Consumo não Cíclico</v>
      </c>
      <c r="C16" s="52" t="str">
        <f>VLOOKUP(LEFT($A16,4),Setor!$A:$E,4,0)</f>
        <v>Alimentos Processados</v>
      </c>
      <c r="D16" s="52" t="str">
        <f>VLOOKUP(LEFT($A16,4),Setor!$A:$E,5,0)</f>
        <v>Carnes e Derivados</v>
      </c>
      <c r="E16" s="53">
        <f>IFERROR(__xludf.DUMMYFUNCTION("GOOGLEFINANCE(A16)"),36.99)</f>
        <v>36.99</v>
      </c>
      <c r="F16" s="53">
        <f>IFERROR(__xludf.DUMMYFUNCTION("GOOGLEFINANCE($A16,""high52"")"),38.95)</f>
        <v>38.95</v>
      </c>
      <c r="G16" s="54">
        <f t="shared" si="1"/>
        <v>-0.05032092426</v>
      </c>
      <c r="H16" s="55">
        <f>VLOOKUP($A16,'Dados StatusInvest'!$A:$AY,COLUMN(H16)-$A$5,0)*VLOOKUP($A16,'Dados StatusInvest'!$A:$AY,2,0)/$E16/100</f>
        <v>0.05458242768</v>
      </c>
      <c r="I16" s="56">
        <f>VLOOKUP($A16,'Dados StatusInvest'!$A:$AY,COLUMN(I16)-$A$5,0)/VLOOKUP($A16,'Dados StatusInvest'!$A:$AY,2,0)*$E16</f>
        <v>6.835533263</v>
      </c>
      <c r="J16" s="56">
        <f>VLOOKUP($A16,'Dados StatusInvest'!$A:$AY,COLUMN(J16)-$A$5,0)/VLOOKUP($A16,'Dados StatusInvest'!$A:$AY,2,0)*$E16</f>
        <v>2.216665787</v>
      </c>
      <c r="K16" s="57">
        <f>VLOOKUP($A16,'Dados StatusInvest'!$A:$AY,COLUMN(K16)-$A$5,0)/VLOOKUP($A16,'Dados StatusInvest'!$A:$AY,2,0)*$E16</f>
        <v>0.5370776135</v>
      </c>
      <c r="L16" s="58">
        <f>VLOOKUP($A16,'Dados StatusInvest'!$A:$AY,COLUMN(L16)-$A$5,0)/100</f>
        <v>0.1661</v>
      </c>
      <c r="M16" s="63">
        <f>VLOOKUP($A16,'Dados StatusInvest'!$A:$AY,COLUMN(M16)-$A$5,0)</f>
        <v>7.1</v>
      </c>
      <c r="N16" s="63">
        <f>VLOOKUP($A16,'Dados StatusInvest'!$A:$AY,COLUMN(N16)-$A$5,0)</f>
        <v>4.42</v>
      </c>
      <c r="O16" s="56">
        <f>VLOOKUP($A16,'Dados StatusInvest'!$A:$AY,COLUMN(O16)-$A$5,0)/VLOOKUP($A16,'Dados StatusInvest'!$A:$AY,2,0)*$E16</f>
        <v>4.257560718</v>
      </c>
      <c r="P16" s="56">
        <f>VLOOKUP($A16,'Dados StatusInvest'!$A:$AY,COLUMN(P16)-$A$5,0)-VLOOKUP($A16,'Dados StatusInvest'!$A:$AY,COLUMN(P16)-$A$5-1,0)+O16</f>
        <v>6.697560718</v>
      </c>
      <c r="Q16" s="59">
        <f>VLOOKUP($A16,'Dados StatusInvest'!$A:$AY,COLUMN(Q16)-$A$5,0)</f>
        <v>2.43</v>
      </c>
      <c r="R16" s="59">
        <f>VLOOKUP($A16,'Dados StatusInvest'!$A:$AY,COLUMN(R16)-$A$5,0)</f>
        <v>1.26</v>
      </c>
      <c r="S16" s="56">
        <f>VLOOKUP($A16,'Dados StatusInvest'!$A:$AY,COLUMN(S16)-$A$5,0)/VLOOKUP($A16,'Dados StatusInvest'!$A:$AY,2,0)*$E16</f>
        <v>0.3027164731</v>
      </c>
      <c r="T16" s="57">
        <f>VLOOKUP($A16,'Dados StatusInvest'!$A:$AY,COLUMN(T16)-$A$5,0)/VLOOKUP($A16,'Dados StatusInvest'!$A:$AY,2,0)*$E16</f>
        <v>4.189205385</v>
      </c>
      <c r="U16" s="63">
        <f>VLOOKUP($A16,'Dados StatusInvest'!$A:$AY,COLUMN(U16)-$A$5,0)</f>
        <v>-0.91</v>
      </c>
      <c r="V16" s="60">
        <f>VLOOKUP($A16,'Dados StatusInvest'!$A:$AY,COLUMN(V16)-$A$5,0)</f>
        <v>1.48</v>
      </c>
      <c r="W16" s="61">
        <f>VLOOKUP($A16,'Dados StatusInvest'!$A:$AY,COLUMN(W16)-$A$5,0)</f>
        <v>32.41</v>
      </c>
      <c r="X16" s="61">
        <f>VLOOKUP($A16,'Dados StatusInvest'!$A:$AY,COLUMN(X16)-$A$5,0)</f>
        <v>7.88</v>
      </c>
      <c r="Y16" s="61">
        <f>VLOOKUP($A16,'Dados StatusInvest'!$A:$AY,COLUMN(Y16)-$A$5,0)</f>
        <v>13.59</v>
      </c>
      <c r="Z16" s="59">
        <f>VLOOKUP($A16,'Dados StatusInvest'!$A:$AY,COLUMN(Z16)-$A$5,0)</f>
        <v>0.24</v>
      </c>
      <c r="AA16" s="59">
        <f>VLOOKUP($A16,'Dados StatusInvest'!$A:$AY,COLUMN(AA16)-$A$5,0)</f>
        <v>0.74</v>
      </c>
      <c r="AB16" s="59">
        <f>VLOOKUP($A16,'Dados StatusInvest'!$A:$AY,COLUMN(AB16)-$A$5,0)</f>
        <v>1.78</v>
      </c>
      <c r="AC16" s="59">
        <f>VLOOKUP($A16,'Dados StatusInvest'!$A:$AY,COLUMN(AC16)-$A$5,0)</f>
        <v>10.65</v>
      </c>
      <c r="AD16" s="60">
        <f>VLOOKUP($A16,'Dados StatusInvest'!$A:$AY,COLUMN(AD16)-$A$5,0)</f>
        <v>23.96</v>
      </c>
      <c r="AE16" s="62">
        <f>VLOOKUP($A16,'Dados StatusInvest'!$A:$AY,COLUMN(AE16)-$A$5,0)</f>
        <v>434280045.9</v>
      </c>
      <c r="AF16" s="18"/>
    </row>
    <row r="17">
      <c r="A17" s="10" t="s">
        <v>63</v>
      </c>
      <c r="B17" s="39" t="str">
        <f>VLOOKUP(lEFT($A17,4),Setor!$A:$E,3,0)</f>
        <v>Materiais Básicos</v>
      </c>
      <c r="C17" s="39" t="str">
        <f>VLOOKUP(lEFT($A17,4),Setor!$A:$E,4,0)</f>
        <v>Siderurgia e Metalurgia</v>
      </c>
      <c r="D17" s="39" t="str">
        <f>VLOOKUP(lEFT($A17,4),Setor!$A:$E,5,0)</f>
        <v>Siderurgia</v>
      </c>
      <c r="E17" s="17">
        <f>IFERROR(__xludf.DUMMYFUNCTION("GOOGLEFINANCE(A17)"),16.81)</f>
        <v>16.81</v>
      </c>
      <c r="F17" s="17">
        <f>IFERROR(__xludf.DUMMYFUNCTION("GOOGLEFINANCE($A17,""high52"")"),24.36)</f>
        <v>24.36</v>
      </c>
      <c r="G17" s="16">
        <f t="shared" si="1"/>
        <v>-0.3099343186</v>
      </c>
      <c r="H17" s="40">
        <f>VLOOKUP($A17,'Dados StatusInvest'!$A:$AY,column(H17)-$A$5,0)*VLOOKUP($A17,'Dados StatusInvest'!$A:$AY,2,0)/$E17/100</f>
        <v>0.07300428316</v>
      </c>
      <c r="I17" s="41">
        <f>VLOOKUP($A17,'Dados StatusInvest'!$A:$AY,column(I17)-$A$5,0)/VLOOKUP($A17,'Dados StatusInvest'!$A:$AY,2,0)*$E17</f>
        <v>3.146034589</v>
      </c>
      <c r="J17" s="41">
        <f>VLOOKUP($A17,'Dados StatusInvest'!$A:$AY,column(J17)-$A$5,0)/VLOOKUP($A17,'Dados StatusInvest'!$A:$AY,2,0)*$E17</f>
        <v>1.059061149</v>
      </c>
      <c r="K17" s="42">
        <f>VLOOKUP($A17,'Dados StatusInvest'!$A:$AY,column(K17)-$A$5,0)/VLOOKUP($A17,'Dados StatusInvest'!$A:$AY,2,0)*$E17</f>
        <v>0.5814453366</v>
      </c>
      <c r="L17" s="43">
        <f>VLOOKUP($A17,'Dados StatusInvest'!$A:$AY,column(L17)-$A$5,0)/100</f>
        <v>0.3232</v>
      </c>
      <c r="M17" s="44">
        <f>VLOOKUP($A17,'Dados StatusInvest'!$A:$AY,column(M17)-$A$5,0)</f>
        <v>36.46</v>
      </c>
      <c r="N17" s="44">
        <f>VLOOKUP($A17,'Dados StatusInvest'!$A:$AY,column(N17)-$A$5,0)</f>
        <v>25.33</v>
      </c>
      <c r="O17" s="41">
        <f>VLOOKUP($A17,'Dados StatusInvest'!$A:$AY,column(O17)-$A$5,0)/VLOOKUP($A17,'Dados StatusInvest'!$A:$AY,2,0)*$E17</f>
        <v>2.190802965</v>
      </c>
      <c r="P17" s="41">
        <f>VLOOKUP($A17,'Dados StatusInvest'!$A:$AY,column(P17)-$A$5,0)-VLOOKUP($A17,'Dados StatusInvest'!$A:$AY,column(P17)-$A$5-1,0)+O17</f>
        <v>2.130802965</v>
      </c>
      <c r="Q17" s="44">
        <f>VLOOKUP($A17,'Dados StatusInvest'!$A:$AY,column(Q17)-$A$5,0)</f>
        <v>-0.02</v>
      </c>
      <c r="R17" s="44">
        <f>VLOOKUP($A17,'Dados StatusInvest'!$A:$AY,column(R17)-$A$5,0)</f>
        <v>-0.01</v>
      </c>
      <c r="S17" s="41">
        <f>VLOOKUP($A17,'Dados StatusInvest'!$A:$AY,column(S17)-$A$5,0)/VLOOKUP($A17,'Dados StatusInvest'!$A:$AY,2,0)*$E17</f>
        <v>0.7994873379</v>
      </c>
      <c r="T17" s="42">
        <f>VLOOKUP($A17,'Dados StatusInvest'!$A:$AY,column(T17)-$A$5,0)/VLOOKUP($A17,'Dados StatusInvest'!$A:$AY,2,0)*$E17</f>
        <v>1.640506485</v>
      </c>
      <c r="U17" s="44">
        <f>VLOOKUP($A17,'Dados StatusInvest'!$A:$AY,column(U17)-$A$5,0)</f>
        <v>-1.12</v>
      </c>
      <c r="V17" s="45">
        <f>VLOOKUP($A17,'Dados StatusInvest'!$A:$AY,column(V17)-$A$5,0)</f>
        <v>3.39</v>
      </c>
      <c r="W17" s="45">
        <f>VLOOKUP($A17,'Dados StatusInvest'!$A:$AY,column(W17)-$A$5,0)</f>
        <v>33.74</v>
      </c>
      <c r="X17" s="45">
        <f>VLOOKUP($A17,'Dados StatusInvest'!$A:$AY,column(X17)-$A$5,0)</f>
        <v>18.42</v>
      </c>
      <c r="Y17" s="48">
        <f>VLOOKUP($A17,'Dados StatusInvest'!$A:$AY,column(Y17)-$A$5,0)</f>
        <v>24.18</v>
      </c>
      <c r="Z17" s="44">
        <f>VLOOKUP($A17,'Dados StatusInvest'!$A:$AY,column(Z17)-$A$5,0)</f>
        <v>0.55</v>
      </c>
      <c r="AA17" s="44">
        <f>VLOOKUP($A17,'Dados StatusInvest'!$A:$AY,column(AA17)-$A$5,0)</f>
        <v>0.38</v>
      </c>
      <c r="AB17" s="44">
        <f>VLOOKUP($A17,'Dados StatusInvest'!$A:$AY,column(AB17)-$A$5,0)</f>
        <v>0.73</v>
      </c>
      <c r="AC17" s="44">
        <f>VLOOKUP($A17,'Dados StatusInvest'!$A:$AY,column(AC17)-$A$5,0)</f>
        <v>9.57</v>
      </c>
      <c r="AD17" s="45">
        <f>VLOOKUP($A17,'Dados StatusInvest'!$A:$AY,column(AD17)-$A$5,0)</f>
        <v>0</v>
      </c>
      <c r="AE17" s="46">
        <f>VLOOKUP($A17,'Dados StatusInvest'!$A:$AY,column(AE17)-$A$5,0)</f>
        <v>448129857.4</v>
      </c>
      <c r="AF17" s="18"/>
    </row>
    <row r="18">
      <c r="A18" s="10" t="s">
        <v>64</v>
      </c>
      <c r="B18" s="39" t="str">
        <f>VLOOKUP(lEFT($A18,4),Setor!$A:$E,3,0)</f>
        <v>Materiais Básicos</v>
      </c>
      <c r="C18" s="39" t="str">
        <f>VLOOKUP(lEFT($A18,4),Setor!$A:$E,4,0)</f>
        <v>Siderurgia e Metalurgia</v>
      </c>
      <c r="D18" s="39" t="str">
        <f>VLOOKUP(lEFT($A18,4),Setor!$A:$E,5,0)</f>
        <v>Siderurgia</v>
      </c>
      <c r="E18" s="17">
        <f>IFERROR(__xludf.DUMMYFUNCTION("GOOGLEFINANCE(A18)"),27.61)</f>
        <v>27.61</v>
      </c>
      <c r="F18" s="17">
        <f>IFERROR(__xludf.DUMMYFUNCTION("GOOGLEFINANCE($A18,""high52"")"),37.84)</f>
        <v>37.84</v>
      </c>
      <c r="G18" s="16">
        <f t="shared" si="1"/>
        <v>-0.2703488372</v>
      </c>
      <c r="H18" s="40">
        <f>VLOOKUP($A18,'Dados StatusInvest'!$A:$AY,column(H18)-$A$5,0)*VLOOKUP($A18,'Dados StatusInvest'!$A:$AY,2,0)/$E18/100</f>
        <v>0.06297424846</v>
      </c>
      <c r="I18" s="41">
        <f>VLOOKUP($A18,'Dados StatusInvest'!$A:$AY,column(I18)-$A$5,0)/VLOOKUP($A18,'Dados StatusInvest'!$A:$AY,2,0)*$E18</f>
        <v>5.793939728</v>
      </c>
      <c r="J18" s="41">
        <f>VLOOKUP($A18,'Dados StatusInvest'!$A:$AY,column(J18)-$A$5,0)/VLOOKUP($A18,'Dados StatusInvest'!$A:$AY,2,0)*$E18</f>
        <v>1.319110621</v>
      </c>
      <c r="K18" s="42">
        <f>VLOOKUP($A18,'Dados StatusInvest'!$A:$AY,column(K18)-$A$5,0)/VLOOKUP($A18,'Dados StatusInvest'!$A:$AY,2,0)*$E18</f>
        <v>0.7102903344</v>
      </c>
      <c r="L18" s="43">
        <f>VLOOKUP($A18,'Dados StatusInvest'!$A:$AY,column(L18)-$A$5,0)/100</f>
        <v>0.2213</v>
      </c>
      <c r="M18" s="44">
        <f>VLOOKUP($A18,'Dados StatusInvest'!$A:$AY,column(M18)-$A$5,0)</f>
        <v>21.31</v>
      </c>
      <c r="N18" s="44">
        <f>VLOOKUP($A18,'Dados StatusInvest'!$A:$AY,column(N18)-$A$5,0)</f>
        <v>13.38</v>
      </c>
      <c r="O18" s="41">
        <f>VLOOKUP($A18,'Dados StatusInvest'!$A:$AY,column(O18)-$A$5,0)/VLOOKUP($A18,'Dados StatusInvest'!$A:$AY,2,0)*$E18</f>
        <v>3.63262771</v>
      </c>
      <c r="P18" s="41">
        <f>VLOOKUP($A18,'Dados StatusInvest'!$A:$AY,column(P18)-$A$5,0)-VLOOKUP($A18,'Dados StatusInvest'!$A:$AY,column(P18)-$A$5-1,0)+O18</f>
        <v>4.20262771</v>
      </c>
      <c r="Q18" s="44">
        <f>VLOOKUP($A18,'Dados StatusInvest'!$A:$AY,column(Q18)-$A$5,0)</f>
        <v>0.78</v>
      </c>
      <c r="R18" s="44">
        <f>VLOOKUP($A18,'Dados StatusInvest'!$A:$AY,column(R18)-$A$5,0)</f>
        <v>0.28</v>
      </c>
      <c r="S18" s="41">
        <f>VLOOKUP($A18,'Dados StatusInvest'!$A:$AY,column(S18)-$A$5,0)/VLOOKUP($A18,'Dados StatusInvest'!$A:$AY,2,0)*$E18</f>
        <v>0.7711723631</v>
      </c>
      <c r="T18" s="42">
        <f>VLOOKUP($A18,'Dados StatusInvest'!$A:$AY,column(T18)-$A$5,0)/VLOOKUP($A18,'Dados StatusInvest'!$A:$AY,2,0)*$E18</f>
        <v>2.73969129</v>
      </c>
      <c r="U18" s="44">
        <f>VLOOKUP($A18,'Dados StatusInvest'!$A:$AY,column(U18)-$A$5,0)</f>
        <v>-1.21</v>
      </c>
      <c r="V18" s="45">
        <f>VLOOKUP($A18,'Dados StatusInvest'!$A:$AY,column(V18)-$A$5,0)</f>
        <v>2.58</v>
      </c>
      <c r="W18" s="45">
        <f>VLOOKUP($A18,'Dados StatusInvest'!$A:$AY,column(W18)-$A$5,0)</f>
        <v>22.84</v>
      </c>
      <c r="X18" s="45">
        <f>VLOOKUP($A18,'Dados StatusInvest'!$A:$AY,column(X18)-$A$5,0)</f>
        <v>12.26</v>
      </c>
      <c r="Y18" s="45">
        <f>VLOOKUP($A18,'Dados StatusInvest'!$A:$AY,column(Y18)-$A$5,0)</f>
        <v>18.49</v>
      </c>
      <c r="Z18" s="44">
        <f>VLOOKUP($A18,'Dados StatusInvest'!$A:$AY,column(Z18)-$A$5,0)</f>
        <v>0.54</v>
      </c>
      <c r="AA18" s="44">
        <f>VLOOKUP($A18,'Dados StatusInvest'!$A:$AY,column(AA18)-$A$5,0)</f>
        <v>0.46</v>
      </c>
      <c r="AB18" s="44">
        <f>VLOOKUP($A18,'Dados StatusInvest'!$A:$AY,column(AB18)-$A$5,0)</f>
        <v>0.92</v>
      </c>
      <c r="AC18" s="44">
        <f>VLOOKUP($A18,'Dados StatusInvest'!$A:$AY,column(AC18)-$A$5,0)</f>
        <v>0.11</v>
      </c>
      <c r="AD18" s="45">
        <f>VLOOKUP($A18,'Dados StatusInvest'!$A:$AY,column(AD18)-$A$5,0)</f>
        <v>0</v>
      </c>
      <c r="AE18" s="46">
        <f>VLOOKUP($A18,'Dados StatusInvest'!$A:$AY,column(AE18)-$A$5,0)</f>
        <v>432659240.2</v>
      </c>
      <c r="AF18" s="49"/>
    </row>
    <row r="19">
      <c r="A19" s="10" t="s">
        <v>65</v>
      </c>
      <c r="B19" s="39" t="str">
        <f>VLOOKUP(lEFT($A19,4),Setor!$A:$E,3,0)</f>
        <v>Financeiro</v>
      </c>
      <c r="C19" s="39" t="str">
        <f>VLOOKUP(lEFT($A19,4),Setor!$A:$E,4,0)</f>
        <v>Intermediários Financeiros</v>
      </c>
      <c r="D19" s="39" t="str">
        <f>VLOOKUP(lEFT($A19,4),Setor!$A:$E,5,0)</f>
        <v>Bancos</v>
      </c>
      <c r="E19" s="17">
        <f>IFERROR(__xludf.DUMMYFUNCTION("GOOGLEFINANCE(A19)"),30.9)</f>
        <v>30.9</v>
      </c>
      <c r="F19" s="17">
        <f>IFERROR(__xludf.DUMMYFUNCTION("GOOGLEFINANCE($A19,""high52"")"),40.56)</f>
        <v>40.56</v>
      </c>
      <c r="G19" s="16">
        <f t="shared" si="1"/>
        <v>-0.2381656805</v>
      </c>
      <c r="H19" s="40">
        <f>VLOOKUP($A19,'Dados StatusInvest'!$A:$AY,column(H19)-$A$5,0)*VLOOKUP($A19,'Dados StatusInvest'!$A:$AY,2,0)/$E19/100</f>
        <v>0.06499834951</v>
      </c>
      <c r="I19" s="41">
        <f>VLOOKUP($A19,'Dados StatusInvest'!$A:$AY,column(I19)-$A$5,0)/VLOOKUP($A19,'Dados StatusInvest'!$A:$AY,2,0)*$E19</f>
        <v>5.569479882</v>
      </c>
      <c r="J19" s="41">
        <f>VLOOKUP($A19,'Dados StatusInvest'!$A:$AY,column(J19)-$A$5,0)/VLOOKUP($A19,'Dados StatusInvest'!$A:$AY,2,0)*$E19</f>
        <v>0.657016683</v>
      </c>
      <c r="K19" s="42">
        <f>VLOOKUP($A19,'Dados StatusInvest'!$A:$AY,column(K19)-$A$5,0)/VLOOKUP($A19,'Dados StatusInvest'!$A:$AY,2,0)*$E19</f>
        <v>0.05053974485</v>
      </c>
      <c r="L19" s="43">
        <f>VLOOKUP($A19,'Dados StatusInvest'!$A:$AY,column(L19)-$A$5,0)/100</f>
        <v>0.4125</v>
      </c>
      <c r="M19" s="44">
        <f>VLOOKUP($A19,'Dados StatusInvest'!$A:$AY,column(M19)-$A$5,0)</f>
        <v>17.85</v>
      </c>
      <c r="N19" s="44">
        <f>VLOOKUP($A19,'Dados StatusInvest'!$A:$AY,column(N19)-$A$5,0)</f>
        <v>17.29</v>
      </c>
      <c r="O19" s="41">
        <f>VLOOKUP($A19,'Dados StatusInvest'!$A:$AY,column(O19)-$A$5,0)/VLOOKUP($A19,'Dados StatusInvest'!$A:$AY,2,0)*$E19</f>
        <v>5.39764475</v>
      </c>
      <c r="P19" s="41">
        <f>VLOOKUP($A19,'Dados StatusInvest'!$A:$AY,column(P19)-$A$5,0)-VLOOKUP($A19,'Dados StatusInvest'!$A:$AY,column(P19)-$A$5-1,0)+O19</f>
        <v>5.38764475</v>
      </c>
      <c r="Q19" s="44">
        <f>VLOOKUP($A19,'Dados StatusInvest'!$A:$AY,column(Q19)-$A$5,0)</f>
        <v>0</v>
      </c>
      <c r="R19" s="44">
        <f>VLOOKUP($A19,'Dados StatusInvest'!$A:$AY,column(R19)-$A$5,0)</f>
        <v>0</v>
      </c>
      <c r="S19" s="41">
        <f>VLOOKUP($A19,'Dados StatusInvest'!$A:$AY,column(S19)-$A$5,0)/VLOOKUP($A19,'Dados StatusInvest'!$A:$AY,2,0)*$E19</f>
        <v>0.9602551521</v>
      </c>
      <c r="T19" s="42">
        <f>VLOOKUP($A19,'Dados StatusInvest'!$A:$AY,column(T19)-$A$5,0)/VLOOKUP($A19,'Dados StatusInvest'!$A:$AY,2,0)*$E19</f>
        <v>1.556624141</v>
      </c>
      <c r="U19" s="44">
        <f>VLOOKUP($A19,'Dados StatusInvest'!$A:$AY,column(U19)-$A$5,0)</f>
        <v>-0.05</v>
      </c>
      <c r="V19" s="45">
        <f>VLOOKUP($A19,'Dados StatusInvest'!$A:$AY,column(V19)-$A$5,0)</f>
        <v>14.02</v>
      </c>
      <c r="W19" s="48">
        <f>VLOOKUP($A19,'Dados StatusInvest'!$A:$AY,column(W19)-$A$5,0)</f>
        <v>11.73</v>
      </c>
      <c r="X19" s="45">
        <f>VLOOKUP($A19,'Dados StatusInvest'!$A:$AY,column(X19)-$A$5,0)</f>
        <v>0.83</v>
      </c>
      <c r="Y19" s="48">
        <f>VLOOKUP($A19,'Dados StatusInvest'!$A:$AY,column(Y19)-$A$5,0)</f>
        <v>0</v>
      </c>
      <c r="Z19" s="44">
        <f>VLOOKUP($A19,'Dados StatusInvest'!$A:$AY,column(Z19)-$A$5,0)</f>
        <v>0.07</v>
      </c>
      <c r="AA19" s="44">
        <f>VLOOKUP($A19,'Dados StatusInvest'!$A:$AY,column(AA19)-$A$5,0)</f>
        <v>0.93</v>
      </c>
      <c r="AB19" s="44">
        <f>VLOOKUP($A19,'Dados StatusInvest'!$A:$AY,column(AB19)-$A$5,0)</f>
        <v>0.05</v>
      </c>
      <c r="AC19" s="44">
        <f>VLOOKUP($A19,'Dados StatusInvest'!$A:$AY,column(AC19)-$A$5,0)</f>
        <v>-11.56</v>
      </c>
      <c r="AD19" s="45">
        <f>VLOOKUP($A19,'Dados StatusInvest'!$A:$AY,column(AD19)-$A$5,0)</f>
        <v>2.46</v>
      </c>
      <c r="AE19" s="46">
        <f>VLOOKUP($A19,'Dados StatusInvest'!$A:$AY,column(AE19)-$A$5,0)</f>
        <v>394931886.8</v>
      </c>
      <c r="AF19" s="51"/>
    </row>
    <row r="20">
      <c r="A20" s="10" t="s">
        <v>66</v>
      </c>
      <c r="B20" s="39" t="str">
        <f>VLOOKUP(lEFT($A20,4),Setor!$A:$E,3,0)</f>
        <v>Consumo Cíclico</v>
      </c>
      <c r="C20" s="39" t="str">
        <f>VLOOKUP(lEFT($A20,4),Setor!$A:$E,4,0)</f>
        <v>Diversos</v>
      </c>
      <c r="D20" s="39" t="str">
        <f>VLOOKUP(lEFT($A20,4),Setor!$A:$E,5,0)</f>
        <v>Aluguel de carros</v>
      </c>
      <c r="E20" s="17">
        <f>IFERROR(__xludf.DUMMYFUNCTION("GOOGLEFINANCE(A20)"),54.09)</f>
        <v>54.09</v>
      </c>
      <c r="F20" s="17">
        <f>IFERROR(__xludf.DUMMYFUNCTION("GOOGLEFINANCE($A20,""high52"")"),73.93)</f>
        <v>73.93</v>
      </c>
      <c r="G20" s="16">
        <f t="shared" si="1"/>
        <v>-0.268361964</v>
      </c>
      <c r="H20" s="40">
        <f>VLOOKUP($A20,'Dados StatusInvest'!$A:$AY,column(H20)-$A$5,0)*VLOOKUP($A20,'Dados StatusInvest'!$A:$AY,2,0)/$E20/100</f>
        <v>0.007367165835</v>
      </c>
      <c r="I20" s="41">
        <f>VLOOKUP($A20,'Dados StatusInvest'!$A:$AY,column(I20)-$A$5,0)/VLOOKUP($A20,'Dados StatusInvest'!$A:$AY,2,0)*$E20</f>
        <v>24.73977159</v>
      </c>
      <c r="J20" s="41">
        <f>VLOOKUP($A20,'Dados StatusInvest'!$A:$AY,column(J20)-$A$5,0)/VLOOKUP($A20,'Dados StatusInvest'!$A:$AY,2,0)*$E20</f>
        <v>5.976518106</v>
      </c>
      <c r="K20" s="42">
        <f>VLOOKUP($A20,'Dados StatusInvest'!$A:$AY,column(K20)-$A$5,0)/VLOOKUP($A20,'Dados StatusInvest'!$A:$AY,2,0)*$E20</f>
        <v>1.918512535</v>
      </c>
      <c r="L20" s="43">
        <f>VLOOKUP($A20,'Dados StatusInvest'!$A:$AY,column(L20)-$A$5,0)/100</f>
        <v>0.339</v>
      </c>
      <c r="M20" s="47">
        <f>VLOOKUP($A20,'Dados StatusInvest'!$A:$AY,column(M20)-$A$5,0)</f>
        <v>22.13</v>
      </c>
      <c r="N20" s="47">
        <f>VLOOKUP($A20,'Dados StatusInvest'!$A:$AY,column(N20)-$A$5,0)</f>
        <v>14.49</v>
      </c>
      <c r="O20" s="41">
        <f>VLOOKUP($A20,'Dados StatusInvest'!$A:$AY,column(O20)-$A$5,0)/VLOOKUP($A20,'Dados StatusInvest'!$A:$AY,2,0)*$E20</f>
        <v>16.20188858</v>
      </c>
      <c r="P20" s="41">
        <f>VLOOKUP($A20,'Dados StatusInvest'!$A:$AY,column(P20)-$A$5,0)-VLOOKUP($A20,'Dados StatusInvest'!$A:$AY,column(P20)-$A$5-1,0)+O20</f>
        <v>19.00188858</v>
      </c>
      <c r="Q20" s="44">
        <f>VLOOKUP($A20,'Dados StatusInvest'!$A:$AY,column(Q20)-$A$5,0)</f>
        <v>2.79</v>
      </c>
      <c r="R20" s="44">
        <f>VLOOKUP($A20,'Dados StatusInvest'!$A:$AY,column(R20)-$A$5,0)</f>
        <v>1.03</v>
      </c>
      <c r="S20" s="41">
        <f>VLOOKUP($A20,'Dados StatusInvest'!$A:$AY,column(S20)-$A$5,0)/VLOOKUP($A20,'Dados StatusInvest'!$A:$AY,2,0)*$E20</f>
        <v>3.585910864</v>
      </c>
      <c r="T20" s="42">
        <f>VLOOKUP($A20,'Dados StatusInvest'!$A:$AY,column(T20)-$A$5,0)/VLOOKUP($A20,'Dados StatusInvest'!$A:$AY,2,0)*$E20</f>
        <v>33.5287688</v>
      </c>
      <c r="U20" s="44">
        <f>VLOOKUP($A20,'Dados StatusInvest'!$A:$AY,column(U20)-$A$5,0)</f>
        <v>-2.58</v>
      </c>
      <c r="V20" s="45">
        <f>VLOOKUP($A20,'Dados StatusInvest'!$A:$AY,column(V20)-$A$5,0)</f>
        <v>1.28</v>
      </c>
      <c r="W20" s="45">
        <f>VLOOKUP($A20,'Dados StatusInvest'!$A:$AY,column(W20)-$A$5,0)</f>
        <v>24.15</v>
      </c>
      <c r="X20" s="45">
        <f>VLOOKUP($A20,'Dados StatusInvest'!$A:$AY,column(X20)-$A$5,0)</f>
        <v>7.74</v>
      </c>
      <c r="Y20" s="45">
        <f>VLOOKUP($A20,'Dados StatusInvest'!$A:$AY,column(Y20)-$A$5,0)</f>
        <v>10.24</v>
      </c>
      <c r="Z20" s="44">
        <f>VLOOKUP($A20,'Dados StatusInvest'!$A:$AY,column(Z20)-$A$5,0)</f>
        <v>0.32</v>
      </c>
      <c r="AA20" s="44">
        <f>VLOOKUP($A20,'Dados StatusInvest'!$A:$AY,column(AA20)-$A$5,0)</f>
        <v>0.68</v>
      </c>
      <c r="AB20" s="44">
        <f>VLOOKUP($A20,'Dados StatusInvest'!$A:$AY,column(AB20)-$A$5,0)</f>
        <v>0.53</v>
      </c>
      <c r="AC20" s="44">
        <f>VLOOKUP($A20,'Dados StatusInvest'!$A:$AY,column(AC20)-$A$5,0)</f>
        <v>21.28</v>
      </c>
      <c r="AD20" s="45">
        <f>VLOOKUP($A20,'Dados StatusInvest'!$A:$AY,column(AD20)-$A$5,0)</f>
        <v>32.73</v>
      </c>
      <c r="AE20" s="46">
        <f>VLOOKUP($A20,'Dados StatusInvest'!$A:$AY,column(AE20)-$A$5,0)</f>
        <v>358915154.1</v>
      </c>
      <c r="AF20" s="18"/>
    </row>
    <row r="21">
      <c r="A21" s="10" t="s">
        <v>67</v>
      </c>
      <c r="B21" s="39" t="str">
        <f>VLOOKUP(lEFT($A21,4),Setor!$A:$E,3,0)</f>
        <v>#N/A</v>
      </c>
      <c r="C21" s="39" t="str">
        <f>VLOOKUP(lEFT($A21,4),Setor!$A:$E,4,0)</f>
        <v>#N/A</v>
      </c>
      <c r="D21" s="39" t="str">
        <f>VLOOKUP(lEFT($A21,4),Setor!$A:$E,5,0)</f>
        <v>#N/A</v>
      </c>
      <c r="E21" s="17">
        <f>IFERROR(__xludf.DUMMYFUNCTION("GOOGLEFINANCE(A21)"),66.31)</f>
        <v>66.31</v>
      </c>
      <c r="F21" s="17">
        <f>IFERROR(__xludf.DUMMYFUNCTION("GOOGLEFINANCE($A21,""high52"")"),77.3)</f>
        <v>77.3</v>
      </c>
      <c r="G21" s="16">
        <f t="shared" si="1"/>
        <v>-0.1421733506</v>
      </c>
      <c r="H21" s="40">
        <f>VLOOKUP($A21,'Dados StatusInvest'!$A:$AY,column(H21)-$A$5,0)*VLOOKUP($A21,'Dados StatusInvest'!$A:$AY,2,0)/$E21/100</f>
        <v>0.02061129543</v>
      </c>
      <c r="I21" s="41">
        <f>VLOOKUP($A21,'Dados StatusInvest'!$A:$AY,column(I21)-$A$5,0)/VLOOKUP($A21,'Dados StatusInvest'!$A:$AY,2,0)*$E21</f>
        <v>92.8260432</v>
      </c>
      <c r="J21" s="41">
        <f>VLOOKUP($A21,'Dados StatusInvest'!$A:$AY,column(J21)-$A$5,0)/VLOOKUP($A21,'Dados StatusInvest'!$A:$AY,2,0)*$E21</f>
        <v>8.394426279</v>
      </c>
      <c r="K21" s="42">
        <f>VLOOKUP($A21,'Dados StatusInvest'!$A:$AY,column(K21)-$A$5,0)/VLOOKUP($A21,'Dados StatusInvest'!$A:$AY,2,0)*$E21</f>
        <v>2.705312734</v>
      </c>
      <c r="L21" s="43">
        <f>VLOOKUP($A21,'Dados StatusInvest'!$A:$AY,column(L21)-$A$5,0)/100</f>
        <v>0.2466</v>
      </c>
      <c r="M21" s="47">
        <f>VLOOKUP($A21,'Dados StatusInvest'!$A:$AY,column(M21)-$A$5,0)</f>
        <v>18.9</v>
      </c>
      <c r="N21" s="47">
        <f>VLOOKUP($A21,'Dados StatusInvest'!$A:$AY,column(N21)-$A$5,0)</f>
        <v>8.01</v>
      </c>
      <c r="O21" s="41">
        <f>VLOOKUP($A21,'Dados StatusInvest'!$A:$AY,column(O21)-$A$5,0)/VLOOKUP($A21,'Dados StatusInvest'!$A:$AY,2,0)*$E21</f>
        <v>39.33644068</v>
      </c>
      <c r="P21" s="41">
        <f>VLOOKUP($A21,'Dados StatusInvest'!$A:$AY,column(P21)-$A$5,0)-VLOOKUP($A21,'Dados StatusInvest'!$A:$AY,column(P21)-$A$5-1,0)+O21</f>
        <v>42.23644068</v>
      </c>
      <c r="Q21" s="44">
        <f>VLOOKUP($A21,'Dados StatusInvest'!$A:$AY,column(Q21)-$A$5,0)</f>
        <v>2.82</v>
      </c>
      <c r="R21" s="44">
        <f>VLOOKUP($A21,'Dados StatusInvest'!$A:$AY,column(R21)-$A$5,0)</f>
        <v>0.6</v>
      </c>
      <c r="S21" s="41">
        <f>VLOOKUP($A21,'Dados StatusInvest'!$A:$AY,column(S21)-$A$5,0)/VLOOKUP($A21,'Dados StatusInvest'!$A:$AY,2,0)*$E21</f>
        <v>7.429664017</v>
      </c>
      <c r="T21" s="42">
        <f>VLOOKUP($A21,'Dados StatusInvest'!$A:$AY,column(T21)-$A$5,0)/VLOOKUP($A21,'Dados StatusInvest'!$A:$AY,2,0)*$E21</f>
        <v>7.161121944</v>
      </c>
      <c r="U21" s="44">
        <f>VLOOKUP($A21,'Dados StatusInvest'!$A:$AY,column(U21)-$A$5,0)</f>
        <v>-5.13</v>
      </c>
      <c r="V21" s="45">
        <f>VLOOKUP($A21,'Dados StatusInvest'!$A:$AY,column(V21)-$A$5,0)</f>
        <v>5.1</v>
      </c>
      <c r="W21" s="45">
        <f>VLOOKUP($A21,'Dados StatusInvest'!$A:$AY,column(W21)-$A$5,0)</f>
        <v>9.04</v>
      </c>
      <c r="X21" s="45">
        <f>VLOOKUP($A21,'Dados StatusInvest'!$A:$AY,column(X21)-$A$5,0)</f>
        <v>2.91</v>
      </c>
      <c r="Y21" s="45">
        <f>VLOOKUP($A21,'Dados StatusInvest'!$A:$AY,column(Y21)-$A$5,0)</f>
        <v>7.05</v>
      </c>
      <c r="Z21" s="44">
        <f>VLOOKUP($A21,'Dados StatusInvest'!$A:$AY,column(Z21)-$A$5,0)</f>
        <v>0.32</v>
      </c>
      <c r="AA21" s="44">
        <f>VLOOKUP($A21,'Dados StatusInvest'!$A:$AY,column(AA21)-$A$5,0)</f>
        <v>0.67</v>
      </c>
      <c r="AB21" s="44">
        <f>VLOOKUP($A21,'Dados StatusInvest'!$A:$AY,column(AB21)-$A$5,0)</f>
        <v>0.36</v>
      </c>
      <c r="AC21" s="44">
        <f>VLOOKUP($A21,'Dados StatusInvest'!$A:$AY,column(AC21)-$A$5,0)</f>
        <v>0</v>
      </c>
      <c r="AD21" s="45">
        <f>VLOOKUP($A21,'Dados StatusInvest'!$A:$AY,column(AD21)-$A$5,0)</f>
        <v>0</v>
      </c>
      <c r="AE21" s="46">
        <f>VLOOKUP($A21,'Dados StatusInvest'!$A:$AY,column(AE21)-$A$5,0)</f>
        <v>301374789.9</v>
      </c>
      <c r="AF21" s="18"/>
    </row>
    <row r="22">
      <c r="A22" s="10" t="s">
        <v>68</v>
      </c>
      <c r="B22" s="39" t="str">
        <f>VLOOKUP(lEFT($A22,4),Setor!$A:$E,3,0)</f>
        <v>Financeiro</v>
      </c>
      <c r="C22" s="39" t="str">
        <f>VLOOKUP(lEFT($A22,4),Setor!$A:$E,4,0)</f>
        <v>Intermediários Financeiros</v>
      </c>
      <c r="D22" s="39" t="str">
        <f>VLOOKUP(lEFT($A22,4),Setor!$A:$E,5,0)</f>
        <v>Bancos</v>
      </c>
      <c r="E22" s="17">
        <f>IFERROR(__xludf.DUMMYFUNCTION("GOOGLEFINANCE(A22)"),11.28)</f>
        <v>11.28</v>
      </c>
      <c r="F22" s="17">
        <f>IFERROR(__xludf.DUMMYFUNCTION("GOOGLEFINANCE($A22,""high52"")"),12.35)</f>
        <v>12.35</v>
      </c>
      <c r="G22" s="16">
        <f t="shared" si="1"/>
        <v>-0.08663967611</v>
      </c>
      <c r="H22" s="40">
        <f>VLOOKUP($A22,'Dados StatusInvest'!$A:$AY,column(H22)-$A$5,0)*VLOOKUP($A22,'Dados StatusInvest'!$A:$AY,2,0)/$E22/100</f>
        <v>0.02784734043</v>
      </c>
      <c r="I22" s="41">
        <f>VLOOKUP($A22,'Dados StatusInvest'!$A:$AY,column(I22)-$A$5,0)/VLOOKUP($A22,'Dados StatusInvest'!$A:$AY,2,0)*$E22</f>
        <v>8.494814815</v>
      </c>
      <c r="J22" s="41">
        <f>VLOOKUP($A22,'Dados StatusInvest'!$A:$AY,column(J22)-$A$5,0)/VLOOKUP($A22,'Dados StatusInvest'!$A:$AY,2,0)*$E22</f>
        <v>1.551746032</v>
      </c>
      <c r="K22" s="42">
        <f>VLOOKUP($A22,'Dados StatusInvest'!$A:$AY,column(K22)-$A$5,0)/VLOOKUP($A22,'Dados StatusInvest'!$A:$AY,2,0)*$E22</f>
        <v>1.193650794</v>
      </c>
      <c r="L22" s="43">
        <f>VLOOKUP($A22,'Dados StatusInvest'!$A:$AY,column(L22)-$A$5,0)/100</f>
        <v>0.3402</v>
      </c>
      <c r="M22" s="44">
        <f>VLOOKUP($A22,'Dados StatusInvest'!$A:$AY,column(M22)-$A$5,0)</f>
        <v>167.26</v>
      </c>
      <c r="N22" s="44">
        <f>VLOOKUP($A22,'Dados StatusInvest'!$A:$AY,column(N22)-$A$5,0)</f>
        <v>150.62</v>
      </c>
      <c r="O22" s="41">
        <f>VLOOKUP($A22,'Dados StatusInvest'!$A:$AY,column(O22)-$A$5,0)/VLOOKUP($A22,'Dados StatusInvest'!$A:$AY,2,0)*$E22</f>
        <v>7.649312169</v>
      </c>
      <c r="P22" s="41">
        <f>VLOOKUP($A22,'Dados StatusInvest'!$A:$AY,column(P22)-$A$5,0)-VLOOKUP($A22,'Dados StatusInvest'!$A:$AY,column(P22)-$A$5-1,0)+O22</f>
        <v>7.799312169</v>
      </c>
      <c r="Q22" s="44">
        <f>VLOOKUP($A22,'Dados StatusInvest'!$A:$AY,column(Q22)-$A$5,0)</f>
        <v>0.13</v>
      </c>
      <c r="R22" s="44">
        <f>VLOOKUP($A22,'Dados StatusInvest'!$A:$AY,column(R22)-$A$5,0)</f>
        <v>0.03</v>
      </c>
      <c r="S22" s="41">
        <f>VLOOKUP($A22,'Dados StatusInvest'!$A:$AY,column(S22)-$A$5,0)/VLOOKUP($A22,'Dados StatusInvest'!$A:$AY,2,0)*$E22</f>
        <v>12.79195767</v>
      </c>
      <c r="T22" s="42">
        <f>VLOOKUP($A22,'Dados StatusInvest'!$A:$AY,column(T22)-$A$5,0)/VLOOKUP($A22,'Dados StatusInvest'!$A:$AY,2,0)*$E22</f>
        <v>16.91005291</v>
      </c>
      <c r="U22" s="44">
        <f>VLOOKUP($A22,'Dados StatusInvest'!$A:$AY,column(U22)-$A$5,0)</f>
        <v>-1.39</v>
      </c>
      <c r="V22" s="45">
        <f>VLOOKUP($A22,'Dados StatusInvest'!$A:$AY,column(V22)-$A$5,0)</f>
        <v>2.16</v>
      </c>
      <c r="W22" s="45">
        <f>VLOOKUP($A22,'Dados StatusInvest'!$A:$AY,column(W22)-$A$5,0)</f>
        <v>18.27</v>
      </c>
      <c r="X22" s="45">
        <f>VLOOKUP($A22,'Dados StatusInvest'!$A:$AY,column(X22)-$A$5,0)</f>
        <v>14.09</v>
      </c>
      <c r="Y22" s="45">
        <f>VLOOKUP($A22,'Dados StatusInvest'!$A:$AY,column(Y22)-$A$5,0)</f>
        <v>16.23</v>
      </c>
      <c r="Z22" s="44">
        <f>VLOOKUP($A22,'Dados StatusInvest'!$A:$AY,column(Z22)-$A$5,0)</f>
        <v>0.77</v>
      </c>
      <c r="AA22" s="44">
        <f>VLOOKUP($A22,'Dados StatusInvest'!$A:$AY,column(AA22)-$A$5,0)</f>
        <v>0.18</v>
      </c>
      <c r="AB22" s="44">
        <f>VLOOKUP($A22,'Dados StatusInvest'!$A:$AY,column(AB22)-$A$5,0)</f>
        <v>0.09</v>
      </c>
      <c r="AC22" s="44">
        <f>VLOOKUP($A22,'Dados StatusInvest'!$A:$AY,column(AC22)-$A$5,0)</f>
        <v>3.78</v>
      </c>
      <c r="AD22" s="45">
        <f>VLOOKUP($A22,'Dados StatusInvest'!$A:$AY,column(AD22)-$A$5,0)</f>
        <v>4.72</v>
      </c>
      <c r="AE22" s="46">
        <f>VLOOKUP($A22,'Dados StatusInvest'!$A:$AY,column(AE22)-$A$5,0)</f>
        <v>468311693.5</v>
      </c>
      <c r="AF22" s="51"/>
    </row>
    <row r="23">
      <c r="A23" s="10" t="s">
        <v>69</v>
      </c>
      <c r="B23" s="39" t="str">
        <f>VLOOKUP(lEFT($A23,4),Setor!$A:$E,3,0)</f>
        <v>#N/A</v>
      </c>
      <c r="C23" s="39" t="str">
        <f>VLOOKUP(lEFT($A23,4),Setor!$A:$E,4,0)</f>
        <v>#N/A</v>
      </c>
      <c r="D23" s="39" t="str">
        <f>VLOOKUP(lEFT($A23,4),Setor!$A:$E,5,0)</f>
        <v>#N/A</v>
      </c>
      <c r="E23" s="17">
        <f>IFERROR(__xludf.DUMMYFUNCTION("GOOGLEFINANCE(A23)"),8.11)</f>
        <v>8.11</v>
      </c>
      <c r="F23" s="17">
        <f>IFERROR(__xludf.DUMMYFUNCTION("GOOGLEFINANCE($A23,""high52"")"),20.48)</f>
        <v>20.48</v>
      </c>
      <c r="G23" s="16">
        <f t="shared" si="1"/>
        <v>-0.6040039063</v>
      </c>
      <c r="H23" s="40">
        <f>VLOOKUP($A23,'Dados StatusInvest'!$A:$AY,column(H23)-$A$5,0)*VLOOKUP($A23,'Dados StatusInvest'!$A:$AY,2,0)/$E23/100</f>
        <v>0</v>
      </c>
      <c r="I23" s="41">
        <f>VLOOKUP($A23,'Dados StatusInvest'!$A:$AY,column(I23)-$A$5,0)/VLOOKUP($A23,'Dados StatusInvest'!$A:$AY,2,0)*$E23</f>
        <v>10.50193671</v>
      </c>
      <c r="J23" s="41">
        <f>VLOOKUP($A23,'Dados StatusInvest'!$A:$AY,column(J23)-$A$5,0)/VLOOKUP($A23,'Dados StatusInvest'!$A:$AY,2,0)*$E23</f>
        <v>2.06343038</v>
      </c>
      <c r="K23" s="42">
        <f>VLOOKUP($A23,'Dados StatusInvest'!$A:$AY,column(K23)-$A$5,0)/VLOOKUP($A23,'Dados StatusInvest'!$A:$AY,2,0)*$E23</f>
        <v>0.3901012658</v>
      </c>
      <c r="L23" s="43">
        <f>VLOOKUP($A23,'Dados StatusInvest'!$A:$AY,column(L23)-$A$5,0)/100</f>
        <v>0.3196</v>
      </c>
      <c r="M23" s="44">
        <f>VLOOKUP($A23,'Dados StatusInvest'!$A:$AY,column(M23)-$A$5,0)</f>
        <v>4.5</v>
      </c>
      <c r="N23" s="44">
        <f>VLOOKUP($A23,'Dados StatusInvest'!$A:$AY,column(N23)-$A$5,0)</f>
        <v>3.79</v>
      </c>
      <c r="O23" s="41">
        <f>VLOOKUP($A23,'Dados StatusInvest'!$A:$AY,column(O23)-$A$5,0)/VLOOKUP($A23,'Dados StatusInvest'!$A:$AY,2,0)*$E23</f>
        <v>8.838873418</v>
      </c>
      <c r="P23" s="41">
        <f>VLOOKUP($A23,'Dados StatusInvest'!$A:$AY,column(P23)-$A$5,0)-VLOOKUP($A23,'Dados StatusInvest'!$A:$AY,column(P23)-$A$5-1,0)+O23</f>
        <v>13.74887342</v>
      </c>
      <c r="Q23" s="44">
        <f>VLOOKUP($A23,'Dados StatusInvest'!$A:$AY,column(Q23)-$A$5,0)</f>
        <v>4.87</v>
      </c>
      <c r="R23" s="44">
        <f>VLOOKUP($A23,'Dados StatusInvest'!$A:$AY,column(R23)-$A$5,0)</f>
        <v>1.14</v>
      </c>
      <c r="S23" s="41">
        <f>VLOOKUP($A23,'Dados StatusInvest'!$A:$AY,column(S23)-$A$5,0)/VLOOKUP($A23,'Dados StatusInvest'!$A:$AY,2,0)*$E23</f>
        <v>0.4003670886</v>
      </c>
      <c r="T23" s="42">
        <f>VLOOKUP($A23,'Dados StatusInvest'!$A:$AY,column(T23)-$A$5,0)/VLOOKUP($A23,'Dados StatusInvest'!$A:$AY,2,0)*$E23</f>
        <v>-18.08837975</v>
      </c>
      <c r="U23" s="44">
        <f>VLOOKUP($A23,'Dados StatusInvest'!$A:$AY,column(U23)-$A$5,0)</f>
        <v>-0.87</v>
      </c>
      <c r="V23" s="45">
        <f>VLOOKUP($A23,'Dados StatusInvest'!$A:$AY,column(V23)-$A$5,0)</f>
        <v>0.96</v>
      </c>
      <c r="W23" s="45">
        <f>VLOOKUP($A23,'Dados StatusInvest'!$A:$AY,column(W23)-$A$5,0)</f>
        <v>19.63</v>
      </c>
      <c r="X23" s="45">
        <f>VLOOKUP($A23,'Dados StatusInvest'!$A:$AY,column(X23)-$A$5,0)</f>
        <v>3.7</v>
      </c>
      <c r="Y23" s="45">
        <f>VLOOKUP($A23,'Dados StatusInvest'!$A:$AY,column(Y23)-$A$5,0)</f>
        <v>6.32</v>
      </c>
      <c r="Z23" s="44">
        <f>VLOOKUP($A23,'Dados StatusInvest'!$A:$AY,column(Z23)-$A$5,0)</f>
        <v>0.19</v>
      </c>
      <c r="AA23" s="44">
        <f>VLOOKUP($A23,'Dados StatusInvest'!$A:$AY,column(AA23)-$A$5,0)</f>
        <v>0.81</v>
      </c>
      <c r="AB23" s="44">
        <f>VLOOKUP($A23,'Dados StatusInvest'!$A:$AY,column(AB23)-$A$5,0)</f>
        <v>0.98</v>
      </c>
      <c r="AC23" s="44">
        <f>VLOOKUP($A23,'Dados StatusInvest'!$A:$AY,column(AC23)-$A$5,0)</f>
        <v>8.45</v>
      </c>
      <c r="AD23" s="45">
        <f>VLOOKUP($A23,'Dados StatusInvest'!$A:$AY,column(AD23)-$A$5,0)</f>
        <v>145.09</v>
      </c>
      <c r="AE23" s="46">
        <f>VLOOKUP($A23,'Dados StatusInvest'!$A:$AY,column(AE23)-$A$5,0)</f>
        <v>325922620</v>
      </c>
      <c r="AF23" s="18"/>
    </row>
    <row r="24">
      <c r="A24" s="10" t="s">
        <v>70</v>
      </c>
      <c r="B24" s="52" t="str">
        <f>VLOOKUP(LEFT($A24,4),Setor!$A:$E,3,0)</f>
        <v>Financeiro</v>
      </c>
      <c r="C24" s="52" t="str">
        <f>VLOOKUP(LEFT($A24,4),Setor!$A:$E,4,0)</f>
        <v>Intermediários Financeiros</v>
      </c>
      <c r="D24" s="52" t="str">
        <f>VLOOKUP(LEFT($A24,4),Setor!$A:$E,5,0)</f>
        <v>Bancos</v>
      </c>
      <c r="E24" s="53">
        <f>IFERROR(__xludf.DUMMYFUNCTION("GOOGLEFINANCE(A24)"),25.35)</f>
        <v>25.35</v>
      </c>
      <c r="F24" s="53">
        <f>IFERROR(__xludf.DUMMYFUNCTION("GOOGLEFINANCE($A24,""high52"")"),32.73)</f>
        <v>32.73</v>
      </c>
      <c r="G24" s="54">
        <f t="shared" si="1"/>
        <v>-0.2254812099</v>
      </c>
      <c r="H24" s="55">
        <f>VLOOKUP($A24,'Dados StatusInvest'!$A:$AY,COLUMN(H24)-$A$5,0)*VLOOKUP($A24,'Dados StatusInvest'!$A:$AY,2,0)/$E24/100</f>
        <v>0.01285404339</v>
      </c>
      <c r="I24" s="56">
        <f>VLOOKUP($A24,'Dados StatusInvest'!$A:$AY,COLUMN(I24)-$A$5,0)/VLOOKUP($A24,'Dados StatusInvest'!$A:$AY,2,0)*$E24</f>
        <v>19.94889796</v>
      </c>
      <c r="J24" s="56">
        <f>VLOOKUP($A24,'Dados StatusInvest'!$A:$AY,COLUMN(J24)-$A$5,0)/VLOOKUP($A24,'Dados StatusInvest'!$A:$AY,2,0)*$E24</f>
        <v>2.762632653</v>
      </c>
      <c r="K24" s="57">
        <f>VLOOKUP($A24,'Dados StatusInvest'!$A:$AY,COLUMN(K24)-$A$5,0)/VLOOKUP($A24,'Dados StatusInvest'!$A:$AY,2,0)*$E24</f>
        <v>0.320755102</v>
      </c>
      <c r="L24" s="58">
        <f>VLOOKUP($A24,'Dados StatusInvest'!$A:$AY,COLUMN(L24)-$A$5,0)/100</f>
        <v>0.188</v>
      </c>
      <c r="M24" s="63">
        <f>VLOOKUP($A24,'Dados StatusInvest'!$A:$AY,COLUMN(M24)-$A$5,0)</f>
        <v>35.6</v>
      </c>
      <c r="N24" s="63">
        <f>VLOOKUP($A24,'Dados StatusInvest'!$A:$AY,COLUMN(N24)-$A$5,0)</f>
        <v>37.23</v>
      </c>
      <c r="O24" s="56">
        <f>VLOOKUP($A24,'Dados StatusInvest'!$A:$AY,COLUMN(O24)-$A$5,0)/VLOOKUP($A24,'Dados StatusInvest'!$A:$AY,2,0)*$E24</f>
        <v>20.85942857</v>
      </c>
      <c r="P24" s="56">
        <f>VLOOKUP($A24,'Dados StatusInvest'!$A:$AY,COLUMN(P24)-$A$5,0)-VLOOKUP($A24,'Dados StatusInvest'!$A:$AY,COLUMN(P24)-$A$5-1,0)+O24</f>
        <v>21.03942857</v>
      </c>
      <c r="Q24" s="59">
        <f>VLOOKUP($A24,'Dados StatusInvest'!$A:$AY,COLUMN(Q24)-$A$5,0)</f>
        <v>0</v>
      </c>
      <c r="R24" s="59">
        <f>VLOOKUP($A24,'Dados StatusInvest'!$A:$AY,COLUMN(R24)-$A$5,0)</f>
        <v>0</v>
      </c>
      <c r="S24" s="56">
        <f>VLOOKUP($A24,'Dados StatusInvest'!$A:$AY,COLUMN(S24)-$A$5,0)/VLOOKUP($A24,'Dados StatusInvest'!$A:$AY,2,0)*$E24</f>
        <v>7.429102041</v>
      </c>
      <c r="T24" s="57">
        <f>VLOOKUP($A24,'Dados StatusInvest'!$A:$AY,COLUMN(T24)-$A$5,0)/VLOOKUP($A24,'Dados StatusInvest'!$A:$AY,2,0)*$E24</f>
        <v>6.115040816</v>
      </c>
      <c r="U24" s="59">
        <f>VLOOKUP($A24,'Dados StatusInvest'!$A:$AY,COLUMN(U24)-$A$5,0)</f>
        <v>-1.19</v>
      </c>
      <c r="V24" s="60">
        <f>VLOOKUP($A24,'Dados StatusInvest'!$A:$AY,COLUMN(V24)-$A$5,0)</f>
        <v>1.08</v>
      </c>
      <c r="W24" s="61">
        <f>VLOOKUP($A24,'Dados StatusInvest'!$A:$AY,COLUMN(W24)-$A$5,0)</f>
        <v>13.87</v>
      </c>
      <c r="X24" s="61">
        <f>VLOOKUP($A24,'Dados StatusInvest'!$A:$AY,COLUMN(X24)-$A$5,0)</f>
        <v>1.61</v>
      </c>
      <c r="Y24" s="60">
        <f>VLOOKUP($A24,'Dados StatusInvest'!$A:$AY,COLUMN(Y24)-$A$5,0)</f>
        <v>0</v>
      </c>
      <c r="Z24" s="59">
        <f>VLOOKUP($A24,'Dados StatusInvest'!$A:$AY,COLUMN(Z24)-$A$5,0)</f>
        <v>0.12</v>
      </c>
      <c r="AA24" s="59">
        <f>VLOOKUP($A24,'Dados StatusInvest'!$A:$AY,COLUMN(AA24)-$A$5,0)</f>
        <v>0.88</v>
      </c>
      <c r="AB24" s="59">
        <f>VLOOKUP($A24,'Dados StatusInvest'!$A:$AY,COLUMN(AB24)-$A$5,0)</f>
        <v>0.04</v>
      </c>
      <c r="AC24" s="59">
        <f>VLOOKUP($A24,'Dados StatusInvest'!$A:$AY,COLUMN(AC24)-$A$5,0)</f>
        <v>2.49</v>
      </c>
      <c r="AD24" s="60">
        <f>VLOOKUP($A24,'Dados StatusInvest'!$A:$AY,COLUMN(AD24)-$A$5,0)</f>
        <v>45.84</v>
      </c>
      <c r="AE24" s="62">
        <f>VLOOKUP($A24,'Dados StatusInvest'!$A:$AY,COLUMN(AE24)-$A$5,0)</f>
        <v>304905653.4</v>
      </c>
      <c r="AF24" s="18"/>
    </row>
    <row r="25">
      <c r="A25" s="10" t="s">
        <v>71</v>
      </c>
      <c r="B25" s="39" t="str">
        <f>VLOOKUP(lEFT($A25,4),Setor!$A:$E,3,0)</f>
        <v>Consumo não Cíclico</v>
      </c>
      <c r="C25" s="39" t="str">
        <f>VLOOKUP(lEFT($A25,4),Setor!$A:$E,4,0)</f>
        <v>Bebidas</v>
      </c>
      <c r="D25" s="39" t="str">
        <f>VLOOKUP(lEFT($A25,4),Setor!$A:$E,5,0)</f>
        <v>Cervejas e Refrigerantes</v>
      </c>
      <c r="E25" s="17">
        <f>IFERROR(__xludf.DUMMYFUNCTION("GOOGLEFINANCE(A25)"),15.18)</f>
        <v>15.18</v>
      </c>
      <c r="F25" s="17">
        <f>IFERROR(__xludf.DUMMYFUNCTION("GOOGLEFINANCE($A25,""high52"")"),19.86)</f>
        <v>19.86</v>
      </c>
      <c r="G25" s="16">
        <f t="shared" si="1"/>
        <v>-0.2356495468</v>
      </c>
      <c r="H25" s="40">
        <f>VLOOKUP($A25,'Dados StatusInvest'!$A:$AY,column(H25)-$A$5,0)*VLOOKUP($A25,'Dados StatusInvest'!$A:$AY,2,0)/$E25/100</f>
        <v>0.03227193676</v>
      </c>
      <c r="I25" s="41">
        <f>VLOOKUP($A25,'Dados StatusInvest'!$A:$AY,column(I25)-$A$5,0)/VLOOKUP($A25,'Dados StatusInvest'!$A:$AY,2,0)*$E25</f>
        <v>16.39480159</v>
      </c>
      <c r="J25" s="41">
        <f>VLOOKUP($A25,'Dados StatusInvest'!$A:$AY,column(J25)-$A$5,0)/VLOOKUP($A25,'Dados StatusInvest'!$A:$AY,2,0)*$E25</f>
        <v>3.031984127</v>
      </c>
      <c r="K25" s="42">
        <f>VLOOKUP($A25,'Dados StatusInvest'!$A:$AY,column(K25)-$A$5,0)/VLOOKUP($A25,'Dados StatusInvest'!$A:$AY,2,0)*$E25</f>
        <v>1.917579365</v>
      </c>
      <c r="L25" s="43">
        <f>VLOOKUP($A25,'Dados StatusInvest'!$A:$AY,column(L25)-$A$5,0)/100</f>
        <v>0.5259</v>
      </c>
      <c r="M25" s="44">
        <f>VLOOKUP($A25,'Dados StatusInvest'!$A:$AY,column(M25)-$A$5,0)</f>
        <v>28.38</v>
      </c>
      <c r="N25" s="44">
        <f>VLOOKUP($A25,'Dados StatusInvest'!$A:$AY,column(N25)-$A$5,0)</f>
        <v>21.91</v>
      </c>
      <c r="O25" s="41">
        <f>VLOOKUP($A25,'Dados StatusInvest'!$A:$AY,column(O25)-$A$5,0)/VLOOKUP($A25,'Dados StatusInvest'!$A:$AY,2,0)*$E25</f>
        <v>12.66003968</v>
      </c>
      <c r="P25" s="41">
        <f>VLOOKUP($A25,'Dados StatusInvest'!$A:$AY,column(P25)-$A$5,0)-VLOOKUP($A25,'Dados StatusInvest'!$A:$AY,column(P25)-$A$5-1,0)+O25</f>
        <v>12.09003968</v>
      </c>
      <c r="Q25" s="44">
        <f>VLOOKUP($A25,'Dados StatusInvest'!$A:$AY,column(Q25)-$A$5,0)</f>
        <v>-0.61</v>
      </c>
      <c r="R25" s="44">
        <f>VLOOKUP($A25,'Dados StatusInvest'!$A:$AY,column(R25)-$A$5,0)</f>
        <v>-0.15</v>
      </c>
      <c r="S25" s="41">
        <f>VLOOKUP($A25,'Dados StatusInvest'!$A:$AY,column(S25)-$A$5,0)/VLOOKUP($A25,'Dados StatusInvest'!$A:$AY,2,0)*$E25</f>
        <v>3.594206349</v>
      </c>
      <c r="T25" s="42">
        <f>VLOOKUP($A25,'Dados StatusInvest'!$A:$AY,column(T25)-$A$5,0)/VLOOKUP($A25,'Dados StatusInvest'!$A:$AY,2,0)*$E25</f>
        <v>61.05130952</v>
      </c>
      <c r="U25" s="44">
        <f>VLOOKUP($A25,'Dados StatusInvest'!$A:$AY,column(U25)-$A$5,0)</f>
        <v>-2.59</v>
      </c>
      <c r="V25" s="45">
        <f>VLOOKUP($A25,'Dados StatusInvest'!$A:$AY,column(V25)-$A$5,0)</f>
        <v>1.14</v>
      </c>
      <c r="W25" s="45">
        <f>VLOOKUP($A25,'Dados StatusInvest'!$A:$AY,column(W25)-$A$5,0)</f>
        <v>18.47</v>
      </c>
      <c r="X25" s="45">
        <f>VLOOKUP($A25,'Dados StatusInvest'!$A:$AY,column(X25)-$A$5,0)</f>
        <v>11.71</v>
      </c>
      <c r="Y25" s="45">
        <f>VLOOKUP($A25,'Dados StatusInvest'!$A:$AY,column(Y25)-$A$5,0)</f>
        <v>19.69</v>
      </c>
      <c r="Z25" s="44">
        <f>VLOOKUP($A25,'Dados StatusInvest'!$A:$AY,column(Z25)-$A$5,0)</f>
        <v>0.63</v>
      </c>
      <c r="AA25" s="44">
        <f>VLOOKUP($A25,'Dados StatusInvest'!$A:$AY,column(AA25)-$A$5,0)</f>
        <v>0.36</v>
      </c>
      <c r="AB25" s="44">
        <f>VLOOKUP($A25,'Dados StatusInvest'!$A:$AY,column(AB25)-$A$5,0)</f>
        <v>0.53</v>
      </c>
      <c r="AC25" s="44">
        <f>VLOOKUP($A25,'Dados StatusInvest'!$A:$AY,column(AC25)-$A$5,0)</f>
        <v>4.56</v>
      </c>
      <c r="AD25" s="45">
        <f>VLOOKUP($A25,'Dados StatusInvest'!$A:$AY,column(AD25)-$A$5,0)</f>
        <v>3.24</v>
      </c>
      <c r="AE25" s="46">
        <f>VLOOKUP($A25,'Dados StatusInvest'!$A:$AY,column(AE25)-$A$5,0)</f>
        <v>389417539.8</v>
      </c>
      <c r="AF25" s="50"/>
    </row>
    <row r="26">
      <c r="A26" s="10" t="s">
        <v>72</v>
      </c>
      <c r="B26" s="39" t="str">
        <f>VLOOKUP(lEFT($A26,4),Setor!$A:$E,3,0)</f>
        <v>Petróleo, Gás e Biocombustíveis</v>
      </c>
      <c r="C26" s="39" t="str">
        <f>VLOOKUP(lEFT($A26,4),Setor!$A:$E,4,0)</f>
        <v>Petróleo, Gás e Biocombustíveis</v>
      </c>
      <c r="D26" s="39" t="str">
        <f>VLOOKUP(lEFT($A26,4),Setor!$A:$E,5,0)</f>
        <v>Exploração, Refino e Distribuição</v>
      </c>
      <c r="E26" s="17">
        <f>IFERROR(__xludf.DUMMYFUNCTION("GOOGLEFINANCE(A26)"),26.6)</f>
        <v>26.6</v>
      </c>
      <c r="F26" s="17">
        <f>IFERROR(__xludf.DUMMYFUNCTION("GOOGLEFINANCE($A26,""high52"")"),27.67)</f>
        <v>27.67</v>
      </c>
      <c r="G26" s="16">
        <f t="shared" si="1"/>
        <v>-0.03867003975</v>
      </c>
      <c r="H26" s="40">
        <f>VLOOKUP($A26,'Dados StatusInvest'!$A:$AY,column(H26)-$A$5,0)*VLOOKUP($A26,'Dados StatusInvest'!$A:$AY,2,0)/$E26/100</f>
        <v>0</v>
      </c>
      <c r="I26" s="41">
        <f>VLOOKUP($A26,'Dados StatusInvest'!$A:$AY,column(I26)-$A$5,0)/VLOOKUP($A26,'Dados StatusInvest'!$A:$AY,2,0)*$E26</f>
        <v>27.07230827</v>
      </c>
      <c r="J26" s="41">
        <f>VLOOKUP($A26,'Dados StatusInvest'!$A:$AY,column(J26)-$A$5,0)/VLOOKUP($A26,'Dados StatusInvest'!$A:$AY,2,0)*$E26</f>
        <v>4.311069135</v>
      </c>
      <c r="K26" s="42">
        <f>VLOOKUP($A26,'Dados StatusInvest'!$A:$AY,column(K26)-$A$5,0)/VLOOKUP($A26,'Dados StatusInvest'!$A:$AY,2,0)*$E26</f>
        <v>2.220853797</v>
      </c>
      <c r="L26" s="43">
        <f>VLOOKUP($A26,'Dados StatusInvest'!$A:$AY,column(L26)-$A$5,0)/100</f>
        <v>0.488</v>
      </c>
      <c r="M26" s="47">
        <f>VLOOKUP($A26,'Dados StatusInvest'!$A:$AY,column(M26)-$A$5,0)</f>
        <v>47.81</v>
      </c>
      <c r="N26" s="47">
        <f>VLOOKUP($A26,'Dados StatusInvest'!$A:$AY,column(N26)-$A$5,0)</f>
        <v>28.33</v>
      </c>
      <c r="O26" s="41">
        <f>VLOOKUP($A26,'Dados StatusInvest'!$A:$AY,column(O26)-$A$5,0)/VLOOKUP($A26,'Dados StatusInvest'!$A:$AY,2,0)*$E26</f>
        <v>16.03838308</v>
      </c>
      <c r="P26" s="41">
        <f>VLOOKUP($A26,'Dados StatusInvest'!$A:$AY,column(P26)-$A$5,0)-VLOOKUP($A26,'Dados StatusInvest'!$A:$AY,column(P26)-$A$5-1,0)+O26</f>
        <v>15.81838308</v>
      </c>
      <c r="Q26" s="44">
        <f>VLOOKUP($A26,'Dados StatusInvest'!$A:$AY,column(Q26)-$A$5,0)</f>
        <v>-0.45</v>
      </c>
      <c r="R26" s="44">
        <f>VLOOKUP($A26,'Dados StatusInvest'!$A:$AY,column(R26)-$A$5,0)</f>
        <v>-0.12</v>
      </c>
      <c r="S26" s="41">
        <f>VLOOKUP($A26,'Dados StatusInvest'!$A:$AY,column(S26)-$A$5,0)/VLOOKUP($A26,'Dados StatusInvest'!$A:$AY,2,0)*$E26</f>
        <v>7.667472611</v>
      </c>
      <c r="T26" s="42">
        <f>VLOOKUP($A26,'Dados StatusInvest'!$A:$AY,column(T26)-$A$5,0)/VLOOKUP($A26,'Dados StatusInvest'!$A:$AY,2,0)*$E26</f>
        <v>5.06475255</v>
      </c>
      <c r="U26" s="47">
        <f>VLOOKUP($A26,'Dados StatusInvest'!$A:$AY,column(U26)-$A$5,0)</f>
        <v>-4.66</v>
      </c>
      <c r="V26" s="45">
        <f>VLOOKUP($A26,'Dados StatusInvest'!$A:$AY,column(V26)-$A$5,0)</f>
        <v>6.1</v>
      </c>
      <c r="W26" s="45">
        <f>VLOOKUP($A26,'Dados StatusInvest'!$A:$AY,column(W26)-$A$5,0)</f>
        <v>15.92</v>
      </c>
      <c r="X26" s="45">
        <f>VLOOKUP($A26,'Dados StatusInvest'!$A:$AY,column(X26)-$A$5,0)</f>
        <v>8.22</v>
      </c>
      <c r="Y26" s="45">
        <f>VLOOKUP($A26,'Dados StatusInvest'!$A:$AY,column(Y26)-$A$5,0)</f>
        <v>13.47</v>
      </c>
      <c r="Z26" s="44">
        <f>VLOOKUP($A26,'Dados StatusInvest'!$A:$AY,column(Z26)-$A$5,0)</f>
        <v>0.52</v>
      </c>
      <c r="AA26" s="44">
        <f>VLOOKUP($A26,'Dados StatusInvest'!$A:$AY,column(AA26)-$A$5,0)</f>
        <v>0.48</v>
      </c>
      <c r="AB26" s="44">
        <f>VLOOKUP($A26,'Dados StatusInvest'!$A:$AY,column(AB26)-$A$5,0)</f>
        <v>0.29</v>
      </c>
      <c r="AC26" s="44">
        <f>VLOOKUP($A26,'Dados StatusInvest'!$A:$AY,column(AC26)-$A$5,0)</f>
        <v>49.72</v>
      </c>
      <c r="AD26" s="45">
        <f>VLOOKUP($A26,'Dados StatusInvest'!$A:$AY,column(AD26)-$A$5,0)</f>
        <v>50.87</v>
      </c>
      <c r="AE26" s="46">
        <f>VLOOKUP($A26,'Dados StatusInvest'!$A:$AY,column(AE26)-$A$5,0)</f>
        <v>517046859.5</v>
      </c>
      <c r="AF26" s="18"/>
    </row>
    <row r="27">
      <c r="A27" s="10" t="s">
        <v>73</v>
      </c>
      <c r="B27" s="39" t="str">
        <f>VLOOKUP(lEFT($A27,4),Setor!$A:$E,3,0)</f>
        <v>Bens Industriais</v>
      </c>
      <c r="C27" s="39" t="str">
        <f>VLOOKUP(lEFT($A27,4),Setor!$A:$E,4,0)</f>
        <v>Máquinas e Equipamentos</v>
      </c>
      <c r="D27" s="39" t="str">
        <f>VLOOKUP(lEFT($A27,4),Setor!$A:$E,5,0)</f>
        <v>Motores, Compressores e Outros</v>
      </c>
      <c r="E27" s="17">
        <f>IFERROR(__xludf.DUMMYFUNCTION("GOOGLEFINANCE(A27)"),38.11)</f>
        <v>38.11</v>
      </c>
      <c r="F27" s="17">
        <f>IFERROR(__xludf.DUMMYFUNCTION("GOOGLEFINANCE($A27,""high52"")"),46.93)</f>
        <v>46.93</v>
      </c>
      <c r="G27" s="16">
        <f t="shared" si="1"/>
        <v>-0.1879394843</v>
      </c>
      <c r="H27" s="40">
        <f>VLOOKUP($A27,'Dados StatusInvest'!$A:$AY,column(H27)-$A$5,0)*VLOOKUP($A27,'Dados StatusInvest'!$A:$AY,2,0)/$E27/100</f>
        <v>0.01071403831</v>
      </c>
      <c r="I27" s="41">
        <f>VLOOKUP($A27,'Dados StatusInvest'!$A:$AY,column(I27)-$A$5,0)/VLOOKUP($A27,'Dados StatusInvest'!$A:$AY,2,0)*$E27</f>
        <v>48.85590147</v>
      </c>
      <c r="J27" s="41">
        <f>VLOOKUP($A27,'Dados StatusInvest'!$A:$AY,column(J27)-$A$5,0)/VLOOKUP($A27,'Dados StatusInvest'!$A:$AY,2,0)*$E27</f>
        <v>13.41240304</v>
      </c>
      <c r="K27" s="42">
        <f>VLOOKUP($A27,'Dados StatusInvest'!$A:$AY,column(K27)-$A$5,0)/VLOOKUP($A27,'Dados StatusInvest'!$A:$AY,2,0)*$E27</f>
        <v>7.500159853</v>
      </c>
      <c r="L27" s="43">
        <f>VLOOKUP($A27,'Dados StatusInvest'!$A:$AY,column(L27)-$A$5,0)/100</f>
        <v>0.3156</v>
      </c>
      <c r="M27" s="44">
        <f>VLOOKUP($A27,'Dados StatusInvest'!$A:$AY,column(M27)-$A$5,0)</f>
        <v>18.7</v>
      </c>
      <c r="N27" s="44">
        <f>VLOOKUP($A27,'Dados StatusInvest'!$A:$AY,column(N27)-$A$5,0)</f>
        <v>16.01</v>
      </c>
      <c r="O27" s="41">
        <f>VLOOKUP($A27,'Dados StatusInvest'!$A:$AY,column(O27)-$A$5,0)/VLOOKUP($A27,'Dados StatusInvest'!$A:$AY,2,0)*$E27</f>
        <v>41.82512579</v>
      </c>
      <c r="P27" s="41">
        <f>VLOOKUP($A27,'Dados StatusInvest'!$A:$AY,column(P27)-$A$5,0)-VLOOKUP($A27,'Dados StatusInvest'!$A:$AY,column(P27)-$A$5-1,0)+O27</f>
        <v>41.24512579</v>
      </c>
      <c r="Q27" s="44">
        <f>VLOOKUP($A27,'Dados StatusInvest'!$A:$AY,column(Q27)-$A$5,0)</f>
        <v>-0.6</v>
      </c>
      <c r="R27" s="44">
        <f>VLOOKUP($A27,'Dados StatusInvest'!$A:$AY,column(R27)-$A$5,0)</f>
        <v>-0.19</v>
      </c>
      <c r="S27" s="41">
        <f>VLOOKUP($A27,'Dados StatusInvest'!$A:$AY,column(S27)-$A$5,0)/VLOOKUP($A27,'Dados StatusInvest'!$A:$AY,2,0)*$E27</f>
        <v>7.819740566</v>
      </c>
      <c r="T27" s="42">
        <f>VLOOKUP($A27,'Dados StatusInvest'!$A:$AY,column(T27)-$A$5,0)/VLOOKUP($A27,'Dados StatusInvest'!$A:$AY,2,0)*$E27</f>
        <v>24.37801625</v>
      </c>
      <c r="U27" s="44">
        <f>VLOOKUP($A27,'Dados StatusInvest'!$A:$AY,column(U27)-$A$5,0)</f>
        <v>-21.66</v>
      </c>
      <c r="V27" s="45">
        <f>VLOOKUP($A27,'Dados StatusInvest'!$A:$AY,column(V27)-$A$5,0)</f>
        <v>1.89</v>
      </c>
      <c r="W27" s="45">
        <f>VLOOKUP($A27,'Dados StatusInvest'!$A:$AY,column(W27)-$A$5,0)</f>
        <v>27.45</v>
      </c>
      <c r="X27" s="45">
        <f>VLOOKUP($A27,'Dados StatusInvest'!$A:$AY,column(X27)-$A$5,0)</f>
        <v>15.34</v>
      </c>
      <c r="Y27" s="45">
        <f>VLOOKUP($A27,'Dados StatusInvest'!$A:$AY,column(Y27)-$A$5,0)</f>
        <v>23.29</v>
      </c>
      <c r="Z27" s="44">
        <f>VLOOKUP($A27,'Dados StatusInvest'!$A:$AY,column(Z27)-$A$5,0)</f>
        <v>0.56</v>
      </c>
      <c r="AA27" s="44">
        <f>VLOOKUP($A27,'Dados StatusInvest'!$A:$AY,column(AA27)-$A$5,0)</f>
        <v>0.42</v>
      </c>
      <c r="AB27" s="44">
        <f>VLOOKUP($A27,'Dados StatusInvest'!$A:$AY,column(AB27)-$A$5,0)</f>
        <v>0.96</v>
      </c>
      <c r="AC27" s="44">
        <f>VLOOKUP($A27,'Dados StatusInvest'!$A:$AY,column(AC27)-$A$5,0)</f>
        <v>12.35</v>
      </c>
      <c r="AD27" s="45">
        <f>VLOOKUP($A27,'Dados StatusInvest'!$A:$AY,column(AD27)-$A$5,0)</f>
        <v>23.23</v>
      </c>
      <c r="AE27" s="46">
        <f>VLOOKUP($A27,'Dados StatusInvest'!$A:$AY,column(AE27)-$A$5,0)</f>
        <v>339606045.2</v>
      </c>
      <c r="AF27" s="18"/>
    </row>
    <row r="28">
      <c r="A28" s="10" t="s">
        <v>74</v>
      </c>
      <c r="B28" s="52" t="str">
        <f>VLOOKUP(LEFT($A28,4),Setor!$A:$E,3,0)</f>
        <v>Tecnologia da Informação</v>
      </c>
      <c r="C28" s="52" t="str">
        <f>VLOOKUP(LEFT($A28,4),Setor!$A:$E,4,0)</f>
        <v>Programas e Serviços</v>
      </c>
      <c r="D28" s="52" t="str">
        <f>VLOOKUP(LEFT($A28,4),Setor!$A:$E,5,0)</f>
        <v>Programas e Serviços</v>
      </c>
      <c r="E28" s="53">
        <f>IFERROR(__xludf.DUMMYFUNCTION("GOOGLEFINANCE(A28)"),5.71)</f>
        <v>5.71</v>
      </c>
      <c r="F28" s="53">
        <f>IFERROR(__xludf.DUMMYFUNCTION("GOOGLEFINANCE($A28,""high52"")"),12.81)</f>
        <v>12.81</v>
      </c>
      <c r="G28" s="54">
        <f t="shared" si="1"/>
        <v>-0.5542544887</v>
      </c>
      <c r="H28" s="55">
        <f>VLOOKUP($A28,'Dados StatusInvest'!$A:$AY,COLUMN(H28)-$A$5,0)*VLOOKUP($A28,'Dados StatusInvest'!$A:$AY,2,0)/$E28/100</f>
        <v>0.001121190893</v>
      </c>
      <c r="I28" s="56">
        <f>VLOOKUP($A28,'Dados StatusInvest'!$A:$AY,COLUMN(I28)-$A$5,0)/VLOOKUP($A28,'Dados StatusInvest'!$A:$AY,2,0)*$E28</f>
        <v>1047.137474</v>
      </c>
      <c r="J28" s="56">
        <f>VLOOKUP($A28,'Dados StatusInvest'!$A:$AY,COLUMN(J28)-$A$5,0)/VLOOKUP($A28,'Dados StatusInvest'!$A:$AY,2,0)*$E28</f>
        <v>13.04862543</v>
      </c>
      <c r="K28" s="57">
        <f>VLOOKUP($A28,'Dados StatusInvest'!$A:$AY,COLUMN(K28)-$A$5,0)/VLOOKUP($A28,'Dados StatusInvest'!$A:$AY,2,0)*$E28</f>
        <v>10.68417526</v>
      </c>
      <c r="L28" s="58">
        <f>VLOOKUP($A28,'Dados StatusInvest'!$A:$AY,COLUMN(L28)-$A$5,0)/100</f>
        <v>0.0372</v>
      </c>
      <c r="M28" s="59">
        <f>VLOOKUP($A28,'Dados StatusInvest'!$A:$AY,COLUMN(M28)-$A$5,0)</f>
        <v>3.72</v>
      </c>
      <c r="N28" s="59">
        <f>VLOOKUP($A28,'Dados StatusInvest'!$A:$AY,COLUMN(N28)-$A$5,0)</f>
        <v>2.5</v>
      </c>
      <c r="O28" s="56">
        <f>VLOOKUP($A28,'Dados StatusInvest'!$A:$AY,COLUMN(O28)-$A$5,0)/VLOOKUP($A28,'Dados StatusInvest'!$A:$AY,2,0)*$E28</f>
        <v>703.6544845</v>
      </c>
      <c r="P28" s="56">
        <f>VLOOKUP($A28,'Dados StatusInvest'!$A:$AY,COLUMN(P28)-$A$5,0)-VLOOKUP($A28,'Dados StatusInvest'!$A:$AY,COLUMN(P28)-$A$5-1,0)+O28</f>
        <v>680.1444845</v>
      </c>
      <c r="Q28" s="59">
        <f>VLOOKUP($A28,'Dados StatusInvest'!$A:$AY,COLUMN(Q28)-$A$5,0)</f>
        <v>-29.68</v>
      </c>
      <c r="R28" s="59">
        <f>VLOOKUP($A28,'Dados StatusInvest'!$A:$AY,COLUMN(R28)-$A$5,0)</f>
        <v>-0.55</v>
      </c>
      <c r="S28" s="56">
        <f>VLOOKUP($A28,'Dados StatusInvest'!$A:$AY,COLUMN(S28)-$A$5,0)/VLOOKUP($A28,'Dados StatusInvest'!$A:$AY,2,0)*$E28</f>
        <v>26.17573883</v>
      </c>
      <c r="T28" s="57">
        <f>VLOOKUP($A28,'Dados StatusInvest'!$A:$AY,COLUMN(T28)-$A$5,0)/VLOOKUP($A28,'Dados StatusInvest'!$A:$AY,2,0)*$E28</f>
        <v>21.80003436</v>
      </c>
      <c r="U28" s="59">
        <f>VLOOKUP($A28,'Dados StatusInvest'!$A:$AY,COLUMN(U28)-$A$5,0)</f>
        <v>-24.08</v>
      </c>
      <c r="V28" s="60">
        <f>VLOOKUP($A28,'Dados StatusInvest'!$A:$AY,COLUMN(V28)-$A$5,0)</f>
        <v>9.54</v>
      </c>
      <c r="W28" s="60">
        <f>VLOOKUP($A28,'Dados StatusInvest'!$A:$AY,COLUMN(W28)-$A$5,0)</f>
        <v>1.25</v>
      </c>
      <c r="X28" s="60">
        <f>VLOOKUP($A28,'Dados StatusInvest'!$A:$AY,COLUMN(X28)-$A$5,0)</f>
        <v>1.02</v>
      </c>
      <c r="Y28" s="60">
        <f>VLOOKUP($A28,'Dados StatusInvest'!$A:$AY,COLUMN(Y28)-$A$5,0)</f>
        <v>1.08</v>
      </c>
      <c r="Z28" s="59">
        <f>VLOOKUP($A28,'Dados StatusInvest'!$A:$AY,COLUMN(Z28)-$A$5,0)</f>
        <v>0.82</v>
      </c>
      <c r="AA28" s="59">
        <f>VLOOKUP($A28,'Dados StatusInvest'!$A:$AY,COLUMN(AA28)-$A$5,0)</f>
        <v>0.14</v>
      </c>
      <c r="AB28" s="59">
        <f>VLOOKUP($A28,'Dados StatusInvest'!$A:$AY,COLUMN(AB28)-$A$5,0)</f>
        <v>0.41</v>
      </c>
      <c r="AC28" s="59">
        <f>VLOOKUP($A28,'Dados StatusInvest'!$A:$AY,COLUMN(AC28)-$A$5,0)</f>
        <v>0</v>
      </c>
      <c r="AD28" s="60">
        <f>VLOOKUP($A28,'Dados StatusInvest'!$A:$AY,COLUMN(AD28)-$A$5,0)</f>
        <v>0</v>
      </c>
      <c r="AE28" s="62">
        <f>VLOOKUP($A28,'Dados StatusInvest'!$A:$AY,COLUMN(AE28)-$A$5,0)</f>
        <v>337927346.8</v>
      </c>
      <c r="AF28" s="18"/>
    </row>
    <row r="29">
      <c r="A29" s="10" t="s">
        <v>75</v>
      </c>
      <c r="B29" s="39" t="str">
        <f>VLOOKUP(lEFT($A29,4),Setor!$A:$E,3,0)</f>
        <v>Consumo Cíclico</v>
      </c>
      <c r="C29" s="39" t="str">
        <f>VLOOKUP(lEFT($A29,4),Setor!$A:$E,4,0)</f>
        <v>Comércio</v>
      </c>
      <c r="D29" s="39" t="str">
        <f>VLOOKUP(lEFT($A29,4),Setor!$A:$E,5,0)</f>
        <v>Tecidos, Vestuário e Calçados</v>
      </c>
      <c r="E29" s="17">
        <f>IFERROR(__xludf.DUMMYFUNCTION("GOOGLEFINANCE(A29)"),35.25)</f>
        <v>35.25</v>
      </c>
      <c r="F29" s="17">
        <f>IFERROR(__xludf.DUMMYFUNCTION("GOOGLEFINANCE($A29,""high52"")"),49.9)</f>
        <v>49.9</v>
      </c>
      <c r="G29" s="16">
        <f t="shared" si="1"/>
        <v>-0.2935871743</v>
      </c>
      <c r="H29" s="40">
        <f>VLOOKUP($A29,'Dados StatusInvest'!$A:$AY,column(H29)-$A$5,0)*VLOOKUP($A29,'Dados StatusInvest'!$A:$AY,2,0)/$E29/100</f>
        <v>0.01178893617</v>
      </c>
      <c r="I29" s="41">
        <f>VLOOKUP($A29,'Dados StatusInvest'!$A:$AY,column(I29)-$A$5,0)/VLOOKUP($A29,'Dados StatusInvest'!$A:$AY,2,0)*$E29</f>
        <v>101.1388969</v>
      </c>
      <c r="J29" s="41">
        <f>VLOOKUP($A29,'Dados StatusInvest'!$A:$AY,column(J29)-$A$5,0)/VLOOKUP($A29,'Dados StatusInvest'!$A:$AY,2,0)*$E29</f>
        <v>3.389618828</v>
      </c>
      <c r="K29" s="42">
        <f>VLOOKUP($A29,'Dados StatusInvest'!$A:$AY,column(K29)-$A$5,0)/VLOOKUP($A29,'Dados StatusInvest'!$A:$AY,2,0)*$E29</f>
        <v>1.689719896</v>
      </c>
      <c r="L29" s="43">
        <f>VLOOKUP($A29,'Dados StatusInvest'!$A:$AY,column(L29)-$A$5,0)/100</f>
        <v>0.5635</v>
      </c>
      <c r="M29" s="44">
        <f>VLOOKUP($A29,'Dados StatusInvest'!$A:$AY,column(M29)-$A$5,0)</f>
        <v>5.6</v>
      </c>
      <c r="N29" s="47">
        <f>VLOOKUP($A29,'Dados StatusInvest'!$A:$AY,column(N29)-$A$5,0)</f>
        <v>3.51</v>
      </c>
      <c r="O29" s="41">
        <f>VLOOKUP($A29,'Dados StatusInvest'!$A:$AY,column(O29)-$A$5,0)/VLOOKUP($A29,'Dados StatusInvest'!$A:$AY,2,0)*$E29</f>
        <v>63.29324285</v>
      </c>
      <c r="P29" s="41">
        <f>VLOOKUP($A29,'Dados StatusInvest'!$A:$AY,column(P29)-$A$5,0)-VLOOKUP($A29,'Dados StatusInvest'!$A:$AY,column(P29)-$A$5-1,0)+O29</f>
        <v>59.27324285</v>
      </c>
      <c r="Q29" s="44">
        <f>VLOOKUP($A29,'Dados StatusInvest'!$A:$AY,column(Q29)-$A$5,0)</f>
        <v>-4.45</v>
      </c>
      <c r="R29" s="44">
        <f>VLOOKUP($A29,'Dados StatusInvest'!$A:$AY,column(R29)-$A$5,0)</f>
        <v>-0.24</v>
      </c>
      <c r="S29" s="41">
        <f>VLOOKUP($A29,'Dados StatusInvest'!$A:$AY,column(S29)-$A$5,0)/VLOOKUP($A29,'Dados StatusInvest'!$A:$AY,2,0)*$E29</f>
        <v>3.54230436</v>
      </c>
      <c r="T29" s="42">
        <f>VLOOKUP($A29,'Dados StatusInvest'!$A:$AY,column(T29)-$A$5,0)/VLOOKUP($A29,'Dados StatusInvest'!$A:$AY,2,0)*$E29</f>
        <v>4.153046491</v>
      </c>
      <c r="U29" s="44">
        <f>VLOOKUP($A29,'Dados StatusInvest'!$A:$AY,column(U29)-$A$5,0)</f>
        <v>-4.62</v>
      </c>
      <c r="V29" s="45">
        <f>VLOOKUP($A29,'Dados StatusInvest'!$A:$AY,column(V29)-$A$5,0)</f>
        <v>2.74</v>
      </c>
      <c r="W29" s="45">
        <f>VLOOKUP($A29,'Dados StatusInvest'!$A:$AY,column(W29)-$A$5,0)</f>
        <v>3.35</v>
      </c>
      <c r="X29" s="45">
        <f>VLOOKUP($A29,'Dados StatusInvest'!$A:$AY,column(X29)-$A$5,0)</f>
        <v>1.67</v>
      </c>
      <c r="Y29" s="45">
        <f>VLOOKUP($A29,'Dados StatusInvest'!$A:$AY,column(Y29)-$A$5,0)</f>
        <v>3.49</v>
      </c>
      <c r="Z29" s="44">
        <f>VLOOKUP($A29,'Dados StatusInvest'!$A:$AY,column(Z29)-$A$5,0)</f>
        <v>0.5</v>
      </c>
      <c r="AA29" s="44">
        <f>VLOOKUP($A29,'Dados StatusInvest'!$A:$AY,column(AA29)-$A$5,0)</f>
        <v>0.5</v>
      </c>
      <c r="AB29" s="44">
        <f>VLOOKUP($A29,'Dados StatusInvest'!$A:$AY,column(AB29)-$A$5,0)</f>
        <v>0.48</v>
      </c>
      <c r="AC29" s="44">
        <f>VLOOKUP($A29,'Dados StatusInvest'!$A:$AY,column(AC29)-$A$5,0)</f>
        <v>4.17</v>
      </c>
      <c r="AD29" s="45">
        <f>VLOOKUP($A29,'Dados StatusInvest'!$A:$AY,column(AD29)-$A$5,0)</f>
        <v>-11.56</v>
      </c>
      <c r="AE29" s="46">
        <f>VLOOKUP($A29,'Dados StatusInvest'!$A:$AY,column(AE29)-$A$5,0)</f>
        <v>295285663.2</v>
      </c>
      <c r="AF29" s="49"/>
    </row>
    <row r="30">
      <c r="A30" s="10" t="s">
        <v>76</v>
      </c>
      <c r="B30" s="39" t="str">
        <f>VLOOKUP(lEFT($A30,4),Setor!$A:$E,3,0)</f>
        <v>Petróleo, Gás e Biocombustíveis</v>
      </c>
      <c r="C30" s="39" t="str">
        <f>VLOOKUP(lEFT($A30,4),Setor!$A:$E,4,0)</f>
        <v>Petróleo, Gás e Biocombustíveis</v>
      </c>
      <c r="D30" s="39" t="str">
        <f>VLOOKUP(lEFT($A30,4),Setor!$A:$E,5,0)</f>
        <v>Exploração, Refino e Distribuição</v>
      </c>
      <c r="E30" s="17">
        <f>IFERROR(__xludf.DUMMYFUNCTION("GOOGLEFINANCE(A30)"),24.67)</f>
        <v>24.67</v>
      </c>
      <c r="F30" s="17">
        <f>IFERROR(__xludf.DUMMYFUNCTION("GOOGLEFINANCE($A30,""high52"")"),29.93)</f>
        <v>29.93</v>
      </c>
      <c r="G30" s="16">
        <f t="shared" si="1"/>
        <v>-0.1757434013</v>
      </c>
      <c r="H30" s="40">
        <f>VLOOKUP($A30,'Dados StatusInvest'!$A:$AY,column(H30)-$A$5,0)*VLOOKUP($A30,'Dados StatusInvest'!$A:$AY,2,0)/$E30/100</f>
        <v>0.09448139441</v>
      </c>
      <c r="I30" s="41">
        <f>VLOOKUP($A30,'Dados StatusInvest'!$A:$AY,column(I30)-$A$5,0)/VLOOKUP($A30,'Dados StatusInvest'!$A:$AY,2,0)*$E30</f>
        <v>6.593202862</v>
      </c>
      <c r="J30" s="41">
        <f>VLOOKUP($A30,'Dados StatusInvest'!$A:$AY,column(J30)-$A$5,0)/VLOOKUP($A30,'Dados StatusInvest'!$A:$AY,2,0)*$E30</f>
        <v>2.440004209</v>
      </c>
      <c r="K30" s="42">
        <f>VLOOKUP($A30,'Dados StatusInvest'!$A:$AY,column(K30)-$A$5,0)/VLOOKUP($A30,'Dados StatusInvest'!$A:$AY,2,0)*$E30</f>
        <v>1.007150673</v>
      </c>
      <c r="L30" s="43">
        <f>VLOOKUP($A30,'Dados StatusInvest'!$A:$AY,column(L30)-$A$5,0)/100</f>
        <v>0.0603</v>
      </c>
      <c r="M30" s="47">
        <f>VLOOKUP($A30,'Dados StatusInvest'!$A:$AY,column(M30)-$A$5,0)</f>
        <v>5.33</v>
      </c>
      <c r="N30" s="44">
        <f>VLOOKUP($A30,'Dados StatusInvest'!$A:$AY,column(N30)-$A$5,0)</f>
        <v>4.33</v>
      </c>
      <c r="O30" s="41">
        <f>VLOOKUP($A30,'Dados StatusInvest'!$A:$AY,column(O30)-$A$5,0)/VLOOKUP($A30,'Dados StatusInvest'!$A:$AY,2,0)*$E30</f>
        <v>5.357626263</v>
      </c>
      <c r="P30" s="41">
        <f>VLOOKUP($A30,'Dados StatusInvest'!$A:$AY,column(P30)-$A$5,0)-VLOOKUP($A30,'Dados StatusInvest'!$A:$AY,column(P30)-$A$5-1,0)+O30</f>
        <v>6.657626263</v>
      </c>
      <c r="Q30" s="44">
        <f>VLOOKUP($A30,'Dados StatusInvest'!$A:$AY,column(Q30)-$A$5,0)</f>
        <v>1.27</v>
      </c>
      <c r="R30" s="44">
        <f>VLOOKUP($A30,'Dados StatusInvest'!$A:$AY,column(R30)-$A$5,0)</f>
        <v>0.58</v>
      </c>
      <c r="S30" s="41">
        <f>VLOOKUP($A30,'Dados StatusInvest'!$A:$AY,column(S30)-$A$5,0)/VLOOKUP($A30,'Dados StatusInvest'!$A:$AY,2,0)*$E30</f>
        <v>0.2907239057</v>
      </c>
      <c r="T30" s="42">
        <f>VLOOKUP($A30,'Dados StatusInvest'!$A:$AY,column(T30)-$A$5,0)/VLOOKUP($A30,'Dados StatusInvest'!$A:$AY,2,0)*$E30</f>
        <v>3.229111953</v>
      </c>
      <c r="U30" s="44">
        <f>VLOOKUP($A30,'Dados StatusInvest'!$A:$AY,column(U30)-$A$5,0)</f>
        <v>-1.96</v>
      </c>
      <c r="V30" s="45">
        <f>VLOOKUP($A30,'Dados StatusInvest'!$A:$AY,column(V30)-$A$5,0)</f>
        <v>2.6</v>
      </c>
      <c r="W30" s="45">
        <f>VLOOKUP($A30,'Dados StatusInvest'!$A:$AY,column(W30)-$A$5,0)</f>
        <v>37</v>
      </c>
      <c r="X30" s="45">
        <f>VLOOKUP($A30,'Dados StatusInvest'!$A:$AY,column(X30)-$A$5,0)</f>
        <v>15.25</v>
      </c>
      <c r="Y30" s="45">
        <f>VLOOKUP($A30,'Dados StatusInvest'!$A:$AY,column(Y30)-$A$5,0)</f>
        <v>20.4</v>
      </c>
      <c r="Z30" s="44">
        <f>VLOOKUP($A30,'Dados StatusInvest'!$A:$AY,column(Z30)-$A$5,0)</f>
        <v>0.41</v>
      </c>
      <c r="AA30" s="44">
        <f>VLOOKUP($A30,'Dados StatusInvest'!$A:$AY,column(AA30)-$A$5,0)</f>
        <v>0.59</v>
      </c>
      <c r="AB30" s="44">
        <f>VLOOKUP($A30,'Dados StatusInvest'!$A:$AY,column(AB30)-$A$5,0)</f>
        <v>3.52</v>
      </c>
      <c r="AC30" s="44">
        <f>VLOOKUP($A30,'Dados StatusInvest'!$A:$AY,column(AC30)-$A$5,0)</f>
        <v>-3.48</v>
      </c>
      <c r="AD30" s="45">
        <f>VLOOKUP($A30,'Dados StatusInvest'!$A:$AY,column(AD30)-$A$5,0)</f>
        <v>0</v>
      </c>
      <c r="AE30" s="46">
        <f>VLOOKUP($A30,'Dados StatusInvest'!$A:$AY,column(AE30)-$A$5,0)</f>
        <v>274594337.3</v>
      </c>
      <c r="AF30" s="51"/>
    </row>
    <row r="31">
      <c r="A31" s="10" t="s">
        <v>77</v>
      </c>
      <c r="B31" s="39" t="str">
        <f>VLOOKUP(lEFT($A31,4),Setor!$A:$E,3,0)</f>
        <v>Financeiro</v>
      </c>
      <c r="C31" s="39" t="str">
        <f>VLOOKUP(lEFT($A31,4),Setor!$A:$E,4,0)</f>
        <v>Intermediários Financeiros</v>
      </c>
      <c r="D31" s="39" t="str">
        <f>VLOOKUP(lEFT($A31,4),Setor!$A:$E,5,0)</f>
        <v>Bancos</v>
      </c>
      <c r="E31" s="17">
        <f>IFERROR(__xludf.DUMMYFUNCTION("GOOGLEFINANCE(A31)"),47.59)</f>
        <v>47.59</v>
      </c>
      <c r="F31" s="17">
        <f>IFERROR(__xludf.DUMMYFUNCTION("GOOGLEFINANCE($A31,""high52"")"),86.77)</f>
        <v>86.77</v>
      </c>
      <c r="G31" s="16">
        <f t="shared" si="1"/>
        <v>-0.4515385502</v>
      </c>
      <c r="H31" s="40">
        <f>VLOOKUP($A31,'Dados StatusInvest'!$A:$AY,column(H31)-$A$5,0)*VLOOKUP($A31,'Dados StatusInvest'!$A:$AY,2,0)/$E31/100</f>
        <v>0.001025341458</v>
      </c>
      <c r="I31" s="41">
        <f>VLOOKUP($A31,'Dados StatusInvest'!$A:$AY,column(I31)-$A$5,0)/VLOOKUP($A31,'Dados StatusInvest'!$A:$AY,2,0)*$E31</f>
        <v>1520.863111</v>
      </c>
      <c r="J31" s="41">
        <f>VLOOKUP($A31,'Dados StatusInvest'!$A:$AY,column(J31)-$A$5,0)/VLOOKUP($A31,'Dados StatusInvest'!$A:$AY,2,0)*$E31</f>
        <v>4.731106853</v>
      </c>
      <c r="K31" s="42">
        <f>VLOOKUP($A31,'Dados StatusInvest'!$A:$AY,column(K31)-$A$5,0)/VLOOKUP($A31,'Dados StatusInvest'!$A:$AY,2,0)*$E31</f>
        <v>1.362472949</v>
      </c>
      <c r="L31" s="43">
        <f>VLOOKUP($A31,'Dados StatusInvest'!$A:$AY,column(L31)-$A$5,0)/100</f>
        <v>0.5779</v>
      </c>
      <c r="M31" s="44">
        <f>VLOOKUP($A31,'Dados StatusInvest'!$A:$AY,column(M31)-$A$5,0)</f>
        <v>-7.78</v>
      </c>
      <c r="N31" s="44">
        <f>VLOOKUP($A31,'Dados StatusInvest'!$A:$AY,column(N31)-$A$5,0)</f>
        <v>2.08</v>
      </c>
      <c r="O31" s="41">
        <f>VLOOKUP($A31,'Dados StatusInvest'!$A:$AY,column(O31)-$A$5,0)/VLOOKUP($A31,'Dados StatusInvest'!$A:$AY,2,0)*$E31</f>
        <v>-407.3364991</v>
      </c>
      <c r="P31" s="41">
        <f>VLOOKUP($A31,'Dados StatusInvest'!$A:$AY,column(P31)-$A$5,0)-VLOOKUP($A31,'Dados StatusInvest'!$A:$AY,column(P31)-$A$5-1,0)+O31</f>
        <v>-416.4064991</v>
      </c>
      <c r="Q31" s="44">
        <f>VLOOKUP($A31,'Dados StatusInvest'!$A:$AY,column(Q31)-$A$5,0)</f>
        <v>0</v>
      </c>
      <c r="R31" s="44">
        <f>VLOOKUP($A31,'Dados StatusInvest'!$A:$AY,column(R31)-$A$5,0)</f>
        <v>0</v>
      </c>
      <c r="S31" s="41">
        <f>VLOOKUP($A31,'Dados StatusInvest'!$A:$AY,column(S31)-$A$5,0)/VLOOKUP($A31,'Dados StatusInvest'!$A:$AY,2,0)*$E31</f>
        <v>31.70163436</v>
      </c>
      <c r="T31" s="42">
        <f>VLOOKUP($A31,'Dados StatusInvest'!$A:$AY,column(T31)-$A$5,0)/VLOOKUP($A31,'Dados StatusInvest'!$A:$AY,2,0)*$E31</f>
        <v>27.80732191</v>
      </c>
      <c r="U31" s="44">
        <f>VLOOKUP($A31,'Dados StatusInvest'!$A:$AY,column(U31)-$A$5,0)</f>
        <v>-2.61</v>
      </c>
      <c r="V31" s="45">
        <f>VLOOKUP($A31,'Dados StatusInvest'!$A:$AY,column(V31)-$A$5,0)</f>
        <v>1.11</v>
      </c>
      <c r="W31" s="45">
        <f>VLOOKUP($A31,'Dados StatusInvest'!$A:$AY,column(W31)-$A$5,0)</f>
        <v>0.31</v>
      </c>
      <c r="X31" s="45">
        <f>VLOOKUP($A31,'Dados StatusInvest'!$A:$AY,column(X31)-$A$5,0)</f>
        <v>0.09</v>
      </c>
      <c r="Y31" s="45">
        <f>VLOOKUP($A31,'Dados StatusInvest'!$A:$AY,column(Y31)-$A$5,0)</f>
        <v>0</v>
      </c>
      <c r="Z31" s="44">
        <f>VLOOKUP($A31,'Dados StatusInvest'!$A:$AY,column(Z31)-$A$5,0)</f>
        <v>0.29</v>
      </c>
      <c r="AA31" s="44">
        <f>VLOOKUP($A31,'Dados StatusInvest'!$A:$AY,column(AA31)-$A$5,0)</f>
        <v>0.71</v>
      </c>
      <c r="AB31" s="44">
        <f>VLOOKUP($A31,'Dados StatusInvest'!$A:$AY,column(AB31)-$A$5,0)</f>
        <v>0.04</v>
      </c>
      <c r="AC31" s="44">
        <f>VLOOKUP($A31,'Dados StatusInvest'!$A:$AY,column(AC31)-$A$5,0)</f>
        <v>14.14</v>
      </c>
      <c r="AD31" s="45">
        <f>VLOOKUP($A31,'Dados StatusInvest'!$A:$AY,column(AD31)-$A$5,0)</f>
        <v>-3.95</v>
      </c>
      <c r="AE31" s="46">
        <f>VLOOKUP($A31,'Dados StatusInvest'!$A:$AY,column(AE31)-$A$5,0)</f>
        <v>398288289.3</v>
      </c>
      <c r="AF31" s="49"/>
    </row>
    <row r="32">
      <c r="A32" s="10" t="s">
        <v>78</v>
      </c>
      <c r="B32" s="39" t="str">
        <f>VLOOKUP(lEFT($A32,4),Setor!$A:$E,3,0)</f>
        <v>Consumo não Cíclico</v>
      </c>
      <c r="C32" s="39" t="str">
        <f>VLOOKUP(lEFT($A32,4),Setor!$A:$E,4,0)</f>
        <v>Produtos de Uso Pessoal e de Limpeza</v>
      </c>
      <c r="D32" s="39" t="str">
        <f>VLOOKUP(lEFT($A32,4),Setor!$A:$E,5,0)</f>
        <v>Produtos de Uso Pessoal</v>
      </c>
      <c r="E32" s="17">
        <f>IFERROR(__xludf.DUMMYFUNCTION("GOOGLEFINANCE(A32)"),45.78)</f>
        <v>45.78</v>
      </c>
      <c r="F32" s="17">
        <f>IFERROR(__xludf.DUMMYFUNCTION("GOOGLEFINANCE($A32,""high52"")"),61.29)</f>
        <v>61.29</v>
      </c>
      <c r="G32" s="16">
        <f t="shared" si="1"/>
        <v>-0.2530592266</v>
      </c>
      <c r="H32" s="40">
        <f>VLOOKUP($A32,'Dados StatusInvest'!$A:$AY,column(H32)-$A$5,0)*VLOOKUP($A32,'Dados StatusInvest'!$A:$AY,2,0)/$E32/100</f>
        <v>0</v>
      </c>
      <c r="I32" s="41">
        <f>VLOOKUP($A32,'Dados StatusInvest'!$A:$AY,column(I32)-$A$5,0)/VLOOKUP($A32,'Dados StatusInvest'!$A:$AY,2,0)*$E32</f>
        <v>98.83725803</v>
      </c>
      <c r="J32" s="41">
        <f>VLOOKUP($A32,'Dados StatusInvest'!$A:$AY,column(J32)-$A$5,0)/VLOOKUP($A32,'Dados StatusInvest'!$A:$AY,2,0)*$E32</f>
        <v>2.397950353</v>
      </c>
      <c r="K32" s="42">
        <f>VLOOKUP($A32,'Dados StatusInvest'!$A:$AY,column(K32)-$A$5,0)/VLOOKUP($A32,'Dados StatusInvest'!$A:$AY,2,0)*$E32</f>
        <v>1.073864723</v>
      </c>
      <c r="L32" s="43">
        <f>VLOOKUP($A32,'Dados StatusInvest'!$A:$AY,column(L32)-$A$5,0)/100</f>
        <v>0.6469</v>
      </c>
      <c r="M32" s="47">
        <f>VLOOKUP($A32,'Dados StatusInvest'!$A:$AY,column(M32)-$A$5,0)</f>
        <v>3.44</v>
      </c>
      <c r="N32" s="47">
        <f>VLOOKUP($A32,'Dados StatusInvest'!$A:$AY,column(N32)-$A$5,0)</f>
        <v>1.54</v>
      </c>
      <c r="O32" s="41">
        <f>VLOOKUP($A32,'Dados StatusInvest'!$A:$AY,column(O32)-$A$5,0)/VLOOKUP($A32,'Dados StatusInvest'!$A:$AY,2,0)*$E32</f>
        <v>44.34122979</v>
      </c>
      <c r="P32" s="41">
        <f>VLOOKUP($A32,'Dados StatusInvest'!$A:$AY,column(P32)-$A$5,0)-VLOOKUP($A32,'Dados StatusInvest'!$A:$AY,column(P32)-$A$5-1,0)+O32</f>
        <v>48.86122979</v>
      </c>
      <c r="Q32" s="44">
        <f>VLOOKUP($A32,'Dados StatusInvest'!$A:$AY,column(Q32)-$A$5,0)</f>
        <v>4.32</v>
      </c>
      <c r="R32" s="44">
        <f>VLOOKUP($A32,'Dados StatusInvest'!$A:$AY,column(R32)-$A$5,0)</f>
        <v>0.23</v>
      </c>
      <c r="S32" s="41">
        <f>VLOOKUP($A32,'Dados StatusInvest'!$A:$AY,column(S32)-$A$5,0)/VLOOKUP($A32,'Dados StatusInvest'!$A:$AY,2,0)*$E32</f>
        <v>1.522177181</v>
      </c>
      <c r="T32" s="42">
        <f>VLOOKUP($A32,'Dados StatusInvest'!$A:$AY,column(T32)-$A$5,0)/VLOOKUP($A32,'Dados StatusInvest'!$A:$AY,2,0)*$E32</f>
        <v>12.94893191</v>
      </c>
      <c r="U32" s="44">
        <f>VLOOKUP($A32,'Dados StatusInvest'!$A:$AY,column(U32)-$A$5,0)</f>
        <v>-1.54</v>
      </c>
      <c r="V32" s="45">
        <f>VLOOKUP($A32,'Dados StatusInvest'!$A:$AY,column(V32)-$A$5,0)</f>
        <v>1.34</v>
      </c>
      <c r="W32" s="45">
        <f>VLOOKUP($A32,'Dados StatusInvest'!$A:$AY,column(W32)-$A$5,0)</f>
        <v>2.43</v>
      </c>
      <c r="X32" s="45">
        <f>VLOOKUP($A32,'Dados StatusInvest'!$A:$AY,column(X32)-$A$5,0)</f>
        <v>1.09</v>
      </c>
      <c r="Y32" s="45">
        <f>VLOOKUP($A32,'Dados StatusInvest'!$A:$AY,column(Y32)-$A$5,0)</f>
        <v>2.77</v>
      </c>
      <c r="Z32" s="44">
        <f>VLOOKUP($A32,'Dados StatusInvest'!$A:$AY,column(Z32)-$A$5,0)</f>
        <v>0.45</v>
      </c>
      <c r="AA32" s="44">
        <f>VLOOKUP($A32,'Dados StatusInvest'!$A:$AY,column(AA32)-$A$5,0)</f>
        <v>0.55</v>
      </c>
      <c r="AB32" s="44">
        <f>VLOOKUP($A32,'Dados StatusInvest'!$A:$AY,column(AB32)-$A$5,0)</f>
        <v>0.71</v>
      </c>
      <c r="AC32" s="44">
        <f>VLOOKUP($A32,'Dados StatusInvest'!$A:$AY,column(AC32)-$A$5,0)</f>
        <v>36.13</v>
      </c>
      <c r="AD32" s="45">
        <f>VLOOKUP($A32,'Dados StatusInvest'!$A:$AY,column(AD32)-$A$5,0)</f>
        <v>4.46</v>
      </c>
      <c r="AE32" s="46">
        <f>VLOOKUP($A32,'Dados StatusInvest'!$A:$AY,column(AE32)-$A$5,0)</f>
        <v>277103777.8</v>
      </c>
      <c r="AF32" s="51"/>
    </row>
    <row r="33">
      <c r="A33" s="10" t="s">
        <v>79</v>
      </c>
      <c r="B33" s="39" t="str">
        <f>VLOOKUP(lEFT($A33,4),Setor!$A:$E,3,0)</f>
        <v>Saúde</v>
      </c>
      <c r="C33" s="39" t="str">
        <f>VLOOKUP(lEFT($A33,4),Setor!$A:$E,4,0)</f>
        <v>Análises e Diagnósticos</v>
      </c>
      <c r="D33" s="39" t="str">
        <f>VLOOKUP(lEFT($A33,4),Setor!$A:$E,5,0)</f>
        <v>Análises e Diagnósticos</v>
      </c>
      <c r="E33" s="17">
        <f>IFERROR(__xludf.DUMMYFUNCTION("GOOGLEFINANCE(A33)"),72.2)</f>
        <v>72.2</v>
      </c>
      <c r="F33" s="17">
        <f>IFERROR(__xludf.DUMMYFUNCTION("GOOGLEFINANCE($A33,""high52"")"),103.04)</f>
        <v>103.04</v>
      </c>
      <c r="G33" s="16">
        <f t="shared" si="1"/>
        <v>-0.2993012422</v>
      </c>
      <c r="H33" s="40">
        <f>VLOOKUP($A33,'Dados StatusInvest'!$A:$AY,column(H33)-$A$5,0)*VLOOKUP($A33,'Dados StatusInvest'!$A:$AY,2,0)/$E33/100</f>
        <v>0.003912423823</v>
      </c>
      <c r="I33" s="41">
        <f>VLOOKUP($A33,'Dados StatusInvest'!$A:$AY,column(I33)-$A$5,0)/VLOOKUP($A33,'Dados StatusInvest'!$A:$AY,2,0)*$E33</f>
        <v>160.7778269</v>
      </c>
      <c r="J33" s="41">
        <f>VLOOKUP($A33,'Dados StatusInvest'!$A:$AY,column(J33)-$A$5,0)/VLOOKUP($A33,'Dados StatusInvest'!$A:$AY,2,0)*$E33</f>
        <v>6.17034378</v>
      </c>
      <c r="K33" s="42">
        <f>VLOOKUP($A33,'Dados StatusInvest'!$A:$AY,column(K33)-$A$5,0)/VLOOKUP($A33,'Dados StatusInvest'!$A:$AY,2,0)*$E33</f>
        <v>2.541902527</v>
      </c>
      <c r="L33" s="43">
        <f>VLOOKUP($A33,'Dados StatusInvest'!$A:$AY,column(L33)-$A$5,0)/100</f>
        <v>0.2177</v>
      </c>
      <c r="M33" s="47">
        <f>VLOOKUP($A33,'Dados StatusInvest'!$A:$AY,column(M33)-$A$5,0)</f>
        <v>6.24</v>
      </c>
      <c r="N33" s="47">
        <f>VLOOKUP($A33,'Dados StatusInvest'!$A:$AY,column(N33)-$A$5,0)</f>
        <v>2.38</v>
      </c>
      <c r="O33" s="41">
        <f>VLOOKUP($A33,'Dados StatusInvest'!$A:$AY,column(O33)-$A$5,0)/VLOOKUP($A33,'Dados StatusInvest'!$A:$AY,2,0)*$E33</f>
        <v>61.35454922</v>
      </c>
      <c r="P33" s="41">
        <f>VLOOKUP($A33,'Dados StatusInvest'!$A:$AY,column(P33)-$A$5,0)-VLOOKUP($A33,'Dados StatusInvest'!$A:$AY,column(P33)-$A$5-1,0)+O33</f>
        <v>63.45454922</v>
      </c>
      <c r="Q33" s="44">
        <f>VLOOKUP($A33,'Dados StatusInvest'!$A:$AY,column(Q33)-$A$5,0)</f>
        <v>2.08</v>
      </c>
      <c r="R33" s="44">
        <f>VLOOKUP($A33,'Dados StatusInvest'!$A:$AY,column(R33)-$A$5,0)</f>
        <v>0.21</v>
      </c>
      <c r="S33" s="41">
        <f>VLOOKUP($A33,'Dados StatusInvest'!$A:$AY,column(S33)-$A$5,0)/VLOOKUP($A33,'Dados StatusInvest'!$A:$AY,2,0)*$E33</f>
        <v>3.827806158</v>
      </c>
      <c r="T33" s="42">
        <f>VLOOKUP($A33,'Dados StatusInvest'!$A:$AY,column(T33)-$A$5,0)/VLOOKUP($A33,'Dados StatusInvest'!$A:$AY,2,0)*$E33</f>
        <v>58.0650283</v>
      </c>
      <c r="U33" s="44">
        <f>VLOOKUP($A33,'Dados StatusInvest'!$A:$AY,column(U33)-$A$5,0)</f>
        <v>-3.33</v>
      </c>
      <c r="V33" s="45">
        <f>VLOOKUP($A33,'Dados StatusInvest'!$A:$AY,column(V33)-$A$5,0)</f>
        <v>1.23</v>
      </c>
      <c r="W33" s="45">
        <f>VLOOKUP($A33,'Dados StatusInvest'!$A:$AY,column(W33)-$A$5,0)</f>
        <v>3.84</v>
      </c>
      <c r="X33" s="48">
        <f>VLOOKUP($A33,'Dados StatusInvest'!$A:$AY,column(X33)-$A$5,0)</f>
        <v>1.58</v>
      </c>
      <c r="Y33" s="45">
        <f>VLOOKUP($A33,'Dados StatusInvest'!$A:$AY,column(Y33)-$A$5,0)</f>
        <v>4.3</v>
      </c>
      <c r="Z33" s="44">
        <f>VLOOKUP($A33,'Dados StatusInvest'!$A:$AY,column(Z33)-$A$5,0)</f>
        <v>0.41</v>
      </c>
      <c r="AA33" s="44">
        <f>VLOOKUP($A33,'Dados StatusInvest'!$A:$AY,column(AA33)-$A$5,0)</f>
        <v>0.59</v>
      </c>
      <c r="AB33" s="44">
        <f>VLOOKUP($A33,'Dados StatusInvest'!$A:$AY,column(AB33)-$A$5,0)</f>
        <v>0.66</v>
      </c>
      <c r="AC33" s="44">
        <f>VLOOKUP($A33,'Dados StatusInvest'!$A:$AY,column(AC33)-$A$5,0)</f>
        <v>29.03</v>
      </c>
      <c r="AD33" s="45">
        <f>VLOOKUP($A33,'Dados StatusInvest'!$A:$AY,column(AD33)-$A$5,0)</f>
        <v>36.49</v>
      </c>
      <c r="AE33" s="46">
        <f>VLOOKUP($A33,'Dados StatusInvest'!$A:$AY,column(AE33)-$A$5,0)</f>
        <v>243191886.8</v>
      </c>
      <c r="AF33" s="51"/>
    </row>
    <row r="34">
      <c r="A34" s="10" t="s">
        <v>80</v>
      </c>
      <c r="B34" s="39" t="str">
        <f>VLOOKUP(lEFT($A34,4),Setor!$A:$E,3,0)</f>
        <v>Bens Industriais</v>
      </c>
      <c r="C34" s="39" t="str">
        <f>VLOOKUP(lEFT($A34,4),Setor!$A:$E,4,0)</f>
        <v>Material de Transporte</v>
      </c>
      <c r="D34" s="39" t="str">
        <f>VLOOKUP(lEFT($A34,4),Setor!$A:$E,5,0)</f>
        <v>Material Aeronáutico e de Defesa</v>
      </c>
      <c r="E34" s="17">
        <f>IFERROR(__xludf.DUMMYFUNCTION("GOOGLEFINANCE(A34)"),24.28)</f>
        <v>24.28</v>
      </c>
      <c r="F34" s="17">
        <f>IFERROR(__xludf.DUMMYFUNCTION("GOOGLEFINANCE($A34,""high52"")"),24.98)</f>
        <v>24.98</v>
      </c>
      <c r="G34" s="16">
        <f t="shared" si="1"/>
        <v>-0.02802241793</v>
      </c>
      <c r="H34" s="40">
        <f>VLOOKUP($A34,'Dados StatusInvest'!$A:$AY,column(H34)-$A$5,0)*VLOOKUP($A34,'Dados StatusInvest'!$A:$AY,2,0)/$E34/100</f>
        <v>0</v>
      </c>
      <c r="I34" s="41">
        <f>VLOOKUP($A34,'Dados StatusInvest'!$A:$AY,column(I34)-$A$5,0)/VLOOKUP($A34,'Dados StatusInvest'!$A:$AY,2,0)*$E34</f>
        <v>-25.3812527</v>
      </c>
      <c r="J34" s="41">
        <f>VLOOKUP($A34,'Dados StatusInvest'!$A:$AY,column(J34)-$A$5,0)/VLOOKUP($A34,'Dados StatusInvest'!$A:$AY,2,0)*$E34</f>
        <v>1.300526998</v>
      </c>
      <c r="K34" s="42">
        <f>VLOOKUP($A34,'Dados StatusInvest'!$A:$AY,column(K34)-$A$5,0)/VLOOKUP($A34,'Dados StatusInvest'!$A:$AY,2,0)*$E34</f>
        <v>0.3461079914</v>
      </c>
      <c r="L34" s="43">
        <f>VLOOKUP($A34,'Dados StatusInvest'!$A:$AY,column(L34)-$A$5,0)/100</f>
        <v>0.1329</v>
      </c>
      <c r="M34" s="44">
        <f>VLOOKUP($A34,'Dados StatusInvest'!$A:$AY,column(M34)-$A$5,0)</f>
        <v>2.68</v>
      </c>
      <c r="N34" s="44">
        <f>VLOOKUP($A34,'Dados StatusInvest'!$A:$AY,column(N34)-$A$5,0)</f>
        <v>-2.78</v>
      </c>
      <c r="O34" s="41">
        <f>VLOOKUP($A34,'Dados StatusInvest'!$A:$AY,column(O34)-$A$5,0)/VLOOKUP($A34,'Dados StatusInvest'!$A:$AY,2,0)*$E34</f>
        <v>26.32518359</v>
      </c>
      <c r="P34" s="41">
        <f>VLOOKUP($A34,'Dados StatusInvest'!$A:$AY,column(P34)-$A$5,0)-VLOOKUP($A34,'Dados StatusInvest'!$A:$AY,column(P34)-$A$5-1,0)+O34</f>
        <v>40.34518359</v>
      </c>
      <c r="Q34" s="44">
        <f>VLOOKUP($A34,'Dados StatusInvest'!$A:$AY,column(Q34)-$A$5,0)</f>
        <v>13.83</v>
      </c>
      <c r="R34" s="44">
        <f>VLOOKUP($A34,'Dados StatusInvest'!$A:$AY,column(R34)-$A$5,0)</f>
        <v>0.68</v>
      </c>
      <c r="S34" s="41">
        <f>VLOOKUP($A34,'Dados StatusInvest'!$A:$AY,column(S34)-$A$5,0)/VLOOKUP($A34,'Dados StatusInvest'!$A:$AY,2,0)*$E34</f>
        <v>0.7027041037</v>
      </c>
      <c r="T34" s="42">
        <f>VLOOKUP($A34,'Dados StatusInvest'!$A:$AY,column(T34)-$A$5,0)/VLOOKUP($A34,'Dados StatusInvest'!$A:$AY,2,0)*$E34</f>
        <v>1.174669546</v>
      </c>
      <c r="U34" s="44">
        <f>VLOOKUP($A34,'Dados StatusInvest'!$A:$AY,column(U34)-$A$5,0)</f>
        <v>-0.78</v>
      </c>
      <c r="V34" s="45">
        <f>VLOOKUP($A34,'Dados StatusInvest'!$A:$AY,column(V34)-$A$5,0)</f>
        <v>2.08</v>
      </c>
      <c r="W34" s="45">
        <f>VLOOKUP($A34,'Dados StatusInvest'!$A:$AY,column(W34)-$A$5,0)</f>
        <v>-5.1</v>
      </c>
      <c r="X34" s="45">
        <f>VLOOKUP($A34,'Dados StatusInvest'!$A:$AY,column(X34)-$A$5,0)</f>
        <v>-1.37</v>
      </c>
      <c r="Y34" s="45">
        <f>VLOOKUP($A34,'Dados StatusInvest'!$A:$AY,column(Y34)-$A$5,0)</f>
        <v>1.27</v>
      </c>
      <c r="Z34" s="44">
        <f>VLOOKUP($A34,'Dados StatusInvest'!$A:$AY,column(Z34)-$A$5,0)</f>
        <v>0.27</v>
      </c>
      <c r="AA34" s="44">
        <f>VLOOKUP($A34,'Dados StatusInvest'!$A:$AY,column(AA34)-$A$5,0)</f>
        <v>0.72</v>
      </c>
      <c r="AB34" s="44">
        <f>VLOOKUP($A34,'Dados StatusInvest'!$A:$AY,column(AB34)-$A$5,0)</f>
        <v>0.49</v>
      </c>
      <c r="AC34" s="44">
        <f>VLOOKUP($A34,'Dados StatusInvest'!$A:$AY,column(AC34)-$A$5,0)</f>
        <v>-0.66</v>
      </c>
      <c r="AD34" s="45">
        <f>VLOOKUP($A34,'Dados StatusInvest'!$A:$AY,column(AD34)-$A$5,0)</f>
        <v>0</v>
      </c>
      <c r="AE34" s="46">
        <f>VLOOKUP($A34,'Dados StatusInvest'!$A:$AY,column(AE34)-$A$5,0)</f>
        <v>251585816</v>
      </c>
      <c r="AF34" s="51"/>
    </row>
    <row r="35">
      <c r="A35" s="10" t="s">
        <v>81</v>
      </c>
      <c r="B35" s="39" t="str">
        <f>VLOOKUP(lEFT($A35,4),Setor!$A:$E,3,0)</f>
        <v>#N/A</v>
      </c>
      <c r="C35" s="39" t="str">
        <f>VLOOKUP(lEFT($A35,4),Setor!$A:$E,4,0)</f>
        <v>#N/A</v>
      </c>
      <c r="D35" s="39" t="str">
        <f>VLOOKUP(lEFT($A35,4),Setor!$A:$E,5,0)</f>
        <v>#N/A</v>
      </c>
      <c r="E35" s="17">
        <f>IFERROR(__xludf.DUMMYFUNCTION("GOOGLEFINANCE(A35)"),32.8)</f>
        <v>32.8</v>
      </c>
      <c r="F35" s="17">
        <f>IFERROR(__xludf.DUMMYFUNCTION("GOOGLEFINANCE($A35,""high52"")"),97.4)</f>
        <v>97.4</v>
      </c>
      <c r="G35" s="16">
        <f t="shared" si="1"/>
        <v>-0.6632443532</v>
      </c>
      <c r="H35" s="40">
        <f>VLOOKUP($A35,'Dados StatusInvest'!$A:$AY,column(H35)-$A$5,0)*VLOOKUP($A35,'Dados StatusInvest'!$A:$AY,2,0)/$E35/100</f>
        <v>0</v>
      </c>
      <c r="I35" s="41">
        <f>VLOOKUP($A35,'Dados StatusInvest'!$A:$AY,column(I35)-$A$5,0)/VLOOKUP($A35,'Dados StatusInvest'!$A:$AY,2,0)*$E35</f>
        <v>-138.3258106</v>
      </c>
      <c r="J35" s="41">
        <f>VLOOKUP($A35,'Dados StatusInvest'!$A:$AY,column(J35)-$A$5,0)/VLOOKUP($A35,'Dados StatusInvest'!$A:$AY,2,0)*$E35</f>
        <v>1.882490272</v>
      </c>
      <c r="K35" s="42">
        <f>VLOOKUP($A35,'Dados StatusInvest'!$A:$AY,column(K35)-$A$5,0)/VLOOKUP($A35,'Dados StatusInvest'!$A:$AY,2,0)*$E35</f>
        <v>0.691309987</v>
      </c>
      <c r="L35" s="43">
        <f>VLOOKUP($A35,'Dados StatusInvest'!$A:$AY,column(L35)-$A$5,0)/100</f>
        <v>0.2879</v>
      </c>
      <c r="M35" s="44">
        <f>VLOOKUP($A35,'Dados StatusInvest'!$A:$AY,column(M35)-$A$5,0)</f>
        <v>1.4</v>
      </c>
      <c r="N35" s="44">
        <f>VLOOKUP($A35,'Dados StatusInvest'!$A:$AY,column(N35)-$A$5,0)</f>
        <v>-1.61</v>
      </c>
      <c r="O35" s="41">
        <f>VLOOKUP($A35,'Dados StatusInvest'!$A:$AY,column(O35)-$A$5,0)/VLOOKUP($A35,'Dados StatusInvest'!$A:$AY,2,0)*$E35</f>
        <v>159.5118029</v>
      </c>
      <c r="P35" s="41">
        <f>VLOOKUP($A35,'Dados StatusInvest'!$A:$AY,column(P35)-$A$5,0)-VLOOKUP($A35,'Dados StatusInvest'!$A:$AY,column(P35)-$A$5-1,0)+O35</f>
        <v>169.3418029</v>
      </c>
      <c r="Q35" s="44">
        <f>VLOOKUP($A35,'Dados StatusInvest'!$A:$AY,column(Q35)-$A$5,0)</f>
        <v>9.1</v>
      </c>
      <c r="R35" s="44">
        <f>VLOOKUP($A35,'Dados StatusInvest'!$A:$AY,column(R35)-$A$5,0)</f>
        <v>0.11</v>
      </c>
      <c r="S35" s="41">
        <f>VLOOKUP($A35,'Dados StatusInvest'!$A:$AY,column(S35)-$A$5,0)/VLOOKUP($A35,'Dados StatusInvest'!$A:$AY,2,0)*$E35</f>
        <v>2.233463035</v>
      </c>
      <c r="T35" s="42">
        <f>VLOOKUP($A35,'Dados StatusInvest'!$A:$AY,column(T35)-$A$5,0)/VLOOKUP($A35,'Dados StatusInvest'!$A:$AY,2,0)*$E35</f>
        <v>2.254734112</v>
      </c>
      <c r="U35" s="44">
        <f>VLOOKUP($A35,'Dados StatusInvest'!$A:$AY,column(U35)-$A$5,0)</f>
        <v>-1.63</v>
      </c>
      <c r="V35" s="45">
        <f>VLOOKUP($A35,'Dados StatusInvest'!$A:$AY,column(V35)-$A$5,0)</f>
        <v>2.04</v>
      </c>
      <c r="W35" s="45">
        <f>VLOOKUP($A35,'Dados StatusInvest'!$A:$AY,column(W35)-$A$5,0)</f>
        <v>-1.36</v>
      </c>
      <c r="X35" s="45">
        <f>VLOOKUP($A35,'Dados StatusInvest'!$A:$AY,column(X35)-$A$5,0)</f>
        <v>-0.5</v>
      </c>
      <c r="Y35" s="45">
        <f>VLOOKUP($A35,'Dados StatusInvest'!$A:$AY,column(Y35)-$A$5,0)</f>
        <v>0.61</v>
      </c>
      <c r="Z35" s="44">
        <f>VLOOKUP($A35,'Dados StatusInvest'!$A:$AY,column(Z35)-$A$5,0)</f>
        <v>0.37</v>
      </c>
      <c r="AA35" s="44">
        <f>VLOOKUP($A35,'Dados StatusInvest'!$A:$AY,column(AA35)-$A$5,0)</f>
        <v>0.63</v>
      </c>
      <c r="AB35" s="44">
        <f>VLOOKUP($A35,'Dados StatusInvest'!$A:$AY,column(AB35)-$A$5,0)</f>
        <v>0.31</v>
      </c>
      <c r="AC35" s="44">
        <f>VLOOKUP($A35,'Dados StatusInvest'!$A:$AY,column(AC35)-$A$5,0)</f>
        <v>2.35</v>
      </c>
      <c r="AD35" s="45">
        <f>VLOOKUP($A35,'Dados StatusInvest'!$A:$AY,column(AD35)-$A$5,0)</f>
        <v>0</v>
      </c>
      <c r="AE35" s="46">
        <f>VLOOKUP($A35,'Dados StatusInvest'!$A:$AY,column(AE35)-$A$5,0)</f>
        <v>210764110.9</v>
      </c>
      <c r="AF35" s="49"/>
    </row>
    <row r="36">
      <c r="A36" s="10" t="s">
        <v>82</v>
      </c>
      <c r="B36" s="52" t="str">
        <f>VLOOKUP(LEFT($A36,4),Setor!$A:$E,3,0)</f>
        <v>Petróleo, Gás e Biocombustíveis</v>
      </c>
      <c r="C36" s="52" t="str">
        <f>VLOOKUP(LEFT($A36,4),Setor!$A:$E,4,0)</f>
        <v>Petróleo, Gás e Biocombustíveis</v>
      </c>
      <c r="D36" s="52" t="str">
        <f>VLOOKUP(LEFT($A36,4),Setor!$A:$E,5,0)</f>
        <v>Exploração, Refino e Distribuição</v>
      </c>
      <c r="E36" s="53">
        <f>IFERROR(__xludf.DUMMYFUNCTION("GOOGLEFINANCE(A36)"),23.4)</f>
        <v>23.4</v>
      </c>
      <c r="F36" s="53">
        <f>IFERROR(__xludf.DUMMYFUNCTION("GOOGLEFINANCE($A36,""high52"")"),27.39)</f>
        <v>27.39</v>
      </c>
      <c r="G36" s="54">
        <f t="shared" si="1"/>
        <v>-0.1456736035</v>
      </c>
      <c r="H36" s="55">
        <f>VLOOKUP($A36,'Dados StatusInvest'!$A:$AY,COLUMN(H36)-$A$5,0)*VLOOKUP($A36,'Dados StatusInvest'!$A:$AY,2,0)/$E36/100</f>
        <v>0.01100512821</v>
      </c>
      <c r="I36" s="56">
        <f>VLOOKUP($A36,'Dados StatusInvest'!$A:$AY,COLUMN(I36)-$A$5,0)/VLOOKUP($A36,'Dados StatusInvest'!$A:$AY,2,0)*$E36</f>
        <v>17.50965517</v>
      </c>
      <c r="J36" s="56">
        <f>VLOOKUP($A36,'Dados StatusInvest'!$A:$AY,COLUMN(J36)-$A$5,0)/VLOOKUP($A36,'Dados StatusInvest'!$A:$AY,2,0)*$E36</f>
        <v>4.246293103</v>
      </c>
      <c r="K36" s="57">
        <f>VLOOKUP($A36,'Dados StatusInvest'!$A:$AY,COLUMN(K36)-$A$5,0)/VLOOKUP($A36,'Dados StatusInvest'!$A:$AY,2,0)*$E36</f>
        <v>0.5547413793</v>
      </c>
      <c r="L36" s="58">
        <f>VLOOKUP($A36,'Dados StatusInvest'!$A:$AY,COLUMN(L36)-$A$5,0)/100</f>
        <v>0.2607</v>
      </c>
      <c r="M36" s="59">
        <f>VLOOKUP($A36,'Dados StatusInvest'!$A:$AY,COLUMN(M36)-$A$5,0)</f>
        <v>23.49</v>
      </c>
      <c r="N36" s="59">
        <f>VLOOKUP($A36,'Dados StatusInvest'!$A:$AY,COLUMN(N36)-$A$5,0)</f>
        <v>13.24</v>
      </c>
      <c r="O36" s="56">
        <f>VLOOKUP($A36,'Dados StatusInvest'!$A:$AY,COLUMN(O36)-$A$5,0)/VLOOKUP($A36,'Dados StatusInvest'!$A:$AY,2,0)*$E36</f>
        <v>9.864310345</v>
      </c>
      <c r="P36" s="56">
        <f>VLOOKUP($A36,'Dados StatusInvest'!$A:$AY,COLUMN(P36)-$A$5,0)-VLOOKUP($A36,'Dados StatusInvest'!$A:$AY,COLUMN(P36)-$A$5-1,0)+O36</f>
        <v>16.66431034</v>
      </c>
      <c r="Q36" s="59">
        <f>VLOOKUP($A36,'Dados StatusInvest'!$A:$AY,COLUMN(Q36)-$A$5,0)</f>
        <v>6.79</v>
      </c>
      <c r="R36" s="59">
        <f>VLOOKUP($A36,'Dados StatusInvest'!$A:$AY,COLUMN(R36)-$A$5,0)</f>
        <v>2.92</v>
      </c>
      <c r="S36" s="56">
        <f>VLOOKUP($A36,'Dados StatusInvest'!$A:$AY,COLUMN(S36)-$A$5,0)/VLOOKUP($A36,'Dados StatusInvest'!$A:$AY,2,0)*$E36</f>
        <v>2.319827586</v>
      </c>
      <c r="T36" s="57">
        <f>VLOOKUP($A36,'Dados StatusInvest'!$A:$AY,COLUMN(T36)-$A$5,0)/VLOOKUP($A36,'Dados StatusInvest'!$A:$AY,2,0)*$E36</f>
        <v>4.710258621</v>
      </c>
      <c r="U36" s="59">
        <f>VLOOKUP($A36,'Dados StatusInvest'!$A:$AY,COLUMN(U36)-$A$5,0)</f>
        <v>-0.73</v>
      </c>
      <c r="V36" s="60">
        <f>VLOOKUP($A36,'Dados StatusInvest'!$A:$AY,COLUMN(V36)-$A$5,0)</f>
        <v>1.95</v>
      </c>
      <c r="W36" s="60">
        <f>VLOOKUP($A36,'Dados StatusInvest'!$A:$AY,COLUMN(W36)-$A$5,0)</f>
        <v>24.28</v>
      </c>
      <c r="X36" s="60">
        <f>VLOOKUP($A36,'Dados StatusInvest'!$A:$AY,COLUMN(X36)-$A$5,0)</f>
        <v>3.17</v>
      </c>
      <c r="Y36" s="60">
        <f>VLOOKUP($A36,'Dados StatusInvest'!$A:$AY,COLUMN(Y36)-$A$5,0)</f>
        <v>6.55</v>
      </c>
      <c r="Z36" s="59">
        <f>VLOOKUP($A36,'Dados StatusInvest'!$A:$AY,COLUMN(Z36)-$A$5,0)</f>
        <v>0.13</v>
      </c>
      <c r="AA36" s="59">
        <f>VLOOKUP($A36,'Dados StatusInvest'!$A:$AY,COLUMN(AA36)-$A$5,0)</f>
        <v>0.72</v>
      </c>
      <c r="AB36" s="59">
        <f>VLOOKUP($A36,'Dados StatusInvest'!$A:$AY,COLUMN(AB36)-$A$5,0)</f>
        <v>0.24</v>
      </c>
      <c r="AC36" s="59">
        <f>VLOOKUP($A36,'Dados StatusInvest'!$A:$AY,COLUMN(AC36)-$A$5,0)</f>
        <v>10.1</v>
      </c>
      <c r="AD36" s="60">
        <f>VLOOKUP($A36,'Dados StatusInvest'!$A:$AY,COLUMN(AD36)-$A$5,0)</f>
        <v>33.99</v>
      </c>
      <c r="AE36" s="62">
        <f>VLOOKUP($A36,'Dados StatusInvest'!$A:$AY,COLUMN(AE36)-$A$5,0)</f>
        <v>198114826</v>
      </c>
      <c r="AF36" s="18"/>
    </row>
    <row r="37">
      <c r="A37" s="10" t="s">
        <v>83</v>
      </c>
      <c r="B37" s="39" t="str">
        <f>VLOOKUP(lEFT($A37,4),Setor!$A:$E,3,0)</f>
        <v>Materiais Básicos</v>
      </c>
      <c r="C37" s="39" t="str">
        <f>VLOOKUP(lEFT($A37,4),Setor!$A:$E,4,0)</f>
        <v>Químicos</v>
      </c>
      <c r="D37" s="39" t="str">
        <f>VLOOKUP(lEFT($A37,4),Setor!$A:$E,5,0)</f>
        <v>Petroquímicos</v>
      </c>
      <c r="E37" s="17">
        <f>IFERROR(__xludf.DUMMYFUNCTION("GOOGLEFINANCE(A37)"),57.02)</f>
        <v>57.02</v>
      </c>
      <c r="F37" s="17">
        <f>IFERROR(__xludf.DUMMYFUNCTION("GOOGLEFINANCE($A37,""high52"")"),70.55)</f>
        <v>70.55</v>
      </c>
      <c r="G37" s="16">
        <f t="shared" si="1"/>
        <v>-0.1917788802</v>
      </c>
      <c r="H37" s="40">
        <f>VLOOKUP($A37,'Dados StatusInvest'!$A:$AY,column(H37)-$A$5,0)*VLOOKUP($A37,'Dados StatusInvest'!$A:$AY,2,0)/$E37/100</f>
        <v>0</v>
      </c>
      <c r="I37" s="41">
        <f>VLOOKUP($A37,'Dados StatusInvest'!$A:$AY,column(I37)-$A$5,0)/VLOOKUP($A37,'Dados StatusInvest'!$A:$AY,2,0)*$E37</f>
        <v>4.865155658</v>
      </c>
      <c r="J37" s="41">
        <f>VLOOKUP($A37,'Dados StatusInvest'!$A:$AY,column(J37)-$A$5,0)/VLOOKUP($A37,'Dados StatusInvest'!$A:$AY,2,0)*$E37</f>
        <v>5.250235546</v>
      </c>
      <c r="K37" s="42">
        <f>VLOOKUP($A37,'Dados StatusInvest'!$A:$AY,column(K37)-$A$5,0)/VLOOKUP($A37,'Dados StatusInvest'!$A:$AY,2,0)*$E37</f>
        <v>0.5165705815</v>
      </c>
      <c r="L37" s="43">
        <f>VLOOKUP($A37,'Dados StatusInvest'!$A:$AY,column(L37)-$A$5,0)/100</f>
        <v>0.3048</v>
      </c>
      <c r="M37" s="44">
        <f>VLOOKUP($A37,'Dados StatusInvest'!$A:$AY,column(M37)-$A$5,0)</f>
        <v>19.5</v>
      </c>
      <c r="N37" s="44">
        <f>VLOOKUP($A37,'Dados StatusInvest'!$A:$AY,column(N37)-$A$5,0)</f>
        <v>11.15</v>
      </c>
      <c r="O37" s="41">
        <f>VLOOKUP($A37,'Dados StatusInvest'!$A:$AY,column(O37)-$A$5,0)/VLOOKUP($A37,'Dados StatusInvest'!$A:$AY,2,0)*$E37</f>
        <v>2.780088947</v>
      </c>
      <c r="P37" s="41">
        <f>VLOOKUP($A37,'Dados StatusInvest'!$A:$AY,column(P37)-$A$5,0)-VLOOKUP($A37,'Dados StatusInvest'!$A:$AY,column(P37)-$A$5-1,0)+O37</f>
        <v>3.960088947</v>
      </c>
      <c r="Q37" s="44">
        <f>VLOOKUP($A37,'Dados StatusInvest'!$A:$AY,column(Q37)-$A$5,0)</f>
        <v>1.26</v>
      </c>
      <c r="R37" s="44">
        <f>VLOOKUP($A37,'Dados StatusInvest'!$A:$AY,column(R37)-$A$5,0)</f>
        <v>2.37</v>
      </c>
      <c r="S37" s="41">
        <f>VLOOKUP($A37,'Dados StatusInvest'!$A:$AY,column(S37)-$A$5,0)/VLOOKUP($A37,'Dados StatusInvest'!$A:$AY,2,0)*$E37</f>
        <v>0.5447471586</v>
      </c>
      <c r="T37" s="42">
        <f>VLOOKUP($A37,'Dados StatusInvest'!$A:$AY,column(T37)-$A$5,0)/VLOOKUP($A37,'Dados StatusInvest'!$A:$AY,2,0)*$E37</f>
        <v>5.682276396</v>
      </c>
      <c r="U37" s="47">
        <f>VLOOKUP($A37,'Dados StatusInvest'!$A:$AY,column(U37)-$A$5,0)</f>
        <v>-0.99</v>
      </c>
      <c r="V37" s="45">
        <f>VLOOKUP($A37,'Dados StatusInvest'!$A:$AY,column(V37)-$A$5,0)</f>
        <v>1.26</v>
      </c>
      <c r="W37" s="48">
        <f>VLOOKUP($A37,'Dados StatusInvest'!$A:$AY,column(W37)-$A$5,0)</f>
        <v>107.98</v>
      </c>
      <c r="X37" s="45">
        <f>VLOOKUP($A37,'Dados StatusInvest'!$A:$AY,column(X37)-$A$5,0)</f>
        <v>10.63</v>
      </c>
      <c r="Y37" s="45">
        <f>VLOOKUP($A37,'Dados StatusInvest'!$A:$AY,column(Y37)-$A$5,0)</f>
        <v>31.39</v>
      </c>
      <c r="Z37" s="44">
        <f>VLOOKUP($A37,'Dados StatusInvest'!$A:$AY,column(Z37)-$A$5,0)</f>
        <v>0.1</v>
      </c>
      <c r="AA37" s="44">
        <f>VLOOKUP($A37,'Dados StatusInvest'!$A:$AY,column(AA37)-$A$5,0)</f>
        <v>0.92</v>
      </c>
      <c r="AB37" s="44">
        <f>VLOOKUP($A37,'Dados StatusInvest'!$A:$AY,column(AB37)-$A$5,0)</f>
        <v>0.95</v>
      </c>
      <c r="AC37" s="44">
        <f>VLOOKUP($A37,'Dados StatusInvest'!$A:$AY,column(AC37)-$A$5,0)</f>
        <v>4.54</v>
      </c>
      <c r="AD37" s="45">
        <f>VLOOKUP($A37,'Dados StatusInvest'!$A:$AY,column(AD37)-$A$5,0)</f>
        <v>25.52</v>
      </c>
      <c r="AE37" s="46">
        <f>VLOOKUP($A37,'Dados StatusInvest'!$A:$AY,column(AE37)-$A$5,0)</f>
        <v>241411211</v>
      </c>
      <c r="AF37" s="51"/>
    </row>
    <row r="38">
      <c r="A38" s="10" t="s">
        <v>84</v>
      </c>
      <c r="B38" s="39" t="str">
        <f>VLOOKUP(lEFT($A38,4),Setor!$A:$E,3,0)</f>
        <v>#N/A</v>
      </c>
      <c r="C38" s="39" t="str">
        <f>VLOOKUP(lEFT($A38,4),Setor!$A:$E,4,0)</f>
        <v>#N/A</v>
      </c>
      <c r="D38" s="39" t="str">
        <f>VLOOKUP(lEFT($A38,4),Setor!$A:$E,5,0)</f>
        <v>#N/A</v>
      </c>
      <c r="E38" s="17">
        <f>IFERROR(__xludf.DUMMYFUNCTION("GOOGLEFINANCE(A38)"),18.74)</f>
        <v>18.74</v>
      </c>
      <c r="F38" s="17">
        <f>IFERROR(__xludf.DUMMYFUNCTION("GOOGLEFINANCE($A38,""high52"")"),19.66)</f>
        <v>19.66</v>
      </c>
      <c r="G38" s="16">
        <f t="shared" si="1"/>
        <v>-0.04679552391</v>
      </c>
      <c r="H38" s="40">
        <f>VLOOKUP($A38,'Dados StatusInvest'!$A:$AY,column(H38)-$A$5,0)*VLOOKUP($A38,'Dados StatusInvest'!$A:$AY,2,0)/$E38/100</f>
        <v>0.005876414088</v>
      </c>
      <c r="I38" s="41">
        <f>VLOOKUP($A38,'Dados StatusInvest'!$A:$AY,column(I38)-$A$5,0)/VLOOKUP($A38,'Dados StatusInvest'!$A:$AY,2,0)*$E38</f>
        <v>15.13167702</v>
      </c>
      <c r="J38" s="41">
        <f>VLOOKUP($A38,'Dados StatusInvest'!$A:$AY,column(J38)-$A$5,0)/VLOOKUP($A38,'Dados StatusInvest'!$A:$AY,2,0)*$E38</f>
        <v>13.17231884</v>
      </c>
      <c r="K38" s="42">
        <f>VLOOKUP($A38,'Dados StatusInvest'!$A:$AY,column(K38)-$A$5,0)/VLOOKUP($A38,'Dados StatusInvest'!$A:$AY,2,0)*$E38</f>
        <v>1.231873706</v>
      </c>
      <c r="L38" s="43">
        <f>VLOOKUP($A38,'Dados StatusInvest'!$A:$AY,column(L38)-$A$5,0)/100</f>
        <v>0.1549</v>
      </c>
      <c r="M38" s="47">
        <f>VLOOKUP($A38,'Dados StatusInvest'!$A:$AY,column(M38)-$A$5,0)</f>
        <v>6.66</v>
      </c>
      <c r="N38" s="47">
        <f>VLOOKUP($A38,'Dados StatusInvest'!$A:$AY,column(N38)-$A$5,0)</f>
        <v>4.87</v>
      </c>
      <c r="O38" s="41">
        <f>VLOOKUP($A38,'Dados StatusInvest'!$A:$AY,column(O38)-$A$5,0)/VLOOKUP($A38,'Dados StatusInvest'!$A:$AY,2,0)*$E38</f>
        <v>11.07716356</v>
      </c>
      <c r="P38" s="41">
        <f>VLOOKUP($A38,'Dados StatusInvest'!$A:$AY,column(P38)-$A$5,0)-VLOOKUP($A38,'Dados StatusInvest'!$A:$AY,column(P38)-$A$5-1,0)+O38</f>
        <v>13.32716356</v>
      </c>
      <c r="Q38" s="44">
        <f>VLOOKUP($A38,'Dados StatusInvest'!$A:$AY,column(Q38)-$A$5,0)</f>
        <v>2.2</v>
      </c>
      <c r="R38" s="44">
        <f>VLOOKUP($A38,'Dados StatusInvest'!$A:$AY,column(R38)-$A$5,0)</f>
        <v>2.62</v>
      </c>
      <c r="S38" s="41">
        <f>VLOOKUP($A38,'Dados StatusInvest'!$A:$AY,column(S38)-$A$5,0)/VLOOKUP($A38,'Dados StatusInvest'!$A:$AY,2,0)*$E38</f>
        <v>0.737184265</v>
      </c>
      <c r="T38" s="42">
        <f>VLOOKUP($A38,'Dados StatusInvest'!$A:$AY,column(T38)-$A$5,0)/VLOOKUP($A38,'Dados StatusInvest'!$A:$AY,2,0)*$E38</f>
        <v>18.49750518</v>
      </c>
      <c r="U38" s="44">
        <f>VLOOKUP($A38,'Dados StatusInvest'!$A:$AY,column(U38)-$A$5,0)</f>
        <v>-2.34</v>
      </c>
      <c r="V38" s="45">
        <f>VLOOKUP($A38,'Dados StatusInvest'!$A:$AY,column(V38)-$A$5,0)</f>
        <v>1.17</v>
      </c>
      <c r="W38" s="45">
        <f>VLOOKUP($A38,'Dados StatusInvest'!$A:$AY,column(W38)-$A$5,0)</f>
        <v>87.01</v>
      </c>
      <c r="X38" s="45">
        <f>VLOOKUP($A38,'Dados StatusInvest'!$A:$AY,column(X38)-$A$5,0)</f>
        <v>8.14</v>
      </c>
      <c r="Y38" s="45">
        <f>VLOOKUP($A38,'Dados StatusInvest'!$A:$AY,column(Y38)-$A$5,0)</f>
        <v>14.94</v>
      </c>
      <c r="Z38" s="44">
        <f>VLOOKUP($A38,'Dados StatusInvest'!$A:$AY,column(Z38)-$A$5,0)</f>
        <v>0.09</v>
      </c>
      <c r="AA38" s="44">
        <f>VLOOKUP($A38,'Dados StatusInvest'!$A:$AY,column(AA38)-$A$5,0)</f>
        <v>0.91</v>
      </c>
      <c r="AB38" s="44">
        <f>VLOOKUP($A38,'Dados StatusInvest'!$A:$AY,column(AB38)-$A$5,0)</f>
        <v>1.67</v>
      </c>
      <c r="AC38" s="44">
        <f>VLOOKUP($A38,'Dados StatusInvest'!$A:$AY,column(AC38)-$A$5,0)</f>
        <v>0</v>
      </c>
      <c r="AD38" s="45">
        <f>VLOOKUP($A38,'Dados StatusInvest'!$A:$AY,column(AD38)-$A$5,0)</f>
        <v>0</v>
      </c>
      <c r="AE38" s="46">
        <f>VLOOKUP($A38,'Dados StatusInvest'!$A:$AY,column(AE38)-$A$5,0)</f>
        <v>238021866.2</v>
      </c>
      <c r="AF38" s="49"/>
    </row>
    <row r="39">
      <c r="A39" s="10" t="s">
        <v>85</v>
      </c>
      <c r="B39" s="39" t="str">
        <f>VLOOKUP(lEFT($A39,4),Setor!$A:$E,3,0)</f>
        <v>Saúde</v>
      </c>
      <c r="C39" s="39" t="str">
        <f>VLOOKUP(lEFT($A39,4),Setor!$A:$E,4,0)</f>
        <v>Análises e Diagnósticos</v>
      </c>
      <c r="D39" s="39" t="str">
        <f>VLOOKUP(lEFT($A39,4),Setor!$A:$E,5,0)</f>
        <v>Análises e Diagnósticos</v>
      </c>
      <c r="E39" s="17">
        <f>IFERROR(__xludf.DUMMYFUNCTION("GOOGLEFINANCE(A39)"),12.81)</f>
        <v>12.81</v>
      </c>
      <c r="F39" s="17">
        <f>IFERROR(__xludf.DUMMYFUNCTION("GOOGLEFINANCE($A39,""high52"")"),18.48)</f>
        <v>18.48</v>
      </c>
      <c r="G39" s="16">
        <f t="shared" si="1"/>
        <v>-0.3068181818</v>
      </c>
      <c r="H39" s="40">
        <f>VLOOKUP($A39,'Dados StatusInvest'!$A:$AY,column(H39)-$A$5,0)*VLOOKUP($A39,'Dados StatusInvest'!$A:$AY,2,0)/$E39/100</f>
        <v>0.004461826698</v>
      </c>
      <c r="I39" s="41">
        <f>VLOOKUP($A39,'Dados StatusInvest'!$A:$AY,column(I39)-$A$5,0)/VLOOKUP($A39,'Dados StatusInvest'!$A:$AY,2,0)*$E39</f>
        <v>83.78272517</v>
      </c>
      <c r="J39" s="41">
        <f>VLOOKUP($A39,'Dados StatusInvest'!$A:$AY,column(J39)-$A$5,0)/VLOOKUP($A39,'Dados StatusInvest'!$A:$AY,2,0)*$E39</f>
        <v>4.674318707</v>
      </c>
      <c r="K39" s="42">
        <f>VLOOKUP($A39,'Dados StatusInvest'!$A:$AY,column(K39)-$A$5,0)/VLOOKUP($A39,'Dados StatusInvest'!$A:$AY,2,0)*$E39</f>
        <v>2.879538106</v>
      </c>
      <c r="L39" s="43">
        <f>VLOOKUP($A39,'Dados StatusInvest'!$A:$AY,column(L39)-$A$5,0)/100</f>
        <v>0.3406</v>
      </c>
      <c r="M39" s="47">
        <f>VLOOKUP($A39,'Dados StatusInvest'!$A:$AY,column(M39)-$A$5,0)</f>
        <v>9.19</v>
      </c>
      <c r="N39" s="47">
        <f>VLOOKUP($A39,'Dados StatusInvest'!$A:$AY,column(N39)-$A$5,0)</f>
        <v>6.52</v>
      </c>
      <c r="O39" s="41">
        <f>VLOOKUP($A39,'Dados StatusInvest'!$A:$AY,column(O39)-$A$5,0)/VLOOKUP($A39,'Dados StatusInvest'!$A:$AY,2,0)*$E39</f>
        <v>59.42498845</v>
      </c>
      <c r="P39" s="41">
        <f>VLOOKUP($A39,'Dados StatusInvest'!$A:$AY,column(P39)-$A$5,0)-VLOOKUP($A39,'Dados StatusInvest'!$A:$AY,column(P39)-$A$5-1,0)+O39</f>
        <v>59.03498845</v>
      </c>
      <c r="Q39" s="44">
        <f>VLOOKUP($A39,'Dados StatusInvest'!$A:$AY,column(Q39)-$A$5,0)</f>
        <v>-0.48</v>
      </c>
      <c r="R39" s="44">
        <f>VLOOKUP($A39,'Dados StatusInvest'!$A:$AY,column(R39)-$A$5,0)</f>
        <v>-0.04</v>
      </c>
      <c r="S39" s="41">
        <f>VLOOKUP($A39,'Dados StatusInvest'!$A:$AY,column(S39)-$A$5,0)/VLOOKUP($A39,'Dados StatusInvest'!$A:$AY,2,0)*$E39</f>
        <v>5.463233256</v>
      </c>
      <c r="T39" s="42">
        <f>VLOOKUP($A39,'Dados StatusInvest'!$A:$AY,column(T39)-$A$5,0)/VLOOKUP($A39,'Dados StatusInvest'!$A:$AY,2,0)*$E39</f>
        <v>45.51050808</v>
      </c>
      <c r="U39" s="44">
        <f>VLOOKUP($A39,'Dados StatusInvest'!$A:$AY,column(U39)-$A$5,0)</f>
        <v>-3.73</v>
      </c>
      <c r="V39" s="45">
        <f>VLOOKUP($A39,'Dados StatusInvest'!$A:$AY,column(V39)-$A$5,0)</f>
        <v>1.41</v>
      </c>
      <c r="W39" s="45">
        <f>VLOOKUP($A39,'Dados StatusInvest'!$A:$AY,column(W39)-$A$5,0)</f>
        <v>5.58</v>
      </c>
      <c r="X39" s="48">
        <f>VLOOKUP($A39,'Dados StatusInvest'!$A:$AY,column(X39)-$A$5,0)</f>
        <v>3.44</v>
      </c>
      <c r="Y39" s="45">
        <f>VLOOKUP($A39,'Dados StatusInvest'!$A:$AY,column(Y39)-$A$5,0)</f>
        <v>5.36</v>
      </c>
      <c r="Z39" s="44">
        <f>VLOOKUP($A39,'Dados StatusInvest'!$A:$AY,column(Z39)-$A$5,0)</f>
        <v>0.62</v>
      </c>
      <c r="AA39" s="44">
        <f>VLOOKUP($A39,'Dados StatusInvest'!$A:$AY,column(AA39)-$A$5,0)</f>
        <v>0.38</v>
      </c>
      <c r="AB39" s="44">
        <f>VLOOKUP($A39,'Dados StatusInvest'!$A:$AY,column(AB39)-$A$5,0)</f>
        <v>0.53</v>
      </c>
      <c r="AC39" s="44">
        <f>VLOOKUP($A39,'Dados StatusInvest'!$A:$AY,column(AC39)-$A$5,0)</f>
        <v>28.32</v>
      </c>
      <c r="AD39" s="45">
        <f>VLOOKUP($A39,'Dados StatusInvest'!$A:$AY,column(AD39)-$A$5,0)</f>
        <v>14.58</v>
      </c>
      <c r="AE39" s="46">
        <f>VLOOKUP($A39,'Dados StatusInvest'!$A:$AY,column(AE39)-$A$5,0)</f>
        <v>195739742.5</v>
      </c>
      <c r="AF39" s="51"/>
    </row>
    <row r="40">
      <c r="A40" s="10" t="s">
        <v>86</v>
      </c>
      <c r="B40" s="39" t="str">
        <f>VLOOKUP(lEFT($A40,4),Setor!$A:$E,3,0)</f>
        <v>Bens Industriais</v>
      </c>
      <c r="C40" s="39" t="str">
        <f>VLOOKUP(lEFT($A40,4),Setor!$A:$E,4,0)</f>
        <v>Transporte</v>
      </c>
      <c r="D40" s="39" t="str">
        <f>VLOOKUP(lEFT($A40,4),Setor!$A:$E,5,0)</f>
        <v>Transporte Ferroviário</v>
      </c>
      <c r="E40" s="17">
        <f>IFERROR(__xludf.DUMMYFUNCTION("GOOGLEFINANCE(A40)"),18.23)</f>
        <v>18.23</v>
      </c>
      <c r="F40" s="17">
        <f>IFERROR(__xludf.DUMMYFUNCTION("GOOGLEFINANCE($A40,""high52"")"),22.0)</f>
        <v>22</v>
      </c>
      <c r="G40" s="16">
        <f t="shared" si="1"/>
        <v>-0.1713636364</v>
      </c>
      <c r="H40" s="40">
        <f>VLOOKUP($A40,'Dados StatusInvest'!$A:$AY,column(H40)-$A$5,0)*VLOOKUP($A40,'Dados StatusInvest'!$A:$AY,2,0)/$E40/100</f>
        <v>0</v>
      </c>
      <c r="I40" s="41">
        <f>VLOOKUP($A40,'Dados StatusInvest'!$A:$AY,column(I40)-$A$5,0)/VLOOKUP($A40,'Dados StatusInvest'!$A:$AY,2,0)*$E40</f>
        <v>52.17921719</v>
      </c>
      <c r="J40" s="41">
        <f>VLOOKUP($A40,'Dados StatusInvest'!$A:$AY,column(J40)-$A$5,0)/VLOOKUP($A40,'Dados StatusInvest'!$A:$AY,2,0)*$E40</f>
        <v>2.199617422</v>
      </c>
      <c r="K40" s="42">
        <f>VLOOKUP($A40,'Dados StatusInvest'!$A:$AY,column(K40)-$A$5,0)/VLOOKUP($A40,'Dados StatusInvest'!$A:$AY,2,0)*$E40</f>
        <v>0.7940082401</v>
      </c>
      <c r="L40" s="43">
        <f>VLOOKUP($A40,'Dados StatusInvest'!$A:$AY,column(L40)-$A$5,0)/100</f>
        <v>0.3368</v>
      </c>
      <c r="M40" s="47">
        <f>VLOOKUP($A40,'Dados StatusInvest'!$A:$AY,column(M40)-$A$5,0)</f>
        <v>27.94</v>
      </c>
      <c r="N40" s="47">
        <f>VLOOKUP($A40,'Dados StatusInvest'!$A:$AY,column(N40)-$A$5,0)</f>
        <v>8.46</v>
      </c>
      <c r="O40" s="41">
        <f>VLOOKUP($A40,'Dados StatusInvest'!$A:$AY,column(O40)-$A$5,0)/VLOOKUP($A40,'Dados StatusInvest'!$A:$AY,2,0)*$E40</f>
        <v>15.80505592</v>
      </c>
      <c r="P40" s="41">
        <f>VLOOKUP($A40,'Dados StatusInvest'!$A:$AY,column(P40)-$A$5,0)-VLOOKUP($A40,'Dados StatusInvest'!$A:$AY,column(P40)-$A$5-1,0)+O40</f>
        <v>21.17505592</v>
      </c>
      <c r="Q40" s="44">
        <f>VLOOKUP($A40,'Dados StatusInvest'!$A:$AY,column(Q40)-$A$5,0)</f>
        <v>5.31</v>
      </c>
      <c r="R40" s="44">
        <f>VLOOKUP($A40,'Dados StatusInvest'!$A:$AY,column(R40)-$A$5,0)</f>
        <v>0.74</v>
      </c>
      <c r="S40" s="41">
        <f>VLOOKUP($A40,'Dados StatusInvest'!$A:$AY,column(S40)-$A$5,0)/VLOOKUP($A40,'Dados StatusInvest'!$A:$AY,2,0)*$E40</f>
        <v>4.420694526</v>
      </c>
      <c r="T40" s="42">
        <f>VLOOKUP($A40,'Dados StatusInvest'!$A:$AY,column(T40)-$A$5,0)/VLOOKUP($A40,'Dados StatusInvest'!$A:$AY,2,0)*$E40</f>
        <v>7.940082401</v>
      </c>
      <c r="U40" s="44">
        <f>VLOOKUP($A40,'Dados StatusInvest'!$A:$AY,column(U40)-$A$5,0)</f>
        <v>-0.91</v>
      </c>
      <c r="V40" s="45">
        <f>VLOOKUP($A40,'Dados StatusInvest'!$A:$AY,column(V40)-$A$5,0)</f>
        <v>2.13</v>
      </c>
      <c r="W40" s="45">
        <f>VLOOKUP($A40,'Dados StatusInvest'!$A:$AY,column(W40)-$A$5,0)</f>
        <v>4.21</v>
      </c>
      <c r="X40" s="45">
        <f>VLOOKUP($A40,'Dados StatusInvest'!$A:$AY,column(X40)-$A$5,0)</f>
        <v>1.52</v>
      </c>
      <c r="Y40" s="48">
        <f>VLOOKUP($A40,'Dados StatusInvest'!$A:$AY,column(Y40)-$A$5,0)</f>
        <v>6.14</v>
      </c>
      <c r="Z40" s="44">
        <f>VLOOKUP($A40,'Dados StatusInvest'!$A:$AY,column(Z40)-$A$5,0)</f>
        <v>0.36</v>
      </c>
      <c r="AA40" s="44">
        <f>VLOOKUP($A40,'Dados StatusInvest'!$A:$AY,column(AA40)-$A$5,0)</f>
        <v>0.63</v>
      </c>
      <c r="AB40" s="44">
        <f>VLOOKUP($A40,'Dados StatusInvest'!$A:$AY,column(AB40)-$A$5,0)</f>
        <v>0.18</v>
      </c>
      <c r="AC40" s="44">
        <f>VLOOKUP($A40,'Dados StatusInvest'!$A:$AY,column(AC40)-$A$5,0)</f>
        <v>10.92</v>
      </c>
      <c r="AD40" s="45">
        <f>VLOOKUP($A40,'Dados StatusInvest'!$A:$AY,column(AD40)-$A$5,0)</f>
        <v>0</v>
      </c>
      <c r="AE40" s="46">
        <f>VLOOKUP($A40,'Dados StatusInvest'!$A:$AY,column(AE40)-$A$5,0)</f>
        <v>202139543.8</v>
      </c>
      <c r="AF40" s="18"/>
    </row>
    <row r="41">
      <c r="A41" s="10" t="s">
        <v>87</v>
      </c>
      <c r="B41" s="52" t="str">
        <f>VLOOKUP(LEFT($A41,4),Setor!$A:$E,3,0)</f>
        <v>Utilidade Pública</v>
      </c>
      <c r="C41" s="52" t="str">
        <f>VLOOKUP(LEFT($A41,4),Setor!$A:$E,4,0)</f>
        <v>Energia Elétrica</v>
      </c>
      <c r="D41" s="52" t="str">
        <f>VLOOKUP(LEFT($A41,4),Setor!$A:$E,5,0)</f>
        <v>Energia Elétrica</v>
      </c>
      <c r="E41" s="53">
        <f>IFERROR(__xludf.DUMMYFUNCTION("GOOGLEFINANCE(A41)"),24.67)</f>
        <v>24.67</v>
      </c>
      <c r="F41" s="53">
        <f>IFERROR(__xludf.DUMMYFUNCTION("GOOGLEFINANCE($A41,""high52"")"),26.96)</f>
        <v>26.96</v>
      </c>
      <c r="G41" s="54">
        <f t="shared" si="1"/>
        <v>-0.08494065282</v>
      </c>
      <c r="H41" s="55">
        <f>VLOOKUP($A41,'Dados StatusInvest'!$A:$AY,COLUMN(H41)-$A$5,0)*VLOOKUP($A41,'Dados StatusInvest'!$A:$AY,2,0)/$E41/100</f>
        <v>0.02916518038</v>
      </c>
      <c r="I41" s="56">
        <f>VLOOKUP($A41,'Dados StatusInvest'!$A:$AY,COLUMN(I41)-$A$5,0)/VLOOKUP($A41,'Dados StatusInvest'!$A:$AY,2,0)*$E41</f>
        <v>8.334596146</v>
      </c>
      <c r="J41" s="56">
        <f>VLOOKUP($A41,'Dados StatusInvest'!$A:$AY,COLUMN(J41)-$A$5,0)/VLOOKUP($A41,'Dados StatusInvest'!$A:$AY,2,0)*$E41</f>
        <v>2.356748667</v>
      </c>
      <c r="K41" s="57">
        <f>VLOOKUP($A41,'Dados StatusInvest'!$A:$AY,COLUMN(K41)-$A$5,0)/VLOOKUP($A41,'Dados StatusInvest'!$A:$AY,2,0)*$E41</f>
        <v>0.5765436654</v>
      </c>
      <c r="L41" s="58">
        <f>VLOOKUP($A41,'Dados StatusInvest'!$A:$AY,COLUMN(L41)-$A$5,0)/100</f>
        <v>0.3321</v>
      </c>
      <c r="M41" s="59">
        <f>VLOOKUP($A41,'Dados StatusInvest'!$A:$AY,COLUMN(M41)-$A$5,0)</f>
        <v>26.64</v>
      </c>
      <c r="N41" s="63">
        <f>VLOOKUP($A41,'Dados StatusInvest'!$A:$AY,COLUMN(N41)-$A$5,0)</f>
        <v>15.84</v>
      </c>
      <c r="O41" s="56">
        <f>VLOOKUP($A41,'Dados StatusInvest'!$A:$AY,COLUMN(O41)-$A$5,0)/VLOOKUP($A41,'Dados StatusInvest'!$A:$AY,2,0)*$E41</f>
        <v>4.956252563</v>
      </c>
      <c r="P41" s="56">
        <f>VLOOKUP($A41,'Dados StatusInvest'!$A:$AY,COLUMN(P41)-$A$5,0)-VLOOKUP($A41,'Dados StatusInvest'!$A:$AY,COLUMN(P41)-$A$5-1,0)+O41</f>
        <v>6.916252563</v>
      </c>
      <c r="Q41" s="59">
        <f>VLOOKUP($A41,'Dados StatusInvest'!$A:$AY,COLUMN(Q41)-$A$5,0)</f>
        <v>1.92</v>
      </c>
      <c r="R41" s="59">
        <f>VLOOKUP($A41,'Dados StatusInvest'!$A:$AY,COLUMN(R41)-$A$5,0)</f>
        <v>0.91</v>
      </c>
      <c r="S41" s="56">
        <f>VLOOKUP($A41,'Dados StatusInvest'!$A:$AY,COLUMN(S41)-$A$5,0)/VLOOKUP($A41,'Dados StatusInvest'!$A:$AY,2,0)*$E41</f>
        <v>1.314924149</v>
      </c>
      <c r="T41" s="57">
        <f>VLOOKUP($A41,'Dados StatusInvest'!$A:$AY,COLUMN(T41)-$A$5,0)/VLOOKUP($A41,'Dados StatusInvest'!$A:$AY,2,0)*$E41</f>
        <v>3.206391964</v>
      </c>
      <c r="U41" s="59">
        <f>VLOOKUP($A41,'Dados StatusInvest'!$A:$AY,COLUMN(U41)-$A$5,0)</f>
        <v>-0.89</v>
      </c>
      <c r="V41" s="60">
        <f>VLOOKUP($A41,'Dados StatusInvest'!$A:$AY,COLUMN(V41)-$A$5,0)</f>
        <v>1.97</v>
      </c>
      <c r="W41" s="60">
        <f>VLOOKUP($A41,'Dados StatusInvest'!$A:$AY,COLUMN(W41)-$A$5,0)</f>
        <v>28.31</v>
      </c>
      <c r="X41" s="60">
        <f>VLOOKUP($A41,'Dados StatusInvest'!$A:$AY,COLUMN(X41)-$A$5,0)</f>
        <v>6.88</v>
      </c>
      <c r="Y41" s="60">
        <f>VLOOKUP($A41,'Dados StatusInvest'!$A:$AY,COLUMN(Y41)-$A$5,0)</f>
        <v>14.16</v>
      </c>
      <c r="Z41" s="59">
        <f>VLOOKUP($A41,'Dados StatusInvest'!$A:$AY,COLUMN(Z41)-$A$5,0)</f>
        <v>0.24</v>
      </c>
      <c r="AA41" s="59">
        <f>VLOOKUP($A41,'Dados StatusInvest'!$A:$AY,COLUMN(AA41)-$A$5,0)</f>
        <v>0.71</v>
      </c>
      <c r="AB41" s="59">
        <f>VLOOKUP($A41,'Dados StatusInvest'!$A:$AY,COLUMN(AB41)-$A$5,0)</f>
        <v>0.43</v>
      </c>
      <c r="AC41" s="59">
        <f>VLOOKUP($A41,'Dados StatusInvest'!$A:$AY,COLUMN(AC41)-$A$5,0)</f>
        <v>19.79</v>
      </c>
      <c r="AD41" s="60">
        <f>VLOOKUP($A41,'Dados StatusInvest'!$A:$AY,COLUMN(AD41)-$A$5,0)</f>
        <v>29.92</v>
      </c>
      <c r="AE41" s="62">
        <f>VLOOKUP($A41,'Dados StatusInvest'!$A:$AY,COLUMN(AE41)-$A$5,0)</f>
        <v>165350084.5</v>
      </c>
      <c r="AF41" s="18"/>
    </row>
    <row r="42">
      <c r="A42" s="10" t="s">
        <v>88</v>
      </c>
      <c r="B42" s="39" t="str">
        <f>VLOOKUP(lEFT($A42,4),Setor!$A:$E,3,0)</f>
        <v>Materiais Básicos</v>
      </c>
      <c r="C42" s="39" t="str">
        <f>VLOOKUP(lEFT($A42,4),Setor!$A:$E,4,0)</f>
        <v>Mineração</v>
      </c>
      <c r="D42" s="39" t="str">
        <f>VLOOKUP(lEFT($A42,4),Setor!$A:$E,5,0)</f>
        <v>Minerais Metálicos</v>
      </c>
      <c r="E42" s="17">
        <f>IFERROR(__xludf.DUMMYFUNCTION("GOOGLEFINANCE(A42)"),53.16)</f>
        <v>53.16</v>
      </c>
      <c r="F42" s="17">
        <f>IFERROR(__xludf.DUMMYFUNCTION("GOOGLEFINANCE($A42,""high52"")"),71.0)</f>
        <v>71</v>
      </c>
      <c r="G42" s="16">
        <f t="shared" si="1"/>
        <v>-0.2512676056</v>
      </c>
      <c r="H42" s="40">
        <f>VLOOKUP($A42,'Dados StatusInvest'!$A:$AY,column(H42)-$A$5,0)*VLOOKUP($A42,'Dados StatusInvest'!$A:$AY,2,0)/$E42/100</f>
        <v>0.1359646727</v>
      </c>
      <c r="I42" s="41">
        <f>VLOOKUP($A42,'Dados StatusInvest'!$A:$AY,column(I42)-$A$5,0)/VLOOKUP($A42,'Dados StatusInvest'!$A:$AY,2,0)*$E42</f>
        <v>4.130462633</v>
      </c>
      <c r="J42" s="41">
        <f>VLOOKUP($A42,'Dados StatusInvest'!$A:$AY,column(J42)-$A$5,0)/VLOOKUP($A42,'Dados StatusInvest'!$A:$AY,2,0)*$E42</f>
        <v>1.555492289</v>
      </c>
      <c r="K42" s="42">
        <f>VLOOKUP($A42,'Dados StatusInvest'!$A:$AY,column(K42)-$A$5,0)/VLOOKUP($A42,'Dados StatusInvest'!$A:$AY,2,0)*$E42</f>
        <v>1.555492289</v>
      </c>
      <c r="L42" s="43">
        <f>VLOOKUP($A42,'Dados StatusInvest'!$A:$AY,column(L42)-$A$5,0)/100</f>
        <v>0</v>
      </c>
      <c r="M42" s="44">
        <f>VLOOKUP($A42,'Dados StatusInvest'!$A:$AY,column(M42)-$A$5,0)</f>
        <v>0</v>
      </c>
      <c r="N42" s="44">
        <f>VLOOKUP($A42,'Dados StatusInvest'!$A:$AY,column(N42)-$A$5,0)</f>
        <v>0</v>
      </c>
      <c r="O42" s="41">
        <f>VLOOKUP($A42,'Dados StatusInvest'!$A:$AY,column(O42)-$A$5,0)/VLOOKUP($A42,'Dados StatusInvest'!$A:$AY,2,0)*$E42</f>
        <v>4.11995255</v>
      </c>
      <c r="P42" s="41">
        <f>VLOOKUP($A42,'Dados StatusInvest'!$A:$AY,column(P42)-$A$5,0)-VLOOKUP($A42,'Dados StatusInvest'!$A:$AY,column(P42)-$A$5-1,0)+O42</f>
        <v>3.88995255</v>
      </c>
      <c r="Q42" s="44">
        <f>VLOOKUP($A42,'Dados StatusInvest'!$A:$AY,column(Q42)-$A$5,0)</f>
        <v>-0.15</v>
      </c>
      <c r="R42" s="44">
        <f>VLOOKUP($A42,'Dados StatusInvest'!$A:$AY,column(R42)-$A$5,0)</f>
        <v>-0.06</v>
      </c>
      <c r="S42" s="41">
        <f>VLOOKUP($A42,'Dados StatusInvest'!$A:$AY,column(S42)-$A$5,0)/VLOOKUP($A42,'Dados StatusInvest'!$A:$AY,2,0)*$E42</f>
        <v>0</v>
      </c>
      <c r="T42" s="42">
        <f>VLOOKUP($A42,'Dados StatusInvest'!$A:$AY,column(T42)-$A$5,0)/VLOOKUP($A42,'Dados StatusInvest'!$A:$AY,2,0)*$E42</f>
        <v>28.56640569</v>
      </c>
      <c r="U42" s="44">
        <f>VLOOKUP($A42,'Dados StatusInvest'!$A:$AY,column(U42)-$A$5,0)</f>
        <v>-1.57</v>
      </c>
      <c r="V42" s="45">
        <f>VLOOKUP($A42,'Dados StatusInvest'!$A:$AY,column(V42)-$A$5,0)</f>
        <v>16.3</v>
      </c>
      <c r="W42" s="45">
        <f>VLOOKUP($A42,'Dados StatusInvest'!$A:$AY,column(W42)-$A$5,0)</f>
        <v>37.74</v>
      </c>
      <c r="X42" s="45">
        <f>VLOOKUP($A42,'Dados StatusInvest'!$A:$AY,column(X42)-$A$5,0)</f>
        <v>37.58</v>
      </c>
      <c r="Y42" s="45">
        <f>VLOOKUP($A42,'Dados StatusInvest'!$A:$AY,column(Y42)-$A$5,0)</f>
        <v>37.65</v>
      </c>
      <c r="Z42" s="44">
        <f>VLOOKUP($A42,'Dados StatusInvest'!$A:$AY,column(Z42)-$A$5,0)</f>
        <v>1</v>
      </c>
      <c r="AA42" s="44">
        <f>VLOOKUP($A42,'Dados StatusInvest'!$A:$AY,column(AA42)-$A$5,0)</f>
        <v>0</v>
      </c>
      <c r="AB42" s="44">
        <f>VLOOKUP($A42,'Dados StatusInvest'!$A:$AY,column(AB42)-$A$5,0)</f>
        <v>0</v>
      </c>
      <c r="AC42" s="44">
        <f>VLOOKUP($A42,'Dados StatusInvest'!$A:$AY,column(AC42)-$A$5,0)</f>
        <v>0</v>
      </c>
      <c r="AD42" s="45">
        <f>VLOOKUP($A42,'Dados StatusInvest'!$A:$AY,column(AD42)-$A$5,0)</f>
        <v>0</v>
      </c>
      <c r="AE42" s="46">
        <f>VLOOKUP($A42,'Dados StatusInvest'!$A:$AY,column(AE42)-$A$5,0)</f>
        <v>194336874.2</v>
      </c>
      <c r="AF42" s="51"/>
    </row>
    <row r="43">
      <c r="A43" s="10" t="s">
        <v>89</v>
      </c>
      <c r="B43" s="39" t="str">
        <f>VLOOKUP(lEFT($A43,4),Setor!$A:$E,3,0)</f>
        <v>Materiais Básicos</v>
      </c>
      <c r="C43" s="39" t="str">
        <f>VLOOKUP(lEFT($A43,4),Setor!$A:$E,4,0)</f>
        <v>Madeira e Papel</v>
      </c>
      <c r="D43" s="39" t="str">
        <f>VLOOKUP(lEFT($A43,4),Setor!$A:$E,5,0)</f>
        <v>Papel e Celulose</v>
      </c>
      <c r="E43" s="17">
        <f>IFERROR(__xludf.DUMMYFUNCTION("GOOGLEFINANCE(A43)"),22.56)</f>
        <v>22.56</v>
      </c>
      <c r="F43" s="17">
        <f>IFERROR(__xludf.DUMMYFUNCTION("GOOGLEFINANCE($A43,""high52"")"),31.54)</f>
        <v>31.54</v>
      </c>
      <c r="G43" s="16">
        <f t="shared" si="1"/>
        <v>-0.2847178186</v>
      </c>
      <c r="H43" s="40">
        <f>VLOOKUP($A43,'Dados StatusInvest'!$A:$AY,column(H43)-$A$5,0)*VLOOKUP($A43,'Dados StatusInvest'!$A:$AY,2,0)/$E43/100</f>
        <v>0</v>
      </c>
      <c r="I43" s="41">
        <f>VLOOKUP($A43,'Dados StatusInvest'!$A:$AY,column(I43)-$A$5,0)/VLOOKUP($A43,'Dados StatusInvest'!$A:$AY,2,0)*$E43</f>
        <v>11.78507463</v>
      </c>
      <c r="J43" s="41">
        <f>VLOOKUP($A43,'Dados StatusInvest'!$A:$AY,column(J43)-$A$5,0)/VLOOKUP($A43,'Dados StatusInvest'!$A:$AY,2,0)*$E43</f>
        <v>4.752511727</v>
      </c>
      <c r="K43" s="42">
        <f>VLOOKUP($A43,'Dados StatusInvest'!$A:$AY,column(K43)-$A$5,0)/VLOOKUP($A43,'Dados StatusInvest'!$A:$AY,2,0)*$E43</f>
        <v>0.6638123667</v>
      </c>
      <c r="L43" s="43">
        <f>VLOOKUP($A43,'Dados StatusInvest'!$A:$AY,column(L43)-$A$5,0)/100</f>
        <v>0.3963</v>
      </c>
      <c r="M43" s="44">
        <f>VLOOKUP($A43,'Dados StatusInvest'!$A:$AY,column(M43)-$A$5,0)</f>
        <v>27.42</v>
      </c>
      <c r="N43" s="47">
        <f>VLOOKUP($A43,'Dados StatusInvest'!$A:$AY,column(N43)-$A$5,0)</f>
        <v>15.46</v>
      </c>
      <c r="O43" s="41">
        <f>VLOOKUP($A43,'Dados StatusInvest'!$A:$AY,column(O43)-$A$5,0)/VLOOKUP($A43,'Dados StatusInvest'!$A:$AY,2,0)*$E43</f>
        <v>6.647744136</v>
      </c>
      <c r="P43" s="41">
        <f>VLOOKUP($A43,'Dados StatusInvest'!$A:$AY,column(P43)-$A$5,0)-VLOOKUP($A43,'Dados StatusInvest'!$A:$AY,column(P43)-$A$5-1,0)+O43</f>
        <v>11.58774414</v>
      </c>
      <c r="Q43" s="44">
        <f>VLOOKUP($A43,'Dados StatusInvest'!$A:$AY,column(Q43)-$A$5,0)</f>
        <v>4.92</v>
      </c>
      <c r="R43" s="44">
        <f>VLOOKUP($A43,'Dados StatusInvest'!$A:$AY,column(R43)-$A$5,0)</f>
        <v>3.52</v>
      </c>
      <c r="S43" s="41">
        <f>VLOOKUP($A43,'Dados StatusInvest'!$A:$AY,column(S43)-$A$5,0)/VLOOKUP($A43,'Dados StatusInvest'!$A:$AY,2,0)*$E43</f>
        <v>1.818268657</v>
      </c>
      <c r="T43" s="42">
        <f>VLOOKUP($A43,'Dados StatusInvest'!$A:$AY,column(T43)-$A$5,0)/VLOOKUP($A43,'Dados StatusInvest'!$A:$AY,2,0)*$E43</f>
        <v>3.049688699</v>
      </c>
      <c r="U43" s="47">
        <f>VLOOKUP($A43,'Dados StatusInvest'!$A:$AY,column(U43)-$A$5,0)</f>
        <v>-1.04</v>
      </c>
      <c r="V43" s="45">
        <f>VLOOKUP($A43,'Dados StatusInvest'!$A:$AY,column(V43)-$A$5,0)</f>
        <v>2.79</v>
      </c>
      <c r="W43" s="45">
        <f>VLOOKUP($A43,'Dados StatusInvest'!$A:$AY,column(W43)-$A$5,0)</f>
        <v>40.32</v>
      </c>
      <c r="X43" s="45">
        <f>VLOOKUP($A43,'Dados StatusInvest'!$A:$AY,column(X43)-$A$5,0)</f>
        <v>5.62</v>
      </c>
      <c r="Y43" s="45">
        <f>VLOOKUP($A43,'Dados StatusInvest'!$A:$AY,column(Y43)-$A$5,0)</f>
        <v>8.48</v>
      </c>
      <c r="Z43" s="44">
        <f>VLOOKUP($A43,'Dados StatusInvest'!$A:$AY,column(Z43)-$A$5,0)</f>
        <v>0.14</v>
      </c>
      <c r="AA43" s="44">
        <f>VLOOKUP($A43,'Dados StatusInvest'!$A:$AY,column(AA43)-$A$5,0)</f>
        <v>0.83</v>
      </c>
      <c r="AB43" s="44">
        <f>VLOOKUP($A43,'Dados StatusInvest'!$A:$AY,column(AB43)-$A$5,0)</f>
        <v>0.36</v>
      </c>
      <c r="AC43" s="44">
        <f>VLOOKUP($A43,'Dados StatusInvest'!$A:$AY,column(AC43)-$A$5,0)</f>
        <v>16.01</v>
      </c>
      <c r="AD43" s="45">
        <f>VLOOKUP($A43,'Dados StatusInvest'!$A:$AY,column(AD43)-$A$5,0)</f>
        <v>0</v>
      </c>
      <c r="AE43" s="46">
        <f>VLOOKUP($A43,'Dados StatusInvest'!$A:$AY,column(AE43)-$A$5,0)</f>
        <v>161072667</v>
      </c>
      <c r="AF43" s="51"/>
    </row>
    <row r="44">
      <c r="A44" s="10" t="s">
        <v>90</v>
      </c>
      <c r="B44" s="39" t="str">
        <f>VLOOKUP(lEFT($A44,4),Setor!$A:$E,3,0)</f>
        <v>Consumo Cíclico</v>
      </c>
      <c r="C44" s="39" t="str">
        <f>VLOOKUP(lEFT($A44,4),Setor!$A:$E,4,0)</f>
        <v>Viagens e Lazer</v>
      </c>
      <c r="D44" s="39" t="str">
        <f>VLOOKUP(lEFT($A44,4),Setor!$A:$E,5,0)</f>
        <v>Viagens e Turismo</v>
      </c>
      <c r="E44" s="17">
        <f>IFERROR(__xludf.DUMMYFUNCTION("GOOGLEFINANCE(A44)"),20.53)</f>
        <v>20.53</v>
      </c>
      <c r="F44" s="17">
        <f>IFERROR(__xludf.DUMMYFUNCTION("GOOGLEFINANCE($A44,""high52"")"),29.13)</f>
        <v>29.13</v>
      </c>
      <c r="G44" s="16">
        <f t="shared" si="1"/>
        <v>-0.295228287</v>
      </c>
      <c r="H44" s="40">
        <f>VLOOKUP($A44,'Dados StatusInvest'!$A:$AY,column(H44)-$A$5,0)*VLOOKUP($A44,'Dados StatusInvest'!$A:$AY,2,0)/$E44/100</f>
        <v>0</v>
      </c>
      <c r="I44" s="41">
        <f>VLOOKUP($A44,'Dados StatusInvest'!$A:$AY,column(I44)-$A$5,0)/VLOOKUP($A44,'Dados StatusInvest'!$A:$AY,2,0)*$E44</f>
        <v>-64.78948052</v>
      </c>
      <c r="J44" s="41">
        <f>VLOOKUP($A44,'Dados StatusInvest'!$A:$AY,column(J44)-$A$5,0)/VLOOKUP($A44,'Dados StatusInvest'!$A:$AY,2,0)*$E44</f>
        <v>29.93094276</v>
      </c>
      <c r="K44" s="42">
        <f>VLOOKUP($A44,'Dados StatusInvest'!$A:$AY,column(K44)-$A$5,0)/VLOOKUP($A44,'Dados StatusInvest'!$A:$AY,2,0)*$E44</f>
        <v>0.9776190476</v>
      </c>
      <c r="L44" s="43">
        <f>VLOOKUP($A44,'Dados StatusInvest'!$A:$AY,column(L44)-$A$5,0)/100</f>
        <v>1</v>
      </c>
      <c r="M44" s="44">
        <f>VLOOKUP($A44,'Dados StatusInvest'!$A:$AY,column(M44)-$A$5,0)</f>
        <v>-124.74</v>
      </c>
      <c r="N44" s="44">
        <f>VLOOKUP($A44,'Dados StatusInvest'!$A:$AY,column(N44)-$A$5,0)</f>
        <v>-14.08</v>
      </c>
      <c r="O44" s="41">
        <f>VLOOKUP($A44,'Dados StatusInvest'!$A:$AY,column(O44)-$A$5,0)/VLOOKUP($A44,'Dados StatusInvest'!$A:$AY,2,0)*$E44</f>
        <v>-7.317330447</v>
      </c>
      <c r="P44" s="41">
        <f>VLOOKUP($A44,'Dados StatusInvest'!$A:$AY,column(P44)-$A$5,0)-VLOOKUP($A44,'Dados StatusInvest'!$A:$AY,column(P44)-$A$5-1,0)+O44</f>
        <v>-8.217330447</v>
      </c>
      <c r="Q44" s="44">
        <f>VLOOKUP($A44,'Dados StatusInvest'!$A:$AY,column(Q44)-$A$5,0)</f>
        <v>-0.84</v>
      </c>
      <c r="R44" s="44">
        <f>VLOOKUP($A44,'Dados StatusInvest'!$A:$AY,column(R44)-$A$5,0)</f>
        <v>3.44</v>
      </c>
      <c r="S44" s="41">
        <f>VLOOKUP($A44,'Dados StatusInvest'!$A:$AY,column(S44)-$A$5,0)/VLOOKUP($A44,'Dados StatusInvest'!$A:$AY,2,0)*$E44</f>
        <v>9.124444444</v>
      </c>
      <c r="T44" s="42">
        <f>VLOOKUP($A44,'Dados StatusInvest'!$A:$AY,column(T44)-$A$5,0)/VLOOKUP($A44,'Dados StatusInvest'!$A:$AY,2,0)*$E44</f>
        <v>-15.31603175</v>
      </c>
      <c r="U44" s="44">
        <f>VLOOKUP($A44,'Dados StatusInvest'!$A:$AY,column(U44)-$A$5,0)</f>
        <v>-2.37</v>
      </c>
      <c r="V44" s="45">
        <f>VLOOKUP($A44,'Dados StatusInvest'!$A:$AY,column(V44)-$A$5,0)</f>
        <v>0.9</v>
      </c>
      <c r="W44" s="45">
        <f>VLOOKUP($A44,'Dados StatusInvest'!$A:$AY,column(W44)-$A$5,0)</f>
        <v>-46.2</v>
      </c>
      <c r="X44" s="45">
        <f>VLOOKUP($A44,'Dados StatusInvest'!$A:$AY,column(X44)-$A$5,0)</f>
        <v>-1.51</v>
      </c>
      <c r="Y44" s="45">
        <f>VLOOKUP($A44,'Dados StatusInvest'!$A:$AY,column(Y44)-$A$5,0)</f>
        <v>-98.64</v>
      </c>
      <c r="Z44" s="44">
        <f>VLOOKUP($A44,'Dados StatusInvest'!$A:$AY,column(Z44)-$A$5,0)</f>
        <v>0.03</v>
      </c>
      <c r="AA44" s="44">
        <f>VLOOKUP($A44,'Dados StatusInvest'!$A:$AY,column(AA44)-$A$5,0)</f>
        <v>0.97</v>
      </c>
      <c r="AB44" s="44">
        <f>VLOOKUP($A44,'Dados StatusInvest'!$A:$AY,column(AB44)-$A$5,0)</f>
        <v>0.11</v>
      </c>
      <c r="AC44" s="44">
        <f>VLOOKUP($A44,'Dados StatusInvest'!$A:$AY,column(AC44)-$A$5,0)</f>
        <v>-6.66</v>
      </c>
      <c r="AD44" s="45">
        <f>VLOOKUP($A44,'Dados StatusInvest'!$A:$AY,column(AD44)-$A$5,0)</f>
        <v>0</v>
      </c>
      <c r="AE44" s="46">
        <f>VLOOKUP($A44,'Dados StatusInvest'!$A:$AY,column(AE44)-$A$5,0)</f>
        <v>165504534.5</v>
      </c>
      <c r="AF44" s="49"/>
    </row>
    <row r="45">
      <c r="A45" s="10" t="s">
        <v>91</v>
      </c>
      <c r="B45" s="39" t="str">
        <f>VLOOKUP(lEFT($A45,4),Setor!$A:$E,3,0)</f>
        <v>Consumo não Cíclico</v>
      </c>
      <c r="C45" s="39" t="str">
        <f>VLOOKUP(lEFT($A45,4),Setor!$A:$E,4,0)</f>
        <v>Alimentos Processados</v>
      </c>
      <c r="D45" s="39" t="str">
        <f>VLOOKUP(lEFT($A45,4),Setor!$A:$E,5,0)</f>
        <v>Carnes e Derivados</v>
      </c>
      <c r="E45" s="17">
        <f>IFERROR(__xludf.DUMMYFUNCTION("GOOGLEFINANCE(A45)"),25.74)</f>
        <v>25.74</v>
      </c>
      <c r="F45" s="17">
        <f>IFERROR(__xludf.DUMMYFUNCTION("GOOGLEFINANCE($A45,""high52"")"),26.51)</f>
        <v>26.51</v>
      </c>
      <c r="G45" s="16">
        <f t="shared" si="1"/>
        <v>-0.02904564315</v>
      </c>
      <c r="H45" s="40">
        <f>VLOOKUP($A45,'Dados StatusInvest'!$A:$AY,column(H45)-$A$5,0)*VLOOKUP($A45,'Dados StatusInvest'!$A:$AY,2,0)/$E45/100</f>
        <v>0.06231958042</v>
      </c>
      <c r="I45" s="41">
        <f>VLOOKUP($A45,'Dados StatusInvest'!$A:$AY,column(I45)-$A$5,0)/VLOOKUP($A45,'Dados StatusInvest'!$A:$AY,2,0)*$E45</f>
        <v>4.612482916</v>
      </c>
      <c r="J45" s="41">
        <f>VLOOKUP($A45,'Dados StatusInvest'!$A:$AY,column(J45)-$A$5,0)/VLOOKUP($A45,'Dados StatusInvest'!$A:$AY,2,0)*$E45</f>
        <v>4.250911162</v>
      </c>
      <c r="K45" s="42">
        <f>VLOOKUP($A45,'Dados StatusInvest'!$A:$AY,column(K45)-$A$5,0)/VLOOKUP($A45,'Dados StatusInvest'!$A:$AY,2,0)*$E45</f>
        <v>0.4104328018</v>
      </c>
      <c r="L45" s="43">
        <f>VLOOKUP($A45,'Dados StatusInvest'!$A:$AY,column(L45)-$A$5,0)/100</f>
        <v>0.1679</v>
      </c>
      <c r="M45" s="47">
        <f>VLOOKUP($A45,'Dados StatusInvest'!$A:$AY,column(M45)-$A$5,0)</f>
        <v>11.11</v>
      </c>
      <c r="N45" s="47">
        <f>VLOOKUP($A45,'Dados StatusInvest'!$A:$AY,column(N45)-$A$5,0)</f>
        <v>5.3</v>
      </c>
      <c r="O45" s="41">
        <f>VLOOKUP($A45,'Dados StatusInvest'!$A:$AY,column(O45)-$A$5,0)/VLOOKUP($A45,'Dados StatusInvest'!$A:$AY,2,0)*$E45</f>
        <v>2.198747153</v>
      </c>
      <c r="P45" s="41">
        <f>VLOOKUP($A45,'Dados StatusInvest'!$A:$AY,column(P45)-$A$5,0)-VLOOKUP($A45,'Dados StatusInvest'!$A:$AY,column(P45)-$A$5-1,0)+O45</f>
        <v>4.058747153</v>
      </c>
      <c r="Q45" s="44">
        <f>VLOOKUP($A45,'Dados StatusInvest'!$A:$AY,column(Q45)-$A$5,0)</f>
        <v>1.85</v>
      </c>
      <c r="R45" s="44">
        <f>VLOOKUP($A45,'Dados StatusInvest'!$A:$AY,column(R45)-$A$5,0)</f>
        <v>3.58</v>
      </c>
      <c r="S45" s="41">
        <f>VLOOKUP($A45,'Dados StatusInvest'!$A:$AY,column(S45)-$A$5,0)/VLOOKUP($A45,'Dados StatusInvest'!$A:$AY,2,0)*$E45</f>
        <v>0.2443052392</v>
      </c>
      <c r="T45" s="42">
        <f>VLOOKUP($A45,'Dados StatusInvest'!$A:$AY,column(T45)-$A$5,0)/VLOOKUP($A45,'Dados StatusInvest'!$A:$AY,2,0)*$E45</f>
        <v>3.254145786</v>
      </c>
      <c r="U45" s="44">
        <f>VLOOKUP($A45,'Dados StatusInvest'!$A:$AY,column(U45)-$A$5,0)</f>
        <v>-0.84</v>
      </c>
      <c r="V45" s="45">
        <f>VLOOKUP($A45,'Dados StatusInvest'!$A:$AY,column(V45)-$A$5,0)</f>
        <v>1.33</v>
      </c>
      <c r="W45" s="48">
        <f>VLOOKUP($A45,'Dados StatusInvest'!$A:$AY,column(W45)-$A$5,0)</f>
        <v>92.26</v>
      </c>
      <c r="X45" s="45">
        <f>VLOOKUP($A45,'Dados StatusInvest'!$A:$AY,column(X45)-$A$5,0)</f>
        <v>8.84</v>
      </c>
      <c r="Y45" s="45">
        <f>VLOOKUP($A45,'Dados StatusInvest'!$A:$AY,column(Y45)-$A$5,0)</f>
        <v>19.48</v>
      </c>
      <c r="Z45" s="44">
        <f>VLOOKUP($A45,'Dados StatusInvest'!$A:$AY,column(Z45)-$A$5,0)</f>
        <v>0.1</v>
      </c>
      <c r="AA45" s="44">
        <f>VLOOKUP($A45,'Dados StatusInvest'!$A:$AY,column(AA45)-$A$5,0)</f>
        <v>0.87</v>
      </c>
      <c r="AB45" s="44">
        <f>VLOOKUP($A45,'Dados StatusInvest'!$A:$AY,column(AB45)-$A$5,0)</f>
        <v>1.67</v>
      </c>
      <c r="AC45" s="44">
        <f>VLOOKUP($A45,'Dados StatusInvest'!$A:$AY,column(AC45)-$A$5,0)</f>
        <v>28.12</v>
      </c>
      <c r="AD45" s="45">
        <f>VLOOKUP($A45,'Dados StatusInvest'!$A:$AY,column(AD45)-$A$5,0)</f>
        <v>0</v>
      </c>
      <c r="AE45" s="46">
        <f>VLOOKUP($A45,'Dados StatusInvest'!$A:$AY,column(AE45)-$A$5,0)</f>
        <v>188659704.8</v>
      </c>
      <c r="AF45" s="51"/>
    </row>
    <row r="46">
      <c r="A46" s="10" t="s">
        <v>92</v>
      </c>
      <c r="B46" s="52" t="str">
        <f>VLOOKUP(LEFT($A46,4),Setor!$A:$E,3,0)</f>
        <v>Utilidade Pública</v>
      </c>
      <c r="C46" s="52" t="str">
        <f>VLOOKUP(LEFT($A46,4),Setor!$A:$E,4,0)</f>
        <v>Energia Elétrica</v>
      </c>
      <c r="D46" s="52" t="str">
        <f>VLOOKUP(LEFT($A46,4),Setor!$A:$E,5,0)</f>
        <v>Energia Elétrica</v>
      </c>
      <c r="E46" s="53">
        <f>IFERROR(__xludf.DUMMYFUNCTION("GOOGLEFINANCE(A46)"),37.7)</f>
        <v>37.7</v>
      </c>
      <c r="F46" s="53">
        <f>IFERROR(__xludf.DUMMYFUNCTION("GOOGLEFINANCE($A46,""high52"")"),48.2)</f>
        <v>48.2</v>
      </c>
      <c r="G46" s="54">
        <f t="shared" si="1"/>
        <v>-0.2178423237</v>
      </c>
      <c r="H46" s="55">
        <f>VLOOKUP($A46,'Dados StatusInvest'!$A:$AY,COLUMN(H46)-$A$5,0)*VLOOKUP($A46,'Dados StatusInvest'!$A:$AY,2,0)/$E46/100</f>
        <v>0.06359586207</v>
      </c>
      <c r="I46" s="56">
        <f>VLOOKUP($A46,'Dados StatusInvest'!$A:$AY,COLUMN(I46)-$A$5,0)/VLOOKUP($A46,'Dados StatusInvest'!$A:$AY,2,0)*$E46</f>
        <v>10.59219858</v>
      </c>
      <c r="J46" s="56">
        <f>VLOOKUP($A46,'Dados StatusInvest'!$A:$AY,COLUMN(J46)-$A$5,0)/VLOOKUP($A46,'Dados StatusInvest'!$A:$AY,2,0)*$E46</f>
        <v>0.7815602837</v>
      </c>
      <c r="K46" s="57">
        <f>VLOOKUP($A46,'Dados StatusInvest'!$A:$AY,COLUMN(K46)-$A$5,0)/VLOOKUP($A46,'Dados StatusInvest'!$A:$AY,2,0)*$E46</f>
        <v>0.3290780142</v>
      </c>
      <c r="L46" s="58">
        <f>VLOOKUP($A46,'Dados StatusInvest'!$A:$AY,COLUMN(L46)-$A$5,0)/100</f>
        <v>0.5923</v>
      </c>
      <c r="M46" s="59">
        <f>VLOOKUP($A46,'Dados StatusInvest'!$A:$AY,COLUMN(M46)-$A$5,0)</f>
        <v>19.11</v>
      </c>
      <c r="N46" s="59">
        <f>VLOOKUP($A46,'Dados StatusInvest'!$A:$AY,COLUMN(N46)-$A$5,0)</f>
        <v>20.53</v>
      </c>
      <c r="O46" s="56">
        <f>VLOOKUP($A46,'Dados StatusInvest'!$A:$AY,COLUMN(O46)-$A$5,0)/VLOOKUP($A46,'Dados StatusInvest'!$A:$AY,2,0)*$E46</f>
        <v>11.38404255</v>
      </c>
      <c r="P46" s="56">
        <f>VLOOKUP($A46,'Dados StatusInvest'!$A:$AY,COLUMN(P46)-$A$5,0)-VLOOKUP($A46,'Dados StatusInvest'!$A:$AY,COLUMN(P46)-$A$5-1,0)+O46</f>
        <v>15.91404255</v>
      </c>
      <c r="Q46" s="59">
        <f>VLOOKUP($A46,'Dados StatusInvest'!$A:$AY,COLUMN(Q46)-$A$5,0)</f>
        <v>4.51</v>
      </c>
      <c r="R46" s="59">
        <f>VLOOKUP($A46,'Dados StatusInvest'!$A:$AY,COLUMN(R46)-$A$5,0)</f>
        <v>0.31</v>
      </c>
      <c r="S46" s="56">
        <f>VLOOKUP($A46,'Dados StatusInvest'!$A:$AY,COLUMN(S46)-$A$5,0)/VLOOKUP($A46,'Dados StatusInvest'!$A:$AY,2,0)*$E46</f>
        <v>2.180141844</v>
      </c>
      <c r="T46" s="57">
        <f>VLOOKUP($A46,'Dados StatusInvest'!$A:$AY,COLUMN(T46)-$A$5,0)/VLOOKUP($A46,'Dados StatusInvest'!$A:$AY,2,0)*$E46</f>
        <v>2.426950355</v>
      </c>
      <c r="U46" s="59">
        <f>VLOOKUP($A46,'Dados StatusInvest'!$A:$AY,COLUMN(U46)-$A$5,0)</f>
        <v>-0.44</v>
      </c>
      <c r="V46" s="60">
        <f>VLOOKUP($A46,'Dados StatusInvest'!$A:$AY,COLUMN(V46)-$A$5,0)</f>
        <v>1.95</v>
      </c>
      <c r="W46" s="60">
        <f>VLOOKUP($A46,'Dados StatusInvest'!$A:$AY,COLUMN(W46)-$A$5,0)</f>
        <v>7.42</v>
      </c>
      <c r="X46" s="61">
        <f>VLOOKUP($A46,'Dados StatusInvest'!$A:$AY,COLUMN(X46)-$A$5,0)</f>
        <v>3.08</v>
      </c>
      <c r="Y46" s="60">
        <f>VLOOKUP($A46,'Dados StatusInvest'!$A:$AY,COLUMN(Y46)-$A$5,0)</f>
        <v>3.68</v>
      </c>
      <c r="Z46" s="59">
        <f>VLOOKUP($A46,'Dados StatusInvest'!$A:$AY,COLUMN(Z46)-$A$5,0)</f>
        <v>0.42</v>
      </c>
      <c r="AA46" s="59">
        <f>VLOOKUP($A46,'Dados StatusInvest'!$A:$AY,COLUMN(AA46)-$A$5,0)</f>
        <v>0.58</v>
      </c>
      <c r="AB46" s="59">
        <f>VLOOKUP($A46,'Dados StatusInvest'!$A:$AY,COLUMN(AB46)-$A$5,0)</f>
        <v>0.15</v>
      </c>
      <c r="AC46" s="59">
        <f>VLOOKUP($A46,'Dados StatusInvest'!$A:$AY,COLUMN(AC46)-$A$5,0)</f>
        <v>-2.25</v>
      </c>
      <c r="AD46" s="60">
        <f>VLOOKUP($A46,'Dados StatusInvest'!$A:$AY,COLUMN(AD46)-$A$5,0)</f>
        <v>0</v>
      </c>
      <c r="AE46" s="62">
        <f>VLOOKUP($A46,'Dados StatusInvest'!$A:$AY,COLUMN(AE46)-$A$5,0)</f>
        <v>180039390.3</v>
      </c>
      <c r="AF46" s="18"/>
    </row>
    <row r="47">
      <c r="A47" s="10" t="s">
        <v>93</v>
      </c>
      <c r="B47" s="39" t="str">
        <f>VLOOKUP(lEFT($A47,4),Setor!$A:$E,3,0)</f>
        <v>Bens Industriais</v>
      </c>
      <c r="C47" s="39" t="str">
        <f>VLOOKUP(lEFT($A47,4),Setor!$A:$E,4,0)</f>
        <v>Transporte</v>
      </c>
      <c r="D47" s="39" t="str">
        <f>VLOOKUP(lEFT($A47,4),Setor!$A:$E,5,0)</f>
        <v>Transporte Aéreo</v>
      </c>
      <c r="E47" s="17">
        <f>IFERROR(__xludf.DUMMYFUNCTION("GOOGLEFINANCE(A47)"),36.22)</f>
        <v>36.22</v>
      </c>
      <c r="F47" s="17">
        <f>IFERROR(__xludf.DUMMYFUNCTION("GOOGLEFINANCE($A47,""high52"")"),49.43)</f>
        <v>49.43</v>
      </c>
      <c r="G47" s="16">
        <f t="shared" si="1"/>
        <v>-0.2672466114</v>
      </c>
      <c r="H47" s="40">
        <f>VLOOKUP($A47,'Dados StatusInvest'!$A:$AY,column(H47)-$A$5,0)*VLOOKUP($A47,'Dados StatusInvest'!$A:$AY,2,0)/$E47/100</f>
        <v>0</v>
      </c>
      <c r="I47" s="41">
        <f>VLOOKUP($A47,'Dados StatusInvest'!$A:$AY,column(I47)-$A$5,0)/VLOOKUP($A47,'Dados StatusInvest'!$A:$AY,2,0)*$E47</f>
        <v>-14.42862295</v>
      </c>
      <c r="J47" s="41">
        <f>VLOOKUP($A47,'Dados StatusInvest'!$A:$AY,column(J47)-$A$5,0)/VLOOKUP($A47,'Dados StatusInvest'!$A:$AY,2,0)*$E47</f>
        <v>-2.899579235</v>
      </c>
      <c r="K47" s="42">
        <f>VLOOKUP($A47,'Dados StatusInvest'!$A:$AY,column(K47)-$A$5,0)/VLOOKUP($A47,'Dados StatusInvest'!$A:$AY,2,0)*$E47</f>
        <v>2.632382514</v>
      </c>
      <c r="L47" s="43">
        <f>VLOOKUP($A47,'Dados StatusInvest'!$A:$AY,column(L47)-$A$5,0)/100</f>
        <v>0.0685</v>
      </c>
      <c r="M47" s="44">
        <f>VLOOKUP($A47,'Dados StatusInvest'!$A:$AY,column(M47)-$A$5,0)</f>
        <v>-19.48</v>
      </c>
      <c r="N47" s="44">
        <f>VLOOKUP($A47,'Dados StatusInvest'!$A:$AY,column(N47)-$A$5,0)</f>
        <v>-52.21</v>
      </c>
      <c r="O47" s="41">
        <f>VLOOKUP($A47,'Dados StatusInvest'!$A:$AY,column(O47)-$A$5,0)/VLOOKUP($A47,'Dados StatusInvest'!$A:$AY,2,0)*$E47</f>
        <v>-38.68414754</v>
      </c>
      <c r="P47" s="41">
        <f>VLOOKUP($A47,'Dados StatusInvest'!$A:$AY,column(P47)-$A$5,0)-VLOOKUP($A47,'Dados StatusInvest'!$A:$AY,column(P47)-$A$5-1,0)+O47</f>
        <v>-15.04414754</v>
      </c>
      <c r="Q47" s="44">
        <f>VLOOKUP($A47,'Dados StatusInvest'!$A:$AY,column(Q47)-$A$5,0)</f>
        <v>-4.7</v>
      </c>
      <c r="R47" s="44">
        <f>VLOOKUP($A47,'Dados StatusInvest'!$A:$AY,column(R47)-$A$5,0)</f>
        <v>0</v>
      </c>
      <c r="S47" s="41">
        <f>VLOOKUP($A47,'Dados StatusInvest'!$A:$AY,column(S47)-$A$5,0)/VLOOKUP($A47,'Dados StatusInvest'!$A:$AY,2,0)*$E47</f>
        <v>7.530989071</v>
      </c>
      <c r="T47" s="42">
        <f>VLOOKUP($A47,'Dados StatusInvest'!$A:$AY,column(T47)-$A$5,0)/VLOOKUP($A47,'Dados StatusInvest'!$A:$AY,2,0)*$E47</f>
        <v>-12.677</v>
      </c>
      <c r="U47" s="44">
        <f>VLOOKUP($A47,'Dados StatusInvest'!$A:$AY,column(U47)-$A$5,0)</f>
        <v>-4.35</v>
      </c>
      <c r="V47" s="45">
        <f>VLOOKUP($A47,'Dados StatusInvest'!$A:$AY,column(V47)-$A$5,0)</f>
        <v>0.65</v>
      </c>
      <c r="W47" s="45">
        <f>VLOOKUP($A47,'Dados StatusInvest'!$A:$AY,column(W47)-$A$5,0)</f>
        <v>-20.13</v>
      </c>
      <c r="X47" s="45">
        <f>VLOOKUP($A47,'Dados StatusInvest'!$A:$AY,column(X47)-$A$5,0)</f>
        <v>-18.22</v>
      </c>
      <c r="Y47" s="45">
        <f>VLOOKUP($A47,'Dados StatusInvest'!$A:$AY,column(Y47)-$A$5,0)</f>
        <v>20.51</v>
      </c>
      <c r="Z47" s="44">
        <f>VLOOKUP($A47,'Dados StatusInvest'!$A:$AY,column(Z47)-$A$5,0)</f>
        <v>-0.91</v>
      </c>
      <c r="AA47" s="44">
        <f>VLOOKUP($A47,'Dados StatusInvest'!$A:$AY,column(AA47)-$A$5,0)</f>
        <v>1.91</v>
      </c>
      <c r="AB47" s="44">
        <f>VLOOKUP($A47,'Dados StatusInvest'!$A:$AY,column(AB47)-$A$5,0)</f>
        <v>0.35</v>
      </c>
      <c r="AC47" s="44">
        <f>VLOOKUP($A47,'Dados StatusInvest'!$A:$AY,column(AC47)-$A$5,0)</f>
        <v>-1.7</v>
      </c>
      <c r="AD47" s="45">
        <f>VLOOKUP($A47,'Dados StatusInvest'!$A:$AY,column(AD47)-$A$5,0)</f>
        <v>0</v>
      </c>
      <c r="AE47" s="46">
        <f>VLOOKUP($A47,'Dados StatusInvest'!$A:$AY,column(AE47)-$A$5,0)</f>
        <v>166924963.7</v>
      </c>
      <c r="AF47" s="49"/>
    </row>
    <row r="48">
      <c r="A48" s="10" t="s">
        <v>94</v>
      </c>
      <c r="B48" s="39" t="str">
        <f>VLOOKUP(lEFT($A48,4),Setor!$A:$E,3,0)</f>
        <v>Tecnologia da Informação</v>
      </c>
      <c r="C48" s="39" t="str">
        <f>VLOOKUP(lEFT($A48,4),Setor!$A:$E,4,0)</f>
        <v>Programas e Serviços</v>
      </c>
      <c r="D48" s="39" t="str">
        <f>VLOOKUP(lEFT($A48,4),Setor!$A:$E,5,0)</f>
        <v>Programas e Serviços</v>
      </c>
      <c r="E48" s="17">
        <f>IFERROR(__xludf.DUMMYFUNCTION("GOOGLEFINANCE(A48)"),34.59)</f>
        <v>34.59</v>
      </c>
      <c r="F48" s="17">
        <f>IFERROR(__xludf.DUMMYFUNCTION("GOOGLEFINANCE($A48,""high52"")"),41.24)</f>
        <v>41.24</v>
      </c>
      <c r="G48" s="16">
        <f t="shared" si="1"/>
        <v>-0.1612512124</v>
      </c>
      <c r="H48" s="40">
        <f>VLOOKUP($A48,'Dados StatusInvest'!$A:$AY,column(H48)-$A$5,0)*VLOOKUP($A48,'Dados StatusInvest'!$A:$AY,2,0)/$E48/100</f>
        <v>0.008091240243</v>
      </c>
      <c r="I48" s="41">
        <f>VLOOKUP($A48,'Dados StatusInvest'!$A:$AY,column(I48)-$A$5,0)/VLOOKUP($A48,'Dados StatusInvest'!$A:$AY,2,0)*$E48</f>
        <v>63.83557829</v>
      </c>
      <c r="J48" s="41">
        <f>VLOOKUP($A48,'Dados StatusInvest'!$A:$AY,column(J48)-$A$5,0)/VLOOKUP($A48,'Dados StatusInvest'!$A:$AY,2,0)*$E48</f>
        <v>7.847375445</v>
      </c>
      <c r="K48" s="42">
        <f>VLOOKUP($A48,'Dados StatusInvest'!$A:$AY,column(K48)-$A$5,0)/VLOOKUP($A48,'Dados StatusInvest'!$A:$AY,2,0)*$E48</f>
        <v>2.81069395</v>
      </c>
      <c r="L48" s="43">
        <f>VLOOKUP($A48,'Dados StatusInvest'!$A:$AY,column(L48)-$A$5,0)/100</f>
        <v>0.7047</v>
      </c>
      <c r="M48" s="44">
        <f>VLOOKUP($A48,'Dados StatusInvest'!$A:$AY,column(M48)-$A$5,0)</f>
        <v>16.71</v>
      </c>
      <c r="N48" s="44">
        <f>VLOOKUP($A48,'Dados StatusInvest'!$A:$AY,column(N48)-$A$5,0)</f>
        <v>11.74</v>
      </c>
      <c r="O48" s="41">
        <f>VLOOKUP($A48,'Dados StatusInvest'!$A:$AY,column(O48)-$A$5,0)/VLOOKUP($A48,'Dados StatusInvest'!$A:$AY,2,0)*$E48</f>
        <v>44.86852313</v>
      </c>
      <c r="P48" s="41">
        <f>VLOOKUP($A48,'Dados StatusInvest'!$A:$AY,column(P48)-$A$5,0)-VLOOKUP($A48,'Dados StatusInvest'!$A:$AY,column(P48)-$A$5-1,0)+O48</f>
        <v>46.95852313</v>
      </c>
      <c r="Q48" s="44">
        <f>VLOOKUP($A48,'Dados StatusInvest'!$A:$AY,column(Q48)-$A$5,0)</f>
        <v>1.59</v>
      </c>
      <c r="R48" s="44">
        <f>VLOOKUP($A48,'Dados StatusInvest'!$A:$AY,column(R48)-$A$5,0)</f>
        <v>0.28</v>
      </c>
      <c r="S48" s="41">
        <f>VLOOKUP($A48,'Dados StatusInvest'!$A:$AY,column(S48)-$A$5,0)/VLOOKUP($A48,'Dados StatusInvest'!$A:$AY,2,0)*$E48</f>
        <v>7.498603203</v>
      </c>
      <c r="T48" s="42">
        <f>VLOOKUP($A48,'Dados StatusInvest'!$A:$AY,column(T48)-$A$5,0)/VLOOKUP($A48,'Dados StatusInvest'!$A:$AY,2,0)*$E48</f>
        <v>47.29967082</v>
      </c>
      <c r="U48" s="44">
        <f>VLOOKUP($A48,'Dados StatusInvest'!$A:$AY,column(U48)-$A$5,0)</f>
        <v>-4.7</v>
      </c>
      <c r="V48" s="45">
        <f>VLOOKUP($A48,'Dados StatusInvest'!$A:$AY,column(V48)-$A$5,0)</f>
        <v>1.17</v>
      </c>
      <c r="W48" s="45">
        <f>VLOOKUP($A48,'Dados StatusInvest'!$A:$AY,column(W48)-$A$5,0)</f>
        <v>12.29</v>
      </c>
      <c r="X48" s="45">
        <f>VLOOKUP($A48,'Dados StatusInvest'!$A:$AY,column(X48)-$A$5,0)</f>
        <v>4.4</v>
      </c>
      <c r="Y48" s="45">
        <f>VLOOKUP($A48,'Dados StatusInvest'!$A:$AY,column(Y48)-$A$5,0)</f>
        <v>8.14</v>
      </c>
      <c r="Z48" s="44">
        <f>VLOOKUP($A48,'Dados StatusInvest'!$A:$AY,column(Z48)-$A$5,0)</f>
        <v>0.36</v>
      </c>
      <c r="AA48" s="44">
        <f>VLOOKUP($A48,'Dados StatusInvest'!$A:$AY,column(AA48)-$A$5,0)</f>
        <v>0.64</v>
      </c>
      <c r="AB48" s="44">
        <f>VLOOKUP($A48,'Dados StatusInvest'!$A:$AY,column(AB48)-$A$5,0)</f>
        <v>0.37</v>
      </c>
      <c r="AC48" s="44">
        <f>VLOOKUP($A48,'Dados StatusInvest'!$A:$AY,column(AC48)-$A$5,0)</f>
        <v>6.34</v>
      </c>
      <c r="AD48" s="45">
        <f>VLOOKUP($A48,'Dados StatusInvest'!$A:$AY,column(AD48)-$A$5,0)</f>
        <v>11.35</v>
      </c>
      <c r="AE48" s="46">
        <f>VLOOKUP($A48,'Dados StatusInvest'!$A:$AY,column(AE48)-$A$5,0)</f>
        <v>160657210</v>
      </c>
      <c r="AF48" s="18"/>
    </row>
    <row r="49">
      <c r="A49" s="10" t="s">
        <v>95</v>
      </c>
      <c r="B49" s="39" t="str">
        <f>VLOOKUP(lEFT($A49,4),Setor!$A:$E,3,0)</f>
        <v>Consumo Cíclico</v>
      </c>
      <c r="C49" s="39" t="str">
        <f>VLOOKUP(lEFT($A49,4),Setor!$A:$E,4,0)</f>
        <v>Construção Civil</v>
      </c>
      <c r="D49" s="39" t="str">
        <f>VLOOKUP(lEFT($A49,4),Setor!$A:$E,5,0)</f>
        <v>Incorporações</v>
      </c>
      <c r="E49" s="17">
        <f>IFERROR(__xludf.DUMMYFUNCTION("GOOGLEFINANCE(A49)"),17.85)</f>
        <v>17.85</v>
      </c>
      <c r="F49" s="17">
        <f>IFERROR(__xludf.DUMMYFUNCTION("GOOGLEFINANCE($A49,""high52"")"),31.9)</f>
        <v>31.9</v>
      </c>
      <c r="G49" s="16">
        <f t="shared" si="1"/>
        <v>-0.4404388715</v>
      </c>
      <c r="H49" s="40">
        <f>VLOOKUP($A49,'Dados StatusInvest'!$A:$AY,column(H49)-$A$5,0)*VLOOKUP($A49,'Dados StatusInvest'!$A:$AY,2,0)/$E49/100</f>
        <v>0.1483502521</v>
      </c>
      <c r="I49" s="41">
        <f>VLOOKUP($A49,'Dados StatusInvest'!$A:$AY,column(I49)-$A$5,0)/VLOOKUP($A49,'Dados StatusInvest'!$A:$AY,2,0)*$E49</f>
        <v>3.355639731</v>
      </c>
      <c r="J49" s="41">
        <f>VLOOKUP($A49,'Dados StatusInvest'!$A:$AY,column(J49)-$A$5,0)/VLOOKUP($A49,'Dados StatusInvest'!$A:$AY,2,0)*$E49</f>
        <v>1.192003367</v>
      </c>
      <c r="K49" s="42">
        <f>VLOOKUP($A49,'Dados StatusInvest'!$A:$AY,column(K49)-$A$5,0)/VLOOKUP($A49,'Dados StatusInvest'!$A:$AY,2,0)*$E49</f>
        <v>0.580976431</v>
      </c>
      <c r="L49" s="43">
        <f>VLOOKUP($A49,'Dados StatusInvest'!$A:$AY,column(L49)-$A$5,0)/100</f>
        <v>0.339</v>
      </c>
      <c r="M49" s="44">
        <f>VLOOKUP($A49,'Dados StatusInvest'!$A:$AY,column(M49)-$A$5,0)</f>
        <v>58.05</v>
      </c>
      <c r="N49" s="44">
        <f>VLOOKUP($A49,'Dados StatusInvest'!$A:$AY,column(N49)-$A$5,0)</f>
        <v>48.2</v>
      </c>
      <c r="O49" s="41">
        <f>VLOOKUP($A49,'Dados StatusInvest'!$A:$AY,column(O49)-$A$5,0)/VLOOKUP($A49,'Dados StatusInvest'!$A:$AY,2,0)*$E49</f>
        <v>2.79469697</v>
      </c>
      <c r="P49" s="41">
        <f>VLOOKUP($A49,'Dados StatusInvest'!$A:$AY,column(P49)-$A$5,0)-VLOOKUP($A49,'Dados StatusInvest'!$A:$AY,column(P49)-$A$5-1,0)+O49</f>
        <v>3.29469697</v>
      </c>
      <c r="Q49" s="44">
        <f>VLOOKUP($A49,'Dados StatusInvest'!$A:$AY,column(Q49)-$A$5,0)</f>
        <v>0.5</v>
      </c>
      <c r="R49" s="44">
        <f>VLOOKUP($A49,'Dados StatusInvest'!$A:$AY,column(R49)-$A$5,0)</f>
        <v>0.21</v>
      </c>
      <c r="S49" s="41">
        <f>VLOOKUP($A49,'Dados StatusInvest'!$A:$AY,column(S49)-$A$5,0)/VLOOKUP($A49,'Dados StatusInvest'!$A:$AY,2,0)*$E49</f>
        <v>1.622727273</v>
      </c>
      <c r="T49" s="42">
        <f>VLOOKUP($A49,'Dados StatusInvest'!$A:$AY,column(T49)-$A$5,0)/VLOOKUP($A49,'Dados StatusInvest'!$A:$AY,2,0)*$E49</f>
        <v>1.502525253</v>
      </c>
      <c r="U49" s="44">
        <f>VLOOKUP($A49,'Dados StatusInvest'!$A:$AY,column(U49)-$A$5,0)</f>
        <v>-1.25</v>
      </c>
      <c r="V49" s="45">
        <f>VLOOKUP($A49,'Dados StatusInvest'!$A:$AY,column(V49)-$A$5,0)</f>
        <v>3.43</v>
      </c>
      <c r="W49" s="45">
        <f>VLOOKUP($A49,'Dados StatusInvest'!$A:$AY,column(W49)-$A$5,0)</f>
        <v>35.62</v>
      </c>
      <c r="X49" s="45">
        <f>VLOOKUP($A49,'Dados StatusInvest'!$A:$AY,column(X49)-$A$5,0)</f>
        <v>17.16</v>
      </c>
      <c r="Y49" s="45">
        <f>VLOOKUP($A49,'Dados StatusInvest'!$A:$AY,column(Y49)-$A$5,0)</f>
        <v>21.69</v>
      </c>
      <c r="Z49" s="44">
        <f>VLOOKUP($A49,'Dados StatusInvest'!$A:$AY,column(Z49)-$A$5,0)</f>
        <v>0.48</v>
      </c>
      <c r="AA49" s="44">
        <f>VLOOKUP($A49,'Dados StatusInvest'!$A:$AY,column(AA49)-$A$5,0)</f>
        <v>0.49</v>
      </c>
      <c r="AB49" s="44">
        <f>VLOOKUP($A49,'Dados StatusInvest'!$A:$AY,column(AB49)-$A$5,0)</f>
        <v>0.36</v>
      </c>
      <c r="AC49" s="44">
        <f>VLOOKUP($A49,'Dados StatusInvest'!$A:$AY,column(AC49)-$A$5,0)</f>
        <v>-2.51</v>
      </c>
      <c r="AD49" s="45">
        <f>VLOOKUP($A49,'Dados StatusInvest'!$A:$AY,column(AD49)-$A$5,0)</f>
        <v>36.52</v>
      </c>
      <c r="AE49" s="46">
        <f>VLOOKUP($A49,'Dados StatusInvest'!$A:$AY,column(AE49)-$A$5,0)</f>
        <v>136742258.7</v>
      </c>
      <c r="AF49" s="51"/>
    </row>
    <row r="50">
      <c r="A50" s="10" t="s">
        <v>96</v>
      </c>
      <c r="B50" s="39" t="str">
        <f>VLOOKUP(lEFT($A50,4),Setor!$A:$E,3,0)</f>
        <v>Consumo Cíclico</v>
      </c>
      <c r="C50" s="39" t="str">
        <f>VLOOKUP(lEFT($A50,4),Setor!$A:$E,4,0)</f>
        <v>Comércio</v>
      </c>
      <c r="D50" s="39" t="str">
        <f>VLOOKUP(lEFT($A50,4),Setor!$A:$E,5,0)</f>
        <v>Produtos Diversos</v>
      </c>
      <c r="E50" s="17">
        <f>IFERROR(__xludf.DUMMYFUNCTION("GOOGLEFINANCE(A50)"),5.07)</f>
        <v>5.07</v>
      </c>
      <c r="F50" s="17">
        <f>IFERROR(__xludf.DUMMYFUNCTION("GOOGLEFINANCE($A50,""high52"")"),29.26)</f>
        <v>29.26</v>
      </c>
      <c r="G50" s="16">
        <f t="shared" si="1"/>
        <v>-0.8267259057</v>
      </c>
      <c r="H50" s="40">
        <f>VLOOKUP($A50,'Dados StatusInvest'!$A:$AY,column(H50)-$A$5,0)*VLOOKUP($A50,'Dados StatusInvest'!$A:$AY,2,0)/$E50/100</f>
        <v>0.04241420118</v>
      </c>
      <c r="I50" s="41">
        <f>VLOOKUP($A50,'Dados StatusInvest'!$A:$AY,column(I50)-$A$5,0)/VLOOKUP($A50,'Dados StatusInvest'!$A:$AY,2,0)*$E50</f>
        <v>17.639375</v>
      </c>
      <c r="J50" s="41">
        <f>VLOOKUP($A50,'Dados StatusInvest'!$A:$AY,column(J50)-$A$5,0)/VLOOKUP($A50,'Dados StatusInvest'!$A:$AY,2,0)*$E50</f>
        <v>1.4681875</v>
      </c>
      <c r="K50" s="42">
        <f>VLOOKUP($A50,'Dados StatusInvest'!$A:$AY,column(K50)-$A$5,0)/VLOOKUP($A50,'Dados StatusInvest'!$A:$AY,2,0)*$E50</f>
        <v>0.2218125</v>
      </c>
      <c r="L50" s="43">
        <f>VLOOKUP($A50,'Dados StatusInvest'!$A:$AY,column(L50)-$A$5,0)/100</f>
        <v>0.3336</v>
      </c>
      <c r="M50" s="44">
        <f>VLOOKUP($A50,'Dados StatusInvest'!$A:$AY,column(M50)-$A$5,0)</f>
        <v>4.66</v>
      </c>
      <c r="N50" s="44">
        <f>VLOOKUP($A50,'Dados StatusInvest'!$A:$AY,column(N50)-$A$5,0)</f>
        <v>2.19</v>
      </c>
      <c r="O50" s="41">
        <f>VLOOKUP($A50,'Dados StatusInvest'!$A:$AY,column(O50)-$A$5,0)/VLOOKUP($A50,'Dados StatusInvest'!$A:$AY,2,0)*$E50</f>
        <v>8.2915625</v>
      </c>
      <c r="P50" s="41">
        <f>VLOOKUP($A50,'Dados StatusInvest'!$A:$AY,column(P50)-$A$5,0)-VLOOKUP($A50,'Dados StatusInvest'!$A:$AY,column(P50)-$A$5-1,0)+O50</f>
        <v>12.0615625</v>
      </c>
      <c r="Q50" s="44">
        <f>VLOOKUP($A50,'Dados StatusInvest'!$A:$AY,column(Q50)-$A$5,0)</f>
        <v>3.91</v>
      </c>
      <c r="R50" s="44">
        <f>VLOOKUP($A50,'Dados StatusInvest'!$A:$AY,column(R50)-$A$5,0)</f>
        <v>0.69</v>
      </c>
      <c r="S50" s="41">
        <f>VLOOKUP($A50,'Dados StatusInvest'!$A:$AY,column(S50)-$A$5,0)/VLOOKUP($A50,'Dados StatusInvest'!$A:$AY,2,0)*$E50</f>
        <v>0.3908125</v>
      </c>
      <c r="T50" s="42">
        <f>VLOOKUP($A50,'Dados StatusInvest'!$A:$AY,column(T50)-$A$5,0)/VLOOKUP($A50,'Dados StatusInvest'!$A:$AY,2,0)*$E50</f>
        <v>0.71825</v>
      </c>
      <c r="U50" s="44">
        <f>VLOOKUP($A50,'Dados StatusInvest'!$A:$AY,column(U50)-$A$5,0)</f>
        <v>-0.52</v>
      </c>
      <c r="V50" s="45">
        <f>VLOOKUP($A50,'Dados StatusInvest'!$A:$AY,column(V50)-$A$5,0)</f>
        <v>2.05</v>
      </c>
      <c r="W50" s="45">
        <f>VLOOKUP($A50,'Dados StatusInvest'!$A:$AY,column(W50)-$A$5,0)</f>
        <v>8.31</v>
      </c>
      <c r="X50" s="45">
        <f>VLOOKUP($A50,'Dados StatusInvest'!$A:$AY,column(X50)-$A$5,0)</f>
        <v>1.25</v>
      </c>
      <c r="Y50" s="45">
        <f>VLOOKUP($A50,'Dados StatusInvest'!$A:$AY,column(Y50)-$A$5,0)</f>
        <v>3.19</v>
      </c>
      <c r="Z50" s="44">
        <f>VLOOKUP($A50,'Dados StatusInvest'!$A:$AY,column(Z50)-$A$5,0)</f>
        <v>0.15</v>
      </c>
      <c r="AA50" s="44">
        <f>VLOOKUP($A50,'Dados StatusInvest'!$A:$AY,column(AA50)-$A$5,0)</f>
        <v>0.63</v>
      </c>
      <c r="AB50" s="44">
        <f>VLOOKUP($A50,'Dados StatusInvest'!$A:$AY,column(AB50)-$A$5,0)</f>
        <v>0.57</v>
      </c>
      <c r="AC50" s="44">
        <f>VLOOKUP($A50,'Dados StatusInvest'!$A:$AY,column(AC50)-$A$5,0)</f>
        <v>3.5</v>
      </c>
      <c r="AD50" s="45">
        <f>VLOOKUP($A50,'Dados StatusInvest'!$A:$AY,column(AD50)-$A$5,0)</f>
        <v>16.72</v>
      </c>
      <c r="AE50" s="46">
        <f>VLOOKUP($A50,'Dados StatusInvest'!$A:$AY,column(AE50)-$A$5,0)</f>
        <v>142745791.9</v>
      </c>
      <c r="AF50" s="50"/>
    </row>
    <row r="51">
      <c r="A51" s="10" t="s">
        <v>97</v>
      </c>
      <c r="B51" s="39" t="str">
        <f>VLOOKUP(lEFT($A51,4),Setor!$A:$E,3,0)</f>
        <v>Consumo Cíclico</v>
      </c>
      <c r="C51" s="39" t="str">
        <f>VLOOKUP(lEFT($A51,4),Setor!$A:$E,4,0)</f>
        <v>Comércio</v>
      </c>
      <c r="D51" s="39" t="str">
        <f>VLOOKUP(lEFT($A51,4),Setor!$A:$E,5,0)</f>
        <v>Produtos Diversos</v>
      </c>
      <c r="E51" s="17">
        <f>IFERROR(__xludf.DUMMYFUNCTION("GOOGLEFINANCE(A51)"),23.73)</f>
        <v>23.73</v>
      </c>
      <c r="F51" s="17">
        <f>IFERROR(__xludf.DUMMYFUNCTION("GOOGLEFINANCE($A51,""high52"")"),28.78)</f>
        <v>28.78</v>
      </c>
      <c r="G51" s="16">
        <f t="shared" si="1"/>
        <v>-0.1754690757</v>
      </c>
      <c r="H51" s="40">
        <f>VLOOKUP($A51,'Dados StatusInvest'!$A:$AY,column(H51)-$A$5,0)*VLOOKUP($A51,'Dados StatusInvest'!$A:$AY,2,0)/$E51/100</f>
        <v>0.002231184155</v>
      </c>
      <c r="I51" s="41">
        <f>VLOOKUP($A51,'Dados StatusInvest'!$A:$AY,column(I51)-$A$5,0)/VLOOKUP($A51,'Dados StatusInvest'!$A:$AY,2,0)*$E51</f>
        <v>149.8639183</v>
      </c>
      <c r="J51" s="41">
        <f>VLOOKUP($A51,'Dados StatusInvest'!$A:$AY,column(J51)-$A$5,0)/VLOOKUP($A51,'Dados StatusInvest'!$A:$AY,2,0)*$E51</f>
        <v>16.76150304</v>
      </c>
      <c r="K51" s="42">
        <f>VLOOKUP($A51,'Dados StatusInvest'!$A:$AY,column(K51)-$A$5,0)/VLOOKUP($A51,'Dados StatusInvest'!$A:$AY,2,0)*$E51</f>
        <v>4.834652476</v>
      </c>
      <c r="L51" s="43">
        <f>VLOOKUP($A51,'Dados StatusInvest'!$A:$AY,column(L51)-$A$5,0)/100</f>
        <v>0.4798</v>
      </c>
      <c r="M51" s="44">
        <f>VLOOKUP($A51,'Dados StatusInvest'!$A:$AY,column(M51)-$A$5,0)</f>
        <v>7.72</v>
      </c>
      <c r="N51" s="47">
        <f>VLOOKUP($A51,'Dados StatusInvest'!$A:$AY,column(N51)-$A$5,0)</f>
        <v>3.51</v>
      </c>
      <c r="O51" s="41">
        <f>VLOOKUP($A51,'Dados StatusInvest'!$A:$AY,column(O51)-$A$5,0)/VLOOKUP($A51,'Dados StatusInvest'!$A:$AY,2,0)*$E51</f>
        <v>68.02531277</v>
      </c>
      <c r="P51" s="41">
        <f>VLOOKUP($A51,'Dados StatusInvest'!$A:$AY,column(P51)-$A$5,0)-VLOOKUP($A51,'Dados StatusInvest'!$A:$AY,column(P51)-$A$5-1,0)+O51</f>
        <v>68.59531277</v>
      </c>
      <c r="Q51" s="44">
        <f>VLOOKUP($A51,'Dados StatusInvest'!$A:$AY,column(Q51)-$A$5,0)</f>
        <v>0.74</v>
      </c>
      <c r="R51" s="44">
        <f>VLOOKUP($A51,'Dados StatusInvest'!$A:$AY,column(R51)-$A$5,0)</f>
        <v>0.18</v>
      </c>
      <c r="S51" s="41">
        <f>VLOOKUP($A51,'Dados StatusInvest'!$A:$AY,column(S51)-$A$5,0)/VLOOKUP($A51,'Dados StatusInvest'!$A:$AY,2,0)*$E51</f>
        <v>5.257298002</v>
      </c>
      <c r="T51" s="42">
        <f>VLOOKUP($A51,'Dados StatusInvest'!$A:$AY,column(T51)-$A$5,0)/VLOOKUP($A51,'Dados StatusInvest'!$A:$AY,2,0)*$E51</f>
        <v>71.50956125</v>
      </c>
      <c r="U51" s="47">
        <f>VLOOKUP($A51,'Dados StatusInvest'!$A:$AY,column(U51)-$A$5,0)</f>
        <v>-7.74</v>
      </c>
      <c r="V51" s="45">
        <f>VLOOKUP($A51,'Dados StatusInvest'!$A:$AY,column(V51)-$A$5,0)</f>
        <v>1.21</v>
      </c>
      <c r="W51" s="48">
        <f>VLOOKUP($A51,'Dados StatusInvest'!$A:$AY,column(W51)-$A$5,0)</f>
        <v>11.19</v>
      </c>
      <c r="X51" s="45">
        <f>VLOOKUP($A51,'Dados StatusInvest'!$A:$AY,column(X51)-$A$5,0)</f>
        <v>3.23</v>
      </c>
      <c r="Y51" s="45">
        <f>VLOOKUP($A51,'Dados StatusInvest'!$A:$AY,column(Y51)-$A$5,0)</f>
        <v>13.57</v>
      </c>
      <c r="Z51" s="44">
        <f>VLOOKUP($A51,'Dados StatusInvest'!$A:$AY,column(Z51)-$A$5,0)</f>
        <v>0.29</v>
      </c>
      <c r="AA51" s="44">
        <f>VLOOKUP($A51,'Dados StatusInvest'!$A:$AY,column(AA51)-$A$5,0)</f>
        <v>0.71</v>
      </c>
      <c r="AB51" s="44">
        <f>VLOOKUP($A51,'Dados StatusInvest'!$A:$AY,column(AB51)-$A$5,0)</f>
        <v>0.92</v>
      </c>
      <c r="AC51" s="44">
        <f>VLOOKUP($A51,'Dados StatusInvest'!$A:$AY,column(AC51)-$A$5,0)</f>
        <v>0</v>
      </c>
      <c r="AD51" s="45">
        <f>VLOOKUP($A51,'Dados StatusInvest'!$A:$AY,column(AD51)-$A$5,0)</f>
        <v>0</v>
      </c>
      <c r="AE51" s="46">
        <f>VLOOKUP($A51,'Dados StatusInvest'!$A:$AY,column(AE51)-$A$5,0)</f>
        <v>131178780.8</v>
      </c>
      <c r="AF51" s="18"/>
    </row>
    <row r="52">
      <c r="A52" s="10" t="s">
        <v>98</v>
      </c>
      <c r="B52" s="52" t="str">
        <f>VLOOKUP(LEFT($A52,4),Setor!$A:$E,3,0)</f>
        <v>Bens Industriais</v>
      </c>
      <c r="C52" s="52" t="str">
        <f>VLOOKUP(LEFT($A52,4),Setor!$A:$E,4,0)</f>
        <v>Transporte</v>
      </c>
      <c r="D52" s="52" t="str">
        <f>VLOOKUP(LEFT($A52,4),Setor!$A:$E,5,0)</f>
        <v>Exploração de Rodovias</v>
      </c>
      <c r="E52" s="53">
        <f>IFERROR(__xludf.DUMMYFUNCTION("GOOGLEFINANCE(A52)"),12.29)</f>
        <v>12.29</v>
      </c>
      <c r="F52" s="53">
        <f>IFERROR(__xludf.DUMMYFUNCTION("GOOGLEFINANCE($A52,""high52"")"),14.48)</f>
        <v>14.48</v>
      </c>
      <c r="G52" s="54">
        <f t="shared" si="1"/>
        <v>-0.1512430939</v>
      </c>
      <c r="H52" s="55">
        <f>VLOOKUP($A52,'Dados StatusInvest'!$A:$AY,COLUMN(H52)-$A$5,0)*VLOOKUP($A52,'Dados StatusInvest'!$A:$AY,2,0)/$E52/100</f>
        <v>0.007349389748</v>
      </c>
      <c r="I52" s="56">
        <f>VLOOKUP($A52,'Dados StatusInvest'!$A:$AY,COLUMN(I52)-$A$5,0)/VLOOKUP($A52,'Dados StatusInvest'!$A:$AY,2,0)*$E52</f>
        <v>36.06340242</v>
      </c>
      <c r="J52" s="56">
        <f>VLOOKUP($A52,'Dados StatusInvest'!$A:$AY,COLUMN(J52)-$A$5,0)/VLOOKUP($A52,'Dados StatusInvest'!$A:$AY,2,0)*$E52</f>
        <v>3.024740933</v>
      </c>
      <c r="K52" s="57">
        <f>VLOOKUP($A52,'Dados StatusInvest'!$A:$AY,COLUMN(K52)-$A$5,0)/VLOOKUP($A52,'Dados StatusInvest'!$A:$AY,2,0)*$E52</f>
        <v>0.6792400691</v>
      </c>
      <c r="L52" s="58">
        <f>VLOOKUP($A52,'Dados StatusInvest'!$A:$AY,COLUMN(L52)-$A$5,0)/100</f>
        <v>0.3833</v>
      </c>
      <c r="M52" s="59">
        <f>VLOOKUP($A52,'Dados StatusInvest'!$A:$AY,COLUMN(M52)-$A$5,0)</f>
        <v>27.2</v>
      </c>
      <c r="N52" s="59">
        <f>VLOOKUP($A52,'Dados StatusInvest'!$A:$AY,COLUMN(N52)-$A$5,0)</f>
        <v>5.96</v>
      </c>
      <c r="O52" s="56">
        <f>VLOOKUP($A52,'Dados StatusInvest'!$A:$AY,COLUMN(O52)-$A$5,0)/VLOOKUP($A52,'Dados StatusInvest'!$A:$AY,2,0)*$E52</f>
        <v>7.906778929</v>
      </c>
      <c r="P52" s="56">
        <f>VLOOKUP($A52,'Dados StatusInvest'!$A:$AY,COLUMN(P52)-$A$5,0)-VLOOKUP($A52,'Dados StatusInvest'!$A:$AY,COLUMN(P52)-$A$5-1,0)+O52</f>
        <v>12.46677893</v>
      </c>
      <c r="Q52" s="59">
        <f>VLOOKUP($A52,'Dados StatusInvest'!$A:$AY,COLUMN(Q52)-$A$5,0)</f>
        <v>4.52</v>
      </c>
      <c r="R52" s="59">
        <f>VLOOKUP($A52,'Dados StatusInvest'!$A:$AY,COLUMN(R52)-$A$5,0)</f>
        <v>1.73</v>
      </c>
      <c r="S52" s="56">
        <f>VLOOKUP($A52,'Dados StatusInvest'!$A:$AY,COLUMN(S52)-$A$5,0)/VLOOKUP($A52,'Dados StatusInvest'!$A:$AY,2,0)*$E52</f>
        <v>2.154464594</v>
      </c>
      <c r="T52" s="57">
        <f>VLOOKUP($A52,'Dados StatusInvest'!$A:$AY,COLUMN(T52)-$A$5,0)/VLOOKUP($A52,'Dados StatusInvest'!$A:$AY,2,0)*$E52</f>
        <v>15.88784974</v>
      </c>
      <c r="U52" s="59">
        <f>VLOOKUP($A52,'Dados StatusInvest'!$A:$AY,COLUMN(U52)-$A$5,0)</f>
        <v>-0.85</v>
      </c>
      <c r="V52" s="60">
        <f>VLOOKUP($A52,'Dados StatusInvest'!$A:$AY,COLUMN(V52)-$A$5,0)</f>
        <v>1.22</v>
      </c>
      <c r="W52" s="60">
        <f>VLOOKUP($A52,'Dados StatusInvest'!$A:$AY,COLUMN(W52)-$A$5,0)</f>
        <v>8.39</v>
      </c>
      <c r="X52" s="60">
        <f>VLOOKUP($A52,'Dados StatusInvest'!$A:$AY,COLUMN(X52)-$A$5,0)</f>
        <v>1.9</v>
      </c>
      <c r="Y52" s="60">
        <f>VLOOKUP($A52,'Dados StatusInvest'!$A:$AY,COLUMN(Y52)-$A$5,0)</f>
        <v>7.63</v>
      </c>
      <c r="Z52" s="59">
        <f>VLOOKUP($A52,'Dados StatusInvest'!$A:$AY,COLUMN(Z52)-$A$5,0)</f>
        <v>0.23</v>
      </c>
      <c r="AA52" s="59">
        <f>VLOOKUP($A52,'Dados StatusInvest'!$A:$AY,COLUMN(AA52)-$A$5,0)</f>
        <v>0.76</v>
      </c>
      <c r="AB52" s="59">
        <f>VLOOKUP($A52,'Dados StatusInvest'!$A:$AY,COLUMN(AB52)-$A$5,0)</f>
        <v>0.32</v>
      </c>
      <c r="AC52" s="59">
        <f>VLOOKUP($A52,'Dados StatusInvest'!$A:$AY,COLUMN(AC52)-$A$5,0)</f>
        <v>3.13</v>
      </c>
      <c r="AD52" s="60">
        <f>VLOOKUP($A52,'Dados StatusInvest'!$A:$AY,COLUMN(AD52)-$A$5,0)</f>
        <v>-4.67</v>
      </c>
      <c r="AE52" s="62">
        <f>VLOOKUP($A52,'Dados StatusInvest'!$A:$AY,COLUMN(AE52)-$A$5,0)</f>
        <v>167890459.5</v>
      </c>
      <c r="AF52" s="18"/>
    </row>
    <row r="53">
      <c r="A53" s="10" t="s">
        <v>99</v>
      </c>
      <c r="B53" s="39" t="str">
        <f>VLOOKUP(lEFT($A53,4),Setor!$A:$E,3,0)</f>
        <v>Tecnologia da Informação</v>
      </c>
      <c r="C53" s="39" t="str">
        <f>VLOOKUP(lEFT($A53,4),Setor!$A:$E,4,0)</f>
        <v>Programas e Serviços</v>
      </c>
      <c r="D53" s="39" t="str">
        <f>VLOOKUP(lEFT($A53,4),Setor!$A:$E,5,0)</f>
        <v>Programas e Serviços</v>
      </c>
      <c r="E53" s="17">
        <f>IFERROR(__xludf.DUMMYFUNCTION("GOOGLEFINANCE(A53)"),21.99)</f>
        <v>21.99</v>
      </c>
      <c r="F53" s="17">
        <f>IFERROR(__xludf.DUMMYFUNCTION("GOOGLEFINANCE($A53,""high52"")"),35.06)</f>
        <v>35.06</v>
      </c>
      <c r="G53" s="16">
        <f t="shared" si="1"/>
        <v>-0.3727895037</v>
      </c>
      <c r="H53" s="40">
        <f>VLOOKUP($A53,'Dados StatusInvest'!$A:$AY,column(H53)-$A$5,0)*VLOOKUP($A53,'Dados StatusInvest'!$A:$AY,2,0)/$E53/100</f>
        <v>0.001422919509</v>
      </c>
      <c r="I53" s="41">
        <f>VLOOKUP($A53,'Dados StatusInvest'!$A:$AY,column(I53)-$A$5,0)/VLOOKUP($A53,'Dados StatusInvest'!$A:$AY,2,0)*$E53</f>
        <v>1083.295289</v>
      </c>
      <c r="J53" s="41">
        <f>VLOOKUP($A53,'Dados StatusInvest'!$A:$AY,column(J53)-$A$5,0)/VLOOKUP($A53,'Dados StatusInvest'!$A:$AY,2,0)*$E53</f>
        <v>4.388161074</v>
      </c>
      <c r="K53" s="42">
        <f>VLOOKUP($A53,'Dados StatusInvest'!$A:$AY,column(K53)-$A$5,0)/VLOOKUP($A53,'Dados StatusInvest'!$A:$AY,2,0)*$E53</f>
        <v>3.217328859</v>
      </c>
      <c r="L53" s="43">
        <f>VLOOKUP($A53,'Dados StatusInvest'!$A:$AY,column(L53)-$A$5,0)/100</f>
        <v>0.4431</v>
      </c>
      <c r="M53" s="44">
        <f>VLOOKUP($A53,'Dados StatusInvest'!$A:$AY,column(M53)-$A$5,0)</f>
        <v>6.57</v>
      </c>
      <c r="N53" s="47">
        <f>VLOOKUP($A53,'Dados StatusInvest'!$A:$AY,column(N53)-$A$5,0)</f>
        <v>1.96</v>
      </c>
      <c r="O53" s="41">
        <f>VLOOKUP($A53,'Dados StatusInvest'!$A:$AY,column(O53)-$A$5,0)/VLOOKUP($A53,'Dados StatusInvest'!$A:$AY,2,0)*$E53</f>
        <v>322.8348456</v>
      </c>
      <c r="P53" s="41">
        <f>VLOOKUP($A53,'Dados StatusInvest'!$A:$AY,column(P53)-$A$5,0)-VLOOKUP($A53,'Dados StatusInvest'!$A:$AY,column(P53)-$A$5-1,0)+O53</f>
        <v>280.2848456</v>
      </c>
      <c r="Q53" s="44">
        <f>VLOOKUP($A53,'Dados StatusInvest'!$A:$AY,column(Q53)-$A$5,0)</f>
        <v>-44.02</v>
      </c>
      <c r="R53" s="44">
        <f>VLOOKUP($A53,'Dados StatusInvest'!$A:$AY,column(R53)-$A$5,0)</f>
        <v>-0.6</v>
      </c>
      <c r="S53" s="41">
        <f>VLOOKUP($A53,'Dados StatusInvest'!$A:$AY,column(S53)-$A$5,0)/VLOOKUP($A53,'Dados StatusInvest'!$A:$AY,2,0)*$E53</f>
        <v>21.20288591</v>
      </c>
      <c r="T53" s="42">
        <f>VLOOKUP($A53,'Dados StatusInvest'!$A:$AY,column(T53)-$A$5,0)/VLOOKUP($A53,'Dados StatusInvest'!$A:$AY,2,0)*$E53</f>
        <v>7.064348993</v>
      </c>
      <c r="U53" s="44">
        <f>VLOOKUP($A53,'Dados StatusInvest'!$A:$AY,column(U53)-$A$5,0)</f>
        <v>-7.84</v>
      </c>
      <c r="V53" s="45">
        <f>VLOOKUP($A53,'Dados StatusInvest'!$A:$AY,column(V53)-$A$5,0)</f>
        <v>4.54</v>
      </c>
      <c r="W53" s="45">
        <f>VLOOKUP($A53,'Dados StatusInvest'!$A:$AY,column(W53)-$A$5,0)</f>
        <v>0.4</v>
      </c>
      <c r="X53" s="45">
        <f>VLOOKUP($A53,'Dados StatusInvest'!$A:$AY,column(X53)-$A$5,0)</f>
        <v>0.3</v>
      </c>
      <c r="Y53" s="45">
        <f>VLOOKUP($A53,'Dados StatusInvest'!$A:$AY,column(Y53)-$A$5,0)</f>
        <v>0.83</v>
      </c>
      <c r="Z53" s="44">
        <f>VLOOKUP($A53,'Dados StatusInvest'!$A:$AY,column(Z53)-$A$5,0)</f>
        <v>0.73</v>
      </c>
      <c r="AA53" s="44">
        <f>VLOOKUP($A53,'Dados StatusInvest'!$A:$AY,column(AA53)-$A$5,0)</f>
        <v>0.27</v>
      </c>
      <c r="AB53" s="44">
        <f>VLOOKUP($A53,'Dados StatusInvest'!$A:$AY,column(AB53)-$A$5,0)</f>
        <v>0.15</v>
      </c>
      <c r="AC53" s="44">
        <f>VLOOKUP($A53,'Dados StatusInvest'!$A:$AY,column(AC53)-$A$5,0)</f>
        <v>0</v>
      </c>
      <c r="AD53" s="45">
        <f>VLOOKUP($A53,'Dados StatusInvest'!$A:$AY,column(AD53)-$A$5,0)</f>
        <v>0</v>
      </c>
      <c r="AE53" s="46">
        <f>VLOOKUP($A53,'Dados StatusInvest'!$A:$AY,column(AE53)-$A$5,0)</f>
        <v>132076726.8</v>
      </c>
      <c r="AF53" s="49"/>
    </row>
    <row r="54">
      <c r="A54" s="10" t="s">
        <v>100</v>
      </c>
      <c r="B54" s="39" t="str">
        <f>VLOOKUP(lEFT($A54,4),Setor!$A:$E,3,0)</f>
        <v>Petróleo, Gás e Biocombustíveis</v>
      </c>
      <c r="C54" s="39" t="str">
        <f>VLOOKUP(lEFT($A54,4),Setor!$A:$E,4,0)</f>
        <v>Petróleo, Gás e Biocombustíveis</v>
      </c>
      <c r="D54" s="39" t="str">
        <f>VLOOKUP(lEFT($A54,4),Setor!$A:$E,5,0)</f>
        <v>Exploração, Refino e Distribuição</v>
      </c>
      <c r="E54" s="17">
        <f>IFERROR(__xludf.DUMMYFUNCTION("GOOGLEFINANCE(A54)"),14.5)</f>
        <v>14.5</v>
      </c>
      <c r="F54" s="17">
        <f>IFERROR(__xludf.DUMMYFUNCTION("GOOGLEFINANCE($A54,""high52"")"),25.22)</f>
        <v>25.22</v>
      </c>
      <c r="G54" s="16">
        <f t="shared" si="1"/>
        <v>-0.4250594766</v>
      </c>
      <c r="H54" s="40">
        <f>VLOOKUP($A54,'Dados StatusInvest'!$A:$AY,column(H54)-$A$5,0)*VLOOKUP($A54,'Dados StatusInvest'!$A:$AY,2,0)/$E54/100</f>
        <v>0.04405117241</v>
      </c>
      <c r="I54" s="41">
        <f>VLOOKUP($A54,'Dados StatusInvest'!$A:$AY,column(I54)-$A$5,0)/VLOOKUP($A54,'Dados StatusInvest'!$A:$AY,2,0)*$E54</f>
        <v>20.4291498</v>
      </c>
      <c r="J54" s="41">
        <f>VLOOKUP($A54,'Dados StatusInvest'!$A:$AY,column(J54)-$A$5,0)/VLOOKUP($A54,'Dados StatusInvest'!$A:$AY,2,0)*$E54</f>
        <v>1.673076923</v>
      </c>
      <c r="K54" s="42">
        <f>VLOOKUP($A54,'Dados StatusInvest'!$A:$AY,column(K54)-$A$5,0)/VLOOKUP($A54,'Dados StatusInvest'!$A:$AY,2,0)*$E54</f>
        <v>0.4500674764</v>
      </c>
      <c r="L54" s="43">
        <f>VLOOKUP($A54,'Dados StatusInvest'!$A:$AY,column(L54)-$A$5,0)/100</f>
        <v>0.066</v>
      </c>
      <c r="M54" s="44">
        <f>VLOOKUP($A54,'Dados StatusInvest'!$A:$AY,column(M54)-$A$5,0)</f>
        <v>1.78</v>
      </c>
      <c r="N54" s="44">
        <f>VLOOKUP($A54,'Dados StatusInvest'!$A:$AY,column(N54)-$A$5,0)</f>
        <v>0.82</v>
      </c>
      <c r="O54" s="41">
        <f>VLOOKUP($A54,'Dados StatusInvest'!$A:$AY,column(O54)-$A$5,0)/VLOOKUP($A54,'Dados StatusInvest'!$A:$AY,2,0)*$E54</f>
        <v>9.412280702</v>
      </c>
      <c r="P54" s="41">
        <f>VLOOKUP($A54,'Dados StatusInvest'!$A:$AY,column(P54)-$A$5,0)-VLOOKUP($A54,'Dados StatusInvest'!$A:$AY,column(P54)-$A$5-1,0)+O54</f>
        <v>16.2622807</v>
      </c>
      <c r="Q54" s="44">
        <f>VLOOKUP($A54,'Dados StatusInvest'!$A:$AY,column(Q54)-$A$5,0)</f>
        <v>6.79</v>
      </c>
      <c r="R54" s="44">
        <f>VLOOKUP($A54,'Dados StatusInvest'!$A:$AY,column(R54)-$A$5,0)</f>
        <v>1.21</v>
      </c>
      <c r="S54" s="41">
        <f>VLOOKUP($A54,'Dados StatusInvest'!$A:$AY,column(S54)-$A$5,0)/VLOOKUP($A54,'Dados StatusInvest'!$A:$AY,2,0)*$E54</f>
        <v>0.1663292848</v>
      </c>
      <c r="T54" s="42">
        <f>VLOOKUP($A54,'Dados StatusInvest'!$A:$AY,column(T54)-$A$5,0)/VLOOKUP($A54,'Dados StatusInvest'!$A:$AY,2,0)*$E54</f>
        <v>2.123144399</v>
      </c>
      <c r="U54" s="44">
        <f>VLOOKUP($A54,'Dados StatusInvest'!$A:$AY,column(U54)-$A$5,0)</f>
        <v>-0.9</v>
      </c>
      <c r="V54" s="45">
        <f>VLOOKUP($A54,'Dados StatusInvest'!$A:$AY,column(V54)-$A$5,0)</f>
        <v>1.76</v>
      </c>
      <c r="W54" s="45">
        <f>VLOOKUP($A54,'Dados StatusInvest'!$A:$AY,column(W54)-$A$5,0)</f>
        <v>8.2</v>
      </c>
      <c r="X54" s="45">
        <f>VLOOKUP($A54,'Dados StatusInvest'!$A:$AY,column(X54)-$A$5,0)</f>
        <v>2.2</v>
      </c>
      <c r="Y54" s="48">
        <f>VLOOKUP($A54,'Dados StatusInvest'!$A:$AY,column(Y54)-$A$5,0)</f>
        <v>4.24</v>
      </c>
      <c r="Z54" s="44">
        <f>VLOOKUP($A54,'Dados StatusInvest'!$A:$AY,column(Z54)-$A$5,0)</f>
        <v>0.27</v>
      </c>
      <c r="AA54" s="44">
        <f>VLOOKUP($A54,'Dados StatusInvest'!$A:$AY,column(AA54)-$A$5,0)</f>
        <v>0.72</v>
      </c>
      <c r="AB54" s="44">
        <f>VLOOKUP($A54,'Dados StatusInvest'!$A:$AY,column(AB54)-$A$5,0)</f>
        <v>2.68</v>
      </c>
      <c r="AC54" s="44">
        <f>VLOOKUP($A54,'Dados StatusInvest'!$A:$AY,column(AC54)-$A$5,0)</f>
        <v>1.43</v>
      </c>
      <c r="AD54" s="45">
        <f>VLOOKUP($A54,'Dados StatusInvest'!$A:$AY,column(AD54)-$A$5,0)</f>
        <v>-12.02</v>
      </c>
      <c r="AE54" s="46">
        <f>VLOOKUP($A54,'Dados StatusInvest'!$A:$AY,column(AE54)-$A$5,0)</f>
        <v>124862991.7</v>
      </c>
      <c r="AF54" s="18"/>
    </row>
    <row r="55">
      <c r="A55" s="10" t="s">
        <v>101</v>
      </c>
      <c r="B55" s="39" t="str">
        <f>VLOOKUP(lEFT($A55,4),Setor!$A:$E,3,0)</f>
        <v>Consumo Cíclico</v>
      </c>
      <c r="C55" s="39" t="str">
        <f>VLOOKUP(lEFT($A55,4),Setor!$A:$E,4,0)</f>
        <v>Tecidos, Vestuário e Calçados</v>
      </c>
      <c r="D55" s="39" t="str">
        <f>VLOOKUP(lEFT($A55,4),Setor!$A:$E,5,0)</f>
        <v>Calçados</v>
      </c>
      <c r="E55" s="17">
        <f>IFERROR(__xludf.DUMMYFUNCTION("GOOGLEFINANCE(A55)"),48.09)</f>
        <v>48.09</v>
      </c>
      <c r="F55" s="17">
        <f>IFERROR(__xludf.DUMMYFUNCTION("GOOGLEFINANCE($A55,""high52"")"),62.33)</f>
        <v>62.33</v>
      </c>
      <c r="G55" s="16">
        <f t="shared" si="1"/>
        <v>-0.228461415</v>
      </c>
      <c r="H55" s="40">
        <f>VLOOKUP($A55,'Dados StatusInvest'!$A:$AY,column(H55)-$A$5,0)*VLOOKUP($A55,'Dados StatusInvest'!$A:$AY,2,0)/$E55/100</f>
        <v>0</v>
      </c>
      <c r="I55" s="41">
        <f>VLOOKUP($A55,'Dados StatusInvest'!$A:$AY,column(I55)-$A$5,0)/VLOOKUP($A55,'Dados StatusInvest'!$A:$AY,2,0)*$E55</f>
        <v>94.73109039</v>
      </c>
      <c r="J55" s="41">
        <f>VLOOKUP($A55,'Dados StatusInvest'!$A:$AY,column(J55)-$A$5,0)/VLOOKUP($A55,'Dados StatusInvest'!$A:$AY,2,0)*$E55</f>
        <v>8.930014347</v>
      </c>
      <c r="K55" s="42">
        <f>VLOOKUP($A55,'Dados StatusInvest'!$A:$AY,column(K55)-$A$5,0)/VLOOKUP($A55,'Dados StatusInvest'!$A:$AY,2,0)*$E55</f>
        <v>5.578794835</v>
      </c>
      <c r="L55" s="43">
        <f>VLOOKUP($A55,'Dados StatusInvest'!$A:$AY,column(L55)-$A$5,0)/100</f>
        <v>0.5419</v>
      </c>
      <c r="M55" s="47">
        <f>VLOOKUP($A55,'Dados StatusInvest'!$A:$AY,column(M55)-$A$5,0)</f>
        <v>14.16</v>
      </c>
      <c r="N55" s="47">
        <f>VLOOKUP($A55,'Dados StatusInvest'!$A:$AY,column(N55)-$A$5,0)</f>
        <v>7.59</v>
      </c>
      <c r="O55" s="41">
        <f>VLOOKUP($A55,'Dados StatusInvest'!$A:$AY,column(O55)-$A$5,0)/VLOOKUP($A55,'Dados StatusInvest'!$A:$AY,2,0)*$E55</f>
        <v>50.76111908</v>
      </c>
      <c r="P55" s="41">
        <f>VLOOKUP($A55,'Dados StatusInvest'!$A:$AY,column(P55)-$A$5,0)-VLOOKUP($A55,'Dados StatusInvest'!$A:$AY,column(P55)-$A$5-1,0)+O55</f>
        <v>46.64111908</v>
      </c>
      <c r="Q55" s="44">
        <f>VLOOKUP($A55,'Dados StatusInvest'!$A:$AY,column(Q55)-$A$5,0)</f>
        <v>-1.12</v>
      </c>
      <c r="R55" s="44">
        <f>VLOOKUP($A55,'Dados StatusInvest'!$A:$AY,column(R55)-$A$5,0)</f>
        <v>-0.2</v>
      </c>
      <c r="S55" s="41">
        <f>VLOOKUP($A55,'Dados StatusInvest'!$A:$AY,column(S55)-$A$5,0)/VLOOKUP($A55,'Dados StatusInvest'!$A:$AY,2,0)*$E55</f>
        <v>7.185408895</v>
      </c>
      <c r="T55" s="42">
        <f>VLOOKUP($A55,'Dados StatusInvest'!$A:$AY,column(T55)-$A$5,0)/VLOOKUP($A55,'Dados StatusInvest'!$A:$AY,2,0)*$E55</f>
        <v>20.26502152</v>
      </c>
      <c r="U55" s="44">
        <f>VLOOKUP($A55,'Dados StatusInvest'!$A:$AY,column(U55)-$A$5,0)</f>
        <v>-12.12</v>
      </c>
      <c r="V55" s="45">
        <f>VLOOKUP($A55,'Dados StatusInvest'!$A:$AY,column(V55)-$A$5,0)</f>
        <v>2.07</v>
      </c>
      <c r="W55" s="45">
        <f>VLOOKUP($A55,'Dados StatusInvest'!$A:$AY,column(W55)-$A$5,0)</f>
        <v>9.42</v>
      </c>
      <c r="X55" s="48">
        <f>VLOOKUP($A55,'Dados StatusInvest'!$A:$AY,column(X55)-$A$5,0)</f>
        <v>5.89</v>
      </c>
      <c r="Y55" s="45">
        <f>VLOOKUP($A55,'Dados StatusInvest'!$A:$AY,column(Y55)-$A$5,0)</f>
        <v>14.52</v>
      </c>
      <c r="Z55" s="44">
        <f>VLOOKUP($A55,'Dados StatusInvest'!$A:$AY,column(Z55)-$A$5,0)</f>
        <v>0.63</v>
      </c>
      <c r="AA55" s="44">
        <f>VLOOKUP($A55,'Dados StatusInvest'!$A:$AY,column(AA55)-$A$5,0)</f>
        <v>0.36</v>
      </c>
      <c r="AB55" s="44">
        <f>VLOOKUP($A55,'Dados StatusInvest'!$A:$AY,column(AB55)-$A$5,0)</f>
        <v>0.78</v>
      </c>
      <c r="AC55" s="44">
        <f>VLOOKUP($A55,'Dados StatusInvest'!$A:$AY,column(AC55)-$A$5,0)</f>
        <v>-3.59</v>
      </c>
      <c r="AD55" s="45">
        <f>VLOOKUP($A55,'Dados StatusInvest'!$A:$AY,column(AD55)-$A$5,0)</f>
        <v>1.86</v>
      </c>
      <c r="AE55" s="46">
        <f>VLOOKUP($A55,'Dados StatusInvest'!$A:$AY,column(AE55)-$A$5,0)</f>
        <v>133069702.7</v>
      </c>
      <c r="AF55" s="51"/>
    </row>
    <row r="56">
      <c r="A56" s="10" t="s">
        <v>102</v>
      </c>
      <c r="B56" s="39" t="str">
        <f>VLOOKUP(lEFT($A56,4),Setor!$A:$E,3,0)</f>
        <v>Saúde</v>
      </c>
      <c r="C56" s="39" t="str">
        <f>VLOOKUP(lEFT($A56,4),Setor!$A:$E,4,0)</f>
        <v>Comércio e Distribuição</v>
      </c>
      <c r="D56" s="39" t="str">
        <f>VLOOKUP(lEFT($A56,4),Setor!$A:$E,5,0)</f>
        <v>Medicamentos e Outros Produtos</v>
      </c>
      <c r="E56" s="17">
        <f>IFERROR(__xludf.DUMMYFUNCTION("GOOGLEFINANCE(A56)"),23.15)</f>
        <v>23.15</v>
      </c>
      <c r="F56" s="17">
        <f>IFERROR(__xludf.DUMMYFUNCTION("GOOGLEFINANCE($A56,""high52"")"),28.8)</f>
        <v>28.8</v>
      </c>
      <c r="G56" s="16">
        <f t="shared" si="1"/>
        <v>-0.1961805556</v>
      </c>
      <c r="H56" s="40">
        <f>VLOOKUP($A56,'Dados StatusInvest'!$A:$AY,column(H56)-$A$5,0)*VLOOKUP($A56,'Dados StatusInvest'!$A:$AY,2,0)/$E56/100</f>
        <v>0.003668682505</v>
      </c>
      <c r="I56" s="41">
        <f>VLOOKUP($A56,'Dados StatusInvest'!$A:$AY,column(I56)-$A$5,0)/VLOOKUP($A56,'Dados StatusInvest'!$A:$AY,2,0)*$E56</f>
        <v>51.55147651</v>
      </c>
      <c r="J56" s="41">
        <f>VLOOKUP($A56,'Dados StatusInvest'!$A:$AY,column(J56)-$A$5,0)/VLOOKUP($A56,'Dados StatusInvest'!$A:$AY,2,0)*$E56</f>
        <v>8.213847875</v>
      </c>
      <c r="K56" s="42">
        <f>VLOOKUP($A56,'Dados StatusInvest'!$A:$AY,column(K56)-$A$5,0)/VLOOKUP($A56,'Dados StatusInvest'!$A:$AY,2,0)*$E56</f>
        <v>2.734496644</v>
      </c>
      <c r="L56" s="43">
        <f>VLOOKUP($A56,'Dados StatusInvest'!$A:$AY,column(L56)-$A$5,0)/100</f>
        <v>0.2967</v>
      </c>
      <c r="M56" s="47">
        <f>VLOOKUP($A56,'Dados StatusInvest'!$A:$AY,column(M56)-$A$5,0)</f>
        <v>5.89</v>
      </c>
      <c r="N56" s="47">
        <f>VLOOKUP($A56,'Dados StatusInvest'!$A:$AY,column(N56)-$A$5,0)</f>
        <v>3.36</v>
      </c>
      <c r="O56" s="41">
        <f>VLOOKUP($A56,'Dados StatusInvest'!$A:$AY,column(O56)-$A$5,0)/VLOOKUP($A56,'Dados StatusInvest'!$A:$AY,2,0)*$E56</f>
        <v>29.40619687</v>
      </c>
      <c r="P56" s="41">
        <f>VLOOKUP($A56,'Dados StatusInvest'!$A:$AY,column(P56)-$A$5,0)-VLOOKUP($A56,'Dados StatusInvest'!$A:$AY,column(P56)-$A$5-1,0)+O56</f>
        <v>30.34619687</v>
      </c>
      <c r="Q56" s="44">
        <f>VLOOKUP($A56,'Dados StatusInvest'!$A:$AY,column(Q56)-$A$5,0)</f>
        <v>0.99</v>
      </c>
      <c r="R56" s="44">
        <f>VLOOKUP($A56,'Dados StatusInvest'!$A:$AY,column(R56)-$A$5,0)</f>
        <v>0.28</v>
      </c>
      <c r="S56" s="41">
        <f>VLOOKUP($A56,'Dados StatusInvest'!$A:$AY,column(S56)-$A$5,0)/VLOOKUP($A56,'Dados StatusInvest'!$A:$AY,2,0)*$E56</f>
        <v>1.729776286</v>
      </c>
      <c r="T56" s="42">
        <f>VLOOKUP($A56,'Dados StatusInvest'!$A:$AY,column(T56)-$A$5,0)/VLOOKUP($A56,'Dados StatusInvest'!$A:$AY,2,0)*$E56</f>
        <v>17.54635347</v>
      </c>
      <c r="U56" s="44">
        <f>VLOOKUP($A56,'Dados StatusInvest'!$A:$AY,column(U56)-$A$5,0)</f>
        <v>-5.28</v>
      </c>
      <c r="V56" s="45">
        <f>VLOOKUP($A56,'Dados StatusInvest'!$A:$AY,column(V56)-$A$5,0)</f>
        <v>1.45</v>
      </c>
      <c r="W56" s="45">
        <f>VLOOKUP($A56,'Dados StatusInvest'!$A:$AY,column(W56)-$A$5,0)</f>
        <v>15.94</v>
      </c>
      <c r="X56" s="45">
        <f>VLOOKUP($A56,'Dados StatusInvest'!$A:$AY,column(X56)-$A$5,0)</f>
        <v>5.3</v>
      </c>
      <c r="Y56" s="48">
        <f>VLOOKUP($A56,'Dados StatusInvest'!$A:$AY,column(Y56)-$A$5,0)</f>
        <v>16.99</v>
      </c>
      <c r="Z56" s="44">
        <f>VLOOKUP($A56,'Dados StatusInvest'!$A:$AY,column(Z56)-$A$5,0)</f>
        <v>0.33</v>
      </c>
      <c r="AA56" s="44">
        <f>VLOOKUP($A56,'Dados StatusInvest'!$A:$AY,column(AA56)-$A$5,0)</f>
        <v>0.66</v>
      </c>
      <c r="AB56" s="44">
        <f>VLOOKUP($A56,'Dados StatusInvest'!$A:$AY,column(AB56)-$A$5,0)</f>
        <v>1.58</v>
      </c>
      <c r="AC56" s="44">
        <f>VLOOKUP($A56,'Dados StatusInvest'!$A:$AY,column(AC56)-$A$5,0)</f>
        <v>17.66</v>
      </c>
      <c r="AD56" s="45">
        <f>VLOOKUP($A56,'Dados StatusInvest'!$A:$AY,column(AD56)-$A$5,0)</f>
        <v>16.93</v>
      </c>
      <c r="AE56" s="46">
        <f>VLOOKUP($A56,'Dados StatusInvest'!$A:$AY,column(AE56)-$A$5,0)</f>
        <v>143698854.5</v>
      </c>
      <c r="AF56" s="18"/>
    </row>
    <row r="57">
      <c r="A57" s="10" t="s">
        <v>103</v>
      </c>
      <c r="B57" s="39" t="str">
        <f>VLOOKUP(lEFT($A57,4),Setor!$A:$E,3,0)</f>
        <v>Financeiro</v>
      </c>
      <c r="C57" s="39" t="str">
        <f>VLOOKUP(lEFT($A57,4),Setor!$A:$E,4,0)</f>
        <v>Exploração de Imóveis</v>
      </c>
      <c r="D57" s="39" t="str">
        <f>VLOOKUP(lEFT($A57,4),Setor!$A:$E,5,0)</f>
        <v>Exploração de Imóveis</v>
      </c>
      <c r="E57" s="17">
        <f>IFERROR(__xludf.DUMMYFUNCTION("GOOGLEFINANCE(A57)"),20.42)</f>
        <v>20.42</v>
      </c>
      <c r="F57" s="17">
        <f>IFERROR(__xludf.DUMMYFUNCTION("GOOGLEFINANCE($A57,""high52"")"),28.41)</f>
        <v>28.41</v>
      </c>
      <c r="G57" s="16">
        <f t="shared" si="1"/>
        <v>-0.2812390004</v>
      </c>
      <c r="H57" s="40">
        <f>VLOOKUP($A57,'Dados StatusInvest'!$A:$AY,column(H57)-$A$5,0)*VLOOKUP($A57,'Dados StatusInvest'!$A:$AY,2,0)/$E57/100</f>
        <v>0.02224970617</v>
      </c>
      <c r="I57" s="41">
        <f>VLOOKUP($A57,'Dados StatusInvest'!$A:$AY,column(I57)-$A$5,0)/VLOOKUP($A57,'Dados StatusInvest'!$A:$AY,2,0)*$E57</f>
        <v>14.34018937</v>
      </c>
      <c r="J57" s="41">
        <f>VLOOKUP($A57,'Dados StatusInvest'!$A:$AY,column(J57)-$A$5,0)/VLOOKUP($A57,'Dados StatusInvest'!$A:$AY,2,0)*$E57</f>
        <v>1.922766965</v>
      </c>
      <c r="K57" s="42">
        <f>VLOOKUP($A57,'Dados StatusInvest'!$A:$AY,column(K57)-$A$5,0)/VLOOKUP($A57,'Dados StatusInvest'!$A:$AY,2,0)*$E57</f>
        <v>1.149363493</v>
      </c>
      <c r="L57" s="43">
        <f>VLOOKUP($A57,'Dados StatusInvest'!$A:$AY,column(L57)-$A$5,0)/100</f>
        <v>0.7432</v>
      </c>
      <c r="M57" s="44">
        <f>VLOOKUP($A57,'Dados StatusInvest'!$A:$AY,column(M57)-$A$5,0)</f>
        <v>92.29</v>
      </c>
      <c r="N57" s="44">
        <f>VLOOKUP($A57,'Dados StatusInvest'!$A:$AY,column(N57)-$A$5,0)</f>
        <v>82.34</v>
      </c>
      <c r="O57" s="41">
        <f>VLOOKUP($A57,'Dados StatusInvest'!$A:$AY,column(O57)-$A$5,0)/VLOOKUP($A57,'Dados StatusInvest'!$A:$AY,2,0)*$E57</f>
        <v>12.79338243</v>
      </c>
      <c r="P57" s="41">
        <f>VLOOKUP($A57,'Dados StatusInvest'!$A:$AY,column(P57)-$A$5,0)-VLOOKUP($A57,'Dados StatusInvest'!$A:$AY,column(P57)-$A$5-1,0)+O57</f>
        <v>14.91338243</v>
      </c>
      <c r="Q57" s="44">
        <f>VLOOKUP($A57,'Dados StatusInvest'!$A:$AY,column(Q57)-$A$5,0)</f>
        <v>2.13</v>
      </c>
      <c r="R57" s="44">
        <f>VLOOKUP($A57,'Dados StatusInvest'!$A:$AY,column(R57)-$A$5,0)</f>
        <v>0.32</v>
      </c>
      <c r="S57" s="41">
        <f>VLOOKUP($A57,'Dados StatusInvest'!$A:$AY,column(S57)-$A$5,0)/VLOOKUP($A57,'Dados StatusInvest'!$A:$AY,2,0)*$E57</f>
        <v>11.80514466</v>
      </c>
      <c r="T57" s="42">
        <f>VLOOKUP($A57,'Dados StatusInvest'!$A:$AY,column(T57)-$A$5,0)/VLOOKUP($A57,'Dados StatusInvest'!$A:$AY,2,0)*$E57</f>
        <v>12.13813782</v>
      </c>
      <c r="U57" s="44">
        <f>VLOOKUP($A57,'Dados StatusInvest'!$A:$AY,column(U57)-$A$5,0)</f>
        <v>-1.28</v>
      </c>
      <c r="V57" s="45">
        <f>VLOOKUP($A57,'Dados StatusInvest'!$A:$AY,column(V57)-$A$5,0)</f>
        <v>2.25</v>
      </c>
      <c r="W57" s="45">
        <f>VLOOKUP($A57,'Dados StatusInvest'!$A:$AY,column(W57)-$A$5,0)</f>
        <v>13.41</v>
      </c>
      <c r="X57" s="48">
        <f>VLOOKUP($A57,'Dados StatusInvest'!$A:$AY,column(X57)-$A$5,0)</f>
        <v>7.99</v>
      </c>
      <c r="Y57" s="48">
        <f>VLOOKUP($A57,'Dados StatusInvest'!$A:$AY,column(Y57)-$A$5,0)</f>
        <v>9.55</v>
      </c>
      <c r="Z57" s="44">
        <f>VLOOKUP($A57,'Dados StatusInvest'!$A:$AY,column(Z57)-$A$5,0)</f>
        <v>0.6</v>
      </c>
      <c r="AA57" s="44">
        <f>VLOOKUP($A57,'Dados StatusInvest'!$A:$AY,column(AA57)-$A$5,0)</f>
        <v>0.4</v>
      </c>
      <c r="AB57" s="47">
        <f>VLOOKUP($A57,'Dados StatusInvest'!$A:$AY,column(AB57)-$A$5,0)</f>
        <v>0.1</v>
      </c>
      <c r="AC57" s="44">
        <f>VLOOKUP($A57,'Dados StatusInvest'!$A:$AY,column(AC57)-$A$5,0)</f>
        <v>0.31</v>
      </c>
      <c r="AD57" s="45">
        <f>VLOOKUP($A57,'Dados StatusInvest'!$A:$AY,column(AD57)-$A$5,0)</f>
        <v>18.76</v>
      </c>
      <c r="AE57" s="46">
        <f>VLOOKUP($A57,'Dados StatusInvest'!$A:$AY,column(AE57)-$A$5,0)</f>
        <v>133151875.2</v>
      </c>
      <c r="AF57" s="51"/>
    </row>
    <row r="58">
      <c r="A58" s="10" t="s">
        <v>104</v>
      </c>
      <c r="B58" s="39" t="str">
        <f>VLOOKUP(lEFT($A58,4),Setor!$A:$E,3,0)</f>
        <v>Financeiro</v>
      </c>
      <c r="C58" s="39" t="str">
        <f>VLOOKUP(lEFT($A58,4),Setor!$A:$E,4,0)</f>
        <v>Previdência e Seguros</v>
      </c>
      <c r="D58" s="39" t="str">
        <f>VLOOKUP(lEFT($A58,4),Setor!$A:$E,5,0)</f>
        <v>Seguradoras</v>
      </c>
      <c r="E58" s="17">
        <f>IFERROR(__xludf.DUMMYFUNCTION("GOOGLEFINANCE(A58)"),19.96)</f>
        <v>19.96</v>
      </c>
      <c r="F58" s="17">
        <f>IFERROR(__xludf.DUMMYFUNCTION("GOOGLEFINANCE($A58,""high52"")"),30.76)</f>
        <v>30.76</v>
      </c>
      <c r="G58" s="16">
        <f t="shared" si="1"/>
        <v>-0.3511053316</v>
      </c>
      <c r="H58" s="40">
        <f>VLOOKUP($A58,'Dados StatusInvest'!$A:$AY,column(H58)-$A$5,0)*VLOOKUP($A58,'Dados StatusInvest'!$A:$AY,2,0)/$E58/100</f>
        <v>0.04999759519</v>
      </c>
      <c r="I58" s="41">
        <f>VLOOKUP($A58,'Dados StatusInvest'!$A:$AY,column(I58)-$A$5,0)/VLOOKUP($A58,'Dados StatusInvest'!$A:$AY,2,0)*$E58</f>
        <v>10.66451292</v>
      </c>
      <c r="J58" s="41">
        <f>VLOOKUP($A58,'Dados StatusInvest'!$A:$AY,column(J58)-$A$5,0)/VLOOKUP($A58,'Dados StatusInvest'!$A:$AY,2,0)*$E58</f>
        <v>5.783638171</v>
      </c>
      <c r="K58" s="42">
        <f>VLOOKUP($A58,'Dados StatusInvest'!$A:$AY,column(K58)-$A$5,0)/VLOOKUP($A58,'Dados StatusInvest'!$A:$AY,2,0)*$E58</f>
        <v>3.511848907</v>
      </c>
      <c r="L58" s="43">
        <f>VLOOKUP($A58,'Dados StatusInvest'!$A:$AY,column(L58)-$A$5,0)/100</f>
        <v>0</v>
      </c>
      <c r="M58" s="44">
        <f>VLOOKUP($A58,'Dados StatusInvest'!$A:$AY,column(M58)-$A$5,0)</f>
        <v>0</v>
      </c>
      <c r="N58" s="44">
        <f>VLOOKUP($A58,'Dados StatusInvest'!$A:$AY,column(N58)-$A$5,0)</f>
        <v>0</v>
      </c>
      <c r="O58" s="41">
        <f>VLOOKUP($A58,'Dados StatusInvest'!$A:$AY,column(O58)-$A$5,0)/VLOOKUP($A58,'Dados StatusInvest'!$A:$AY,2,0)*$E58</f>
        <v>8.382803181</v>
      </c>
      <c r="P58" s="41">
        <f>VLOOKUP($A58,'Dados StatusInvest'!$A:$AY,column(P58)-$A$5,0)-VLOOKUP($A58,'Dados StatusInvest'!$A:$AY,column(P58)-$A$5-1,0)+O58</f>
        <v>8.422803181</v>
      </c>
      <c r="Q58" s="44">
        <f>VLOOKUP($A58,'Dados StatusInvest'!$A:$AY,column(Q58)-$A$5,0)</f>
        <v>0</v>
      </c>
      <c r="R58" s="44">
        <f>VLOOKUP($A58,'Dados StatusInvest'!$A:$AY,column(R58)-$A$5,0)</f>
        <v>0</v>
      </c>
      <c r="S58" s="41">
        <f>VLOOKUP($A58,'Dados StatusInvest'!$A:$AY,column(S58)-$A$5,0)/VLOOKUP($A58,'Dados StatusInvest'!$A:$AY,2,0)*$E58</f>
        <v>0</v>
      </c>
      <c r="T58" s="42">
        <f>VLOOKUP($A58,'Dados StatusInvest'!$A:$AY,column(T58)-$A$5,0)/VLOOKUP($A58,'Dados StatusInvest'!$A:$AY,2,0)*$E58</f>
        <v>34.67206759</v>
      </c>
      <c r="U58" s="44">
        <f>VLOOKUP($A58,'Dados StatusInvest'!$A:$AY,column(U58)-$A$5,0)</f>
        <v>-5.28</v>
      </c>
      <c r="V58" s="45">
        <f>VLOOKUP($A58,'Dados StatusInvest'!$A:$AY,column(V58)-$A$5,0)</f>
        <v>1.44</v>
      </c>
      <c r="W58" s="45">
        <f>VLOOKUP($A58,'Dados StatusInvest'!$A:$AY,column(W58)-$A$5,0)</f>
        <v>54.26</v>
      </c>
      <c r="X58" s="45">
        <f>VLOOKUP($A58,'Dados StatusInvest'!$A:$AY,column(X58)-$A$5,0)</f>
        <v>32.87</v>
      </c>
      <c r="Y58" s="45">
        <f>VLOOKUP($A58,'Dados StatusInvest'!$A:$AY,column(Y58)-$A$5,0)</f>
        <v>0</v>
      </c>
      <c r="Z58" s="44">
        <f>VLOOKUP($A58,'Dados StatusInvest'!$A:$AY,column(Z58)-$A$5,0)</f>
        <v>0.61</v>
      </c>
      <c r="AA58" s="44">
        <f>VLOOKUP($A58,'Dados StatusInvest'!$A:$AY,column(AA58)-$A$5,0)</f>
        <v>0.39</v>
      </c>
      <c r="AB58" s="44">
        <f>VLOOKUP($A58,'Dados StatusInvest'!$A:$AY,column(AB58)-$A$5,0)</f>
        <v>0</v>
      </c>
      <c r="AC58" s="44">
        <f>VLOOKUP($A58,'Dados StatusInvest'!$A:$AY,column(AC58)-$A$5,0)</f>
        <v>0</v>
      </c>
      <c r="AD58" s="45">
        <f>VLOOKUP($A58,'Dados StatusInvest'!$A:$AY,column(AD58)-$A$5,0)</f>
        <v>-2.32</v>
      </c>
      <c r="AE58" s="46">
        <f>VLOOKUP($A58,'Dados StatusInvest'!$A:$AY,column(AE58)-$A$5,0)</f>
        <v>120399804.1</v>
      </c>
      <c r="AF58" s="49"/>
    </row>
    <row r="59">
      <c r="A59" s="10" t="s">
        <v>105</v>
      </c>
      <c r="B59" s="39" t="str">
        <f>VLOOKUP(lEFT($A59,4),Setor!$A:$E,3,0)</f>
        <v>Consumo Cíclico</v>
      </c>
      <c r="C59" s="39" t="str">
        <f>VLOOKUP(lEFT($A59,4),Setor!$A:$E,4,0)</f>
        <v>Diversos</v>
      </c>
      <c r="D59" s="39" t="str">
        <f>VLOOKUP(lEFT($A59,4),Setor!$A:$E,5,0)</f>
        <v>Serviços Educacionais</v>
      </c>
      <c r="E59" s="17">
        <f>IFERROR(__xludf.DUMMYFUNCTION("GOOGLEFINANCE(A59)"),3.04)</f>
        <v>3.04</v>
      </c>
      <c r="F59" s="17">
        <f>IFERROR(__xludf.DUMMYFUNCTION("GOOGLEFINANCE($A59,""high52"")"),5.54)</f>
        <v>5.54</v>
      </c>
      <c r="G59" s="16">
        <f t="shared" si="1"/>
        <v>-0.4512635379</v>
      </c>
      <c r="H59" s="40">
        <f>VLOOKUP($A59,'Dados StatusInvest'!$A:$AY,column(H59)-$A$5,0)*VLOOKUP($A59,'Dados StatusInvest'!$A:$AY,2,0)/$E59/100</f>
        <v>0</v>
      </c>
      <c r="I59" s="41">
        <f>VLOOKUP($A59,'Dados StatusInvest'!$A:$AY,column(I59)-$A$5,0)/VLOOKUP($A59,'Dados StatusInvest'!$A:$AY,2,0)*$E59</f>
        <v>-1.038576512</v>
      </c>
      <c r="J59" s="41">
        <f>VLOOKUP($A59,'Dados StatusInvest'!$A:$AY,column(J59)-$A$5,0)/VLOOKUP($A59,'Dados StatusInvest'!$A:$AY,2,0)*$E59</f>
        <v>0.4327402135</v>
      </c>
      <c r="K59" s="42">
        <f>VLOOKUP($A59,'Dados StatusInvest'!$A:$AY,column(K59)-$A$5,0)/VLOOKUP($A59,'Dados StatusInvest'!$A:$AY,2,0)*$E59</f>
        <v>0.1947330961</v>
      </c>
      <c r="L59" s="43">
        <f>VLOOKUP($A59,'Dados StatusInvest'!$A:$AY,column(L59)-$A$5,0)/100</f>
        <v>0.6458</v>
      </c>
      <c r="M59" s="44">
        <f>VLOOKUP($A59,'Dados StatusInvest'!$A:$AY,column(M59)-$A$5,0)</f>
        <v>-63.84</v>
      </c>
      <c r="N59" s="44">
        <f>VLOOKUP($A59,'Dados StatusInvest'!$A:$AY,column(N59)-$A$5,0)</f>
        <v>-121.4</v>
      </c>
      <c r="O59" s="41">
        <f>VLOOKUP($A59,'Dados StatusInvest'!$A:$AY,column(O59)-$A$5,0)/VLOOKUP($A59,'Dados StatusInvest'!$A:$AY,2,0)*$E59</f>
        <v>-1.968967972</v>
      </c>
      <c r="P59" s="41">
        <f>VLOOKUP($A59,'Dados StatusInvest'!$A:$AY,column(P59)-$A$5,0)-VLOOKUP($A59,'Dados StatusInvest'!$A:$AY,column(P59)-$A$5-1,0)+O59</f>
        <v>-4.148967972</v>
      </c>
      <c r="Q59" s="44">
        <f>VLOOKUP($A59,'Dados StatusInvest'!$A:$AY,column(Q59)-$A$5,0)</f>
        <v>-2.15</v>
      </c>
      <c r="R59" s="44">
        <f>VLOOKUP($A59,'Dados StatusInvest'!$A:$AY,column(R59)-$A$5,0)</f>
        <v>0.48</v>
      </c>
      <c r="S59" s="41">
        <f>VLOOKUP($A59,'Dados StatusInvest'!$A:$AY,column(S59)-$A$5,0)/VLOOKUP($A59,'Dados StatusInvest'!$A:$AY,2,0)*$E59</f>
        <v>1.254946619</v>
      </c>
      <c r="T59" s="42">
        <f>VLOOKUP($A59,'Dados StatusInvest'!$A:$AY,column(T59)-$A$5,0)/VLOOKUP($A59,'Dados StatusInvest'!$A:$AY,2,0)*$E59</f>
        <v>1.460498221</v>
      </c>
      <c r="U59" s="44">
        <f>VLOOKUP($A59,'Dados StatusInvest'!$A:$AY,column(U59)-$A$5,0)</f>
        <v>-0.25</v>
      </c>
      <c r="V59" s="45">
        <f>VLOOKUP($A59,'Dados StatusInvest'!$A:$AY,column(V59)-$A$5,0)</f>
        <v>1.89</v>
      </c>
      <c r="W59" s="48">
        <f>VLOOKUP($A59,'Dados StatusInvest'!$A:$AY,column(W59)-$A$5,0)</f>
        <v>-42.12</v>
      </c>
      <c r="X59" s="45">
        <f>VLOOKUP($A59,'Dados StatusInvest'!$A:$AY,column(X59)-$A$5,0)</f>
        <v>-18.55</v>
      </c>
      <c r="Y59" s="48">
        <f>VLOOKUP($A59,'Dados StatusInvest'!$A:$AY,column(Y59)-$A$5,0)</f>
        <v>-12.66</v>
      </c>
      <c r="Z59" s="44">
        <f>VLOOKUP($A59,'Dados StatusInvest'!$A:$AY,column(Z59)-$A$5,0)</f>
        <v>0.44</v>
      </c>
      <c r="AA59" s="44">
        <f>VLOOKUP($A59,'Dados StatusInvest'!$A:$AY,column(AA59)-$A$5,0)</f>
        <v>0.52</v>
      </c>
      <c r="AB59" s="44">
        <f>VLOOKUP($A59,'Dados StatusInvest'!$A:$AY,column(AB59)-$A$5,0)</f>
        <v>0.15</v>
      </c>
      <c r="AC59" s="44">
        <f>VLOOKUP($A59,'Dados StatusInvest'!$A:$AY,column(AC59)-$A$5,0)</f>
        <v>0.02</v>
      </c>
      <c r="AD59" s="45">
        <f>VLOOKUP($A59,'Dados StatusInvest'!$A:$AY,column(AD59)-$A$5,0)</f>
        <v>0</v>
      </c>
      <c r="AE59" s="46">
        <f>VLOOKUP($A59,'Dados StatusInvest'!$A:$AY,column(AE59)-$A$5,0)</f>
        <v>114570764.6</v>
      </c>
      <c r="AF59" s="50"/>
    </row>
    <row r="60">
      <c r="A60" s="10" t="s">
        <v>106</v>
      </c>
      <c r="B60" s="39" t="str">
        <f>VLOOKUP(lEFT($A60,4),Setor!$A:$E,3,0)</f>
        <v>Consumo não Cíclico</v>
      </c>
      <c r="C60" s="39" t="str">
        <f>VLOOKUP(lEFT($A60,4),Setor!$A:$E,4,0)</f>
        <v>Alimentos Processados</v>
      </c>
      <c r="D60" s="39" t="str">
        <f>VLOOKUP(lEFT($A60,4),Setor!$A:$E,5,0)</f>
        <v>Carnes e Derivados</v>
      </c>
      <c r="E60" s="17">
        <f>IFERROR(__xludf.DUMMYFUNCTION("GOOGLEFINANCE(A60)"),26.21)</f>
        <v>26.21</v>
      </c>
      <c r="F60" s="17">
        <f>IFERROR(__xludf.DUMMYFUNCTION("GOOGLEFINANCE($A60,""high52"")"),31.98)</f>
        <v>31.98</v>
      </c>
      <c r="G60" s="16">
        <f t="shared" si="1"/>
        <v>-0.1804252658</v>
      </c>
      <c r="H60" s="40">
        <f>VLOOKUP($A60,'Dados StatusInvest'!$A:$AY,column(H60)-$A$5,0)*VLOOKUP($A60,'Dados StatusInvest'!$A:$AY,2,0)/$E60/100</f>
        <v>0</v>
      </c>
      <c r="I60" s="41">
        <f>VLOOKUP($A60,'Dados StatusInvest'!$A:$AY,column(I60)-$A$5,0)/VLOOKUP($A60,'Dados StatusInvest'!$A:$AY,2,0)*$E60</f>
        <v>23.50633395</v>
      </c>
      <c r="J60" s="41">
        <f>VLOOKUP($A60,'Dados StatusInvest'!$A:$AY,column(J60)-$A$5,0)/VLOOKUP($A60,'Dados StatusInvest'!$A:$AY,2,0)*$E60</f>
        <v>2.557784787</v>
      </c>
      <c r="K60" s="42">
        <f>VLOOKUP($A60,'Dados StatusInvest'!$A:$AY,column(K60)-$A$5,0)/VLOOKUP($A60,'Dados StatusInvest'!$A:$AY,2,0)*$E60</f>
        <v>0.4279183673</v>
      </c>
      <c r="L60" s="43">
        <f>VLOOKUP($A60,'Dados StatusInvest'!$A:$AY,column(L60)-$A$5,0)/100</f>
        <v>0.2213</v>
      </c>
      <c r="M60" s="47">
        <f>VLOOKUP($A60,'Dados StatusInvest'!$A:$AY,column(M60)-$A$5,0)</f>
        <v>6.67</v>
      </c>
      <c r="N60" s="44">
        <f>VLOOKUP($A60,'Dados StatusInvest'!$A:$AY,column(N60)-$A$5,0)</f>
        <v>2.08</v>
      </c>
      <c r="O60" s="41">
        <f>VLOOKUP($A60,'Dados StatusInvest'!$A:$AY,column(O60)-$A$5,0)/VLOOKUP($A60,'Dados StatusInvest'!$A:$AY,2,0)*$E60</f>
        <v>7.313513915</v>
      </c>
      <c r="P60" s="41">
        <f>VLOOKUP($A60,'Dados StatusInvest'!$A:$AY,column(P60)-$A$5,0)-VLOOKUP($A60,'Dados StatusInvest'!$A:$AY,column(P60)-$A$5-1,0)+O60</f>
        <v>12.57351391</v>
      </c>
      <c r="Q60" s="44">
        <f>VLOOKUP($A60,'Dados StatusInvest'!$A:$AY,column(Q60)-$A$5,0)</f>
        <v>5.25</v>
      </c>
      <c r="R60" s="44">
        <f>VLOOKUP($A60,'Dados StatusInvest'!$A:$AY,column(R60)-$A$5,0)</f>
        <v>1.83</v>
      </c>
      <c r="S60" s="41">
        <f>VLOOKUP($A60,'Dados StatusInvest'!$A:$AY,column(S60)-$A$5,0)/VLOOKUP($A60,'Dados StatusInvest'!$A:$AY,2,0)*$E60</f>
        <v>0.486270872</v>
      </c>
      <c r="T60" s="42">
        <f>VLOOKUP($A60,'Dados StatusInvest'!$A:$AY,column(T60)-$A$5,0)/VLOOKUP($A60,'Dados StatusInvest'!$A:$AY,2,0)*$E60</f>
        <v>4.113851577</v>
      </c>
      <c r="U60" s="44">
        <f>VLOOKUP($A60,'Dados StatusInvest'!$A:$AY,column(U60)-$A$5,0)</f>
        <v>-0.81</v>
      </c>
      <c r="V60" s="45">
        <f>VLOOKUP($A60,'Dados StatusInvest'!$A:$AY,column(V60)-$A$5,0)</f>
        <v>1.3</v>
      </c>
      <c r="W60" s="45">
        <f>VLOOKUP($A60,'Dados StatusInvest'!$A:$AY,column(W60)-$A$5,0)</f>
        <v>10.87</v>
      </c>
      <c r="X60" s="45">
        <f>VLOOKUP($A60,'Dados StatusInvest'!$A:$AY,column(X60)-$A$5,0)</f>
        <v>1.83</v>
      </c>
      <c r="Y60" s="45">
        <f>VLOOKUP($A60,'Dados StatusInvest'!$A:$AY,column(Y60)-$A$5,0)</f>
        <v>8.45</v>
      </c>
      <c r="Z60" s="44">
        <f>VLOOKUP($A60,'Dados StatusInvest'!$A:$AY,column(Z60)-$A$5,0)</f>
        <v>0.17</v>
      </c>
      <c r="AA60" s="44">
        <f>VLOOKUP($A60,'Dados StatusInvest'!$A:$AY,column(AA60)-$A$5,0)</f>
        <v>0.83</v>
      </c>
      <c r="AB60" s="44">
        <f>VLOOKUP($A60,'Dados StatusInvest'!$A:$AY,column(AB60)-$A$5,0)</f>
        <v>0.88</v>
      </c>
      <c r="AC60" s="44">
        <f>VLOOKUP($A60,'Dados StatusInvest'!$A:$AY,column(AC60)-$A$5,0)</f>
        <v>4.16</v>
      </c>
      <c r="AD60" s="45">
        <f>VLOOKUP($A60,'Dados StatusInvest'!$A:$AY,column(AD60)-$A$5,0)</f>
        <v>-21.87</v>
      </c>
      <c r="AE60" s="46">
        <f>VLOOKUP($A60,'Dados StatusInvest'!$A:$AY,column(AE60)-$A$5,0)</f>
        <v>157707610.6</v>
      </c>
      <c r="AF60" s="50"/>
    </row>
    <row r="61">
      <c r="A61" s="10" t="s">
        <v>107</v>
      </c>
      <c r="B61" s="39" t="str">
        <f>VLOOKUP(lEFT($A61,4),Setor!$A:$E,3,0)</f>
        <v>Financeiro</v>
      </c>
      <c r="C61" s="39" t="str">
        <f>VLOOKUP(lEFT($A61,4),Setor!$A:$E,4,0)</f>
        <v>Exploração de Imóveis</v>
      </c>
      <c r="D61" s="39" t="str">
        <f>VLOOKUP(lEFT($A61,4),Setor!$A:$E,5,0)</f>
        <v>Exploração de Imóveis</v>
      </c>
      <c r="E61" s="17">
        <f>IFERROR(__xludf.DUMMYFUNCTION("GOOGLEFINANCE(A61)"),8.41)</f>
        <v>8.41</v>
      </c>
      <c r="F61" s="17">
        <f>IFERROR(__xludf.DUMMYFUNCTION("GOOGLEFINANCE($A61,""high52"")"),12.03)</f>
        <v>12.03</v>
      </c>
      <c r="G61" s="16">
        <f t="shared" si="1"/>
        <v>-0.3009143807</v>
      </c>
      <c r="H61" s="40">
        <f>VLOOKUP($A61,'Dados StatusInvest'!$A:$AY,column(H61)-$A$5,0)*VLOOKUP($A61,'Dados StatusInvest'!$A:$AY,2,0)/$E61/100</f>
        <v>0</v>
      </c>
      <c r="I61" s="41">
        <f>VLOOKUP($A61,'Dados StatusInvest'!$A:$AY,column(I61)-$A$5,0)/VLOOKUP($A61,'Dados StatusInvest'!$A:$AY,2,0)*$E61</f>
        <v>48.69002491</v>
      </c>
      <c r="J61" s="41">
        <f>VLOOKUP($A61,'Dados StatusInvest'!$A:$AY,column(J61)-$A$5,0)/VLOOKUP($A61,'Dados StatusInvest'!$A:$AY,2,0)*$E61</f>
        <v>0.6912328767</v>
      </c>
      <c r="K61" s="42">
        <f>VLOOKUP($A61,'Dados StatusInvest'!$A:$AY,column(K61)-$A$5,0)/VLOOKUP($A61,'Dados StatusInvest'!$A:$AY,2,0)*$E61</f>
        <v>0.3770361146</v>
      </c>
      <c r="L61" s="43">
        <f>VLOOKUP($A61,'Dados StatusInvest'!$A:$AY,column(L61)-$A$5,0)/100</f>
        <v>0.8993</v>
      </c>
      <c r="M61" s="44">
        <f>VLOOKUP($A61,'Dados StatusInvest'!$A:$AY,column(M61)-$A$5,0)</f>
        <v>42.02</v>
      </c>
      <c r="N61" s="44">
        <f>VLOOKUP($A61,'Dados StatusInvest'!$A:$AY,column(N61)-$A$5,0)</f>
        <v>16.14</v>
      </c>
      <c r="O61" s="41">
        <f>VLOOKUP($A61,'Dados StatusInvest'!$A:$AY,column(O61)-$A$5,0)/VLOOKUP($A61,'Dados StatusInvest'!$A:$AY,2,0)*$E61</f>
        <v>18.70518057</v>
      </c>
      <c r="P61" s="41">
        <f>VLOOKUP($A61,'Dados StatusInvest'!$A:$AY,column(P61)-$A$5,0)-VLOOKUP($A61,'Dados StatusInvest'!$A:$AY,column(P61)-$A$5-1,0)+O61</f>
        <v>24.82518057</v>
      </c>
      <c r="Q61" s="44">
        <f>VLOOKUP($A61,'Dados StatusInvest'!$A:$AY,column(Q61)-$A$5,0)</f>
        <v>6.17</v>
      </c>
      <c r="R61" s="44">
        <f>VLOOKUP($A61,'Dados StatusInvest'!$A:$AY,column(R61)-$A$5,0)</f>
        <v>0.23</v>
      </c>
      <c r="S61" s="41">
        <f>VLOOKUP($A61,'Dados StatusInvest'!$A:$AY,column(S61)-$A$5,0)/VLOOKUP($A61,'Dados StatusInvest'!$A:$AY,2,0)*$E61</f>
        <v>7.865392279</v>
      </c>
      <c r="T61" s="42">
        <f>VLOOKUP($A61,'Dados StatusInvest'!$A:$AY,column(T61)-$A$5,0)/VLOOKUP($A61,'Dados StatusInvest'!$A:$AY,2,0)*$E61</f>
        <v>5.44607721</v>
      </c>
      <c r="U61" s="47">
        <f>VLOOKUP($A61,'Dados StatusInvest'!$A:$AY,column(U61)-$A$5,0)</f>
        <v>-0.41</v>
      </c>
      <c r="V61" s="45">
        <f>VLOOKUP($A61,'Dados StatusInvest'!$A:$AY,column(V61)-$A$5,0)</f>
        <v>2.53</v>
      </c>
      <c r="W61" s="48">
        <f>VLOOKUP($A61,'Dados StatusInvest'!$A:$AY,column(W61)-$A$5,0)</f>
        <v>1.41</v>
      </c>
      <c r="X61" s="45">
        <f>VLOOKUP($A61,'Dados StatusInvest'!$A:$AY,column(X61)-$A$5,0)</f>
        <v>0.78</v>
      </c>
      <c r="Y61" s="45">
        <f>VLOOKUP($A61,'Dados StatusInvest'!$A:$AY,column(Y61)-$A$5,0)</f>
        <v>2.45</v>
      </c>
      <c r="Z61" s="44">
        <f>VLOOKUP($A61,'Dados StatusInvest'!$A:$AY,column(Z61)-$A$5,0)</f>
        <v>0.55</v>
      </c>
      <c r="AA61" s="44">
        <f>VLOOKUP($A61,'Dados StatusInvest'!$A:$AY,column(AA61)-$A$5,0)</f>
        <v>0.43</v>
      </c>
      <c r="AB61" s="44">
        <f>VLOOKUP($A61,'Dados StatusInvest'!$A:$AY,column(AB61)-$A$5,0)</f>
        <v>0.05</v>
      </c>
      <c r="AC61" s="44">
        <f>VLOOKUP($A61,'Dados StatusInvest'!$A:$AY,column(AC61)-$A$5,0)</f>
        <v>-7.67</v>
      </c>
      <c r="AD61" s="45">
        <f>VLOOKUP($A61,'Dados StatusInvest'!$A:$AY,column(AD61)-$A$5,0)</f>
        <v>98.92</v>
      </c>
      <c r="AE61" s="46">
        <f>VLOOKUP($A61,'Dados StatusInvest'!$A:$AY,column(AE61)-$A$5,0)</f>
        <v>120607910.4</v>
      </c>
      <c r="AF61" s="49"/>
    </row>
    <row r="62">
      <c r="A62" s="10" t="s">
        <v>108</v>
      </c>
      <c r="B62" s="39" t="str">
        <f>VLOOKUP(lEFT($A62,4),Setor!$A:$E,3,0)</f>
        <v>Materiais Básicos</v>
      </c>
      <c r="C62" s="39" t="str">
        <f>VLOOKUP(lEFT($A62,4),Setor!$A:$E,4,0)</f>
        <v>Siderurgia e Metalurgia</v>
      </c>
      <c r="D62" s="39" t="str">
        <f>VLOOKUP(lEFT($A62,4),Setor!$A:$E,5,0)</f>
        <v>Siderurgia</v>
      </c>
      <c r="E62" s="17">
        <f>IFERROR(__xludf.DUMMYFUNCTION("GOOGLEFINANCE(A62)"),12.62)</f>
        <v>12.62</v>
      </c>
      <c r="F62" s="17">
        <f>IFERROR(__xludf.DUMMYFUNCTION("GOOGLEFINANCE($A62,""high52"")"),16.65)</f>
        <v>16.65</v>
      </c>
      <c r="G62" s="16">
        <f t="shared" si="1"/>
        <v>-0.242042042</v>
      </c>
      <c r="H62" s="40">
        <f>VLOOKUP($A62,'Dados StatusInvest'!$A:$AY,column(H62)-$A$5,0)*VLOOKUP($A62,'Dados StatusInvest'!$A:$AY,2,0)/$E62/100</f>
        <v>0.0737296355</v>
      </c>
      <c r="I62" s="41">
        <f>VLOOKUP($A62,'Dados StatusInvest'!$A:$AY,column(I62)-$A$5,0)/VLOOKUP($A62,'Dados StatusInvest'!$A:$AY,2,0)*$E62</f>
        <v>5.313684211</v>
      </c>
      <c r="J62" s="41">
        <f>VLOOKUP($A62,'Dados StatusInvest'!$A:$AY,column(J62)-$A$5,0)/VLOOKUP($A62,'Dados StatusInvest'!$A:$AY,2,0)*$E62</f>
        <v>1.026507177</v>
      </c>
      <c r="K62" s="42">
        <f>VLOOKUP($A62,'Dados StatusInvest'!$A:$AY,column(K62)-$A$5,0)/VLOOKUP($A62,'Dados StatusInvest'!$A:$AY,2,0)*$E62</f>
        <v>0.2012759171</v>
      </c>
      <c r="L62" s="43">
        <f>VLOOKUP($A62,'Dados StatusInvest'!$A:$AY,column(L62)-$A$5,0)/100</f>
        <v>0.2213</v>
      </c>
      <c r="M62" s="47">
        <f>VLOOKUP($A62,'Dados StatusInvest'!$A:$AY,column(M62)-$A$5,0)</f>
        <v>21.28</v>
      </c>
      <c r="N62" s="47">
        <f>VLOOKUP($A62,'Dados StatusInvest'!$A:$AY,column(N62)-$A$5,0)</f>
        <v>4.22</v>
      </c>
      <c r="O62" s="41">
        <f>VLOOKUP($A62,'Dados StatusInvest'!$A:$AY,column(O62)-$A$5,0)/VLOOKUP($A62,'Dados StatusInvest'!$A:$AY,2,0)*$E62</f>
        <v>1.046634769</v>
      </c>
      <c r="P62" s="41">
        <f>VLOOKUP($A62,'Dados StatusInvest'!$A:$AY,column(P62)-$A$5,0)-VLOOKUP($A62,'Dados StatusInvest'!$A:$AY,column(P62)-$A$5-1,0)+O62</f>
        <v>1.676634769</v>
      </c>
      <c r="Q62" s="44">
        <f>VLOOKUP($A62,'Dados StatusInvest'!$A:$AY,column(Q62)-$A$5,0)</f>
        <v>0.66</v>
      </c>
      <c r="R62" s="44">
        <f>VLOOKUP($A62,'Dados StatusInvest'!$A:$AY,column(R62)-$A$5,0)</f>
        <v>0.65</v>
      </c>
      <c r="S62" s="41">
        <f>VLOOKUP($A62,'Dados StatusInvest'!$A:$AY,column(S62)-$A$5,0)/VLOOKUP($A62,'Dados StatusInvest'!$A:$AY,2,0)*$E62</f>
        <v>0.2214035088</v>
      </c>
      <c r="T62" s="42">
        <f>VLOOKUP($A62,'Dados StatusInvest'!$A:$AY,column(T62)-$A$5,0)/VLOOKUP($A62,'Dados StatusInvest'!$A:$AY,2,0)*$E62</f>
        <v>0.7245933014</v>
      </c>
      <c r="U62" s="44">
        <f>VLOOKUP($A62,'Dados StatusInvest'!$A:$AY,column(U62)-$A$5,0)</f>
        <v>-0.35</v>
      </c>
      <c r="V62" s="45">
        <f>VLOOKUP($A62,'Dados StatusInvest'!$A:$AY,column(V62)-$A$5,0)</f>
        <v>2.72</v>
      </c>
      <c r="W62" s="48">
        <f>VLOOKUP($A62,'Dados StatusInvest'!$A:$AY,column(W62)-$A$5,0)</f>
        <v>19.37</v>
      </c>
      <c r="X62" s="48">
        <f>VLOOKUP($A62,'Dados StatusInvest'!$A:$AY,column(X62)-$A$5,0)</f>
        <v>3.77</v>
      </c>
      <c r="Y62" s="48">
        <f>VLOOKUP($A62,'Dados StatusInvest'!$A:$AY,column(Y62)-$A$5,0)</f>
        <v>17.91</v>
      </c>
      <c r="Z62" s="44">
        <f>VLOOKUP($A62,'Dados StatusInvest'!$A:$AY,column(Z62)-$A$5,0)</f>
        <v>0.19</v>
      </c>
      <c r="AA62" s="44">
        <f>VLOOKUP($A62,'Dados StatusInvest'!$A:$AY,column(AA62)-$A$5,0)</f>
        <v>0.45</v>
      </c>
      <c r="AB62" s="44">
        <f>VLOOKUP($A62,'Dados StatusInvest'!$A:$AY,column(AB62)-$A$5,0)</f>
        <v>0.9</v>
      </c>
      <c r="AC62" s="44">
        <f>VLOOKUP($A62,'Dados StatusInvest'!$A:$AY,column(AC62)-$A$5,0)</f>
        <v>0.11</v>
      </c>
      <c r="AD62" s="45">
        <f>VLOOKUP($A62,'Dados StatusInvest'!$A:$AY,column(AD62)-$A$5,0)</f>
        <v>0</v>
      </c>
      <c r="AE62" s="46">
        <f>VLOOKUP($A62,'Dados StatusInvest'!$A:$AY,column(AE62)-$A$5,0)</f>
        <v>137612205.7</v>
      </c>
      <c r="AF62" s="50"/>
    </row>
    <row r="63">
      <c r="A63" s="10" t="s">
        <v>109</v>
      </c>
      <c r="B63" s="39" t="str">
        <f>VLOOKUP(lEFT($A63,4),Setor!$A:$E,3,0)</f>
        <v>Financeiro</v>
      </c>
      <c r="C63" s="39" t="str">
        <f>VLOOKUP(lEFT($A63,4),Setor!$A:$E,4,0)</f>
        <v>Intermediários Financeiros</v>
      </c>
      <c r="D63" s="39" t="str">
        <f>VLOOKUP(lEFT($A63,4),Setor!$A:$E,5,0)</f>
        <v>Bancos</v>
      </c>
      <c r="E63" s="17">
        <f>IFERROR(__xludf.DUMMYFUNCTION("GOOGLEFINANCE(A63)"),18.1)</f>
        <v>18.1</v>
      </c>
      <c r="F63" s="17">
        <f>IFERROR(__xludf.DUMMYFUNCTION("GOOGLEFINANCE($A63,""high52"")"),24.57)</f>
        <v>24.57</v>
      </c>
      <c r="G63" s="16">
        <f t="shared" si="1"/>
        <v>-0.2633292633</v>
      </c>
      <c r="H63" s="40">
        <f>VLOOKUP($A63,'Dados StatusInvest'!$A:$AY,column(H63)-$A$5,0)*VLOOKUP($A63,'Dados StatusInvest'!$A:$AY,2,0)/$E63/100</f>
        <v>0.06026254144</v>
      </c>
      <c r="I63" s="41">
        <f>VLOOKUP($A63,'Dados StatusInvest'!$A:$AY,column(I63)-$A$5,0)/VLOOKUP($A63,'Dados StatusInvest'!$A:$AY,2,0)*$E63</f>
        <v>8.101616499</v>
      </c>
      <c r="J63" s="41">
        <f>VLOOKUP($A63,'Dados StatusInvest'!$A:$AY,column(J63)-$A$5,0)/VLOOKUP($A63,'Dados StatusInvest'!$A:$AY,2,0)*$E63</f>
        <v>1.200613155</v>
      </c>
      <c r="K63" s="42">
        <f>VLOOKUP($A63,'Dados StatusInvest'!$A:$AY,column(K63)-$A$5,0)/VLOOKUP($A63,'Dados StatusInvest'!$A:$AY,2,0)*$E63</f>
        <v>0.1311594203</v>
      </c>
      <c r="L63" s="43">
        <f>VLOOKUP($A63,'Dados StatusInvest'!$A:$AY,column(L63)-$A$5,0)/100</f>
        <v>0.5665</v>
      </c>
      <c r="M63" s="44">
        <f>VLOOKUP($A63,'Dados StatusInvest'!$A:$AY,column(M63)-$A$5,0)</f>
        <v>31.41</v>
      </c>
      <c r="N63" s="44">
        <f>VLOOKUP($A63,'Dados StatusInvest'!$A:$AY,column(N63)-$A$5,0)</f>
        <v>24.55</v>
      </c>
      <c r="O63" s="41">
        <f>VLOOKUP($A63,'Dados StatusInvest'!$A:$AY,column(O63)-$A$5,0)/VLOOKUP($A63,'Dados StatusInvest'!$A:$AY,2,0)*$E63</f>
        <v>6.325919732</v>
      </c>
      <c r="P63" s="41">
        <f>VLOOKUP($A63,'Dados StatusInvest'!$A:$AY,column(P63)-$A$5,0)-VLOOKUP($A63,'Dados StatusInvest'!$A:$AY,column(P63)-$A$5-1,0)+O63</f>
        <v>6.895919732</v>
      </c>
      <c r="Q63" s="44">
        <f>VLOOKUP($A63,'Dados StatusInvest'!$A:$AY,column(Q63)-$A$5,0)</f>
        <v>0</v>
      </c>
      <c r="R63" s="44">
        <f>VLOOKUP($A63,'Dados StatusInvest'!$A:$AY,column(R63)-$A$5,0)</f>
        <v>0</v>
      </c>
      <c r="S63" s="41">
        <f>VLOOKUP($A63,'Dados StatusInvest'!$A:$AY,column(S63)-$A$5,0)/VLOOKUP($A63,'Dados StatusInvest'!$A:$AY,2,0)*$E63</f>
        <v>1.987569677</v>
      </c>
      <c r="T63" s="42">
        <f>VLOOKUP($A63,'Dados StatusInvest'!$A:$AY,column(T63)-$A$5,0)/VLOOKUP($A63,'Dados StatusInvest'!$A:$AY,2,0)*$E63</f>
        <v>2.199442586</v>
      </c>
      <c r="U63" s="44">
        <f>VLOOKUP($A63,'Dados StatusInvest'!$A:$AY,column(U63)-$A$5,0)</f>
        <v>-0.13</v>
      </c>
      <c r="V63" s="45">
        <f>VLOOKUP($A63,'Dados StatusInvest'!$A:$AY,column(V63)-$A$5,0)</f>
        <v>4.97</v>
      </c>
      <c r="W63" s="48">
        <f>VLOOKUP($A63,'Dados StatusInvest'!$A:$AY,column(W63)-$A$5,0)</f>
        <v>14.87</v>
      </c>
      <c r="X63" s="45">
        <f>VLOOKUP($A63,'Dados StatusInvest'!$A:$AY,column(X63)-$A$5,0)</f>
        <v>1.56</v>
      </c>
      <c r="Y63" s="48">
        <f>VLOOKUP($A63,'Dados StatusInvest'!$A:$AY,column(Y63)-$A$5,0)</f>
        <v>0</v>
      </c>
      <c r="Z63" s="44">
        <f>VLOOKUP($A63,'Dados StatusInvest'!$A:$AY,column(Z63)-$A$5,0)</f>
        <v>0.1</v>
      </c>
      <c r="AA63" s="44">
        <f>VLOOKUP($A63,'Dados StatusInvest'!$A:$AY,column(AA63)-$A$5,0)</f>
        <v>0.9</v>
      </c>
      <c r="AB63" s="44">
        <f>VLOOKUP($A63,'Dados StatusInvest'!$A:$AY,column(AB63)-$A$5,0)</f>
        <v>0.06</v>
      </c>
      <c r="AC63" s="44">
        <f>VLOOKUP($A63,'Dados StatusInvest'!$A:$AY,column(AC63)-$A$5,0)</f>
        <v>-3</v>
      </c>
      <c r="AD63" s="45">
        <f>VLOOKUP($A63,'Dados StatusInvest'!$A:$AY,column(AD63)-$A$5,0)</f>
        <v>3.74</v>
      </c>
      <c r="AE63" s="46">
        <f>VLOOKUP($A63,'Dados StatusInvest'!$A:$AY,column(AE63)-$A$5,0)</f>
        <v>121647930.3</v>
      </c>
      <c r="AF63" s="51"/>
    </row>
    <row r="64">
      <c r="A64" s="10" t="s">
        <v>110</v>
      </c>
      <c r="B64" s="39" t="str">
        <f>VLOOKUP(lEFT($A64,4),Setor!$A:$E,3,0)</f>
        <v>Utilidade Pública</v>
      </c>
      <c r="C64" s="39" t="str">
        <f>VLOOKUP(lEFT($A64,4),Setor!$A:$E,4,0)</f>
        <v>Energia Elétrica</v>
      </c>
      <c r="D64" s="39" t="str">
        <f>VLOOKUP(lEFT($A64,4),Setor!$A:$E,5,0)</f>
        <v>Energia Elétrica</v>
      </c>
      <c r="E64" s="17">
        <f>IFERROR(__xludf.DUMMYFUNCTION("GOOGLEFINANCE(A64)"),13.97)</f>
        <v>13.97</v>
      </c>
      <c r="F64" s="17">
        <f>IFERROR(__xludf.DUMMYFUNCTION("GOOGLEFINANCE($A64,""high52"")"),14.6)</f>
        <v>14.6</v>
      </c>
      <c r="G64" s="16">
        <f t="shared" si="1"/>
        <v>-0.04315068493</v>
      </c>
      <c r="H64" s="40">
        <f>VLOOKUP($A64,'Dados StatusInvest'!$A:$AY,column(H64)-$A$5,0)*VLOOKUP($A64,'Dados StatusInvest'!$A:$AY,2,0)/$E64/100</f>
        <v>0.06423765211</v>
      </c>
      <c r="I64" s="41">
        <f>VLOOKUP($A64,'Dados StatusInvest'!$A:$AY,column(I64)-$A$5,0)/VLOOKUP($A64,'Dados StatusInvest'!$A:$AY,2,0)*$E64</f>
        <v>5.568042857</v>
      </c>
      <c r="J64" s="41">
        <f>VLOOKUP($A64,'Dados StatusInvest'!$A:$AY,column(J64)-$A$5,0)/VLOOKUP($A64,'Dados StatusInvest'!$A:$AY,2,0)*$E64</f>
        <v>1.18745</v>
      </c>
      <c r="K64" s="42">
        <f>VLOOKUP($A64,'Dados StatusInvest'!$A:$AY,column(K64)-$A$5,0)/VLOOKUP($A64,'Dados StatusInvest'!$A:$AY,2,0)*$E64</f>
        <v>0.4390571429</v>
      </c>
      <c r="L64" s="43">
        <f>VLOOKUP($A64,'Dados StatusInvest'!$A:$AY,column(L64)-$A$5,0)/100</f>
        <v>0.2048</v>
      </c>
      <c r="M64" s="44">
        <f>VLOOKUP($A64,'Dados StatusInvest'!$A:$AY,column(M64)-$A$5,0)</f>
        <v>23.59</v>
      </c>
      <c r="N64" s="44">
        <f>VLOOKUP($A64,'Dados StatusInvest'!$A:$AY,column(N64)-$A$5,0)</f>
        <v>15.33</v>
      </c>
      <c r="O64" s="41">
        <f>VLOOKUP($A64,'Dados StatusInvest'!$A:$AY,column(O64)-$A$5,0)/VLOOKUP($A64,'Dados StatusInvest'!$A:$AY,2,0)*$E64</f>
        <v>3.622221429</v>
      </c>
      <c r="P64" s="41">
        <f>VLOOKUP($A64,'Dados StatusInvest'!$A:$AY,column(P64)-$A$5,0)-VLOOKUP($A64,'Dados StatusInvest'!$A:$AY,column(P64)-$A$5-1,0)+O64</f>
        <v>4.982221429</v>
      </c>
      <c r="Q64" s="44">
        <f>VLOOKUP($A64,'Dados StatusInvest'!$A:$AY,column(Q64)-$A$5,0)</f>
        <v>1.1</v>
      </c>
      <c r="R64" s="44">
        <f>VLOOKUP($A64,'Dados StatusInvest'!$A:$AY,column(R64)-$A$5,0)</f>
        <v>0.36</v>
      </c>
      <c r="S64" s="41">
        <f>VLOOKUP($A64,'Dados StatusInvest'!$A:$AY,column(S64)-$A$5,0)/VLOOKUP($A64,'Dados StatusInvest'!$A:$AY,2,0)*$E64</f>
        <v>0.8581571429</v>
      </c>
      <c r="T64" s="42">
        <f>VLOOKUP($A64,'Dados StatusInvest'!$A:$AY,column(T64)-$A$5,0)/VLOOKUP($A64,'Dados StatusInvest'!$A:$AY,2,0)*$E64</f>
        <v>4.420507143</v>
      </c>
      <c r="U64" s="44">
        <f>VLOOKUP($A64,'Dados StatusInvest'!$A:$AY,column(U64)-$A$5,0)</f>
        <v>-0.61</v>
      </c>
      <c r="V64" s="45">
        <f>VLOOKUP($A64,'Dados StatusInvest'!$A:$AY,column(V64)-$A$5,0)</f>
        <v>1.56</v>
      </c>
      <c r="W64" s="48">
        <f>VLOOKUP($A64,'Dados StatusInvest'!$A:$AY,column(W64)-$A$5,0)</f>
        <v>21.4</v>
      </c>
      <c r="X64" s="48">
        <f>VLOOKUP($A64,'Dados StatusInvest'!$A:$AY,column(X64)-$A$5,0)</f>
        <v>7.89</v>
      </c>
      <c r="Y64" s="48">
        <f>VLOOKUP($A64,'Dados StatusInvest'!$A:$AY,column(Y64)-$A$5,0)</f>
        <v>15.61</v>
      </c>
      <c r="Z64" s="44">
        <f>VLOOKUP($A64,'Dados StatusInvest'!$A:$AY,column(Z64)-$A$5,0)</f>
        <v>0.37</v>
      </c>
      <c r="AA64" s="44">
        <f>VLOOKUP($A64,'Dados StatusInvest'!$A:$AY,column(AA64)-$A$5,0)</f>
        <v>0.63</v>
      </c>
      <c r="AB64" s="44">
        <f>VLOOKUP($A64,'Dados StatusInvest'!$A:$AY,column(AB64)-$A$5,0)</f>
        <v>0.51</v>
      </c>
      <c r="AC64" s="44">
        <f>VLOOKUP($A64,'Dados StatusInvest'!$A:$AY,column(AC64)-$A$5,0)</f>
        <v>2.9</v>
      </c>
      <c r="AD64" s="45">
        <f>VLOOKUP($A64,'Dados StatusInvest'!$A:$AY,column(AD64)-$A$5,0)</f>
        <v>11.46</v>
      </c>
      <c r="AE64" s="46">
        <f>VLOOKUP($A64,'Dados StatusInvest'!$A:$AY,column(AE64)-$A$5,0)</f>
        <v>130259247.8</v>
      </c>
      <c r="AF64" s="51"/>
    </row>
    <row r="65">
      <c r="A65" s="10" t="s">
        <v>111</v>
      </c>
      <c r="B65" s="52" t="str">
        <f>VLOOKUP(lEFT($A65,4),Setor!$A:$E,3,0)</f>
        <v>Bens Industriais</v>
      </c>
      <c r="C65" s="52" t="str">
        <f>VLOOKUP(lEFT($A65,4),Setor!$A:$E,4,0)</f>
        <v>Transporte</v>
      </c>
      <c r="D65" s="52" t="str">
        <f>VLOOKUP(lEFT($A65,4),Setor!$A:$E,5,0)</f>
        <v>Transporte Aéreo</v>
      </c>
      <c r="E65" s="53">
        <f>IFERROR(__xludf.DUMMYFUNCTION("GOOGLEFINANCE(A65)"),20.31)</f>
        <v>20.31</v>
      </c>
      <c r="F65" s="53">
        <f>IFERROR(__xludf.DUMMYFUNCTION("GOOGLEFINANCE($A65,""high52"")"),29.03)</f>
        <v>29.03</v>
      </c>
      <c r="G65" s="54">
        <f t="shared" si="1"/>
        <v>-0.3003789184</v>
      </c>
      <c r="H65" s="55">
        <f>VLOOKUP($A65,'Dados StatusInvest'!$A:$AY,column(H65)-$A$5,0)*VLOOKUP($A65,'Dados StatusInvest'!$A:$AY,2,0)/$E65/100</f>
        <v>0</v>
      </c>
      <c r="I65" s="56">
        <f>VLOOKUP($A65,'Dados StatusInvest'!$A:$AY,column(I65)-$A$5,0)/VLOOKUP($A65,'Dados StatusInvest'!$A:$AY,2,0)*$E65</f>
        <v>-17.99</v>
      </c>
      <c r="J65" s="56">
        <f>VLOOKUP($A65,'Dados StatusInvest'!$A:$AY,column(J65)-$A$5,0)/VLOOKUP($A65,'Dados StatusInvest'!$A:$AY,2,0)*$E65</f>
        <v>-4.1</v>
      </c>
      <c r="K65" s="57">
        <f>VLOOKUP($A65,'Dados StatusInvest'!$A:$AY,column(K65)-$A$5,0)/VLOOKUP($A65,'Dados StatusInvest'!$A:$AY,2,0)*$E65</f>
        <v>5.58</v>
      </c>
      <c r="L65" s="58">
        <f>VLOOKUP($A65,'Dados StatusInvest'!$A:$AY,column(L65)-$A$5,0)/100</f>
        <v>0.0021</v>
      </c>
      <c r="M65" s="63">
        <f>VLOOKUP($A65,'Dados StatusInvest'!$A:$AY,column(M65)-$A$5,0)</f>
        <v>-44.17</v>
      </c>
      <c r="N65" s="63">
        <f>VLOOKUP($A65,'Dados StatusInvest'!$A:$AY,column(N65)-$A$5,0)</f>
        <v>-65.7</v>
      </c>
      <c r="O65" s="56">
        <f>VLOOKUP($A65,'Dados StatusInvest'!$A:$AY,column(O65)-$A$5,0)/VLOOKUP($A65,'Dados StatusInvest'!$A:$AY,2,0)*$E65</f>
        <v>-26.76</v>
      </c>
      <c r="P65" s="56">
        <f>VLOOKUP($A65,'Dados StatusInvest'!$A:$AY,column(P65)-$A$5,0)-VLOOKUP($A65,'Dados StatusInvest'!$A:$AY,column(P65)-$A$5-1,0)+O65</f>
        <v>-7.31</v>
      </c>
      <c r="Q65" s="59">
        <f>VLOOKUP($A65,'Dados StatusInvest'!$A:$AY,column(Q65)-$A$5,0)</f>
        <v>-3.94</v>
      </c>
      <c r="R65" s="59">
        <f>VLOOKUP($A65,'Dados StatusInvest'!$A:$AY,column(R65)-$A$5,0)</f>
        <v>0</v>
      </c>
      <c r="S65" s="56">
        <f>VLOOKUP($A65,'Dados StatusInvest'!$A:$AY,column(S65)-$A$5,0)/VLOOKUP($A65,'Dados StatusInvest'!$A:$AY,2,0)*$E65</f>
        <v>11.82</v>
      </c>
      <c r="T65" s="57">
        <f>VLOOKUP($A65,'Dados StatusInvest'!$A:$AY,column(T65)-$A$5,0)/VLOOKUP($A65,'Dados StatusInvest'!$A:$AY,2,0)*$E65</f>
        <v>-8.12</v>
      </c>
      <c r="U65" s="59">
        <f>VLOOKUP($A65,'Dados StatusInvest'!$A:$AY,column(U65)-$A$5,0)</f>
        <v>-7.17</v>
      </c>
      <c r="V65" s="60">
        <f>VLOOKUP($A65,'Dados StatusInvest'!$A:$AY,column(V65)-$A$5,0)</f>
        <v>0.24</v>
      </c>
      <c r="W65" s="61">
        <f>VLOOKUP($A65,'Dados StatusInvest'!$A:$AY,column(W65)-$A$5,0)</f>
        <v>-22.79</v>
      </c>
      <c r="X65" s="61">
        <f>VLOOKUP($A65,'Dados StatusInvest'!$A:$AY,column(X65)-$A$5,0)</f>
        <v>-31.02</v>
      </c>
      <c r="Y65" s="61">
        <f>VLOOKUP($A65,'Dados StatusInvest'!$A:$AY,column(Y65)-$A$5,0)</f>
        <v>45.42</v>
      </c>
      <c r="Z65" s="59">
        <f>VLOOKUP($A65,'Dados StatusInvest'!$A:$AY,column(Z65)-$A$5,0)</f>
        <v>-1.36</v>
      </c>
      <c r="AA65" s="59">
        <f>VLOOKUP($A65,'Dados StatusInvest'!$A:$AY,column(AA65)-$A$5,0)</f>
        <v>2.36</v>
      </c>
      <c r="AB65" s="59">
        <f>VLOOKUP($A65,'Dados StatusInvest'!$A:$AY,column(AB65)-$A$5,0)</f>
        <v>0.47</v>
      </c>
      <c r="AC65" s="59">
        <f>VLOOKUP($A65,'Dados StatusInvest'!$A:$AY,column(AC65)-$A$5,0)</f>
        <v>-8.21</v>
      </c>
      <c r="AD65" s="60">
        <f>VLOOKUP($A65,'Dados StatusInvest'!$A:$AY,column(AD65)-$A$5,0)</f>
        <v>0</v>
      </c>
      <c r="AE65" s="62">
        <f>VLOOKUP($A65,'Dados StatusInvest'!$A:$AY,column(AE65)-$A$5,0)</f>
        <v>111351533.5</v>
      </c>
      <c r="AF65" s="18"/>
    </row>
    <row r="66">
      <c r="A66" s="10" t="s">
        <v>112</v>
      </c>
      <c r="B66" s="39" t="str">
        <f>VLOOKUP(lEFT($A66,4),Setor!$A:$E,3,0)</f>
        <v>Utilidade Pública</v>
      </c>
      <c r="C66" s="39" t="str">
        <f>VLOOKUP(lEFT($A66,4),Setor!$A:$E,4,0)</f>
        <v>Água e Saneamento</v>
      </c>
      <c r="D66" s="39" t="str">
        <f>VLOOKUP(lEFT($A66,4),Setor!$A:$E,5,0)</f>
        <v>Água e Saneamento</v>
      </c>
      <c r="E66" s="17">
        <f>IFERROR(__xludf.DUMMYFUNCTION("GOOGLEFINANCE(A66)"),38.31)</f>
        <v>38.31</v>
      </c>
      <c r="F66" s="17">
        <f>IFERROR(__xludf.DUMMYFUNCTION("GOOGLEFINANCE($A66,""high52"")"),48.83)</f>
        <v>48.83</v>
      </c>
      <c r="G66" s="16">
        <f t="shared" si="1"/>
        <v>-0.2154413271</v>
      </c>
      <c r="H66" s="40">
        <f>VLOOKUP($A66,'Dados StatusInvest'!$A:$AY,column(H66)-$A$5,0)*VLOOKUP($A66,'Dados StatusInvest'!$A:$AY,2,0)/$E66/100</f>
        <v>0.0104504307</v>
      </c>
      <c r="I66" s="41">
        <f>VLOOKUP($A66,'Dados StatusInvest'!$A:$AY,column(I66)-$A$5,0)/VLOOKUP($A66,'Dados StatusInvest'!$A:$AY,2,0)*$E66</f>
        <v>10.3655058</v>
      </c>
      <c r="J66" s="41">
        <f>VLOOKUP($A66,'Dados StatusInvest'!$A:$AY,column(J66)-$A$5,0)/VLOOKUP($A66,'Dados StatusInvest'!$A:$AY,2,0)*$E66</f>
        <v>1.085122741</v>
      </c>
      <c r="K66" s="42">
        <f>VLOOKUP($A66,'Dados StatusInvest'!$A:$AY,column(K66)-$A$5,0)/VLOOKUP($A66,'Dados StatusInvest'!$A:$AY,2,0)*$E66</f>
        <v>0.5167251146</v>
      </c>
      <c r="L66" s="43">
        <f>VLOOKUP($A66,'Dados StatusInvest'!$A:$AY,column(L66)-$A$5,0)/100</f>
        <v>0.352</v>
      </c>
      <c r="M66" s="44">
        <f>VLOOKUP($A66,'Dados StatusInvest'!$A:$AY,column(M66)-$A$5,0)</f>
        <v>23.13</v>
      </c>
      <c r="N66" s="44">
        <f>VLOOKUP($A66,'Dados StatusInvest'!$A:$AY,column(N66)-$A$5,0)</f>
        <v>13.57</v>
      </c>
      <c r="O66" s="41">
        <f>VLOOKUP($A66,'Dados StatusInvest'!$A:$AY,column(O66)-$A$5,0)/VLOOKUP($A66,'Dados StatusInvest'!$A:$AY,2,0)*$E66</f>
        <v>6.076687348</v>
      </c>
      <c r="P66" s="41">
        <f>VLOOKUP($A66,'Dados StatusInvest'!$A:$AY,column(P66)-$A$5,0)-VLOOKUP($A66,'Dados StatusInvest'!$A:$AY,column(P66)-$A$5-1,0)+O66</f>
        <v>9.246687348</v>
      </c>
      <c r="Q66" s="44">
        <f>VLOOKUP($A66,'Dados StatusInvest'!$A:$AY,column(Q66)-$A$5,0)</f>
        <v>3.15</v>
      </c>
      <c r="R66" s="44">
        <f>VLOOKUP($A66,'Dados StatusInvest'!$A:$AY,column(R66)-$A$5,0)</f>
        <v>0.56</v>
      </c>
      <c r="S66" s="41">
        <f>VLOOKUP($A66,'Dados StatusInvest'!$A:$AY,column(S66)-$A$5,0)/VLOOKUP($A66,'Dados StatusInvest'!$A:$AY,2,0)*$E66</f>
        <v>1.405492312</v>
      </c>
      <c r="T66" s="42">
        <f>VLOOKUP($A66,'Dados StatusInvest'!$A:$AY,column(T66)-$A$5,0)/VLOOKUP($A66,'Dados StatusInvest'!$A:$AY,2,0)*$E66</f>
        <v>-96.48291341</v>
      </c>
      <c r="U66" s="47">
        <f>VLOOKUP($A66,'Dados StatusInvest'!$A:$AY,column(U66)-$A$5,0)</f>
        <v>-0.56</v>
      </c>
      <c r="V66" s="45">
        <f>VLOOKUP($A66,'Dados StatusInvest'!$A:$AY,column(V66)-$A$5,0)</f>
        <v>0.95</v>
      </c>
      <c r="W66" s="45">
        <f>VLOOKUP($A66,'Dados StatusInvest'!$A:$AY,column(W66)-$A$5,0)</f>
        <v>10.5</v>
      </c>
      <c r="X66" s="48">
        <f>VLOOKUP($A66,'Dados StatusInvest'!$A:$AY,column(X66)-$A$5,0)</f>
        <v>4.95</v>
      </c>
      <c r="Y66" s="45">
        <f>VLOOKUP($A66,'Dados StatusInvest'!$A:$AY,column(Y66)-$A$5,0)</f>
        <v>7.75</v>
      </c>
      <c r="Z66" s="44">
        <f>VLOOKUP($A66,'Dados StatusInvest'!$A:$AY,column(Z66)-$A$5,0)</f>
        <v>0.47</v>
      </c>
      <c r="AA66" s="44">
        <f>VLOOKUP($A66,'Dados StatusInvest'!$A:$AY,column(AA66)-$A$5,0)</f>
        <v>0.53</v>
      </c>
      <c r="AB66" s="44">
        <f>VLOOKUP($A66,'Dados StatusInvest'!$A:$AY,column(AB66)-$A$5,0)</f>
        <v>0.37</v>
      </c>
      <c r="AC66" s="44">
        <f>VLOOKUP($A66,'Dados StatusInvest'!$A:$AY,column(AC66)-$A$5,0)</f>
        <v>8.73</v>
      </c>
      <c r="AD66" s="45">
        <f>VLOOKUP($A66,'Dados StatusInvest'!$A:$AY,column(AD66)-$A$5,0)</f>
        <v>36.3</v>
      </c>
      <c r="AE66" s="46">
        <f>VLOOKUP($A66,'Dados StatusInvest'!$A:$AY,column(AE66)-$A$5,0)</f>
        <v>115838939.5</v>
      </c>
      <c r="AF66" s="18"/>
    </row>
    <row r="67">
      <c r="A67" s="10" t="s">
        <v>113</v>
      </c>
      <c r="B67" s="52" t="str">
        <f>VLOOKUP(LEFT($A67,4),Setor!$A:$E,3,0)</f>
        <v>Financeiro</v>
      </c>
      <c r="C67" s="52" t="str">
        <f>VLOOKUP(LEFT($A67,4),Setor!$A:$E,4,0)</f>
        <v>Intermediários Financeiros</v>
      </c>
      <c r="D67" s="52" t="str">
        <f>VLOOKUP(LEFT($A67,4),Setor!$A:$E,5,0)</f>
        <v>Bancos</v>
      </c>
      <c r="E67" s="53">
        <f>IFERROR(__xludf.DUMMYFUNCTION("GOOGLEFINANCE(A67)"),16.22)</f>
        <v>16.22</v>
      </c>
      <c r="F67" s="53">
        <f>IFERROR(__xludf.DUMMYFUNCTION("GOOGLEFINANCE($A67,""high52"")"),28.95)</f>
        <v>28.95</v>
      </c>
      <c r="G67" s="54">
        <f t="shared" si="1"/>
        <v>-0.4397236615</v>
      </c>
      <c r="H67" s="55">
        <f>VLOOKUP($A67,'Dados StatusInvest'!$A:$AY,COLUMN(H67)-$A$5,0)*VLOOKUP($A67,'Dados StatusInvest'!$A:$AY,2,0)/$E67/100</f>
        <v>0.001009802713</v>
      </c>
      <c r="I67" s="56">
        <f>VLOOKUP($A67,'Dados StatusInvest'!$A:$AY,COLUMN(I67)-$A$5,0)/VLOOKUP($A67,'Dados StatusInvest'!$A:$AY,2,0)*$E67</f>
        <v>1555.061182</v>
      </c>
      <c r="J67" s="56">
        <f>VLOOKUP($A67,'Dados StatusInvest'!$A:$AY,COLUMN(J67)-$A$5,0)/VLOOKUP($A67,'Dados StatusInvest'!$A:$AY,2,0)*$E67</f>
        <v>4.847481531</v>
      </c>
      <c r="K67" s="57">
        <f>VLOOKUP($A67,'Dados StatusInvest'!$A:$AY,COLUMN(K67)-$A$5,0)/VLOOKUP($A67,'Dados StatusInvest'!$A:$AY,2,0)*$E67</f>
        <v>1.394331766</v>
      </c>
      <c r="L67" s="58">
        <f>VLOOKUP($A67,'Dados StatusInvest'!$A:$AY,COLUMN(L67)-$A$5,0)/100</f>
        <v>0.5779</v>
      </c>
      <c r="M67" s="59">
        <f>VLOOKUP($A67,'Dados StatusInvest'!$A:$AY,COLUMN(M67)-$A$5,0)</f>
        <v>-7.78</v>
      </c>
      <c r="N67" s="59">
        <f>VLOOKUP($A67,'Dados StatusInvest'!$A:$AY,COLUMN(N67)-$A$5,0)</f>
        <v>2.08</v>
      </c>
      <c r="O67" s="56">
        <f>VLOOKUP($A67,'Dados StatusInvest'!$A:$AY,COLUMN(O67)-$A$5,0)/VLOOKUP($A67,'Dados StatusInvest'!$A:$AY,2,0)*$E67</f>
        <v>-416.4912559</v>
      </c>
      <c r="P67" s="56">
        <f>VLOOKUP($A67,'Dados StatusInvest'!$A:$AY,COLUMN(P67)-$A$5,0)-VLOOKUP($A67,'Dados StatusInvest'!$A:$AY,COLUMN(P67)-$A$5-1,0)+O67</f>
        <v>-422.9112559</v>
      </c>
      <c r="Q67" s="59">
        <f>VLOOKUP($A67,'Dados StatusInvest'!$A:$AY,COLUMN(Q67)-$A$5,0)</f>
        <v>0</v>
      </c>
      <c r="R67" s="59">
        <f>VLOOKUP($A67,'Dados StatusInvest'!$A:$AY,COLUMN(R67)-$A$5,0)</f>
        <v>0</v>
      </c>
      <c r="S67" s="56">
        <f>VLOOKUP($A67,'Dados StatusInvest'!$A:$AY,COLUMN(S67)-$A$5,0)/VLOOKUP($A67,'Dados StatusInvest'!$A:$AY,2,0)*$E67</f>
        <v>32.41821357</v>
      </c>
      <c r="T67" s="57">
        <f>VLOOKUP($A67,'Dados StatusInvest'!$A:$AY,COLUMN(T67)-$A$5,0)/VLOOKUP($A67,'Dados StatusInvest'!$A:$AY,2,0)*$E67</f>
        <v>28.44218939</v>
      </c>
      <c r="U67" s="59">
        <f>VLOOKUP($A67,'Dados StatusInvest'!$A:$AY,COLUMN(U67)-$A$5,0)</f>
        <v>-2.63</v>
      </c>
      <c r="V67" s="60">
        <f>VLOOKUP($A67,'Dados StatusInvest'!$A:$AY,COLUMN(V67)-$A$5,0)</f>
        <v>1.11</v>
      </c>
      <c r="W67" s="60">
        <f>VLOOKUP($A67,'Dados StatusInvest'!$A:$AY,COLUMN(W67)-$A$5,0)</f>
        <v>0.31</v>
      </c>
      <c r="X67" s="60">
        <f>VLOOKUP($A67,'Dados StatusInvest'!$A:$AY,COLUMN(X67)-$A$5,0)</f>
        <v>0.09</v>
      </c>
      <c r="Y67" s="60">
        <f>VLOOKUP($A67,'Dados StatusInvest'!$A:$AY,COLUMN(Y67)-$A$5,0)</f>
        <v>0</v>
      </c>
      <c r="Z67" s="59">
        <f>VLOOKUP($A67,'Dados StatusInvest'!$A:$AY,COLUMN(Z67)-$A$5,0)</f>
        <v>0.29</v>
      </c>
      <c r="AA67" s="59">
        <f>VLOOKUP($A67,'Dados StatusInvest'!$A:$AY,COLUMN(AA67)-$A$5,0)</f>
        <v>0.71</v>
      </c>
      <c r="AB67" s="59">
        <f>VLOOKUP($A67,'Dados StatusInvest'!$A:$AY,COLUMN(AB67)-$A$5,0)</f>
        <v>0.04</v>
      </c>
      <c r="AC67" s="59">
        <f>VLOOKUP($A67,'Dados StatusInvest'!$A:$AY,COLUMN(AC67)-$A$5,0)</f>
        <v>14.14</v>
      </c>
      <c r="AD67" s="60">
        <f>VLOOKUP($A67,'Dados StatusInvest'!$A:$AY,COLUMN(AD67)-$A$5,0)</f>
        <v>-3.95</v>
      </c>
      <c r="AE67" s="62">
        <f>VLOOKUP($A67,'Dados StatusInvest'!$A:$AY,COLUMN(AE67)-$A$5,0)</f>
        <v>130852297.3</v>
      </c>
      <c r="AF67" s="18"/>
    </row>
    <row r="68">
      <c r="A68" s="10" t="s">
        <v>114</v>
      </c>
      <c r="B68" s="39" t="str">
        <f>VLOOKUP(lEFT($A68,4),Setor!$A:$E,3,0)</f>
        <v>Financeiro</v>
      </c>
      <c r="C68" s="39" t="str">
        <f>VLOOKUP(lEFT($A68,4),Setor!$A:$E,4,0)</f>
        <v>Intermediários Financeiros</v>
      </c>
      <c r="D68" s="39" t="str">
        <f>VLOOKUP(lEFT($A68,4),Setor!$A:$E,5,0)</f>
        <v>Bancos</v>
      </c>
      <c r="E68" s="17">
        <f>IFERROR(__xludf.DUMMYFUNCTION("GOOGLEFINANCE(A68)"),15.84)</f>
        <v>15.84</v>
      </c>
      <c r="F68" s="17">
        <f>IFERROR(__xludf.DUMMYFUNCTION("GOOGLEFINANCE($A68,""high52"")"),26.3)</f>
        <v>26.3</v>
      </c>
      <c r="G68" s="16">
        <f t="shared" si="1"/>
        <v>-0.3977186312</v>
      </c>
      <c r="H68" s="40">
        <f>VLOOKUP($A68,'Dados StatusInvest'!$A:$AY,column(H68)-$A$5,0)*VLOOKUP($A68,'Dados StatusInvest'!$A:$AY,2,0)/$E68/100</f>
        <v>0.01334835859</v>
      </c>
      <c r="I68" s="41">
        <f>VLOOKUP($A68,'Dados StatusInvest'!$A:$AY,column(I68)-$A$5,0)/VLOOKUP($A68,'Dados StatusInvest'!$A:$AY,2,0)*$E68</f>
        <v>26.00993956</v>
      </c>
      <c r="J68" s="41">
        <f>VLOOKUP($A68,'Dados StatusInvest'!$A:$AY,column(J68)-$A$5,0)/VLOOKUP($A68,'Dados StatusInvest'!$A:$AY,2,0)*$E68</f>
        <v>3.436077905</v>
      </c>
      <c r="K68" s="42">
        <f>VLOOKUP($A68,'Dados StatusInvest'!$A:$AY,column(K68)-$A$5,0)/VLOOKUP($A68,'Dados StatusInvest'!$A:$AY,2,0)*$E68</f>
        <v>0.4467965077</v>
      </c>
      <c r="L68" s="43">
        <f>VLOOKUP($A68,'Dados StatusInvest'!$A:$AY,column(L68)-$A$5,0)/100</f>
        <v>0.6853</v>
      </c>
      <c r="M68" s="47">
        <f>VLOOKUP($A68,'Dados StatusInvest'!$A:$AY,column(M68)-$A$5,0)</f>
        <v>11.11</v>
      </c>
      <c r="N68" s="47">
        <f>VLOOKUP($A68,'Dados StatusInvest'!$A:$AY,column(N68)-$A$5,0)</f>
        <v>7.84</v>
      </c>
      <c r="O68" s="41">
        <f>VLOOKUP($A68,'Dados StatusInvest'!$A:$AY,column(O68)-$A$5,0)/VLOOKUP($A68,'Dados StatusInvest'!$A:$AY,2,0)*$E68</f>
        <v>18.35057085</v>
      </c>
      <c r="P68" s="41">
        <f>VLOOKUP($A68,'Dados StatusInvest'!$A:$AY,column(P68)-$A$5,0)-VLOOKUP($A68,'Dados StatusInvest'!$A:$AY,column(P68)-$A$5-1,0)+O68</f>
        <v>18.85057085</v>
      </c>
      <c r="Q68" s="44">
        <f>VLOOKUP($A68,'Dados StatusInvest'!$A:$AY,column(Q68)-$A$5,0)</f>
        <v>0</v>
      </c>
      <c r="R68" s="44">
        <f>VLOOKUP($A68,'Dados StatusInvest'!$A:$AY,column(R68)-$A$5,0)</f>
        <v>0</v>
      </c>
      <c r="S68" s="41">
        <f>VLOOKUP($A68,'Dados StatusInvest'!$A:$AY,column(S68)-$A$5,0)/VLOOKUP($A68,'Dados StatusInvest'!$A:$AY,2,0)*$E68</f>
        <v>2.042498321</v>
      </c>
      <c r="T68" s="42">
        <f>VLOOKUP($A68,'Dados StatusInvest'!$A:$AY,column(T68)-$A$5,0)/VLOOKUP($A68,'Dados StatusInvest'!$A:$AY,2,0)*$E68</f>
        <v>-37.17985225</v>
      </c>
      <c r="U68" s="44">
        <f>VLOOKUP($A68,'Dados StatusInvest'!$A:$AY,column(U68)-$A$5,0)</f>
        <v>-0.72</v>
      </c>
      <c r="V68" s="45">
        <f>VLOOKUP($A68,'Dados StatusInvest'!$A:$AY,column(V68)-$A$5,0)</f>
        <v>0.97</v>
      </c>
      <c r="W68" s="45">
        <f>VLOOKUP($A68,'Dados StatusInvest'!$A:$AY,column(W68)-$A$5,0)</f>
        <v>13.2</v>
      </c>
      <c r="X68" s="48">
        <f>VLOOKUP($A68,'Dados StatusInvest'!$A:$AY,column(X68)-$A$5,0)</f>
        <v>1.7</v>
      </c>
      <c r="Y68" s="45">
        <f>VLOOKUP($A68,'Dados StatusInvest'!$A:$AY,column(Y68)-$A$5,0)</f>
        <v>0</v>
      </c>
      <c r="Z68" s="44">
        <f>VLOOKUP($A68,'Dados StatusInvest'!$A:$AY,column(Z68)-$A$5,0)</f>
        <v>0.13</v>
      </c>
      <c r="AA68" s="44">
        <f>VLOOKUP($A68,'Dados StatusInvest'!$A:$AY,column(AA68)-$A$5,0)</f>
        <v>0.87</v>
      </c>
      <c r="AB68" s="44">
        <f>VLOOKUP($A68,'Dados StatusInvest'!$A:$AY,column(AB68)-$A$5,0)</f>
        <v>0.22</v>
      </c>
      <c r="AC68" s="44">
        <f>VLOOKUP($A68,'Dados StatusInvest'!$A:$AY,column(AC68)-$A$5,0)</f>
        <v>4.82</v>
      </c>
      <c r="AD68" s="45">
        <f>VLOOKUP($A68,'Dados StatusInvest'!$A:$AY,column(AD68)-$A$5,0)</f>
        <v>38.52</v>
      </c>
      <c r="AE68" s="46">
        <f>VLOOKUP($A68,'Dados StatusInvest'!$A:$AY,column(AE68)-$A$5,0)</f>
        <v>124476175.9</v>
      </c>
      <c r="AF68" s="50"/>
    </row>
    <row r="69">
      <c r="A69" s="10" t="s">
        <v>115</v>
      </c>
      <c r="B69" s="39" t="str">
        <f>VLOOKUP(lEFT($A69,4),Setor!$A:$E,3,0)</f>
        <v>Comunicações</v>
      </c>
      <c r="C69" s="39" t="str">
        <f>VLOOKUP(lEFT($A69,4),Setor!$A:$E,4,0)</f>
        <v>Telecomunicações</v>
      </c>
      <c r="D69" s="39" t="str">
        <f>VLOOKUP(lEFT($A69,4),Setor!$A:$E,5,0)</f>
        <v>Telecomunicações</v>
      </c>
      <c r="E69" s="17">
        <f>IFERROR(__xludf.DUMMYFUNCTION("GOOGLEFINANCE(A69)"),43.93)</f>
        <v>43.93</v>
      </c>
      <c r="F69" s="17">
        <f>IFERROR(__xludf.DUMMYFUNCTION("GOOGLEFINANCE($A69,""high52"")"),49.39)</f>
        <v>49.39</v>
      </c>
      <c r="G69" s="16">
        <f t="shared" si="1"/>
        <v>-0.1105486941</v>
      </c>
      <c r="H69" s="40">
        <f>VLOOKUP($A69,'Dados StatusInvest'!$A:$AY,column(H69)-$A$5,0)*VLOOKUP($A69,'Dados StatusInvest'!$A:$AY,2,0)/$E69/100</f>
        <v>0.07265763715</v>
      </c>
      <c r="I69" s="41">
        <f>VLOOKUP($A69,'Dados StatusInvest'!$A:$AY,column(I69)-$A$5,0)/VLOOKUP($A69,'Dados StatusInvest'!$A:$AY,2,0)*$E69</f>
        <v>15.49992601</v>
      </c>
      <c r="J69" s="41">
        <f>VLOOKUP($A69,'Dados StatusInvest'!$A:$AY,column(J69)-$A$5,0)/VLOOKUP($A69,'Dados StatusInvest'!$A:$AY,2,0)*$E69</f>
        <v>1.076665896</v>
      </c>
      <c r="K69" s="42">
        <f>VLOOKUP($A69,'Dados StatusInvest'!$A:$AY,column(K69)-$A$5,0)/VLOOKUP($A69,'Dados StatusInvest'!$A:$AY,2,0)*$E69</f>
        <v>0.6500624277</v>
      </c>
      <c r="L69" s="43">
        <f>VLOOKUP($A69,'Dados StatusInvest'!$A:$AY,column(L69)-$A$5,0)/100</f>
        <v>0.4548</v>
      </c>
      <c r="M69" s="44">
        <f>VLOOKUP($A69,'Dados StatusInvest'!$A:$AY,column(M69)-$A$5,0)</f>
        <v>15.69</v>
      </c>
      <c r="N69" s="44">
        <f>VLOOKUP($A69,'Dados StatusInvest'!$A:$AY,column(N69)-$A$5,0)</f>
        <v>11.02</v>
      </c>
      <c r="O69" s="41">
        <f>VLOOKUP($A69,'Dados StatusInvest'!$A:$AY,column(O69)-$A$5,0)/VLOOKUP($A69,'Dados StatusInvest'!$A:$AY,2,0)*$E69</f>
        <v>10.88854566</v>
      </c>
      <c r="P69" s="41">
        <f>VLOOKUP($A69,'Dados StatusInvest'!$A:$AY,column(P69)-$A$5,0)-VLOOKUP($A69,'Dados StatusInvest'!$A:$AY,column(P69)-$A$5-1,0)+O69</f>
        <v>11.54854566</v>
      </c>
      <c r="Q69" s="44">
        <f>VLOOKUP($A69,'Dados StatusInvest'!$A:$AY,column(Q69)-$A$5,0)</f>
        <v>0.66</v>
      </c>
      <c r="R69" s="44">
        <f>VLOOKUP($A69,'Dados StatusInvest'!$A:$AY,column(R69)-$A$5,0)</f>
        <v>0.07</v>
      </c>
      <c r="S69" s="41">
        <f>VLOOKUP($A69,'Dados StatusInvest'!$A:$AY,column(S69)-$A$5,0)/VLOOKUP($A69,'Dados StatusInvest'!$A:$AY,2,0)*$E69</f>
        <v>1.706413873</v>
      </c>
      <c r="T69" s="42">
        <f>VLOOKUP($A69,'Dados StatusInvest'!$A:$AY,column(T69)-$A$5,0)/VLOOKUP($A69,'Dados StatusInvest'!$A:$AY,2,0)*$E69</f>
        <v>87.42323931</v>
      </c>
      <c r="U69" s="44">
        <f>VLOOKUP($A69,'Dados StatusInvest'!$A:$AY,column(U69)-$A$5,0)</f>
        <v>-0.82</v>
      </c>
      <c r="V69" s="45">
        <f>VLOOKUP($A69,'Dados StatusInvest'!$A:$AY,column(V69)-$A$5,0)</f>
        <v>1.04</v>
      </c>
      <c r="W69" s="45">
        <f>VLOOKUP($A69,'Dados StatusInvest'!$A:$AY,column(W69)-$A$5,0)</f>
        <v>6.97</v>
      </c>
      <c r="X69" s="45">
        <f>VLOOKUP($A69,'Dados StatusInvest'!$A:$AY,column(X69)-$A$5,0)</f>
        <v>4.21</v>
      </c>
      <c r="Y69" s="45">
        <f>VLOOKUP($A69,'Dados StatusInvest'!$A:$AY,column(Y69)-$A$5,0)</f>
        <v>6.81</v>
      </c>
      <c r="Z69" s="44">
        <f>VLOOKUP($A69,'Dados StatusInvest'!$A:$AY,column(Z69)-$A$5,0)</f>
        <v>0.6</v>
      </c>
      <c r="AA69" s="44">
        <f>VLOOKUP($A69,'Dados StatusInvest'!$A:$AY,column(AA69)-$A$5,0)</f>
        <v>0.4</v>
      </c>
      <c r="AB69" s="44">
        <f>VLOOKUP($A69,'Dados StatusInvest'!$A:$AY,column(AB69)-$A$5,0)</f>
        <v>0.38</v>
      </c>
      <c r="AC69" s="44">
        <f>VLOOKUP($A69,'Dados StatusInvest'!$A:$AY,column(AC69)-$A$5,0)</f>
        <v>1.37</v>
      </c>
      <c r="AD69" s="45">
        <f>VLOOKUP($A69,'Dados StatusInvest'!$A:$AY,column(AD69)-$A$5,0)</f>
        <v>6.97</v>
      </c>
      <c r="AE69" s="46">
        <f>VLOOKUP($A69,'Dados StatusInvest'!$A:$AY,column(AE69)-$A$5,0)</f>
        <v>114029355</v>
      </c>
      <c r="AF69" s="18"/>
    </row>
    <row r="70">
      <c r="A70" s="10" t="s">
        <v>116</v>
      </c>
      <c r="B70" s="39" t="str">
        <f>VLOOKUP(lEFT($A70,4),Setor!$A:$E,3,0)</f>
        <v>Saúde</v>
      </c>
      <c r="C70" s="39" t="str">
        <f>VLOOKUP(lEFT($A70,4),Setor!$A:$E,4,0)</f>
        <v>Comércio e Distribuição</v>
      </c>
      <c r="D70" s="39" t="str">
        <f>VLOOKUP(lEFT($A70,4),Setor!$A:$E,5,0)</f>
        <v>Medicamentos e Outros Produtos</v>
      </c>
      <c r="E70" s="17">
        <f>IFERROR(__xludf.DUMMYFUNCTION("GOOGLEFINANCE(A70)"),29.64)</f>
        <v>29.64</v>
      </c>
      <c r="F70" s="17">
        <f>IFERROR(__xludf.DUMMYFUNCTION("GOOGLEFINANCE($A70,""high52"")"),37.6)</f>
        <v>37.6</v>
      </c>
      <c r="G70" s="16">
        <f t="shared" si="1"/>
        <v>-0.2117021277</v>
      </c>
      <c r="H70" s="40">
        <f>VLOOKUP($A70,'Dados StatusInvest'!$A:$AY,column(H70)-$A$5,0)*VLOOKUP($A70,'Dados StatusInvest'!$A:$AY,2,0)/$E70/100</f>
        <v>0.05101666667</v>
      </c>
      <c r="I70" s="41">
        <f>VLOOKUP($A70,'Dados StatusInvest'!$A:$AY,column(I70)-$A$5,0)/VLOOKUP($A70,'Dados StatusInvest'!$A:$AY,2,0)*$E70</f>
        <v>13.07219863</v>
      </c>
      <c r="J70" s="41">
        <f>VLOOKUP($A70,'Dados StatusInvest'!$A:$AY,column(J70)-$A$5,0)/VLOOKUP($A70,'Dados StatusInvest'!$A:$AY,2,0)*$E70</f>
        <v>1.955988239</v>
      </c>
      <c r="K70" s="42">
        <f>VLOOKUP($A70,'Dados StatusInvest'!$A:$AY,column(K70)-$A$5,0)/VLOOKUP($A70,'Dados StatusInvest'!$A:$AY,2,0)*$E70</f>
        <v>1.00704345</v>
      </c>
      <c r="L70" s="43">
        <f>VLOOKUP($A70,'Dados StatusInvest'!$A:$AY,column(L70)-$A$5,0)/100</f>
        <v>0.6399</v>
      </c>
      <c r="M70" s="47">
        <f>VLOOKUP($A70,'Dados StatusInvest'!$A:$AY,column(M70)-$A$5,0)</f>
        <v>32.08</v>
      </c>
      <c r="N70" s="47">
        <f>VLOOKUP($A70,'Dados StatusInvest'!$A:$AY,column(N70)-$A$5,0)</f>
        <v>29.31</v>
      </c>
      <c r="O70" s="41">
        <f>VLOOKUP($A70,'Dados StatusInvest'!$A:$AY,column(O70)-$A$5,0)/VLOOKUP($A70,'Dados StatusInvest'!$A:$AY,2,0)*$E70</f>
        <v>11.93927475</v>
      </c>
      <c r="P70" s="41">
        <f>VLOOKUP($A70,'Dados StatusInvest'!$A:$AY,column(P70)-$A$5,0)-VLOOKUP($A70,'Dados StatusInvest'!$A:$AY,column(P70)-$A$5-1,0)+O70</f>
        <v>14.75927475</v>
      </c>
      <c r="Q70" s="44">
        <f>VLOOKUP($A70,'Dados StatusInvest'!$A:$AY,column(Q70)-$A$5,0)</f>
        <v>2.89</v>
      </c>
      <c r="R70" s="44">
        <f>VLOOKUP($A70,'Dados StatusInvest'!$A:$AY,column(R70)-$A$5,0)</f>
        <v>0.47</v>
      </c>
      <c r="S70" s="41">
        <f>VLOOKUP($A70,'Dados StatusInvest'!$A:$AY,column(S70)-$A$5,0)/VLOOKUP($A70,'Dados StatusInvest'!$A:$AY,2,0)*$E70</f>
        <v>3.834511598</v>
      </c>
      <c r="T70" s="42">
        <f>VLOOKUP($A70,'Dados StatusInvest'!$A:$AY,column(T70)-$A$5,0)/VLOOKUP($A70,'Dados StatusInvest'!$A:$AY,2,0)*$E70</f>
        <v>6.923423718</v>
      </c>
      <c r="U70" s="44">
        <f>VLOOKUP($A70,'Dados StatusInvest'!$A:$AY,column(U70)-$A$5,0)</f>
        <v>-1.5</v>
      </c>
      <c r="V70" s="45">
        <f>VLOOKUP($A70,'Dados StatusInvest'!$A:$AY,column(V70)-$A$5,0)</f>
        <v>1.93</v>
      </c>
      <c r="W70" s="45">
        <f>VLOOKUP($A70,'Dados StatusInvest'!$A:$AY,column(W70)-$A$5,0)</f>
        <v>14.98</v>
      </c>
      <c r="X70" s="45">
        <f>VLOOKUP($A70,'Dados StatusInvest'!$A:$AY,column(X70)-$A$5,0)</f>
        <v>7.74</v>
      </c>
      <c r="Y70" s="45">
        <f>VLOOKUP($A70,'Dados StatusInvest'!$A:$AY,column(Y70)-$A$5,0)</f>
        <v>9.26</v>
      </c>
      <c r="Z70" s="44">
        <f>VLOOKUP($A70,'Dados StatusInvest'!$A:$AY,column(Z70)-$A$5,0)</f>
        <v>0.52</v>
      </c>
      <c r="AA70" s="44">
        <f>VLOOKUP($A70,'Dados StatusInvest'!$A:$AY,column(AA70)-$A$5,0)</f>
        <v>0.48</v>
      </c>
      <c r="AB70" s="44">
        <f>VLOOKUP($A70,'Dados StatusInvest'!$A:$AY,column(AB70)-$A$5,0)</f>
        <v>0.26</v>
      </c>
      <c r="AC70" s="44">
        <f>VLOOKUP($A70,'Dados StatusInvest'!$A:$AY,column(AC70)-$A$5,0)</f>
        <v>6.7</v>
      </c>
      <c r="AD70" s="45">
        <f>VLOOKUP($A70,'Dados StatusInvest'!$A:$AY,column(AD70)-$A$5,0)</f>
        <v>20.74</v>
      </c>
      <c r="AE70" s="46">
        <f>VLOOKUP($A70,'Dados StatusInvest'!$A:$AY,column(AE70)-$A$5,0)</f>
        <v>95351256.38</v>
      </c>
      <c r="AF70" s="51"/>
    </row>
    <row r="71">
      <c r="A71" s="10" t="s">
        <v>117</v>
      </c>
      <c r="B71" s="39" t="str">
        <f>VLOOKUP(lEFT($A71,4),Setor!$A:$E,3,0)</f>
        <v>Financeiro</v>
      </c>
      <c r="C71" s="39" t="str">
        <f>VLOOKUP(lEFT($A71,4),Setor!$A:$E,4,0)</f>
        <v>Previdência e Seguros</v>
      </c>
      <c r="D71" s="39" t="str">
        <f>VLOOKUP(lEFT($A71,4),Setor!$A:$E,5,0)</f>
        <v>Seguradoras</v>
      </c>
      <c r="E71" s="17">
        <f>IFERROR(__xludf.DUMMYFUNCTION("GOOGLEFINANCE(A71)"),25.14)</f>
        <v>25.14</v>
      </c>
      <c r="F71" s="17">
        <f>IFERROR(__xludf.DUMMYFUNCTION("GOOGLEFINANCE($A71,""high52"")"),42.85)</f>
        <v>42.85</v>
      </c>
      <c r="G71" s="16">
        <f t="shared" si="1"/>
        <v>-0.413302217</v>
      </c>
      <c r="H71" s="40">
        <f>VLOOKUP($A71,'Dados StatusInvest'!$A:$AY,column(H71)-$A$5,0)*VLOOKUP($A71,'Dados StatusInvest'!$A:$AY,2,0)/$E71/100</f>
        <v>0.05023961814</v>
      </c>
      <c r="I71" s="41">
        <f>VLOOKUP($A71,'Dados StatusInvest'!$A:$AY,column(I71)-$A$5,0)/VLOOKUP($A71,'Dados StatusInvest'!$A:$AY,2,0)*$E71</f>
        <v>5.778387869</v>
      </c>
      <c r="J71" s="41">
        <f>VLOOKUP($A71,'Dados StatusInvest'!$A:$AY,column(J71)-$A$5,0)/VLOOKUP($A71,'Dados StatusInvest'!$A:$AY,2,0)*$E71</f>
        <v>1.33424581</v>
      </c>
      <c r="K71" s="42">
        <f>VLOOKUP($A71,'Dados StatusInvest'!$A:$AY,column(K71)-$A$5,0)/VLOOKUP($A71,'Dados StatusInvest'!$A:$AY,2,0)*$E71</f>
        <v>0.3812130886</v>
      </c>
      <c r="L71" s="43">
        <f>VLOOKUP($A71,'Dados StatusInvest'!$A:$AY,column(L71)-$A$5,0)/100</f>
        <v>0.1016</v>
      </c>
      <c r="M71" s="44">
        <f>VLOOKUP($A71,'Dados StatusInvest'!$A:$AY,column(M71)-$A$5,0)</f>
        <v>2.4</v>
      </c>
      <c r="N71" s="44">
        <f>VLOOKUP($A71,'Dados StatusInvest'!$A:$AY,column(N71)-$A$5,0)</f>
        <v>9.74</v>
      </c>
      <c r="O71" s="41">
        <f>VLOOKUP($A71,'Dados StatusInvest'!$A:$AY,column(O71)-$A$5,0)/VLOOKUP($A71,'Dados StatusInvest'!$A:$AY,2,0)*$E71</f>
        <v>23.44460495</v>
      </c>
      <c r="P71" s="41">
        <f>VLOOKUP($A71,'Dados StatusInvest'!$A:$AY,column(P71)-$A$5,0)-VLOOKUP($A71,'Dados StatusInvest'!$A:$AY,column(P71)-$A$5-1,0)+O71</f>
        <v>-9.285395052</v>
      </c>
      <c r="Q71" s="44">
        <f>VLOOKUP($A71,'Dados StatusInvest'!$A:$AY,column(Q71)-$A$5,0)</f>
        <v>-32.71</v>
      </c>
      <c r="R71" s="44">
        <f>VLOOKUP($A71,'Dados StatusInvest'!$A:$AY,column(R71)-$A$5,0)</f>
        <v>-1.86</v>
      </c>
      <c r="S71" s="41">
        <f>VLOOKUP($A71,'Dados StatusInvest'!$A:$AY,column(S71)-$A$5,0)/VLOOKUP($A71,'Dados StatusInvest'!$A:$AY,2,0)*$E71</f>
        <v>0.5617877095</v>
      </c>
      <c r="T71" s="42">
        <f>VLOOKUP($A71,'Dados StatusInvest'!$A:$AY,column(T71)-$A$5,0)/VLOOKUP($A71,'Dados StatusInvest'!$A:$AY,2,0)*$E71</f>
        <v>1.013224262</v>
      </c>
      <c r="U71" s="44">
        <f>VLOOKUP($A71,'Dados StatusInvest'!$A:$AY,column(U71)-$A$5,0)</f>
        <v>-1.22</v>
      </c>
      <c r="V71" s="45">
        <f>VLOOKUP($A71,'Dados StatusInvest'!$A:$AY,column(V71)-$A$5,0)</f>
        <v>2.25</v>
      </c>
      <c r="W71" s="45">
        <f>VLOOKUP($A71,'Dados StatusInvest'!$A:$AY,column(W71)-$A$5,0)</f>
        <v>23.06</v>
      </c>
      <c r="X71" s="45">
        <f>VLOOKUP($A71,'Dados StatusInvest'!$A:$AY,column(X71)-$A$5,0)</f>
        <v>6.66</v>
      </c>
      <c r="Y71" s="45">
        <f>VLOOKUP($A71,'Dados StatusInvest'!$A:$AY,column(Y71)-$A$5,0)</f>
        <v>3.34</v>
      </c>
      <c r="Z71" s="44">
        <f>VLOOKUP($A71,'Dados StatusInvest'!$A:$AY,column(Z71)-$A$5,0)</f>
        <v>0.29</v>
      </c>
      <c r="AA71" s="44">
        <f>VLOOKUP($A71,'Dados StatusInvest'!$A:$AY,column(AA71)-$A$5,0)</f>
        <v>0.71</v>
      </c>
      <c r="AB71" s="44">
        <f>VLOOKUP($A71,'Dados StatusInvest'!$A:$AY,column(AB71)-$A$5,0)</f>
        <v>0.68</v>
      </c>
      <c r="AC71" s="44">
        <f>VLOOKUP($A71,'Dados StatusInvest'!$A:$AY,column(AC71)-$A$5,0)</f>
        <v>4.99</v>
      </c>
      <c r="AD71" s="45">
        <f>VLOOKUP($A71,'Dados StatusInvest'!$A:$AY,column(AD71)-$A$5,0)</f>
        <v>20.34</v>
      </c>
      <c r="AE71" s="46">
        <f>VLOOKUP($A71,'Dados StatusInvest'!$A:$AY,column(AE71)-$A$5,0)</f>
        <v>101316175</v>
      </c>
      <c r="AF71" s="18"/>
    </row>
    <row r="72">
      <c r="A72" s="10" t="s">
        <v>118</v>
      </c>
      <c r="B72" s="52" t="str">
        <f>VLOOKUP(LEFT($A72,4),Setor!$A:$E,3,0)</f>
        <v>Utilidade Pública</v>
      </c>
      <c r="C72" s="52" t="str">
        <f>VLOOKUP(LEFT($A72,4),Setor!$A:$E,4,0)</f>
        <v>Energia Elétrica</v>
      </c>
      <c r="D72" s="52" t="str">
        <f>VLOOKUP(LEFT($A72,4),Setor!$A:$E,5,0)</f>
        <v>Energia Elétrica</v>
      </c>
      <c r="E72" s="53">
        <f>IFERROR(__xludf.DUMMYFUNCTION("GOOGLEFINANCE(A72)"),6.59)</f>
        <v>6.59</v>
      </c>
      <c r="F72" s="53">
        <f>IFERROR(__xludf.DUMMYFUNCTION("GOOGLEFINANCE($A72,""high52"")"),7.68)</f>
        <v>7.68</v>
      </c>
      <c r="G72" s="54">
        <f t="shared" si="1"/>
        <v>-0.1419270833</v>
      </c>
      <c r="H72" s="55">
        <f>VLOOKUP($A72,'Dados StatusInvest'!$A:$AY,COLUMN(H72)-$A$5,0)*VLOOKUP($A72,'Dados StatusInvest'!$A:$AY,2,0)/$E72/100</f>
        <v>0.2294913505</v>
      </c>
      <c r="I72" s="56">
        <f>VLOOKUP($A72,'Dados StatusInvest'!$A:$AY,COLUMN(I72)-$A$5,0)/VLOOKUP($A72,'Dados StatusInvest'!$A:$AY,2,0)*$E72</f>
        <v>5.126676876</v>
      </c>
      <c r="J72" s="56">
        <f>VLOOKUP($A72,'Dados StatusInvest'!$A:$AY,COLUMN(J72)-$A$5,0)/VLOOKUP($A72,'Dados StatusInvest'!$A:$AY,2,0)*$E72</f>
        <v>0.8981776417</v>
      </c>
      <c r="K72" s="57">
        <f>VLOOKUP($A72,'Dados StatusInvest'!$A:$AY,COLUMN(K72)-$A$5,0)/VLOOKUP($A72,'Dados StatusInvest'!$A:$AY,2,0)*$E72</f>
        <v>0.3834915773</v>
      </c>
      <c r="L72" s="58">
        <f>VLOOKUP($A72,'Dados StatusInvest'!$A:$AY,COLUMN(L72)-$A$5,0)/100</f>
        <v>0.2481</v>
      </c>
      <c r="M72" s="63">
        <f>VLOOKUP($A72,'Dados StatusInvest'!$A:$AY,COLUMN(M72)-$A$5,0)</f>
        <v>20.66</v>
      </c>
      <c r="N72" s="63">
        <f>VLOOKUP($A72,'Dados StatusInvest'!$A:$AY,COLUMN(N72)-$A$5,0)</f>
        <v>17.4</v>
      </c>
      <c r="O72" s="56">
        <f>VLOOKUP($A72,'Dados StatusInvest'!$A:$AY,COLUMN(O72)-$A$5,0)/VLOOKUP($A72,'Dados StatusInvest'!$A:$AY,2,0)*$E72</f>
        <v>4.319326187</v>
      </c>
      <c r="P72" s="56">
        <f>VLOOKUP($A72,'Dados StatusInvest'!$A:$AY,COLUMN(P72)-$A$5,0)-VLOOKUP($A72,'Dados StatusInvest'!$A:$AY,COLUMN(P72)-$A$5-1,0)+O72</f>
        <v>6.189326187</v>
      </c>
      <c r="Q72" s="59">
        <f>VLOOKUP($A72,'Dados StatusInvest'!$A:$AY,COLUMN(Q72)-$A$5,0)</f>
        <v>1.95</v>
      </c>
      <c r="R72" s="59">
        <f>VLOOKUP($A72,'Dados StatusInvest'!$A:$AY,COLUMN(R72)-$A$5,0)</f>
        <v>0.4</v>
      </c>
      <c r="S72" s="56">
        <f>VLOOKUP($A72,'Dados StatusInvest'!$A:$AY,COLUMN(S72)-$A$5,0)/VLOOKUP($A72,'Dados StatusInvest'!$A:$AY,2,0)*$E72</f>
        <v>0.888085758</v>
      </c>
      <c r="T72" s="57">
        <f>VLOOKUP($A72,'Dados StatusInvest'!$A:$AY,COLUMN(T72)-$A$5,0)/VLOOKUP($A72,'Dados StatusInvest'!$A:$AY,2,0)*$E72</f>
        <v>59.22926493</v>
      </c>
      <c r="U72" s="59">
        <f>VLOOKUP($A72,'Dados StatusInvest'!$A:$AY,COLUMN(U72)-$A$5,0)</f>
        <v>-0.48</v>
      </c>
      <c r="V72" s="60">
        <f>VLOOKUP($A72,'Dados StatusInvest'!$A:$AY,COLUMN(V72)-$A$5,0)</f>
        <v>1.03</v>
      </c>
      <c r="W72" s="60">
        <f>VLOOKUP($A72,'Dados StatusInvest'!$A:$AY,COLUMN(W72)-$A$5,0)</f>
        <v>17.45</v>
      </c>
      <c r="X72" s="60">
        <f>VLOOKUP($A72,'Dados StatusInvest'!$A:$AY,COLUMN(X72)-$A$5,0)</f>
        <v>7.43</v>
      </c>
      <c r="Y72" s="60">
        <f>VLOOKUP($A72,'Dados StatusInvest'!$A:$AY,COLUMN(Y72)-$A$5,0)</f>
        <v>11.29</v>
      </c>
      <c r="Z72" s="59">
        <f>VLOOKUP($A72,'Dados StatusInvest'!$A:$AY,COLUMN(Z72)-$A$5,0)</f>
        <v>0.43</v>
      </c>
      <c r="AA72" s="59">
        <f>VLOOKUP($A72,'Dados StatusInvest'!$A:$AY,COLUMN(AA72)-$A$5,0)</f>
        <v>0.57</v>
      </c>
      <c r="AB72" s="59">
        <f>VLOOKUP($A72,'Dados StatusInvest'!$A:$AY,COLUMN(AB72)-$A$5,0)</f>
        <v>0.43</v>
      </c>
      <c r="AC72" s="59">
        <f>VLOOKUP($A72,'Dados StatusInvest'!$A:$AY,COLUMN(AC72)-$A$5,0)</f>
        <v>4.51</v>
      </c>
      <c r="AD72" s="60">
        <f>VLOOKUP($A72,'Dados StatusInvest'!$A:$AY,COLUMN(AD72)-$A$5,0)</f>
        <v>24.16</v>
      </c>
      <c r="AE72" s="62">
        <f>VLOOKUP($A72,'Dados StatusInvest'!$A:$AY,COLUMN(AE72)-$A$5,0)</f>
        <v>119832823.9</v>
      </c>
      <c r="AF72" s="18"/>
    </row>
    <row r="73">
      <c r="A73" s="10" t="s">
        <v>119</v>
      </c>
      <c r="B73" s="39" t="str">
        <f>VLOOKUP(lEFT($A73,4),Setor!$A:$E,3,0)</f>
        <v>Bens Industriais</v>
      </c>
      <c r="C73" s="39" t="str">
        <f>VLOOKUP(lEFT($A73,4),Setor!$A:$E,4,0)</f>
        <v>Serviços Diversos</v>
      </c>
      <c r="D73" s="39" t="str">
        <f>VLOOKUP(lEFT($A73,4),Setor!$A:$E,5,0)</f>
        <v>Serviços Diversos</v>
      </c>
      <c r="E73" s="17">
        <f>IFERROR(__xludf.DUMMYFUNCTION("GOOGLEFINANCE(A73)"),41.48)</f>
        <v>41.48</v>
      </c>
      <c r="F73" s="17">
        <f>IFERROR(__xludf.DUMMYFUNCTION("GOOGLEFINANCE($A73,""high52"")"),71.1)</f>
        <v>71.1</v>
      </c>
      <c r="G73" s="16">
        <f t="shared" si="1"/>
        <v>-0.4165963432</v>
      </c>
      <c r="H73" s="40">
        <f>VLOOKUP($A73,'Dados StatusInvest'!$A:$AY,column(H73)-$A$5,0)*VLOOKUP($A73,'Dados StatusInvest'!$A:$AY,2,0)/$E73/100</f>
        <v>0.002277965284</v>
      </c>
      <c r="I73" s="41">
        <f>VLOOKUP($A73,'Dados StatusInvest'!$A:$AY,column(I73)-$A$5,0)/VLOOKUP($A73,'Dados StatusInvest'!$A:$AY,2,0)*$E73</f>
        <v>49.09030035</v>
      </c>
      <c r="J73" s="41">
        <f>VLOOKUP($A73,'Dados StatusInvest'!$A:$AY,column(J73)-$A$5,0)/VLOOKUP($A73,'Dados StatusInvest'!$A:$AY,2,0)*$E73</f>
        <v>4.133513388</v>
      </c>
      <c r="K73" s="42">
        <f>VLOOKUP($A73,'Dados StatusInvest'!$A:$AY,column(K73)-$A$5,0)/VLOOKUP($A73,'Dados StatusInvest'!$A:$AY,2,0)*$E73</f>
        <v>1.274821886</v>
      </c>
      <c r="L73" s="43">
        <f>VLOOKUP($A73,'Dados StatusInvest'!$A:$AY,column(L73)-$A$5,0)/100</f>
        <v>0.2214</v>
      </c>
      <c r="M73" s="44">
        <f>VLOOKUP($A73,'Dados StatusInvest'!$A:$AY,column(M73)-$A$5,0)</f>
        <v>18.23</v>
      </c>
      <c r="N73" s="44">
        <f>VLOOKUP($A73,'Dados StatusInvest'!$A:$AY,column(N73)-$A$5,0)</f>
        <v>9.35</v>
      </c>
      <c r="O73" s="41">
        <f>VLOOKUP($A73,'Dados StatusInvest'!$A:$AY,column(O73)-$A$5,0)/VLOOKUP($A73,'Dados StatusInvest'!$A:$AY,2,0)*$E73</f>
        <v>25.17773225</v>
      </c>
      <c r="P73" s="41">
        <f>VLOOKUP($A73,'Dados StatusInvest'!$A:$AY,column(P73)-$A$5,0)-VLOOKUP($A73,'Dados StatusInvest'!$A:$AY,column(P73)-$A$5-1,0)+O73</f>
        <v>30.71773225</v>
      </c>
      <c r="Q73" s="44">
        <f>VLOOKUP($A73,'Dados StatusInvest'!$A:$AY,column(Q73)-$A$5,0)</f>
        <v>5.17</v>
      </c>
      <c r="R73" s="44">
        <f>VLOOKUP($A73,'Dados StatusInvest'!$A:$AY,column(R73)-$A$5,0)</f>
        <v>0.85</v>
      </c>
      <c r="S73" s="41">
        <f>VLOOKUP($A73,'Dados StatusInvest'!$A:$AY,column(S73)-$A$5,0)/VLOOKUP($A73,'Dados StatusInvest'!$A:$AY,2,0)*$E73</f>
        <v>4.587427241</v>
      </c>
      <c r="T73" s="42">
        <f>VLOOKUP($A73,'Dados StatusInvest'!$A:$AY,column(T73)-$A$5,0)/VLOOKUP($A73,'Dados StatusInvest'!$A:$AY,2,0)*$E73</f>
        <v>5.38901979</v>
      </c>
      <c r="U73" s="44">
        <f>VLOOKUP($A73,'Dados StatusInvest'!$A:$AY,column(U73)-$A$5,0)</f>
        <v>-2.18</v>
      </c>
      <c r="V73" s="45">
        <f>VLOOKUP($A73,'Dados StatusInvest'!$A:$AY,column(V73)-$A$5,0)</f>
        <v>2.46</v>
      </c>
      <c r="W73" s="45">
        <f>VLOOKUP($A73,'Dados StatusInvest'!$A:$AY,column(W73)-$A$5,0)</f>
        <v>8.42</v>
      </c>
      <c r="X73" s="45">
        <f>VLOOKUP($A73,'Dados StatusInvest'!$A:$AY,column(X73)-$A$5,0)</f>
        <v>2.59</v>
      </c>
      <c r="Y73" s="45">
        <f>VLOOKUP($A73,'Dados StatusInvest'!$A:$AY,column(Y73)-$A$5,0)</f>
        <v>4.5</v>
      </c>
      <c r="Z73" s="44">
        <f>VLOOKUP($A73,'Dados StatusInvest'!$A:$AY,column(Z73)-$A$5,0)</f>
        <v>0.31</v>
      </c>
      <c r="AA73" s="44">
        <f>VLOOKUP($A73,'Dados StatusInvest'!$A:$AY,column(AA73)-$A$5,0)</f>
        <v>0.67</v>
      </c>
      <c r="AB73" s="44">
        <f>VLOOKUP($A73,'Dados StatusInvest'!$A:$AY,column(AB73)-$A$5,0)</f>
        <v>0.28</v>
      </c>
      <c r="AC73" s="44">
        <f>VLOOKUP($A73,'Dados StatusInvest'!$A:$AY,column(AC73)-$A$5,0)</f>
        <v>0</v>
      </c>
      <c r="AD73" s="45">
        <f>VLOOKUP($A73,'Dados StatusInvest'!$A:$AY,column(AD73)-$A$5,0)</f>
        <v>0</v>
      </c>
      <c r="AE73" s="46">
        <f>VLOOKUP($A73,'Dados StatusInvest'!$A:$AY,column(AE73)-$A$5,0)</f>
        <v>90173792.58</v>
      </c>
      <c r="AF73" s="50"/>
    </row>
    <row r="74">
      <c r="A74" s="10" t="s">
        <v>120</v>
      </c>
      <c r="B74" s="39" t="str">
        <f>VLOOKUP(lEFT($A74,4),Setor!$A:$E,3,0)</f>
        <v>Financeiro</v>
      </c>
      <c r="C74" s="39" t="str">
        <f>VLOOKUP(lEFT($A74,4),Setor!$A:$E,4,0)</f>
        <v>Intermediários Financeiros</v>
      </c>
      <c r="D74" s="39" t="str">
        <f>VLOOKUP(lEFT($A74,4),Setor!$A:$E,5,0)</f>
        <v>Bancos</v>
      </c>
      <c r="E74" s="17">
        <f>IFERROR(__xludf.DUMMYFUNCTION("GOOGLEFINANCE(A74)"),37.66)</f>
        <v>37.66</v>
      </c>
      <c r="F74" s="17">
        <f>IFERROR(__xludf.DUMMYFUNCTION("GOOGLEFINANCE($A74,""high52"")"),47.2)</f>
        <v>47.2</v>
      </c>
      <c r="G74" s="16">
        <f t="shared" si="1"/>
        <v>-0.2021186441</v>
      </c>
      <c r="H74" s="40">
        <f>VLOOKUP($A74,'Dados StatusInvest'!$A:$AY,column(H74)-$A$5,0)*VLOOKUP($A74,'Dados StatusInvest'!$A:$AY,2,0)/$E74/100</f>
        <v>0.06117233139</v>
      </c>
      <c r="I74" s="41">
        <f>VLOOKUP($A74,'Dados StatusInvest'!$A:$AY,column(I74)-$A$5,0)/VLOOKUP($A74,'Dados StatusInvest'!$A:$AY,2,0)*$E74</f>
        <v>8.715132935</v>
      </c>
      <c r="J74" s="41">
        <f>VLOOKUP($A74,'Dados StatusInvest'!$A:$AY,column(J74)-$A$5,0)/VLOOKUP($A74,'Dados StatusInvest'!$A:$AY,2,0)*$E74</f>
        <v>1.328214867</v>
      </c>
      <c r="K74" s="42">
        <f>VLOOKUP($A74,'Dados StatusInvest'!$A:$AY,column(K74)-$A$5,0)/VLOOKUP($A74,'Dados StatusInvest'!$A:$AY,2,0)*$E74</f>
        <v>0.1532555616</v>
      </c>
      <c r="L74" s="43">
        <f>VLOOKUP($A74,'Dados StatusInvest'!$A:$AY,column(L74)-$A$5,0)/100</f>
        <v>0.1812</v>
      </c>
      <c r="M74" s="44">
        <f>VLOOKUP($A74,'Dados StatusInvest'!$A:$AY,column(M74)-$A$5,0)</f>
        <v>29.72</v>
      </c>
      <c r="N74" s="47">
        <f>VLOOKUP($A74,'Dados StatusInvest'!$A:$AY,column(N74)-$A$5,0)</f>
        <v>16.22</v>
      </c>
      <c r="O74" s="41">
        <f>VLOOKUP($A74,'Dados StatusInvest'!$A:$AY,column(O74)-$A$5,0)/VLOOKUP($A74,'Dados StatusInvest'!$A:$AY,2,0)*$E74</f>
        <v>4.750922409</v>
      </c>
      <c r="P74" s="41">
        <f>VLOOKUP($A74,'Dados StatusInvest'!$A:$AY,column(P74)-$A$5,0)-VLOOKUP($A74,'Dados StatusInvest'!$A:$AY,column(P74)-$A$5-1,0)+O74</f>
        <v>4.770922409</v>
      </c>
      <c r="Q74" s="44">
        <f>VLOOKUP($A74,'Dados StatusInvest'!$A:$AY,column(Q74)-$A$5,0)</f>
        <v>0</v>
      </c>
      <c r="R74" s="44">
        <f>VLOOKUP($A74,'Dados StatusInvest'!$A:$AY,column(R74)-$A$5,0)</f>
        <v>0</v>
      </c>
      <c r="S74" s="41">
        <f>VLOOKUP($A74,'Dados StatusInvest'!$A:$AY,column(S74)-$A$5,0)/VLOOKUP($A74,'Dados StatusInvest'!$A:$AY,2,0)*$E74</f>
        <v>1.409951167</v>
      </c>
      <c r="T74" s="42">
        <f>VLOOKUP($A74,'Dados StatusInvest'!$A:$AY,column(T74)-$A$5,0)/VLOOKUP($A74,'Dados StatusInvest'!$A:$AY,2,0)*$E74</f>
        <v>0</v>
      </c>
      <c r="U74" s="47">
        <f>VLOOKUP($A74,'Dados StatusInvest'!$A:$AY,column(U74)-$A$5,0)</f>
        <v>-0.15</v>
      </c>
      <c r="V74" s="45">
        <f>VLOOKUP($A74,'Dados StatusInvest'!$A:$AY,column(V74)-$A$5,0)</f>
        <v>0</v>
      </c>
      <c r="W74" s="48">
        <f>VLOOKUP($A74,'Dados StatusInvest'!$A:$AY,column(W74)-$A$5,0)</f>
        <v>15.26</v>
      </c>
      <c r="X74" s="48">
        <f>VLOOKUP($A74,'Dados StatusInvest'!$A:$AY,column(X74)-$A$5,0)</f>
        <v>1.74</v>
      </c>
      <c r="Y74" s="45">
        <f>VLOOKUP($A74,'Dados StatusInvest'!$A:$AY,column(Y74)-$A$5,0)</f>
        <v>0</v>
      </c>
      <c r="Z74" s="44">
        <f>VLOOKUP($A74,'Dados StatusInvest'!$A:$AY,column(Z74)-$A$5,0)</f>
        <v>0.11</v>
      </c>
      <c r="AA74" s="44">
        <f>VLOOKUP($A74,'Dados StatusInvest'!$A:$AY,column(AA74)-$A$5,0)</f>
        <v>0.89</v>
      </c>
      <c r="AB74" s="44">
        <f>VLOOKUP($A74,'Dados StatusInvest'!$A:$AY,column(AB74)-$A$5,0)</f>
        <v>0.11</v>
      </c>
      <c r="AC74" s="44">
        <f>VLOOKUP($A74,'Dados StatusInvest'!$A:$AY,column(AC74)-$A$5,0)</f>
        <v>-2.12</v>
      </c>
      <c r="AD74" s="45">
        <f>VLOOKUP($A74,'Dados StatusInvest'!$A:$AY,column(AD74)-$A$5,0)</f>
        <v>10.58</v>
      </c>
      <c r="AE74" s="46">
        <f>VLOOKUP($A74,'Dados StatusInvest'!$A:$AY,column(AE74)-$A$5,0)</f>
        <v>97882700.58</v>
      </c>
      <c r="AF74" s="18"/>
    </row>
    <row r="75">
      <c r="A75" s="10" t="s">
        <v>121</v>
      </c>
      <c r="B75" s="39" t="str">
        <f>VLOOKUP(lEFT($A75,4),Setor!$A:$E,3,0)</f>
        <v>Tecnologia da Informação</v>
      </c>
      <c r="C75" s="39" t="str">
        <f>VLOOKUP(lEFT($A75,4),Setor!$A:$E,4,0)</f>
        <v>Computadores e Equipamentos</v>
      </c>
      <c r="D75" s="39" t="str">
        <f>VLOOKUP(lEFT($A75,4),Setor!$A:$E,5,0)</f>
        <v>Computadores e Equipamentos</v>
      </c>
      <c r="E75" s="17">
        <f>IFERROR(__xludf.DUMMYFUNCTION("GOOGLEFINANCE(A75)"),9.96)</f>
        <v>9.96</v>
      </c>
      <c r="F75" s="17">
        <f>IFERROR(__xludf.DUMMYFUNCTION("GOOGLEFINANCE($A75,""high52"")"),16.03)</f>
        <v>16.03</v>
      </c>
      <c r="G75" s="16">
        <f t="shared" si="1"/>
        <v>-0.3786650031</v>
      </c>
      <c r="H75" s="40">
        <f>VLOOKUP($A75,'Dados StatusInvest'!$A:$AY,column(H75)-$A$5,0)*VLOOKUP($A75,'Dados StatusInvest'!$A:$AY,2,0)/$E75/100</f>
        <v>0.03420481928</v>
      </c>
      <c r="I75" s="41">
        <f>VLOOKUP($A75,'Dados StatusInvest'!$A:$AY,column(I75)-$A$5,0)/VLOOKUP($A75,'Dados StatusInvest'!$A:$AY,2,0)*$E75</f>
        <v>4.661916168</v>
      </c>
      <c r="J75" s="41">
        <f>VLOOKUP($A75,'Dados StatusInvest'!$A:$AY,column(J75)-$A$5,0)/VLOOKUP($A75,'Dados StatusInvest'!$A:$AY,2,0)*$E75</f>
        <v>1.282275449</v>
      </c>
      <c r="K75" s="42">
        <f>VLOOKUP($A75,'Dados StatusInvest'!$A:$AY,column(K75)-$A$5,0)/VLOOKUP($A75,'Dados StatusInvest'!$A:$AY,2,0)*$E75</f>
        <v>0.4473053892</v>
      </c>
      <c r="L75" s="43">
        <f>VLOOKUP($A75,'Dados StatusInvest'!$A:$AY,column(L75)-$A$5,0)/100</f>
        <v>0.2298</v>
      </c>
      <c r="M75" s="44">
        <f>VLOOKUP($A75,'Dados StatusInvest'!$A:$AY,column(M75)-$A$5,0)</f>
        <v>15.3</v>
      </c>
      <c r="N75" s="44">
        <f>VLOOKUP($A75,'Dados StatusInvest'!$A:$AY,column(N75)-$A$5,0)</f>
        <v>10.67</v>
      </c>
      <c r="O75" s="41">
        <f>VLOOKUP($A75,'Dados StatusInvest'!$A:$AY,column(O75)-$A$5,0)/VLOOKUP($A75,'Dados StatusInvest'!$A:$AY,2,0)*$E75</f>
        <v>3.260359281</v>
      </c>
      <c r="P75" s="41">
        <f>VLOOKUP($A75,'Dados StatusInvest'!$A:$AY,column(P75)-$A$5,0)-VLOOKUP($A75,'Dados StatusInvest'!$A:$AY,column(P75)-$A$5-1,0)+O75</f>
        <v>4.040359281</v>
      </c>
      <c r="Q75" s="44">
        <f>VLOOKUP($A75,'Dados StatusInvest'!$A:$AY,column(Q75)-$A$5,0)</f>
        <v>0.74</v>
      </c>
      <c r="R75" s="44">
        <f>VLOOKUP($A75,'Dados StatusInvest'!$A:$AY,column(R75)-$A$5,0)</f>
        <v>0.29</v>
      </c>
      <c r="S75" s="41">
        <f>VLOOKUP($A75,'Dados StatusInvest'!$A:$AY,column(S75)-$A$5,0)/VLOOKUP($A75,'Dados StatusInvest'!$A:$AY,2,0)*$E75</f>
        <v>0.497005988</v>
      </c>
      <c r="T75" s="42">
        <f>VLOOKUP($A75,'Dados StatusInvest'!$A:$AY,column(T75)-$A$5,0)/VLOOKUP($A75,'Dados StatusInvest'!$A:$AY,2,0)*$E75</f>
        <v>1.411497006</v>
      </c>
      <c r="U75" s="44">
        <f>VLOOKUP($A75,'Dados StatusInvest'!$A:$AY,column(U75)-$A$5,0)</f>
        <v>-2.32</v>
      </c>
      <c r="V75" s="45">
        <f>VLOOKUP($A75,'Dados StatusInvest'!$A:$AY,column(V75)-$A$5,0)</f>
        <v>1.66</v>
      </c>
      <c r="W75" s="45">
        <f>VLOOKUP($A75,'Dados StatusInvest'!$A:$AY,column(W75)-$A$5,0)</f>
        <v>27.56</v>
      </c>
      <c r="X75" s="45">
        <f>VLOOKUP($A75,'Dados StatusInvest'!$A:$AY,column(X75)-$A$5,0)</f>
        <v>9.68</v>
      </c>
      <c r="Y75" s="45">
        <f>VLOOKUP($A75,'Dados StatusInvest'!$A:$AY,column(Y75)-$A$5,0)</f>
        <v>18.53</v>
      </c>
      <c r="Z75" s="44">
        <f>VLOOKUP($A75,'Dados StatusInvest'!$A:$AY,column(Z75)-$A$5,0)</f>
        <v>0.35</v>
      </c>
      <c r="AA75" s="44">
        <f>VLOOKUP($A75,'Dados StatusInvest'!$A:$AY,column(AA75)-$A$5,0)</f>
        <v>0.65</v>
      </c>
      <c r="AB75" s="44">
        <f>VLOOKUP($A75,'Dados StatusInvest'!$A:$AY,column(AB75)-$A$5,0)</f>
        <v>0.91</v>
      </c>
      <c r="AC75" s="44">
        <f>VLOOKUP($A75,'Dados StatusInvest'!$A:$AY,column(AC75)-$A$5,0)</f>
        <v>3.53</v>
      </c>
      <c r="AD75" s="45">
        <f>VLOOKUP($A75,'Dados StatusInvest'!$A:$AY,column(AD75)-$A$5,0)</f>
        <v>0</v>
      </c>
      <c r="AE75" s="46">
        <f>VLOOKUP($A75,'Dados StatusInvest'!$A:$AY,column(AE75)-$A$5,0)</f>
        <v>82398262.33</v>
      </c>
      <c r="AF75" s="18"/>
    </row>
    <row r="76">
      <c r="A76" s="10" t="s">
        <v>122</v>
      </c>
      <c r="B76" s="39" t="str">
        <f>VLOOKUP(lEFT($A76,4),Setor!$A:$E,3,0)</f>
        <v>Utilidade Pública</v>
      </c>
      <c r="C76" s="39" t="str">
        <f>VLOOKUP(lEFT($A76,4),Setor!$A:$E,4,0)</f>
        <v>Energia Elétrica</v>
      </c>
      <c r="D76" s="39" t="str">
        <f>VLOOKUP(lEFT($A76,4),Setor!$A:$E,5,0)</f>
        <v>Energia Elétrica</v>
      </c>
      <c r="E76" s="17">
        <f>IFERROR(__xludf.DUMMYFUNCTION("GOOGLEFINANCE(A76)"),36.31)</f>
        <v>36.31</v>
      </c>
      <c r="F76" s="17">
        <f>IFERROR(__xludf.DUMMYFUNCTION("GOOGLEFINANCE($A76,""high52"")"),42.68)</f>
        <v>42.68</v>
      </c>
      <c r="G76" s="16">
        <f t="shared" si="1"/>
        <v>-0.1492502343</v>
      </c>
      <c r="H76" s="40">
        <f>VLOOKUP($A76,'Dados StatusInvest'!$A:$AY,column(H76)-$A$5,0)*VLOOKUP($A76,'Dados StatusInvest'!$A:$AY,2,0)/$E76/100</f>
        <v>0.1240451115</v>
      </c>
      <c r="I76" s="41">
        <f>VLOOKUP($A76,'Dados StatusInvest'!$A:$AY,column(I76)-$A$5,0)/VLOOKUP($A76,'Dados StatusInvest'!$A:$AY,2,0)*$E76</f>
        <v>4.608694312</v>
      </c>
      <c r="J76" s="41">
        <f>VLOOKUP($A76,'Dados StatusInvest'!$A:$AY,column(J76)-$A$5,0)/VLOOKUP($A76,'Dados StatusInvest'!$A:$AY,2,0)*$E76</f>
        <v>1.963527599</v>
      </c>
      <c r="K76" s="42">
        <f>VLOOKUP($A76,'Dados StatusInvest'!$A:$AY,column(K76)-$A$5,0)/VLOOKUP($A76,'Dados StatusInvest'!$A:$AY,2,0)*$E76</f>
        <v>0.8240711684</v>
      </c>
      <c r="L76" s="43">
        <f>VLOOKUP($A76,'Dados StatusInvest'!$A:$AY,column(L76)-$A$5,0)/100</f>
        <v>0.7773</v>
      </c>
      <c r="M76" s="47">
        <f>VLOOKUP($A76,'Dados StatusInvest'!$A:$AY,column(M76)-$A$5,0)</f>
        <v>100.37</v>
      </c>
      <c r="N76" s="47">
        <f>VLOOKUP($A76,'Dados StatusInvest'!$A:$AY,column(N76)-$A$5,0)</f>
        <v>69.11</v>
      </c>
      <c r="O76" s="41">
        <f>VLOOKUP($A76,'Dados StatusInvest'!$A:$AY,column(O76)-$A$5,0)/VLOOKUP($A76,'Dados StatusInvest'!$A:$AY,2,0)*$E76</f>
        <v>3.174200056</v>
      </c>
      <c r="P76" s="41">
        <f>VLOOKUP($A76,'Dados StatusInvest'!$A:$AY,column(P76)-$A$5,0)-VLOOKUP($A76,'Dados StatusInvest'!$A:$AY,column(P76)-$A$5-1,0)+O76</f>
        <v>4.724200056</v>
      </c>
      <c r="Q76" s="44">
        <f>VLOOKUP($A76,'Dados StatusInvest'!$A:$AY,column(Q76)-$A$5,0)</f>
        <v>1.54</v>
      </c>
      <c r="R76" s="44">
        <f>VLOOKUP($A76,'Dados StatusInvest'!$A:$AY,column(R76)-$A$5,0)</f>
        <v>0.95</v>
      </c>
      <c r="S76" s="41">
        <f>VLOOKUP($A76,'Dados StatusInvest'!$A:$AY,column(S76)-$A$5,0)/VLOOKUP($A76,'Dados StatusInvest'!$A:$AY,2,0)*$E76</f>
        <v>3.184373774</v>
      </c>
      <c r="T76" s="42">
        <f>VLOOKUP($A76,'Dados StatusInvest'!$A:$AY,column(T76)-$A$5,0)/VLOOKUP($A76,'Dados StatusInvest'!$A:$AY,2,0)*$E76</f>
        <v>11.05883161</v>
      </c>
      <c r="U76" s="44">
        <f>VLOOKUP($A76,'Dados StatusInvest'!$A:$AY,column(U76)-$A$5,0)</f>
        <v>-0.95</v>
      </c>
      <c r="V76" s="45">
        <f>VLOOKUP($A76,'Dados StatusInvest'!$A:$AY,column(V76)-$A$5,0)</f>
        <v>2.01</v>
      </c>
      <c r="W76" s="45">
        <f>VLOOKUP($A76,'Dados StatusInvest'!$A:$AY,column(W76)-$A$5,0)</f>
        <v>42.56</v>
      </c>
      <c r="X76" s="45">
        <f>VLOOKUP($A76,'Dados StatusInvest'!$A:$AY,column(X76)-$A$5,0)</f>
        <v>17.88</v>
      </c>
      <c r="Y76" s="45">
        <f>VLOOKUP($A76,'Dados StatusInvest'!$A:$AY,column(Y76)-$A$5,0)</f>
        <v>25.67</v>
      </c>
      <c r="Z76" s="44">
        <f>VLOOKUP($A76,'Dados StatusInvest'!$A:$AY,column(Z76)-$A$5,0)</f>
        <v>0.42</v>
      </c>
      <c r="AA76" s="44">
        <f>VLOOKUP($A76,'Dados StatusInvest'!$A:$AY,column(AA76)-$A$5,0)</f>
        <v>0.58</v>
      </c>
      <c r="AB76" s="44">
        <f>VLOOKUP($A76,'Dados StatusInvest'!$A:$AY,column(AB76)-$A$5,0)</f>
        <v>0.26</v>
      </c>
      <c r="AC76" s="44">
        <f>VLOOKUP($A76,'Dados StatusInvest'!$A:$AY,column(AC76)-$A$5,0)</f>
        <v>18.22</v>
      </c>
      <c r="AD76" s="45">
        <f>VLOOKUP($A76,'Dados StatusInvest'!$A:$AY,column(AD76)-$A$5,0)</f>
        <v>24.45</v>
      </c>
      <c r="AE76" s="46">
        <f>VLOOKUP($A76,'Dados StatusInvest'!$A:$AY,column(AE76)-$A$5,0)</f>
        <v>89970517.13</v>
      </c>
      <c r="AF76" s="18"/>
    </row>
    <row r="77">
      <c r="A77" s="10" t="s">
        <v>123</v>
      </c>
      <c r="B77" s="39" t="str">
        <f>VLOOKUP(lEFT($A77,4),Setor!$A:$E,3,0)</f>
        <v>Utilidade Pública</v>
      </c>
      <c r="C77" s="39" t="str">
        <f>VLOOKUP(lEFT($A77,4),Setor!$A:$E,4,0)</f>
        <v>Energia Elétrica</v>
      </c>
      <c r="D77" s="39" t="str">
        <f>VLOOKUP(lEFT($A77,4),Setor!$A:$E,5,0)</f>
        <v>Energia Elétrica</v>
      </c>
      <c r="E77" s="17">
        <f>IFERROR(__xludf.DUMMYFUNCTION("GOOGLEFINANCE(A77)"),15.28)</f>
        <v>15.28</v>
      </c>
      <c r="F77" s="17">
        <f>IFERROR(__xludf.DUMMYFUNCTION("GOOGLEFINANCE($A77,""high52"")"),19.08)</f>
        <v>19.08</v>
      </c>
      <c r="G77" s="16">
        <f t="shared" si="1"/>
        <v>-0.1991614256</v>
      </c>
      <c r="H77" s="40">
        <f>VLOOKUP($A77,'Dados StatusInvest'!$A:$AY,column(H77)-$A$5,0)*VLOOKUP($A77,'Dados StatusInvest'!$A:$AY,2,0)/$E77/100</f>
        <v>0</v>
      </c>
      <c r="I77" s="41">
        <f>VLOOKUP($A77,'Dados StatusInvest'!$A:$AY,column(I77)-$A$5,0)/VLOOKUP($A77,'Dados StatusInvest'!$A:$AY,2,0)*$E77</f>
        <v>18.1918863</v>
      </c>
      <c r="J77" s="41">
        <f>VLOOKUP($A77,'Dados StatusInvest'!$A:$AY,column(J77)-$A$5,0)/VLOOKUP($A77,'Dados StatusInvest'!$A:$AY,2,0)*$E77</f>
        <v>2.359121447</v>
      </c>
      <c r="K77" s="42">
        <f>VLOOKUP($A77,'Dados StatusInvest'!$A:$AY,column(K77)-$A$5,0)/VLOOKUP($A77,'Dados StatusInvest'!$A:$AY,2,0)*$E77</f>
        <v>1.154883721</v>
      </c>
      <c r="L77" s="43">
        <f>VLOOKUP($A77,'Dados StatusInvest'!$A:$AY,column(L77)-$A$5,0)/100</f>
        <v>0.4228</v>
      </c>
      <c r="M77" s="44">
        <f>VLOOKUP($A77,'Dados StatusInvest'!$A:$AY,column(M77)-$A$5,0)</f>
        <v>31.18</v>
      </c>
      <c r="N77" s="44">
        <f>VLOOKUP($A77,'Dados StatusInvest'!$A:$AY,column(N77)-$A$5,0)</f>
        <v>28.74</v>
      </c>
      <c r="O77" s="41">
        <f>VLOOKUP($A77,'Dados StatusInvest'!$A:$AY,column(O77)-$A$5,0)/VLOOKUP($A77,'Dados StatusInvest'!$A:$AY,2,0)*$E77</f>
        <v>16.77049096</v>
      </c>
      <c r="P77" s="41">
        <f>VLOOKUP($A77,'Dados StatusInvest'!$A:$AY,column(P77)-$A$5,0)-VLOOKUP($A77,'Dados StatusInvest'!$A:$AY,column(P77)-$A$5-1,0)+O77</f>
        <v>21.72049096</v>
      </c>
      <c r="Q77" s="44">
        <f>VLOOKUP($A77,'Dados StatusInvest'!$A:$AY,column(Q77)-$A$5,0)</f>
        <v>4.89</v>
      </c>
      <c r="R77" s="44">
        <f>VLOOKUP($A77,'Dados StatusInvest'!$A:$AY,column(R77)-$A$5,0)</f>
        <v>0.69</v>
      </c>
      <c r="S77" s="41">
        <f>VLOOKUP($A77,'Dados StatusInvest'!$A:$AY,column(S77)-$A$5,0)/VLOOKUP($A77,'Dados StatusInvest'!$A:$AY,2,0)*$E77</f>
        <v>5.231524548</v>
      </c>
      <c r="T77" s="42">
        <f>VLOOKUP($A77,'Dados StatusInvest'!$A:$AY,column(T77)-$A$5,0)/VLOOKUP($A77,'Dados StatusInvest'!$A:$AY,2,0)*$E77</f>
        <v>11.55870801</v>
      </c>
      <c r="U77" s="44">
        <f>VLOOKUP($A77,'Dados StatusInvest'!$A:$AY,column(U77)-$A$5,0)</f>
        <v>-1.39</v>
      </c>
      <c r="V77" s="45">
        <f>VLOOKUP($A77,'Dados StatusInvest'!$A:$AY,column(V77)-$A$5,0)</f>
        <v>2.71</v>
      </c>
      <c r="W77" s="45">
        <f>VLOOKUP($A77,'Dados StatusInvest'!$A:$AY,column(W77)-$A$5,0)</f>
        <v>12.96</v>
      </c>
      <c r="X77" s="45">
        <f>VLOOKUP($A77,'Dados StatusInvest'!$A:$AY,column(X77)-$A$5,0)</f>
        <v>6.34</v>
      </c>
      <c r="Y77" s="45">
        <f>VLOOKUP($A77,'Dados StatusInvest'!$A:$AY,column(Y77)-$A$5,0)</f>
        <v>6.3</v>
      </c>
      <c r="Z77" s="44">
        <f>VLOOKUP($A77,'Dados StatusInvest'!$A:$AY,column(Z77)-$A$5,0)</f>
        <v>0.49</v>
      </c>
      <c r="AA77" s="44">
        <f>VLOOKUP($A77,'Dados StatusInvest'!$A:$AY,column(AA77)-$A$5,0)</f>
        <v>0.51</v>
      </c>
      <c r="AB77" s="44">
        <f>VLOOKUP($A77,'Dados StatusInvest'!$A:$AY,column(AB77)-$A$5,0)</f>
        <v>0.22</v>
      </c>
      <c r="AC77" s="44">
        <f>VLOOKUP($A77,'Dados StatusInvest'!$A:$AY,column(AC77)-$A$5,0)</f>
        <v>16.39</v>
      </c>
      <c r="AD77" s="45">
        <f>VLOOKUP($A77,'Dados StatusInvest'!$A:$AY,column(AD77)-$A$5,0)</f>
        <v>49.45</v>
      </c>
      <c r="AE77" s="46">
        <f>VLOOKUP($A77,'Dados StatusInvest'!$A:$AY,column(AE77)-$A$5,0)</f>
        <v>102542476</v>
      </c>
      <c r="AF77" s="49"/>
    </row>
    <row r="78">
      <c r="A78" s="10" t="s">
        <v>124</v>
      </c>
      <c r="B78" s="39" t="str">
        <f>VLOOKUP(lEFT($A78,4),Setor!$A:$E,3,0)</f>
        <v>Financeiro</v>
      </c>
      <c r="C78" s="39" t="str">
        <f>VLOOKUP(lEFT($A78,4),Setor!$A:$E,4,0)</f>
        <v>Previdência e Seguros</v>
      </c>
      <c r="D78" s="39" t="str">
        <f>VLOOKUP(lEFT($A78,4),Setor!$A:$E,5,0)</f>
        <v>Seguradoras</v>
      </c>
      <c r="E78" s="17">
        <f>IFERROR(__xludf.DUMMYFUNCTION("GOOGLEFINANCE(A78)"),46.54)</f>
        <v>46.54</v>
      </c>
      <c r="F78" s="17">
        <f>IFERROR(__xludf.DUMMYFUNCTION("GOOGLEFINANCE($A78,""high52"")"),52.4)</f>
        <v>52.4</v>
      </c>
      <c r="G78" s="16">
        <f t="shared" si="1"/>
        <v>-0.1118320611</v>
      </c>
      <c r="H78" s="40">
        <f>VLOOKUP($A78,'Dados StatusInvest'!$A:$AY,column(H78)-$A$5,0)*VLOOKUP($A78,'Dados StatusInvest'!$A:$AY,2,0)/$E78/100</f>
        <v>0.06215663945</v>
      </c>
      <c r="I78" s="41">
        <f>VLOOKUP($A78,'Dados StatusInvest'!$A:$AY,column(I78)-$A$5,0)/VLOOKUP($A78,'Dados StatusInvest'!$A:$AY,2,0)*$E78</f>
        <v>8.561917194</v>
      </c>
      <c r="J78" s="41">
        <f>VLOOKUP($A78,'Dados StatusInvest'!$A:$AY,column(J78)-$A$5,0)/VLOOKUP($A78,'Dados StatusInvest'!$A:$AY,2,0)*$E78</f>
        <v>1.613665103</v>
      </c>
      <c r="K78" s="42">
        <f>VLOOKUP($A78,'Dados StatusInvest'!$A:$AY,column(K78)-$A$5,0)/VLOOKUP($A78,'Dados StatusInvest'!$A:$AY,2,0)*$E78</f>
        <v>0.3986702019</v>
      </c>
      <c r="L78" s="43">
        <f>VLOOKUP($A78,'Dados StatusInvest'!$A:$AY,column(L78)-$A$5,0)/100</f>
        <v>1</v>
      </c>
      <c r="M78" s="47">
        <f>VLOOKUP($A78,'Dados StatusInvest'!$A:$AY,column(M78)-$A$5,0)</f>
        <v>8.82</v>
      </c>
      <c r="N78" s="47">
        <f>VLOOKUP($A78,'Dados StatusInvest'!$A:$AY,column(N78)-$A$5,0)</f>
        <v>8.93</v>
      </c>
      <c r="O78" s="41">
        <f>VLOOKUP($A78,'Dados StatusInvest'!$A:$AY,column(O78)-$A$5,0)/VLOOKUP($A78,'Dados StatusInvest'!$A:$AY,2,0)*$E78</f>
        <v>8.666330818</v>
      </c>
      <c r="P78" s="41">
        <f>VLOOKUP($A78,'Dados StatusInvest'!$A:$AY,column(P78)-$A$5,0)-VLOOKUP($A78,'Dados StatusInvest'!$A:$AY,column(P78)-$A$5-1,0)+O78</f>
        <v>3.296330818</v>
      </c>
      <c r="Q78" s="44">
        <f>VLOOKUP($A78,'Dados StatusInvest'!$A:$AY,column(Q78)-$A$5,0)</f>
        <v>-5.37</v>
      </c>
      <c r="R78" s="44">
        <f>VLOOKUP($A78,'Dados StatusInvest'!$A:$AY,column(R78)-$A$5,0)</f>
        <v>-1</v>
      </c>
      <c r="S78" s="41">
        <f>VLOOKUP($A78,'Dados StatusInvest'!$A:$AY,column(S78)-$A$5,0)/VLOOKUP($A78,'Dados StatusInvest'!$A:$AY,2,0)*$E78</f>
        <v>0.7688639608</v>
      </c>
      <c r="T78" s="42">
        <f>VLOOKUP($A78,'Dados StatusInvest'!$A:$AY,column(T78)-$A$5,0)/VLOOKUP($A78,'Dados StatusInvest'!$A:$AY,2,0)*$E78</f>
        <v>4.328419335</v>
      </c>
      <c r="U78" s="44">
        <f>VLOOKUP($A78,'Dados StatusInvest'!$A:$AY,column(U78)-$A$5,0)</f>
        <v>-1.24</v>
      </c>
      <c r="V78" s="45">
        <f>VLOOKUP($A78,'Dados StatusInvest'!$A:$AY,column(V78)-$A$5,0)</f>
        <v>1.16</v>
      </c>
      <c r="W78" s="45">
        <f>VLOOKUP($A78,'Dados StatusInvest'!$A:$AY,column(W78)-$A$5,0)</f>
        <v>18.84</v>
      </c>
      <c r="X78" s="45">
        <f>VLOOKUP($A78,'Dados StatusInvest'!$A:$AY,column(X78)-$A$5,0)</f>
        <v>4.63</v>
      </c>
      <c r="Y78" s="45">
        <f>VLOOKUP($A78,'Dados StatusInvest'!$A:$AY,column(Y78)-$A$5,0)</f>
        <v>10.34</v>
      </c>
      <c r="Z78" s="44">
        <f>VLOOKUP($A78,'Dados StatusInvest'!$A:$AY,column(Z78)-$A$5,0)</f>
        <v>0.25</v>
      </c>
      <c r="AA78" s="44">
        <f>VLOOKUP($A78,'Dados StatusInvest'!$A:$AY,column(AA78)-$A$5,0)</f>
        <v>0.75</v>
      </c>
      <c r="AB78" s="44">
        <f>VLOOKUP($A78,'Dados StatusInvest'!$A:$AY,column(AB78)-$A$5,0)</f>
        <v>0.52</v>
      </c>
      <c r="AC78" s="44">
        <f>VLOOKUP($A78,'Dados StatusInvest'!$A:$AY,column(AC78)-$A$5,0)</f>
        <v>3.79</v>
      </c>
      <c r="AD78" s="45">
        <f>VLOOKUP($A78,'Dados StatusInvest'!$A:$AY,column(AD78)-$A$5,0)</f>
        <v>11.91</v>
      </c>
      <c r="AE78" s="46">
        <f>VLOOKUP($A78,'Dados StatusInvest'!$A:$AY,column(AE78)-$A$5,0)</f>
        <v>73591376.71</v>
      </c>
      <c r="AF78" s="18"/>
    </row>
    <row r="79">
      <c r="A79" s="10" t="s">
        <v>125</v>
      </c>
      <c r="B79" s="39" t="str">
        <f>VLOOKUP(lEFT($A79,4),Setor!$A:$E,3,0)</f>
        <v>Consumo Cíclico</v>
      </c>
      <c r="C79" s="39" t="str">
        <f>VLOOKUP(lEFT($A79,4),Setor!$A:$E,4,0)</f>
        <v>Diversos</v>
      </c>
      <c r="D79" s="39" t="str">
        <f>VLOOKUP(lEFT($A79,4),Setor!$A:$E,5,0)</f>
        <v>Aluguel de carros</v>
      </c>
      <c r="E79" s="17">
        <f>IFERROR(__xludf.DUMMYFUNCTION("GOOGLEFINANCE(A79)"),24.1)</f>
        <v>24.1</v>
      </c>
      <c r="F79" s="17">
        <f>IFERROR(__xludf.DUMMYFUNCTION("GOOGLEFINANCE($A79,""high52"")"),30.7)</f>
        <v>30.7</v>
      </c>
      <c r="G79" s="16">
        <f t="shared" si="1"/>
        <v>-0.2149837134</v>
      </c>
      <c r="H79" s="40">
        <f>VLOOKUP($A79,'Dados StatusInvest'!$A:$AY,column(H79)-$A$5,0)*VLOOKUP($A79,'Dados StatusInvest'!$A:$AY,2,0)/$E79/100</f>
        <v>0.01569547718</v>
      </c>
      <c r="I79" s="41">
        <f>VLOOKUP($A79,'Dados StatusInvest'!$A:$AY,column(I79)-$A$5,0)/VLOOKUP($A79,'Dados StatusInvest'!$A:$AY,2,0)*$E79</f>
        <v>21.8814628</v>
      </c>
      <c r="J79" s="41">
        <f>VLOOKUP($A79,'Dados StatusInvest'!$A:$AY,column(J79)-$A$5,0)/VLOOKUP($A79,'Dados StatusInvest'!$A:$AY,2,0)*$E79</f>
        <v>2.684531316</v>
      </c>
      <c r="K79" s="42">
        <f>VLOOKUP($A79,'Dados StatusInvest'!$A:$AY,column(K79)-$A$5,0)/VLOOKUP($A79,'Dados StatusInvest'!$A:$AY,2,0)*$E79</f>
        <v>0.8813366961</v>
      </c>
      <c r="L79" s="43">
        <f>VLOOKUP($A79,'Dados StatusInvest'!$A:$AY,column(L79)-$A$5,0)/100</f>
        <v>0.2945</v>
      </c>
      <c r="M79" s="44">
        <f>VLOOKUP($A79,'Dados StatusInvest'!$A:$AY,column(M79)-$A$5,0)</f>
        <v>19.65</v>
      </c>
      <c r="N79" s="44">
        <f>VLOOKUP($A79,'Dados StatusInvest'!$A:$AY,column(N79)-$A$5,0)</f>
        <v>11.05</v>
      </c>
      <c r="O79" s="41">
        <f>VLOOKUP($A79,'Dados StatusInvest'!$A:$AY,column(O79)-$A$5,0)/VLOOKUP($A79,'Dados StatusInvest'!$A:$AY,2,0)*$E79</f>
        <v>12.30832282</v>
      </c>
      <c r="P79" s="41">
        <f>VLOOKUP($A79,'Dados StatusInvest'!$A:$AY,column(P79)-$A$5,0)-VLOOKUP($A79,'Dados StatusInvest'!$A:$AY,column(P79)-$A$5-1,0)+O79</f>
        <v>17.34832282</v>
      </c>
      <c r="Q79" s="44">
        <f>VLOOKUP($A79,'Dados StatusInvest'!$A:$AY,column(Q79)-$A$5,0)</f>
        <v>5.03</v>
      </c>
      <c r="R79" s="44">
        <f>VLOOKUP($A79,'Dados StatusInvest'!$A:$AY,column(R79)-$A$5,0)</f>
        <v>1.1</v>
      </c>
      <c r="S79" s="41">
        <f>VLOOKUP($A79,'Dados StatusInvest'!$A:$AY,column(S79)-$A$5,0)/VLOOKUP($A79,'Dados StatusInvest'!$A:$AY,2,0)*$E79</f>
        <v>2.421143338</v>
      </c>
      <c r="T79" s="42">
        <f>VLOOKUP($A79,'Dados StatusInvest'!$A:$AY,column(T79)-$A$5,0)/VLOOKUP($A79,'Dados StatusInvest'!$A:$AY,2,0)*$E79</f>
        <v>162.3179067</v>
      </c>
      <c r="U79" s="44">
        <f>VLOOKUP($A79,'Dados StatusInvest'!$A:$AY,column(U79)-$A$5,0)</f>
        <v>-1.08</v>
      </c>
      <c r="V79" s="45">
        <f>VLOOKUP($A79,'Dados StatusInvest'!$A:$AY,column(V79)-$A$5,0)</f>
        <v>1.03</v>
      </c>
      <c r="W79" s="45">
        <f>VLOOKUP($A79,'Dados StatusInvest'!$A:$AY,column(W79)-$A$5,0)</f>
        <v>12.28</v>
      </c>
      <c r="X79" s="45">
        <f>VLOOKUP($A79,'Dados StatusInvest'!$A:$AY,column(X79)-$A$5,0)</f>
        <v>4.01</v>
      </c>
      <c r="Y79" s="45">
        <f>VLOOKUP($A79,'Dados StatusInvest'!$A:$AY,column(Y79)-$A$5,0)</f>
        <v>6.89</v>
      </c>
      <c r="Z79" s="44">
        <f>VLOOKUP($A79,'Dados StatusInvest'!$A:$AY,column(Z79)-$A$5,0)</f>
        <v>0.33</v>
      </c>
      <c r="AA79" s="44">
        <f>VLOOKUP($A79,'Dados StatusInvest'!$A:$AY,column(AA79)-$A$5,0)</f>
        <v>0.67</v>
      </c>
      <c r="AB79" s="44">
        <f>VLOOKUP($A79,'Dados StatusInvest'!$A:$AY,column(AB79)-$A$5,0)</f>
        <v>0.36</v>
      </c>
      <c r="AC79" s="44">
        <f>VLOOKUP($A79,'Dados StatusInvest'!$A:$AY,column(AC79)-$A$5,0)</f>
        <v>51.17</v>
      </c>
      <c r="AD79" s="45">
        <f>VLOOKUP($A79,'Dados StatusInvest'!$A:$AY,column(AD79)-$A$5,0)</f>
        <v>97.68</v>
      </c>
      <c r="AE79" s="46">
        <f>VLOOKUP($A79,'Dados StatusInvest'!$A:$AY,column(AE79)-$A$5,0)</f>
        <v>71557817.25</v>
      </c>
      <c r="AF79" s="49"/>
    </row>
    <row r="80">
      <c r="A80" s="10" t="s">
        <v>126</v>
      </c>
      <c r="B80" s="52" t="str">
        <f>VLOOKUP(LEFT($A80,4),Setor!$A:$E,3,0)</f>
        <v>Financeiro</v>
      </c>
      <c r="C80" s="52" t="str">
        <f>VLOOKUP(LEFT($A80,4),Setor!$A:$E,4,0)</f>
        <v>Serviços Financeiros Diversos</v>
      </c>
      <c r="D80" s="52" t="str">
        <f>VLOOKUP(LEFT($A80,4),Setor!$A:$E,5,0)</f>
        <v>Serviços Financeiros Diversos</v>
      </c>
      <c r="E80" s="53">
        <f>IFERROR(__xludf.DUMMYFUNCTION("GOOGLEFINANCE(A80)"),2.56)</f>
        <v>2.56</v>
      </c>
      <c r="F80" s="53">
        <f>IFERROR(__xludf.DUMMYFUNCTION("GOOGLEFINANCE($A80,""high52"")"),4.45)</f>
        <v>4.45</v>
      </c>
      <c r="G80" s="54">
        <f t="shared" si="1"/>
        <v>-0.4247191011</v>
      </c>
      <c r="H80" s="55">
        <f>VLOOKUP($A80,'Dados StatusInvest'!$A:$AY,COLUMN(H80)-$A$5,0)*VLOOKUP($A80,'Dados StatusInvest'!$A:$AY,2,0)/$E80/100</f>
        <v>0.04553164063</v>
      </c>
      <c r="I80" s="56">
        <f>VLOOKUP($A80,'Dados StatusInvest'!$A:$AY,COLUMN(I80)-$A$5,0)/VLOOKUP($A80,'Dados StatusInvest'!$A:$AY,2,0)*$E80</f>
        <v>-43.90008734</v>
      </c>
      <c r="J80" s="56">
        <f>VLOOKUP($A80,'Dados StatusInvest'!$A:$AY,COLUMN(J80)-$A$5,0)/VLOOKUP($A80,'Dados StatusInvest'!$A:$AY,2,0)*$E80</f>
        <v>0.704279476</v>
      </c>
      <c r="K80" s="57">
        <f>VLOOKUP($A80,'Dados StatusInvest'!$A:$AY,COLUMN(K80)-$A$5,0)/VLOOKUP($A80,'Dados StatusInvest'!$A:$AY,2,0)*$E80</f>
        <v>0.08943231441</v>
      </c>
      <c r="L80" s="58">
        <f>VLOOKUP($A80,'Dados StatusInvest'!$A:$AY,COLUMN(L80)-$A$5,0)/100</f>
        <v>0.28</v>
      </c>
      <c r="M80" s="59">
        <f>VLOOKUP($A80,'Dados StatusInvest'!$A:$AY,COLUMN(M80)-$A$5,0)</f>
        <v>2.19</v>
      </c>
      <c r="N80" s="59">
        <f>VLOOKUP($A80,'Dados StatusInvest'!$A:$AY,COLUMN(N80)-$A$5,0)</f>
        <v>-1.4</v>
      </c>
      <c r="O80" s="56">
        <f>VLOOKUP($A80,'Dados StatusInvest'!$A:$AY,COLUMN(O80)-$A$5,0)/VLOOKUP($A80,'Dados StatusInvest'!$A:$AY,2,0)*$E80</f>
        <v>27.98113537</v>
      </c>
      <c r="P80" s="56">
        <f>VLOOKUP($A80,'Dados StatusInvest'!$A:$AY,COLUMN(P80)-$A$5,0)-VLOOKUP($A80,'Dados StatusInvest'!$A:$AY,COLUMN(P80)-$A$5-1,0)+O80</f>
        <v>32.42113537</v>
      </c>
      <c r="Q80" s="59">
        <f>VLOOKUP($A80,'Dados StatusInvest'!$A:$AY,COLUMN(Q80)-$A$5,0)</f>
        <v>4.34</v>
      </c>
      <c r="R80" s="59">
        <f>VLOOKUP($A80,'Dados StatusInvest'!$A:$AY,COLUMN(R80)-$A$5,0)</f>
        <v>0.11</v>
      </c>
      <c r="S80" s="56">
        <f>VLOOKUP($A80,'Dados StatusInvest'!$A:$AY,COLUMN(S80)-$A$5,0)/VLOOKUP($A80,'Dados StatusInvest'!$A:$AY,2,0)*$E80</f>
        <v>0.6148471616</v>
      </c>
      <c r="T80" s="57">
        <f>VLOOKUP($A80,'Dados StatusInvest'!$A:$AY,COLUMN(T80)-$A$5,0)/VLOOKUP($A80,'Dados StatusInvest'!$A:$AY,2,0)*$E80</f>
        <v>1.330305677</v>
      </c>
      <c r="U80" s="59">
        <f>VLOOKUP($A80,'Dados StatusInvest'!$A:$AY,COLUMN(U80)-$A$5,0)</f>
        <v>-0.53</v>
      </c>
      <c r="V80" s="60">
        <f>VLOOKUP($A80,'Dados StatusInvest'!$A:$AY,COLUMN(V80)-$A$5,0)</f>
        <v>1.08</v>
      </c>
      <c r="W80" s="61">
        <f>VLOOKUP($A80,'Dados StatusInvest'!$A:$AY,COLUMN(W80)-$A$5,0)</f>
        <v>-1.62</v>
      </c>
      <c r="X80" s="61">
        <f>VLOOKUP($A80,'Dados StatusInvest'!$A:$AY,COLUMN(X80)-$A$5,0)</f>
        <v>-0.19</v>
      </c>
      <c r="Y80" s="61">
        <f>VLOOKUP($A80,'Dados StatusInvest'!$A:$AY,COLUMN(Y80)-$A$5,0)</f>
        <v>-0.5</v>
      </c>
      <c r="Z80" s="59">
        <f>VLOOKUP($A80,'Dados StatusInvest'!$A:$AY,COLUMN(Z80)-$A$5,0)</f>
        <v>0.12</v>
      </c>
      <c r="AA80" s="59">
        <f>VLOOKUP($A80,'Dados StatusInvest'!$A:$AY,COLUMN(AA80)-$A$5,0)</f>
        <v>0.88</v>
      </c>
      <c r="AB80" s="59">
        <f>VLOOKUP($A80,'Dados StatusInvest'!$A:$AY,COLUMN(AB80)-$A$5,0)</f>
        <v>0.14</v>
      </c>
      <c r="AC80" s="59">
        <f>VLOOKUP($A80,'Dados StatusInvest'!$A:$AY,COLUMN(AC80)-$A$5,0)</f>
        <v>0.11</v>
      </c>
      <c r="AD80" s="60">
        <f>VLOOKUP($A80,'Dados StatusInvest'!$A:$AY,COLUMN(AD80)-$A$5,0)</f>
        <v>0</v>
      </c>
      <c r="AE80" s="62">
        <f>VLOOKUP($A80,'Dados StatusInvest'!$A:$AY,COLUMN(AE80)-$A$5,0)</f>
        <v>78201210.33</v>
      </c>
      <c r="AF80" s="18"/>
    </row>
    <row r="81">
      <c r="A81" s="10" t="s">
        <v>127</v>
      </c>
      <c r="B81" s="39" t="str">
        <f>VLOOKUP(lEFT($A81,4),Setor!$A:$E,3,0)</f>
        <v>Saúde</v>
      </c>
      <c r="C81" s="39" t="str">
        <f>VLOOKUP(lEFT($A81,4),Setor!$A:$E,4,0)</f>
        <v>Análises e Diagnósticos</v>
      </c>
      <c r="D81" s="39" t="str">
        <f>VLOOKUP(lEFT($A81,4),Setor!$A:$E,5,0)</f>
        <v>Análises e Diagnósticos</v>
      </c>
      <c r="E81" s="17">
        <f>IFERROR(__xludf.DUMMYFUNCTION("GOOGLEFINANCE(A81)"),19.06)</f>
        <v>19.06</v>
      </c>
      <c r="F81" s="17">
        <f>IFERROR(__xludf.DUMMYFUNCTION("GOOGLEFINANCE($A81,""high52"")"),36.2)</f>
        <v>36.2</v>
      </c>
      <c r="G81" s="16">
        <f t="shared" si="1"/>
        <v>-0.473480663</v>
      </c>
      <c r="H81" s="40">
        <f>VLOOKUP($A81,'Dados StatusInvest'!$A:$AY,column(H81)-$A$5,0)*VLOOKUP($A81,'Dados StatusInvest'!$A:$AY,2,0)/$E81/100</f>
        <v>0.1239519412</v>
      </c>
      <c r="I81" s="41">
        <f>VLOOKUP($A81,'Dados StatusInvest'!$A:$AY,column(I81)-$A$5,0)/VLOOKUP($A81,'Dados StatusInvest'!$A:$AY,2,0)*$E81</f>
        <v>13.51472178</v>
      </c>
      <c r="J81" s="41">
        <f>VLOOKUP($A81,'Dados StatusInvest'!$A:$AY,column(J81)-$A$5,0)/VLOOKUP($A81,'Dados StatusInvest'!$A:$AY,2,0)*$E81</f>
        <v>3.201918389</v>
      </c>
      <c r="K81" s="42">
        <f>VLOOKUP($A81,'Dados StatusInvest'!$A:$AY,column(K81)-$A$5,0)/VLOOKUP($A81,'Dados StatusInvest'!$A:$AY,2,0)*$E81</f>
        <v>1.22218336</v>
      </c>
      <c r="L81" s="43">
        <f>VLOOKUP($A81,'Dados StatusInvest'!$A:$AY,column(L81)-$A$5,0)/100</f>
        <v>0.8006</v>
      </c>
      <c r="M81" s="44">
        <f>VLOOKUP($A81,'Dados StatusInvest'!$A:$AY,column(M81)-$A$5,0)</f>
        <v>29.61</v>
      </c>
      <c r="N81" s="44">
        <f>VLOOKUP($A81,'Dados StatusInvest'!$A:$AY,column(N81)-$A$5,0)</f>
        <v>19.25</v>
      </c>
      <c r="O81" s="41">
        <f>VLOOKUP($A81,'Dados StatusInvest'!$A:$AY,column(O81)-$A$5,0)/VLOOKUP($A81,'Dados StatusInvest'!$A:$AY,2,0)*$E81</f>
        <v>8.787599364</v>
      </c>
      <c r="P81" s="41">
        <f>VLOOKUP($A81,'Dados StatusInvest'!$A:$AY,column(P81)-$A$5,0)-VLOOKUP($A81,'Dados StatusInvest'!$A:$AY,column(P81)-$A$5-1,0)+O81</f>
        <v>10.22759936</v>
      </c>
      <c r="Q81" s="44">
        <f>VLOOKUP($A81,'Dados StatusInvest'!$A:$AY,column(Q81)-$A$5,0)</f>
        <v>1.43</v>
      </c>
      <c r="R81" s="44">
        <f>VLOOKUP($A81,'Dados StatusInvest'!$A:$AY,column(R81)-$A$5,0)</f>
        <v>0.52</v>
      </c>
      <c r="S81" s="41">
        <f>VLOOKUP($A81,'Dados StatusInvest'!$A:$AY,column(S81)-$A$5,0)/VLOOKUP($A81,'Dados StatusInvest'!$A:$AY,2,0)*$E81</f>
        <v>2.605977742</v>
      </c>
      <c r="T81" s="42">
        <f>VLOOKUP($A81,'Dados StatusInvest'!$A:$AY,column(T81)-$A$5,0)/VLOOKUP($A81,'Dados StatusInvest'!$A:$AY,2,0)*$E81</f>
        <v>-7.292697403</v>
      </c>
      <c r="U81" s="44">
        <f>VLOOKUP($A81,'Dados StatusInvest'!$A:$AY,column(U81)-$A$5,0)</f>
        <v>-1.83</v>
      </c>
      <c r="V81" s="45">
        <f>VLOOKUP($A81,'Dados StatusInvest'!$A:$AY,column(V81)-$A$5,0)</f>
        <v>0.67</v>
      </c>
      <c r="W81" s="45">
        <f>VLOOKUP($A81,'Dados StatusInvest'!$A:$AY,column(W81)-$A$5,0)</f>
        <v>23.7</v>
      </c>
      <c r="X81" s="45">
        <f>VLOOKUP($A81,'Dados StatusInvest'!$A:$AY,column(X81)-$A$5,0)</f>
        <v>9.04</v>
      </c>
      <c r="Y81" s="48">
        <f>VLOOKUP($A81,'Dados StatusInvest'!$A:$AY,column(Y81)-$A$5,0)</f>
        <v>13.27</v>
      </c>
      <c r="Z81" s="44">
        <f>VLOOKUP($A81,'Dados StatusInvest'!$A:$AY,column(Z81)-$A$5,0)</f>
        <v>0.38</v>
      </c>
      <c r="AA81" s="44">
        <f>VLOOKUP($A81,'Dados StatusInvest'!$A:$AY,column(AA81)-$A$5,0)</f>
        <v>0.62</v>
      </c>
      <c r="AB81" s="44">
        <f>VLOOKUP($A81,'Dados StatusInvest'!$A:$AY,column(AB81)-$A$5,0)</f>
        <v>0.47</v>
      </c>
      <c r="AC81" s="44">
        <f>VLOOKUP($A81,'Dados StatusInvest'!$A:$AY,column(AC81)-$A$5,0)</f>
        <v>3.21</v>
      </c>
      <c r="AD81" s="45">
        <f>VLOOKUP($A81,'Dados StatusInvest'!$A:$AY,column(AD81)-$A$5,0)</f>
        <v>12.01</v>
      </c>
      <c r="AE81" s="46">
        <f>VLOOKUP($A81,'Dados StatusInvest'!$A:$AY,column(AE81)-$A$5,0)</f>
        <v>62817564.33</v>
      </c>
      <c r="AF81" s="18"/>
    </row>
    <row r="82">
      <c r="A82" s="10" t="s">
        <v>128</v>
      </c>
      <c r="B82" s="39" t="str">
        <f>VLOOKUP(lEFT($A82,4),Setor!$A:$E,3,0)</f>
        <v>Financeiro</v>
      </c>
      <c r="C82" s="39" t="str">
        <f>VLOOKUP(lEFT($A82,4),Setor!$A:$E,4,0)</f>
        <v>Previdência e Seguros</v>
      </c>
      <c r="D82" s="39" t="str">
        <f>VLOOKUP(lEFT($A82,4),Setor!$A:$E,5,0)</f>
        <v>Seguradoras</v>
      </c>
      <c r="E82" s="17">
        <f>IFERROR(__xludf.DUMMYFUNCTION("GOOGLEFINANCE(A82)"),5.02)</f>
        <v>5.02</v>
      </c>
      <c r="F82" s="17">
        <f>IFERROR(__xludf.DUMMYFUNCTION("GOOGLEFINANCE($A82,""high52"")"),8.52)</f>
        <v>8.52</v>
      </c>
      <c r="G82" s="16">
        <f t="shared" si="1"/>
        <v>-0.4107981221</v>
      </c>
      <c r="H82" s="40">
        <f>VLOOKUP($A82,'Dados StatusInvest'!$A:$AY,column(H82)-$A$5,0)*VLOOKUP($A82,'Dados StatusInvest'!$A:$AY,2,0)/$E82/100</f>
        <v>0</v>
      </c>
      <c r="I82" s="41">
        <f>VLOOKUP($A82,'Dados StatusInvest'!$A:$AY,column(I82)-$A$5,0)/VLOOKUP($A82,'Dados StatusInvest'!$A:$AY,2,0)*$E82</f>
        <v>-6.321102041</v>
      </c>
      <c r="J82" s="41">
        <f>VLOOKUP($A82,'Dados StatusInvest'!$A:$AY,column(J82)-$A$5,0)/VLOOKUP($A82,'Dados StatusInvest'!$A:$AY,2,0)*$E82</f>
        <v>1.516244898</v>
      </c>
      <c r="K82" s="42">
        <f>VLOOKUP($A82,'Dados StatusInvest'!$A:$AY,column(K82)-$A$5,0)/VLOOKUP($A82,'Dados StatusInvest'!$A:$AY,2,0)*$E82</f>
        <v>0.2868571429</v>
      </c>
      <c r="L82" s="43">
        <f>VLOOKUP($A82,'Dados StatusInvest'!$A:$AY,column(L82)-$A$5,0)/100</f>
        <v>-0.1012</v>
      </c>
      <c r="M82" s="47">
        <f>VLOOKUP($A82,'Dados StatusInvest'!$A:$AY,column(M82)-$A$5,0)</f>
        <v>-15.34</v>
      </c>
      <c r="N82" s="47">
        <f>VLOOKUP($A82,'Dados StatusInvest'!$A:$AY,column(N82)-$A$5,0)</f>
        <v>-11.83</v>
      </c>
      <c r="O82" s="41">
        <f>VLOOKUP($A82,'Dados StatusInvest'!$A:$AY,column(O82)-$A$5,0)/VLOOKUP($A82,'Dados StatusInvest'!$A:$AY,2,0)*$E82</f>
        <v>-4.876571429</v>
      </c>
      <c r="P82" s="41">
        <f>VLOOKUP($A82,'Dados StatusInvest'!$A:$AY,column(P82)-$A$5,0)-VLOOKUP($A82,'Dados StatusInvest'!$A:$AY,column(P82)-$A$5-1,0)+O82</f>
        <v>-4.906571429</v>
      </c>
      <c r="Q82" s="44">
        <f>VLOOKUP($A82,'Dados StatusInvest'!$A:$AY,column(Q82)-$A$5,0)</f>
        <v>0</v>
      </c>
      <c r="R82" s="44">
        <f>VLOOKUP($A82,'Dados StatusInvest'!$A:$AY,column(R82)-$A$5,0)</f>
        <v>0</v>
      </c>
      <c r="S82" s="41">
        <f>VLOOKUP($A82,'Dados StatusInvest'!$A:$AY,column(S82)-$A$5,0)/VLOOKUP($A82,'Dados StatusInvest'!$A:$AY,2,0)*$E82</f>
        <v>0.747877551</v>
      </c>
      <c r="T82" s="42">
        <f>VLOOKUP($A82,'Dados StatusInvest'!$A:$AY,column(T82)-$A$5,0)/VLOOKUP($A82,'Dados StatusInvest'!$A:$AY,2,0)*$E82</f>
        <v>-3.534489796</v>
      </c>
      <c r="U82" s="44">
        <f>VLOOKUP($A82,'Dados StatusInvest'!$A:$AY,column(U82)-$A$5,0)</f>
        <v>-0.81</v>
      </c>
      <c r="V82" s="45">
        <f>VLOOKUP($A82,'Dados StatusInvest'!$A:$AY,column(V82)-$A$5,0)</f>
        <v>0.89</v>
      </c>
      <c r="W82" s="45">
        <f>VLOOKUP($A82,'Dados StatusInvest'!$A:$AY,column(W82)-$A$5,0)</f>
        <v>-23.89</v>
      </c>
      <c r="X82" s="45">
        <f>VLOOKUP($A82,'Dados StatusInvest'!$A:$AY,column(X82)-$A$5,0)</f>
        <v>-4.54</v>
      </c>
      <c r="Y82" s="45">
        <f>VLOOKUP($A82,'Dados StatusInvest'!$A:$AY,column(Y82)-$A$5,0)</f>
        <v>0</v>
      </c>
      <c r="Z82" s="44">
        <f>VLOOKUP($A82,'Dados StatusInvest'!$A:$AY,column(Z82)-$A$5,0)</f>
        <v>0.19</v>
      </c>
      <c r="AA82" s="44">
        <f>VLOOKUP($A82,'Dados StatusInvest'!$A:$AY,column(AA82)-$A$5,0)</f>
        <v>0.81</v>
      </c>
      <c r="AB82" s="44">
        <f>VLOOKUP($A82,'Dados StatusInvest'!$A:$AY,column(AB82)-$A$5,0)</f>
        <v>0.38</v>
      </c>
      <c r="AC82" s="44">
        <f>VLOOKUP($A82,'Dados StatusInvest'!$A:$AY,column(AC82)-$A$5,0)</f>
        <v>17.75</v>
      </c>
      <c r="AD82" s="45">
        <f>VLOOKUP($A82,'Dados StatusInvest'!$A:$AY,column(AD82)-$A$5,0)</f>
        <v>0</v>
      </c>
      <c r="AE82" s="46">
        <f>VLOOKUP($A82,'Dados StatusInvest'!$A:$AY,column(AE82)-$A$5,0)</f>
        <v>62307613.58</v>
      </c>
      <c r="AF82" s="49"/>
    </row>
    <row r="83">
      <c r="A83" s="10" t="s">
        <v>129</v>
      </c>
      <c r="B83" s="39" t="str">
        <f>VLOOKUP(lEFT($A83,4),Setor!$A:$E,3,0)</f>
        <v>#N/A</v>
      </c>
      <c r="C83" s="39" t="str">
        <f>VLOOKUP(lEFT($A83,4),Setor!$A:$E,4,0)</f>
        <v>#N/A</v>
      </c>
      <c r="D83" s="39" t="str">
        <f>VLOOKUP(lEFT($A83,4),Setor!$A:$E,5,0)</f>
        <v>#N/A</v>
      </c>
      <c r="E83" s="17">
        <f>IFERROR(__xludf.DUMMYFUNCTION("GOOGLEFINANCE(A83)"),7.44)</f>
        <v>7.44</v>
      </c>
      <c r="F83" s="17">
        <f>IFERROR(__xludf.DUMMYFUNCTION("GOOGLEFINANCE($A83,""high52"")"),7.6)</f>
        <v>7.6</v>
      </c>
      <c r="G83" s="16">
        <f t="shared" si="1"/>
        <v>-0.02105263158</v>
      </c>
      <c r="H83" s="40">
        <f>VLOOKUP($A83,'Dados StatusInvest'!$A:$AY,column(H83)-$A$5,0)*VLOOKUP($A83,'Dados StatusInvest'!$A:$AY,2,0)/$E83/100</f>
        <v>0.002216532258</v>
      </c>
      <c r="I83" s="41">
        <f>VLOOKUP($A83,'Dados StatusInvest'!$A:$AY,column(I83)-$A$5,0)/VLOOKUP($A83,'Dados StatusInvest'!$A:$AY,2,0)*$E83</f>
        <v>164.6865272</v>
      </c>
      <c r="J83" s="41">
        <f>VLOOKUP($A83,'Dados StatusInvest'!$A:$AY,column(J83)-$A$5,0)/VLOOKUP($A83,'Dados StatusInvest'!$A:$AY,2,0)*$E83</f>
        <v>7.585271967</v>
      </c>
      <c r="K83" s="42">
        <f>VLOOKUP($A83,'Dados StatusInvest'!$A:$AY,column(K83)-$A$5,0)/VLOOKUP($A83,'Dados StatusInvest'!$A:$AY,2,0)*$E83</f>
        <v>1.027280335</v>
      </c>
      <c r="L83" s="43">
        <f>VLOOKUP($A83,'Dados StatusInvest'!$A:$AY,column(L83)-$A$5,0)/100</f>
        <v>0.0501</v>
      </c>
      <c r="M83" s="47">
        <f>VLOOKUP($A83,'Dados StatusInvest'!$A:$AY,column(M83)-$A$5,0)</f>
        <v>2.28</v>
      </c>
      <c r="N83" s="47">
        <f>VLOOKUP($A83,'Dados StatusInvest'!$A:$AY,column(N83)-$A$5,0)</f>
        <v>0.94</v>
      </c>
      <c r="O83" s="41">
        <f>VLOOKUP($A83,'Dados StatusInvest'!$A:$AY,column(O83)-$A$5,0)/VLOOKUP($A83,'Dados StatusInvest'!$A:$AY,2,0)*$E83</f>
        <v>68.08066946</v>
      </c>
      <c r="P83" s="41">
        <f>VLOOKUP($A83,'Dados StatusInvest'!$A:$AY,column(P83)-$A$5,0)-VLOOKUP($A83,'Dados StatusInvest'!$A:$AY,column(P83)-$A$5-1,0)+O83</f>
        <v>89.97066946</v>
      </c>
      <c r="Q83" s="44">
        <f>VLOOKUP($A83,'Dados StatusInvest'!$A:$AY,column(Q83)-$A$5,0)</f>
        <v>21.98</v>
      </c>
      <c r="R83" s="44">
        <f>VLOOKUP($A83,'Dados StatusInvest'!$A:$AY,column(R83)-$A$5,0)</f>
        <v>2.45</v>
      </c>
      <c r="S83" s="41">
        <f>VLOOKUP($A83,'Dados StatusInvest'!$A:$AY,column(S83)-$A$5,0)/VLOOKUP($A83,'Dados StatusInvest'!$A:$AY,2,0)*$E83</f>
        <v>1.556485356</v>
      </c>
      <c r="T83" s="42">
        <f>VLOOKUP($A83,'Dados StatusInvest'!$A:$AY,column(T83)-$A$5,0)/VLOOKUP($A83,'Dados StatusInvest'!$A:$AY,2,0)*$E83</f>
        <v>46.26912134</v>
      </c>
      <c r="U83" s="44">
        <f>VLOOKUP($A83,'Dados StatusInvest'!$A:$AY,column(U83)-$A$5,0)</f>
        <v>-1.77</v>
      </c>
      <c r="V83" s="45">
        <f>VLOOKUP($A83,'Dados StatusInvest'!$A:$AY,column(V83)-$A$5,0)</f>
        <v>1.05</v>
      </c>
      <c r="W83" s="45">
        <f>VLOOKUP($A83,'Dados StatusInvest'!$A:$AY,column(W83)-$A$5,0)</f>
        <v>4.61</v>
      </c>
      <c r="X83" s="45">
        <f>VLOOKUP($A83,'Dados StatusInvest'!$A:$AY,column(X83)-$A$5,0)</f>
        <v>0.62</v>
      </c>
      <c r="Y83" s="45">
        <f>VLOOKUP($A83,'Dados StatusInvest'!$A:$AY,column(Y83)-$A$5,0)</f>
        <v>1.69</v>
      </c>
      <c r="Z83" s="44">
        <f>VLOOKUP($A83,'Dados StatusInvest'!$A:$AY,column(Z83)-$A$5,0)</f>
        <v>0.13</v>
      </c>
      <c r="AA83" s="44">
        <f>VLOOKUP($A83,'Dados StatusInvest'!$A:$AY,column(AA83)-$A$5,0)</f>
        <v>0.86</v>
      </c>
      <c r="AB83" s="44">
        <f>VLOOKUP($A83,'Dados StatusInvest'!$A:$AY,column(AB83)-$A$5,0)</f>
        <v>0.66</v>
      </c>
      <c r="AC83" s="44">
        <f>VLOOKUP($A83,'Dados StatusInvest'!$A:$AY,column(AC83)-$A$5,0)</f>
        <v>0</v>
      </c>
      <c r="AD83" s="45">
        <f>VLOOKUP($A83,'Dados StatusInvest'!$A:$AY,column(AD83)-$A$5,0)</f>
        <v>0</v>
      </c>
      <c r="AE83" s="46">
        <f>VLOOKUP($A83,'Dados StatusInvest'!$A:$AY,column(AE83)-$A$5,0)</f>
        <v>57636954.42</v>
      </c>
      <c r="AF83" s="18"/>
    </row>
    <row r="84">
      <c r="A84" s="10" t="s">
        <v>130</v>
      </c>
      <c r="B84" s="64" t="str">
        <f>VLOOKUP(lEFT($A84,4),Setor!$A:$E,3,0)</f>
        <v>Consumo não Cíclico</v>
      </c>
      <c r="C84" s="64" t="str">
        <f>VLOOKUP(lEFT($A84,4),Setor!$A:$E,4,0)</f>
        <v>Comércio e Distribuição</v>
      </c>
      <c r="D84" s="64" t="str">
        <f>VLOOKUP(lEFT($A84,4),Setor!$A:$E,5,0)</f>
        <v>Alimentos</v>
      </c>
      <c r="E84" s="65">
        <f>IFERROR(__xludf.DUMMYFUNCTION("GOOGLEFINANCE(A84)"),17.95)</f>
        <v>17.95</v>
      </c>
      <c r="F84" s="65">
        <f>IFERROR(__xludf.DUMMYFUNCTION("GOOGLEFINANCE($A84,""high52"")"),23.83)</f>
        <v>23.83</v>
      </c>
      <c r="G84" s="66">
        <f t="shared" si="1"/>
        <v>-0.2467477969</v>
      </c>
      <c r="H84" s="40">
        <f>VLOOKUP($A84,'Dados StatusInvest'!$A:$AY,column(H84)-$A$5,0)*VLOOKUP($A84,'Dados StatusInvest'!$A:$AY,2,0)/$E84/100</f>
        <v>0.02620278552</v>
      </c>
      <c r="I84" s="41">
        <f>VLOOKUP($A84,'Dados StatusInvest'!$A:$AY,column(I84)-$A$5,0)/VLOOKUP($A84,'Dados StatusInvest'!$A:$AY,2,0)*$E84</f>
        <v>11.45069099</v>
      </c>
      <c r="J84" s="41">
        <f>VLOOKUP($A84,'Dados StatusInvest'!$A:$AY,column(J84)-$A$5,0)/VLOOKUP($A84,'Dados StatusInvest'!$A:$AY,2,0)*$E84</f>
        <v>2.192896628</v>
      </c>
      <c r="K84" s="67">
        <f>VLOOKUP($A84,'Dados StatusInvest'!$A:$AY,column(K84)-$A$5,0)/VLOOKUP($A84,'Dados StatusInvest'!$A:$AY,2,0)*$E84</f>
        <v>0.6945826423</v>
      </c>
      <c r="L84" s="43">
        <f>VLOOKUP($A84,'Dados StatusInvest'!$A:$AY,column(L84)-$A$5,0)/100</f>
        <v>0.1896</v>
      </c>
      <c r="M84" s="47">
        <f>VLOOKUP($A84,'Dados StatusInvest'!$A:$AY,column(M84)-$A$5,0)</f>
        <v>6.48</v>
      </c>
      <c r="N84" s="47">
        <f>VLOOKUP($A84,'Dados StatusInvest'!$A:$AY,column(N84)-$A$5,0)</f>
        <v>4.15</v>
      </c>
      <c r="O84" s="41">
        <f>VLOOKUP($A84,'Dados StatusInvest'!$A:$AY,column(O84)-$A$5,0)/VLOOKUP($A84,'Dados StatusInvest'!$A:$AY,2,0)*$E84</f>
        <v>7.322885572</v>
      </c>
      <c r="P84" s="41">
        <f>VLOOKUP($A84,'Dados StatusInvest'!$A:$AY,column(P84)-$A$5,0)-VLOOKUP($A84,'Dados StatusInvest'!$A:$AY,column(P84)-$A$5-1,0)+O84</f>
        <v>8.872885572</v>
      </c>
      <c r="Q84" s="44">
        <f>VLOOKUP($A84,'Dados StatusInvest'!$A:$AY,column(Q84)-$A$5,0)</f>
        <v>1.55</v>
      </c>
      <c r="R84" s="44">
        <f>VLOOKUP($A84,'Dados StatusInvest'!$A:$AY,column(R84)-$A$5,0)</f>
        <v>0.46</v>
      </c>
      <c r="S84" s="41">
        <f>VLOOKUP($A84,'Dados StatusInvest'!$A:$AY,column(S84)-$A$5,0)/VLOOKUP($A84,'Dados StatusInvest'!$A:$AY,2,0)*$E84</f>
        <v>0.4762852405</v>
      </c>
      <c r="T84" s="42">
        <f>VLOOKUP($A84,'Dados StatusInvest'!$A:$AY,column(T84)-$A$5,0)/VLOOKUP($A84,'Dados StatusInvest'!$A:$AY,2,0)*$E84</f>
        <v>-83.45906578</v>
      </c>
      <c r="U84" s="44">
        <f>VLOOKUP($A84,'Dados StatusInvest'!$A:$AY,column(U84)-$A$5,0)</f>
        <v>-1.33</v>
      </c>
      <c r="V84" s="45">
        <f>VLOOKUP($A84,'Dados StatusInvest'!$A:$AY,column(V84)-$A$5,0)</f>
        <v>0.98</v>
      </c>
      <c r="W84" s="45">
        <f>VLOOKUP($A84,'Dados StatusInvest'!$A:$AY,column(W84)-$A$5,0)</f>
        <v>19.11</v>
      </c>
      <c r="X84" s="45">
        <f>VLOOKUP($A84,'Dados StatusInvest'!$A:$AY,column(X84)-$A$5,0)</f>
        <v>6.03</v>
      </c>
      <c r="Y84" s="45">
        <f>VLOOKUP($A84,'Dados StatusInvest'!$A:$AY,column(Y84)-$A$5,0)</f>
        <v>14.13</v>
      </c>
      <c r="Z84" s="44">
        <f>VLOOKUP($A84,'Dados StatusInvest'!$A:$AY,column(Z84)-$A$5,0)</f>
        <v>0.32</v>
      </c>
      <c r="AA84" s="44">
        <f>VLOOKUP($A84,'Dados StatusInvest'!$A:$AY,column(AA84)-$A$5,0)</f>
        <v>0.66</v>
      </c>
      <c r="AB84" s="44">
        <f>VLOOKUP($A84,'Dados StatusInvest'!$A:$AY,column(AB84)-$A$5,0)</f>
        <v>1.46</v>
      </c>
      <c r="AC84" s="44">
        <f>VLOOKUP($A84,'Dados StatusInvest'!$A:$AY,column(AC84)-$A$5,0)</f>
        <v>11.38</v>
      </c>
      <c r="AD84" s="45">
        <f>VLOOKUP($A84,'Dados StatusInvest'!$A:$AY,column(AD84)-$A$5,0)</f>
        <v>32.35</v>
      </c>
      <c r="AE84" s="46">
        <f>VLOOKUP($A84,'Dados StatusInvest'!$A:$AY,column(AE84)-$A$5,0)</f>
        <v>91569616.75</v>
      </c>
      <c r="AF84" s="50"/>
    </row>
    <row r="85">
      <c r="A85" s="10" t="s">
        <v>131</v>
      </c>
      <c r="B85" s="39" t="str">
        <f>VLOOKUP(lEFT($A85,4),Setor!$A:$E,3,0)</f>
        <v>Consumo não Cíclico</v>
      </c>
      <c r="C85" s="39" t="str">
        <f>VLOOKUP(lEFT($A85,4),Setor!$A:$E,4,0)</f>
        <v>Alimentos Processados</v>
      </c>
      <c r="D85" s="39" t="str">
        <f>VLOOKUP(lEFT($A85,4),Setor!$A:$E,5,0)</f>
        <v>Carnes e Derivados</v>
      </c>
      <c r="E85" s="17">
        <f>IFERROR(__xludf.DUMMYFUNCTION("GOOGLEFINANCE(A85)"),10.85)</f>
        <v>10.85</v>
      </c>
      <c r="F85" s="17">
        <f>IFERROR(__xludf.DUMMYFUNCTION("GOOGLEFINANCE($A85,""high52"")"),11.66)</f>
        <v>11.66</v>
      </c>
      <c r="G85" s="16">
        <f t="shared" si="1"/>
        <v>-0.06946826758</v>
      </c>
      <c r="H85" s="40">
        <f>VLOOKUP($A85,'Dados StatusInvest'!$A:$AY,column(H85)-$A$5,0)*VLOOKUP($A85,'Dados StatusInvest'!$A:$AY,2,0)/$E85/100</f>
        <v>0.09496184332</v>
      </c>
      <c r="I85" s="41">
        <f>VLOOKUP($A85,'Dados StatusInvest'!$A:$AY,column(I85)-$A$5,0)/VLOOKUP($A85,'Dados StatusInvest'!$A:$AY,2,0)*$E85</f>
        <v>10.86994485</v>
      </c>
      <c r="J85" s="41">
        <f>VLOOKUP($A85,'Dados StatusInvest'!$A:$AY,column(J85)-$A$5,0)/VLOOKUP($A85,'Dados StatusInvest'!$A:$AY,2,0)*$E85</f>
        <v>14.10101103</v>
      </c>
      <c r="K85" s="42">
        <f>VLOOKUP($A85,'Dados StatusInvest'!$A:$AY,column(K85)-$A$5,0)/VLOOKUP($A85,'Dados StatusInvest'!$A:$AY,2,0)*$E85</f>
        <v>0.3390625</v>
      </c>
      <c r="L85" s="43">
        <f>VLOOKUP($A85,'Dados StatusInvest'!$A:$AY,column(L85)-$A$5,0)/100</f>
        <v>0.1767</v>
      </c>
      <c r="M85" s="44">
        <f>VLOOKUP($A85,'Dados StatusInvest'!$A:$AY,column(M85)-$A$5,0)</f>
        <v>8.07</v>
      </c>
      <c r="N85" s="44">
        <f>VLOOKUP($A85,'Dados StatusInvest'!$A:$AY,column(N85)-$A$5,0)</f>
        <v>2.39</v>
      </c>
      <c r="O85" s="41">
        <f>VLOOKUP($A85,'Dados StatusInvest'!$A:$AY,column(O85)-$A$5,0)/VLOOKUP($A85,'Dados StatusInvest'!$A:$AY,2,0)*$E85</f>
        <v>3.22109375</v>
      </c>
      <c r="P85" s="41">
        <f>VLOOKUP($A85,'Dados StatusInvest'!$A:$AY,column(P85)-$A$5,0)-VLOOKUP($A85,'Dados StatusInvest'!$A:$AY,column(P85)-$A$5-1,0)+O85</f>
        <v>6.10109375</v>
      </c>
      <c r="Q85" s="44">
        <f>VLOOKUP($A85,'Dados StatusInvest'!$A:$AY,column(Q85)-$A$5,0)</f>
        <v>2.87</v>
      </c>
      <c r="R85" s="44">
        <f>VLOOKUP($A85,'Dados StatusInvest'!$A:$AY,column(R85)-$A$5,0)</f>
        <v>12.55</v>
      </c>
      <c r="S85" s="41">
        <f>VLOOKUP($A85,'Dados StatusInvest'!$A:$AY,column(S85)-$A$5,0)/VLOOKUP($A85,'Dados StatusInvest'!$A:$AY,2,0)*$E85</f>
        <v>0.2592830882</v>
      </c>
      <c r="T85" s="42">
        <f>VLOOKUP($A85,'Dados StatusInvest'!$A:$AY,column(T85)-$A$5,0)/VLOOKUP($A85,'Dados StatusInvest'!$A:$AY,2,0)*$E85</f>
        <v>1.306387868</v>
      </c>
      <c r="U85" s="44">
        <f>VLOOKUP($A85,'Dados StatusInvest'!$A:$AY,column(U85)-$A$5,0)</f>
        <v>-1.07</v>
      </c>
      <c r="V85" s="45">
        <f>VLOOKUP($A85,'Dados StatusInvest'!$A:$AY,column(V85)-$A$5,0)</f>
        <v>1.61</v>
      </c>
      <c r="W85" s="45">
        <f>VLOOKUP($A85,'Dados StatusInvest'!$A:$AY,column(W85)-$A$5,0)</f>
        <v>129.74</v>
      </c>
      <c r="X85" s="45">
        <f>VLOOKUP($A85,'Dados StatusInvest'!$A:$AY,column(X85)-$A$5,0)</f>
        <v>3.11</v>
      </c>
      <c r="Y85" s="45">
        <f>VLOOKUP($A85,'Dados StatusInvest'!$A:$AY,column(Y85)-$A$5,0)</f>
        <v>14.99</v>
      </c>
      <c r="Z85" s="44">
        <f>VLOOKUP($A85,'Dados StatusInvest'!$A:$AY,column(Z85)-$A$5,0)</f>
        <v>0.02</v>
      </c>
      <c r="AA85" s="44">
        <f>VLOOKUP($A85,'Dados StatusInvest'!$A:$AY,column(AA85)-$A$5,0)</f>
        <v>0.98</v>
      </c>
      <c r="AB85" s="44">
        <f>VLOOKUP($A85,'Dados StatusInvest'!$A:$AY,column(AB85)-$A$5,0)</f>
        <v>1.3</v>
      </c>
      <c r="AC85" s="44">
        <f>VLOOKUP($A85,'Dados StatusInvest'!$A:$AY,column(AC85)-$A$5,0)</f>
        <v>15.3</v>
      </c>
      <c r="AD85" s="45">
        <f>VLOOKUP($A85,'Dados StatusInvest'!$A:$AY,column(AD85)-$A$5,0)</f>
        <v>0</v>
      </c>
      <c r="AE85" s="46">
        <f>VLOOKUP($A85,'Dados StatusInvest'!$A:$AY,column(AE85)-$A$5,0)</f>
        <v>106823220.7</v>
      </c>
      <c r="AF85" s="50"/>
    </row>
    <row r="86">
      <c r="A86" s="10" t="s">
        <v>132</v>
      </c>
      <c r="B86" s="52" t="str">
        <f>VLOOKUP(lEFT($A86,4),Setor!$A:$E,3,0)</f>
        <v>Materiais Básicos</v>
      </c>
      <c r="C86" s="52" t="str">
        <f>VLOOKUP(lEFT($A86,4),Setor!$A:$E,4,0)</f>
        <v>Químicos</v>
      </c>
      <c r="D86" s="52" t="str">
        <f>VLOOKUP(lEFT($A86,4),Setor!$A:$E,5,0)</f>
        <v>Fertilizantes e Defensivos</v>
      </c>
      <c r="E86" s="53">
        <f>IFERROR(__xludf.DUMMYFUNCTION("GOOGLEFINANCE(A86)"),26.7)</f>
        <v>26.7</v>
      </c>
      <c r="F86" s="53">
        <f>IFERROR(__xludf.DUMMYFUNCTION("GOOGLEFINANCE($A86,""high52"")"),50.5)</f>
        <v>50.5</v>
      </c>
      <c r="G86" s="54">
        <f t="shared" si="1"/>
        <v>-0.4712871287</v>
      </c>
      <c r="H86" s="55">
        <f>VLOOKUP($A86,'Dados StatusInvest'!$A:$AY,column(H86)-$A$5,0)*VLOOKUP($A86,'Dados StatusInvest'!$A:$AY,2,0)/$E86/100</f>
        <v>0</v>
      </c>
      <c r="I86" s="56">
        <f>VLOOKUP($A86,'Dados StatusInvest'!$A:$AY,column(I86)-$A$5,0)/VLOOKUP($A86,'Dados StatusInvest'!$A:$AY,2,0)*$E86</f>
        <v>7.561235748</v>
      </c>
      <c r="J86" s="56">
        <f>VLOOKUP($A86,'Dados StatusInvest'!$A:$AY,column(J86)-$A$5,0)/VLOOKUP($A86,'Dados StatusInvest'!$A:$AY,2,0)*$E86</f>
        <v>-132.5671203</v>
      </c>
      <c r="K86" s="57">
        <f>VLOOKUP($A86,'Dados StatusInvest'!$A:$AY,column(K86)-$A$5,0)/VLOOKUP($A86,'Dados StatusInvest'!$A:$AY,2,0)*$E86</f>
        <v>0.7364840015</v>
      </c>
      <c r="L86" s="58">
        <f>VLOOKUP($A86,'Dados StatusInvest'!$A:$AY,column(L86)-$A$5,0)/100</f>
        <v>0.1749</v>
      </c>
      <c r="M86" s="59">
        <f>VLOOKUP($A86,'Dados StatusInvest'!$A:$AY,column(M86)-$A$5,0)</f>
        <v>12.13</v>
      </c>
      <c r="N86" s="63">
        <f>VLOOKUP($A86,'Dados StatusInvest'!$A:$AY,column(N86)-$A$5,0)</f>
        <v>6.69</v>
      </c>
      <c r="O86" s="56">
        <f>VLOOKUP($A86,'Dados StatusInvest'!$A:$AY,column(O86)-$A$5,0)/VLOOKUP($A86,'Dados StatusInvest'!$A:$AY,2,0)*$E86</f>
        <v>4.173409342</v>
      </c>
      <c r="P86" s="56">
        <f>VLOOKUP($A86,'Dados StatusInvest'!$A:$AY,column(P86)-$A$5,0)-VLOOKUP($A86,'Dados StatusInvest'!$A:$AY,column(P86)-$A$5-1,0)+O86</f>
        <v>4.733409342</v>
      </c>
      <c r="Q86" s="59">
        <f>VLOOKUP($A86,'Dados StatusInvest'!$A:$AY,column(Q86)-$A$5,0)</f>
        <v>0.52</v>
      </c>
      <c r="R86" s="59">
        <f>VLOOKUP($A86,'Dados StatusInvest'!$A:$AY,column(R86)-$A$5,0)</f>
        <v>0</v>
      </c>
      <c r="S86" s="56">
        <f>VLOOKUP($A86,'Dados StatusInvest'!$A:$AY,column(S86)-$A$5,0)/VLOOKUP($A86,'Dados StatusInvest'!$A:$AY,2,0)*$E86</f>
        <v>0.5106289077</v>
      </c>
      <c r="T86" s="57">
        <f>VLOOKUP($A86,'Dados StatusInvest'!$A:$AY,column(T86)-$A$5,0)/VLOOKUP($A86,'Dados StatusInvest'!$A:$AY,2,0)*$E86</f>
        <v>3.780617874</v>
      </c>
      <c r="U86" s="59">
        <f>VLOOKUP($A86,'Dados StatusInvest'!$A:$AY,column(U86)-$A$5,0)</f>
        <v>-1.65</v>
      </c>
      <c r="V86" s="60">
        <f>VLOOKUP($A86,'Dados StatusInvest'!$A:$AY,column(V86)-$A$5,0)</f>
        <v>1.56</v>
      </c>
      <c r="W86" s="61">
        <f>VLOOKUP($A86,'Dados StatusInvest'!$A:$AY,column(W86)-$A$5,0)</f>
        <v>-1753.34</v>
      </c>
      <c r="X86" s="60">
        <f>VLOOKUP($A86,'Dados StatusInvest'!$A:$AY,column(X86)-$A$5,0)</f>
        <v>9.76</v>
      </c>
      <c r="Y86" s="60">
        <f>VLOOKUP($A86,'Dados StatusInvest'!$A:$AY,column(Y86)-$A$5,0)</f>
        <v>143.07</v>
      </c>
      <c r="Z86" s="59">
        <f>VLOOKUP($A86,'Dados StatusInvest'!$A:$AY,column(Z86)-$A$5,0)</f>
        <v>-0.01</v>
      </c>
      <c r="AA86" s="59">
        <f>VLOOKUP($A86,'Dados StatusInvest'!$A:$AY,column(AA86)-$A$5,0)</f>
        <v>1.01</v>
      </c>
      <c r="AB86" s="59">
        <f>VLOOKUP($A86,'Dados StatusInvest'!$A:$AY,column(AB86)-$A$5,0)</f>
        <v>1.46</v>
      </c>
      <c r="AC86" s="59">
        <f>VLOOKUP($A86,'Dados StatusInvest'!$A:$AY,column(AC86)-$A$5,0)</f>
        <v>-18.89</v>
      </c>
      <c r="AD86" s="60">
        <f>VLOOKUP($A86,'Dados StatusInvest'!$A:$AY,column(AD86)-$A$5,0)</f>
        <v>0</v>
      </c>
      <c r="AE86" s="62">
        <f>VLOOKUP($A86,'Dados StatusInvest'!$A:$AY,column(AE86)-$A$5,0)</f>
        <v>90573863</v>
      </c>
      <c r="AF86" s="18"/>
    </row>
    <row r="87">
      <c r="A87" s="10" t="s">
        <v>133</v>
      </c>
      <c r="B87" s="39" t="str">
        <f>VLOOKUP(lEFT($A87,4),Setor!$A:$E,3,0)</f>
        <v>Consumo Cíclico</v>
      </c>
      <c r="C87" s="39" t="str">
        <f>VLOOKUP(lEFT($A87,4),Setor!$A:$E,4,0)</f>
        <v>Construção Civil</v>
      </c>
      <c r="D87" s="39" t="str">
        <f>VLOOKUP(lEFT($A87,4),Setor!$A:$E,5,0)</f>
        <v>Incorporações</v>
      </c>
      <c r="E87" s="17">
        <f>IFERROR(__xludf.DUMMYFUNCTION("GOOGLEFINANCE(A87)"),12.23)</f>
        <v>12.23</v>
      </c>
      <c r="F87" s="17">
        <f>IFERROR(__xludf.DUMMYFUNCTION("GOOGLEFINANCE($A87,""high52"")"),21.13)</f>
        <v>21.13</v>
      </c>
      <c r="G87" s="16">
        <f t="shared" si="1"/>
        <v>-0.4212020823</v>
      </c>
      <c r="H87" s="40">
        <f>VLOOKUP($A87,'Dados StatusInvest'!$A:$AY,column(H87)-$A$5,0)*VLOOKUP($A87,'Dados StatusInvest'!$A:$AY,2,0)/$E87/100</f>
        <v>0.06931259199</v>
      </c>
      <c r="I87" s="41">
        <f>VLOOKUP($A87,'Dados StatusInvest'!$A:$AY,column(I87)-$A$5,0)/VLOOKUP($A87,'Dados StatusInvest'!$A:$AY,2,0)*$E87</f>
        <v>8.731342786</v>
      </c>
      <c r="J87" s="41">
        <f>VLOOKUP($A87,'Dados StatusInvest'!$A:$AY,column(J87)-$A$5,0)/VLOOKUP($A87,'Dados StatusInvest'!$A:$AY,2,0)*$E87</f>
        <v>1.020016681</v>
      </c>
      <c r="K87" s="42">
        <f>VLOOKUP($A87,'Dados StatusInvest'!$A:$AY,column(K87)-$A$5,0)/VLOOKUP($A87,'Dados StatusInvest'!$A:$AY,2,0)*$E87</f>
        <v>0.3060050042</v>
      </c>
      <c r="L87" s="43">
        <f>VLOOKUP($A87,'Dados StatusInvest'!$A:$AY,column(L87)-$A$5,0)/100</f>
        <v>0.2741</v>
      </c>
      <c r="M87" s="47">
        <f>VLOOKUP($A87,'Dados StatusInvest'!$A:$AY,column(M87)-$A$5,0)</f>
        <v>11.53</v>
      </c>
      <c r="N87" s="47">
        <f>VLOOKUP($A87,'Dados StatusInvest'!$A:$AY,column(N87)-$A$5,0)</f>
        <v>9.81</v>
      </c>
      <c r="O87" s="41">
        <f>VLOOKUP($A87,'Dados StatusInvest'!$A:$AY,column(O87)-$A$5,0)/VLOOKUP($A87,'Dados StatusInvest'!$A:$AY,2,0)*$E87</f>
        <v>7.425721435</v>
      </c>
      <c r="P87" s="41">
        <f>VLOOKUP($A87,'Dados StatusInvest'!$A:$AY,column(P87)-$A$5,0)-VLOOKUP($A87,'Dados StatusInvest'!$A:$AY,column(P87)-$A$5-1,0)+O87</f>
        <v>12.11572143</v>
      </c>
      <c r="Q87" s="44">
        <f>VLOOKUP($A87,'Dados StatusInvest'!$A:$AY,column(Q87)-$A$5,0)</f>
        <v>4.69</v>
      </c>
      <c r="R87" s="44">
        <f>VLOOKUP($A87,'Dados StatusInvest'!$A:$AY,column(R87)-$A$5,0)</f>
        <v>0.64</v>
      </c>
      <c r="S87" s="41">
        <f>VLOOKUP($A87,'Dados StatusInvest'!$A:$AY,column(S87)-$A$5,0)/VLOOKUP($A87,'Dados StatusInvest'!$A:$AY,2,0)*$E87</f>
        <v>0.8568140117</v>
      </c>
      <c r="T87" s="42">
        <f>VLOOKUP($A87,'Dados StatusInvest'!$A:$AY,column(T87)-$A$5,0)/VLOOKUP($A87,'Dados StatusInvest'!$A:$AY,2,0)*$E87</f>
        <v>1.152618849</v>
      </c>
      <c r="U87" s="44">
        <f>VLOOKUP($A87,'Dados StatusInvest'!$A:$AY,column(U87)-$A$5,0)</f>
        <v>-0.58</v>
      </c>
      <c r="V87" s="45">
        <f>VLOOKUP($A87,'Dados StatusInvest'!$A:$AY,column(V87)-$A$5,0)</f>
        <v>2.26</v>
      </c>
      <c r="W87" s="45">
        <f>VLOOKUP($A87,'Dados StatusInvest'!$A:$AY,column(W87)-$A$5,0)</f>
        <v>11.66</v>
      </c>
      <c r="X87" s="45">
        <f>VLOOKUP($A87,'Dados StatusInvest'!$A:$AY,column(X87)-$A$5,0)</f>
        <v>3.54</v>
      </c>
      <c r="Y87" s="45">
        <f>VLOOKUP($A87,'Dados StatusInvest'!$A:$AY,column(Y87)-$A$5,0)</f>
        <v>5.96</v>
      </c>
      <c r="Z87" s="44">
        <f>VLOOKUP($A87,'Dados StatusInvest'!$A:$AY,column(Z87)-$A$5,0)</f>
        <v>0.3</v>
      </c>
      <c r="AA87" s="44">
        <f>VLOOKUP($A87,'Dados StatusInvest'!$A:$AY,column(AA87)-$A$5,0)</f>
        <v>0.68</v>
      </c>
      <c r="AB87" s="44">
        <f>VLOOKUP($A87,'Dados StatusInvest'!$A:$AY,column(AB87)-$A$5,0)</f>
        <v>0.36</v>
      </c>
      <c r="AC87" s="44">
        <f>VLOOKUP($A87,'Dados StatusInvest'!$A:$AY,column(AC87)-$A$5,0)</f>
        <v>6.89</v>
      </c>
      <c r="AD87" s="45">
        <f>VLOOKUP($A87,'Dados StatusInvest'!$A:$AY,column(AD87)-$A$5,0)</f>
        <v>4.31</v>
      </c>
      <c r="AE87" s="46">
        <f>VLOOKUP($A87,'Dados StatusInvest'!$A:$AY,column(AE87)-$A$5,0)</f>
        <v>88404221.96</v>
      </c>
      <c r="AF87" s="49"/>
    </row>
    <row r="88">
      <c r="A88" s="10" t="s">
        <v>134</v>
      </c>
      <c r="B88" s="39" t="str">
        <f>VLOOKUP(lEFT($A88,4),Setor!$A:$E,3,0)</f>
        <v>Utilidade Pública</v>
      </c>
      <c r="C88" s="39" t="str">
        <f>VLOOKUP(lEFT($A88,4),Setor!$A:$E,4,0)</f>
        <v>Energia Elétrica</v>
      </c>
      <c r="D88" s="39" t="str">
        <f>VLOOKUP(lEFT($A88,4),Setor!$A:$E,5,0)</f>
        <v>Energia Elétrica</v>
      </c>
      <c r="E88" s="17">
        <f>IFERROR(__xludf.DUMMYFUNCTION("GOOGLEFINANCE(A88)"),38.23)</f>
        <v>38.23</v>
      </c>
      <c r="F88" s="17">
        <f>IFERROR(__xludf.DUMMYFUNCTION("GOOGLEFINANCE($A88,""high52"")"),48.29)</f>
        <v>48.29</v>
      </c>
      <c r="G88" s="16">
        <f t="shared" si="1"/>
        <v>-0.2083247049</v>
      </c>
      <c r="H88" s="40">
        <f>VLOOKUP($A88,'Dados StatusInvest'!$A:$AY,column(H88)-$A$5,0)*VLOOKUP($A88,'Dados StatusInvest'!$A:$AY,2,0)/$E88/100</f>
        <v>0.06904875752</v>
      </c>
      <c r="I88" s="41">
        <f>VLOOKUP($A88,'Dados StatusInvest'!$A:$AY,column(I88)-$A$5,0)/VLOOKUP($A88,'Dados StatusInvest'!$A:$AY,2,0)*$E88</f>
        <v>10.74611661</v>
      </c>
      <c r="J88" s="41">
        <f>VLOOKUP($A88,'Dados StatusInvest'!$A:$AY,column(J88)-$A$5,0)/VLOOKUP($A88,'Dados StatusInvest'!$A:$AY,2,0)*$E88</f>
        <v>0.797523402</v>
      </c>
      <c r="K88" s="42">
        <f>VLOOKUP($A88,'Dados StatusInvest'!$A:$AY,column(K88)-$A$5,0)/VLOOKUP($A88,'Dados StatusInvest'!$A:$AY,2,0)*$E88</f>
        <v>0.327189088</v>
      </c>
      <c r="L88" s="43">
        <f>VLOOKUP($A88,'Dados StatusInvest'!$A:$AY,column(L88)-$A$5,0)/100</f>
        <v>0.5923</v>
      </c>
      <c r="M88" s="44">
        <f>VLOOKUP($A88,'Dados StatusInvest'!$A:$AY,column(M88)-$A$5,0)</f>
        <v>19.11</v>
      </c>
      <c r="N88" s="44">
        <f>VLOOKUP($A88,'Dados StatusInvest'!$A:$AY,column(N88)-$A$5,0)</f>
        <v>20.53</v>
      </c>
      <c r="O88" s="41">
        <f>VLOOKUP($A88,'Dados StatusInvest'!$A:$AY,column(O88)-$A$5,0)/VLOOKUP($A88,'Dados StatusInvest'!$A:$AY,2,0)*$E88</f>
        <v>11.54364001</v>
      </c>
      <c r="P88" s="41">
        <f>VLOOKUP($A88,'Dados StatusInvest'!$A:$AY,column(P88)-$A$5,0)-VLOOKUP($A88,'Dados StatusInvest'!$A:$AY,column(P88)-$A$5-1,0)+O88</f>
        <v>15.85364001</v>
      </c>
      <c r="Q88" s="44">
        <f>VLOOKUP($A88,'Dados StatusInvest'!$A:$AY,column(Q88)-$A$5,0)</f>
        <v>4.51</v>
      </c>
      <c r="R88" s="44">
        <f>VLOOKUP($A88,'Dados StatusInvest'!$A:$AY,column(R88)-$A$5,0)</f>
        <v>0.31</v>
      </c>
      <c r="S88" s="41">
        <f>VLOOKUP($A88,'Dados StatusInvest'!$A:$AY,column(S88)-$A$5,0)/VLOOKUP($A88,'Dados StatusInvest'!$A:$AY,2,0)*$E88</f>
        <v>2.208526344</v>
      </c>
      <c r="T88" s="42">
        <f>VLOOKUP($A88,'Dados StatusInvest'!$A:$AY,column(T88)-$A$5,0)/VLOOKUP($A88,'Dados StatusInvest'!$A:$AY,2,0)*$E88</f>
        <v>2.464142819</v>
      </c>
      <c r="U88" s="44">
        <f>VLOOKUP($A88,'Dados StatusInvest'!$A:$AY,column(U88)-$A$5,0)</f>
        <v>-0.45</v>
      </c>
      <c r="V88" s="45">
        <f>VLOOKUP($A88,'Dados StatusInvest'!$A:$AY,column(V88)-$A$5,0)</f>
        <v>1.95</v>
      </c>
      <c r="W88" s="45">
        <f>VLOOKUP($A88,'Dados StatusInvest'!$A:$AY,column(W88)-$A$5,0)</f>
        <v>7.42</v>
      </c>
      <c r="X88" s="45">
        <f>VLOOKUP($A88,'Dados StatusInvest'!$A:$AY,column(X88)-$A$5,0)</f>
        <v>3.08</v>
      </c>
      <c r="Y88" s="45">
        <f>VLOOKUP($A88,'Dados StatusInvest'!$A:$AY,column(Y88)-$A$5,0)</f>
        <v>3.68</v>
      </c>
      <c r="Z88" s="44">
        <f>VLOOKUP($A88,'Dados StatusInvest'!$A:$AY,column(Z88)-$A$5,0)</f>
        <v>0.42</v>
      </c>
      <c r="AA88" s="44">
        <f>VLOOKUP($A88,'Dados StatusInvest'!$A:$AY,column(AA88)-$A$5,0)</f>
        <v>0.58</v>
      </c>
      <c r="AB88" s="44">
        <f>VLOOKUP($A88,'Dados StatusInvest'!$A:$AY,column(AB88)-$A$5,0)</f>
        <v>0.15</v>
      </c>
      <c r="AC88" s="44">
        <f>VLOOKUP($A88,'Dados StatusInvest'!$A:$AY,column(AC88)-$A$5,0)</f>
        <v>-2.25</v>
      </c>
      <c r="AD88" s="45">
        <f>VLOOKUP($A88,'Dados StatusInvest'!$A:$AY,column(AD88)-$A$5,0)</f>
        <v>0</v>
      </c>
      <c r="AE88" s="46">
        <f>VLOOKUP($A88,'Dados StatusInvest'!$A:$AY,column(AE88)-$A$5,0)</f>
        <v>91953297.58</v>
      </c>
      <c r="AF88" s="50"/>
    </row>
    <row r="89">
      <c r="A89" s="10" t="s">
        <v>135</v>
      </c>
      <c r="B89" s="39" t="str">
        <f>VLOOKUP(lEFT($A89,4),Setor!$A:$E,3,0)</f>
        <v>Consumo Cíclico</v>
      </c>
      <c r="C89" s="39" t="str">
        <f>VLOOKUP(lEFT($A89,4),Setor!$A:$E,4,0)</f>
        <v>Diversos</v>
      </c>
      <c r="D89" s="39" t="str">
        <f>VLOOKUP(lEFT($A89,4),Setor!$A:$E,5,0)</f>
        <v>Serviços Educacionais</v>
      </c>
      <c r="E89" s="17">
        <f>IFERROR(__xludf.DUMMYFUNCTION("GOOGLEFINANCE(A89)"),26.46)</f>
        <v>26.46</v>
      </c>
      <c r="F89" s="17">
        <f>IFERROR(__xludf.DUMMYFUNCTION("GOOGLEFINANCE($A89,""high52"")"),38.15)</f>
        <v>38.15</v>
      </c>
      <c r="G89" s="16">
        <f t="shared" si="1"/>
        <v>-0.3064220183</v>
      </c>
      <c r="H89" s="40">
        <f>VLOOKUP($A89,'Dados StatusInvest'!$A:$AY,column(H89)-$A$5,0)*VLOOKUP($A89,'Dados StatusInvest'!$A:$AY,2,0)/$E89/100</f>
        <v>0.01772702192</v>
      </c>
      <c r="I89" s="41">
        <f>VLOOKUP($A89,'Dados StatusInvest'!$A:$AY,column(I89)-$A$5,0)/VLOOKUP($A89,'Dados StatusInvest'!$A:$AY,2,0)*$E89</f>
        <v>48.24143637</v>
      </c>
      <c r="J89" s="41">
        <f>VLOOKUP($A89,'Dados StatusInvest'!$A:$AY,column(J89)-$A$5,0)/VLOOKUP($A89,'Dados StatusInvest'!$A:$AY,2,0)*$E89</f>
        <v>2.511532969</v>
      </c>
      <c r="K89" s="42">
        <f>VLOOKUP($A89,'Dados StatusInvest'!$A:$AY,column(K89)-$A$5,0)/VLOOKUP($A89,'Dados StatusInvest'!$A:$AY,2,0)*$E89</f>
        <v>0.8445863083</v>
      </c>
      <c r="L89" s="43">
        <f>VLOOKUP($A89,'Dados StatusInvest'!$A:$AY,column(L89)-$A$5,0)/100</f>
        <v>0.5433</v>
      </c>
      <c r="M89" s="44">
        <f>VLOOKUP($A89,'Dados StatusInvest'!$A:$AY,column(M89)-$A$5,0)</f>
        <v>11.36</v>
      </c>
      <c r="N89" s="44">
        <f>VLOOKUP($A89,'Dados StatusInvest'!$A:$AY,column(N89)-$A$5,0)</f>
        <v>4.05</v>
      </c>
      <c r="O89" s="41">
        <f>VLOOKUP($A89,'Dados StatusInvest'!$A:$AY,column(O89)-$A$5,0)/VLOOKUP($A89,'Dados StatusInvest'!$A:$AY,2,0)*$E89</f>
        <v>17.21400252</v>
      </c>
      <c r="P89" s="41">
        <f>VLOOKUP($A89,'Dados StatusInvest'!$A:$AY,column(P89)-$A$5,0)-VLOOKUP($A89,'Dados StatusInvest'!$A:$AY,column(P89)-$A$5-1,0)+O89</f>
        <v>23.83400252</v>
      </c>
      <c r="Q89" s="44">
        <f>VLOOKUP($A89,'Dados StatusInvest'!$A:$AY,column(Q89)-$A$5,0)</f>
        <v>6.6</v>
      </c>
      <c r="R89" s="44">
        <f>VLOOKUP($A89,'Dados StatusInvest'!$A:$AY,column(R89)-$A$5,0)</f>
        <v>0.96</v>
      </c>
      <c r="S89" s="41">
        <f>VLOOKUP($A89,'Dados StatusInvest'!$A:$AY,column(S89)-$A$5,0)/VLOOKUP($A89,'Dados StatusInvest'!$A:$AY,2,0)*$E89</f>
        <v>1.955884082</v>
      </c>
      <c r="T89" s="42">
        <f>VLOOKUP($A89,'Dados StatusInvest'!$A:$AY,column(T89)-$A$5,0)/VLOOKUP($A89,'Dados StatusInvest'!$A:$AY,2,0)*$E89</f>
        <v>7.445695086</v>
      </c>
      <c r="U89" s="44">
        <f>VLOOKUP($A89,'Dados StatusInvest'!$A:$AY,column(U89)-$A$5,0)</f>
        <v>-1.12</v>
      </c>
      <c r="V89" s="45">
        <f>VLOOKUP($A89,'Dados StatusInvest'!$A:$AY,column(V89)-$A$5,0)</f>
        <v>1.56</v>
      </c>
      <c r="W89" s="45">
        <f>VLOOKUP($A89,'Dados StatusInvest'!$A:$AY,column(W89)-$A$5,0)</f>
        <v>5.2</v>
      </c>
      <c r="X89" s="45">
        <f>VLOOKUP($A89,'Dados StatusInvest'!$A:$AY,column(X89)-$A$5,0)</f>
        <v>1.76</v>
      </c>
      <c r="Y89" s="45">
        <f>VLOOKUP($A89,'Dados StatusInvest'!$A:$AY,column(Y89)-$A$5,0)</f>
        <v>4.84</v>
      </c>
      <c r="Z89" s="44">
        <f>VLOOKUP($A89,'Dados StatusInvest'!$A:$AY,column(Z89)-$A$5,0)</f>
        <v>0.34</v>
      </c>
      <c r="AA89" s="44">
        <f>VLOOKUP($A89,'Dados StatusInvest'!$A:$AY,column(AA89)-$A$5,0)</f>
        <v>0.66</v>
      </c>
      <c r="AB89" s="44">
        <f>VLOOKUP($A89,'Dados StatusInvest'!$A:$AY,column(AB89)-$A$5,0)</f>
        <v>0.43</v>
      </c>
      <c r="AC89" s="44">
        <f>VLOOKUP($A89,'Dados StatusInvest'!$A:$AY,column(AC89)-$A$5,0)</f>
        <v>5.62</v>
      </c>
      <c r="AD89" s="45">
        <f>VLOOKUP($A89,'Dados StatusInvest'!$A:$AY,column(AD89)-$A$5,0)</f>
        <v>-17.38</v>
      </c>
      <c r="AE89" s="46">
        <f>VLOOKUP($A89,'Dados StatusInvest'!$A:$AY,column(AE89)-$A$5,0)</f>
        <v>58460596.33</v>
      </c>
      <c r="AF89" s="18"/>
    </row>
    <row r="90">
      <c r="A90" s="10" t="s">
        <v>136</v>
      </c>
      <c r="B90" s="39" t="str">
        <f>VLOOKUP(lEFT($A90,4),Setor!$A:$E,3,0)</f>
        <v>Comunicações</v>
      </c>
      <c r="C90" s="39" t="str">
        <f>VLOOKUP(lEFT($A90,4),Setor!$A:$E,4,0)</f>
        <v>Telecomunicações</v>
      </c>
      <c r="D90" s="39" t="str">
        <f>VLOOKUP(lEFT($A90,4),Setor!$A:$E,5,0)</f>
        <v>Telecomunicações</v>
      </c>
      <c r="E90" s="17">
        <f>IFERROR(__xludf.DUMMYFUNCTION("GOOGLEFINANCE(A90)"),0.94)</f>
        <v>0.94</v>
      </c>
      <c r="F90" s="17">
        <f>IFERROR(__xludf.DUMMYFUNCTION("GOOGLEFINANCE($A90,""high52"")"),2.59)</f>
        <v>2.59</v>
      </c>
      <c r="G90" s="16">
        <f t="shared" si="1"/>
        <v>-0.6370656371</v>
      </c>
      <c r="H90" s="40">
        <f>VLOOKUP($A90,'Dados StatusInvest'!$A:$AY,column(H90)-$A$5,0)*VLOOKUP($A90,'Dados StatusInvest'!$A:$AY,2,0)/$E90/100</f>
        <v>0</v>
      </c>
      <c r="I90" s="41">
        <f>VLOOKUP($A90,'Dados StatusInvest'!$A:$AY,column(I90)-$A$5,0)/VLOOKUP($A90,'Dados StatusInvest'!$A:$AY,2,0)*$E90</f>
        <v>-1.744329897</v>
      </c>
      <c r="J90" s="41">
        <f>VLOOKUP($A90,'Dados StatusInvest'!$A:$AY,column(J90)-$A$5,0)/VLOOKUP($A90,'Dados StatusInvest'!$A:$AY,2,0)*$E90</f>
        <v>0.9593814433</v>
      </c>
      <c r="K90" s="42">
        <f>VLOOKUP($A90,'Dados StatusInvest'!$A:$AY,column(K90)-$A$5,0)/VLOOKUP($A90,'Dados StatusInvest'!$A:$AY,2,0)*$E90</f>
        <v>0.0775257732</v>
      </c>
      <c r="L90" s="43">
        <f>VLOOKUP($A90,'Dados StatusInvest'!$A:$AY,column(L90)-$A$5,0)/100</f>
        <v>0.2623</v>
      </c>
      <c r="M90" s="47">
        <f>VLOOKUP($A90,'Dados StatusInvest'!$A:$AY,column(M90)-$A$5,0)</f>
        <v>-37.34</v>
      </c>
      <c r="N90" s="47">
        <f>VLOOKUP($A90,'Dados StatusInvest'!$A:$AY,column(N90)-$A$5,0)</f>
        <v>-71.79</v>
      </c>
      <c r="O90" s="41">
        <f>VLOOKUP($A90,'Dados StatusInvest'!$A:$AY,column(O90)-$A$5,0)/VLOOKUP($A90,'Dados StatusInvest'!$A:$AY,2,0)*$E90</f>
        <v>-3.352989691</v>
      </c>
      <c r="P90" s="41">
        <f>VLOOKUP($A90,'Dados StatusInvest'!$A:$AY,column(P90)-$A$5,0)-VLOOKUP($A90,'Dados StatusInvest'!$A:$AY,column(P90)-$A$5-1,0)+O90</f>
        <v>-18.37298969</v>
      </c>
      <c r="Q90" s="44">
        <f>VLOOKUP($A90,'Dados StatusInvest'!$A:$AY,column(Q90)-$A$5,0)</f>
        <v>-14.95</v>
      </c>
      <c r="R90" s="44">
        <f>VLOOKUP($A90,'Dados StatusInvest'!$A:$AY,column(R90)-$A$5,0)</f>
        <v>4.25</v>
      </c>
      <c r="S90" s="41">
        <f>VLOOKUP($A90,'Dados StatusInvest'!$A:$AY,column(S90)-$A$5,0)/VLOOKUP($A90,'Dados StatusInvest'!$A:$AY,2,0)*$E90</f>
        <v>1.250103093</v>
      </c>
      <c r="T90" s="42">
        <f>VLOOKUP($A90,'Dados StatusInvest'!$A:$AY,column(T90)-$A$5,0)/VLOOKUP($A90,'Dados StatusInvest'!$A:$AY,2,0)*$E90</f>
        <v>0.3197938144</v>
      </c>
      <c r="U90" s="44">
        <f>VLOOKUP($A90,'Dados StatusInvest'!$A:$AY,column(U90)-$A$5,0)</f>
        <v>-0.19</v>
      </c>
      <c r="V90" s="45">
        <f>VLOOKUP($A90,'Dados StatusInvest'!$A:$AY,column(V90)-$A$5,0)</f>
        <v>1.67</v>
      </c>
      <c r="W90" s="48">
        <f>VLOOKUP($A90,'Dados StatusInvest'!$A:$AY,column(W90)-$A$5,0)</f>
        <v>-54.69</v>
      </c>
      <c r="X90" s="48">
        <f>VLOOKUP($A90,'Dados StatusInvest'!$A:$AY,column(X90)-$A$5,0)</f>
        <v>-4.28</v>
      </c>
      <c r="Y90" s="48">
        <f>VLOOKUP($A90,'Dados StatusInvest'!$A:$AY,column(Y90)-$A$5,0)</f>
        <v>-15.96</v>
      </c>
      <c r="Z90" s="44">
        <f>VLOOKUP($A90,'Dados StatusInvest'!$A:$AY,column(Z90)-$A$5,0)</f>
        <v>0.08</v>
      </c>
      <c r="AA90" s="44">
        <f>VLOOKUP($A90,'Dados StatusInvest'!$A:$AY,column(AA90)-$A$5,0)</f>
        <v>0.92</v>
      </c>
      <c r="AB90" s="44">
        <f>VLOOKUP($A90,'Dados StatusInvest'!$A:$AY,column(AB90)-$A$5,0)</f>
        <v>0.06</v>
      </c>
      <c r="AC90" s="44">
        <f>VLOOKUP($A90,'Dados StatusInvest'!$A:$AY,column(AC90)-$A$5,0)</f>
        <v>-19.43</v>
      </c>
      <c r="AD90" s="45">
        <f>VLOOKUP($A90,'Dados StatusInvest'!$A:$AY,column(AD90)-$A$5,0)</f>
        <v>0</v>
      </c>
      <c r="AE90" s="46">
        <f>VLOOKUP($A90,'Dados StatusInvest'!$A:$AY,column(AE90)-$A$5,0)</f>
        <v>65659213.58</v>
      </c>
      <c r="AF90" s="18"/>
    </row>
    <row r="91">
      <c r="A91" s="10" t="s">
        <v>137</v>
      </c>
      <c r="B91" s="39" t="str">
        <f>VLOOKUP(lEFT($A91,4),Setor!$A:$E,3,0)</f>
        <v>Consumo Cíclico</v>
      </c>
      <c r="C91" s="39" t="str">
        <f>VLOOKUP(lEFT($A91,4),Setor!$A:$E,4,0)</f>
        <v>Comércio</v>
      </c>
      <c r="D91" s="39" t="str">
        <f>VLOOKUP(lEFT($A91,4),Setor!$A:$E,5,0)</f>
        <v>Tecidos, Vestuário e Calçados</v>
      </c>
      <c r="E91" s="17">
        <f>IFERROR(__xludf.DUMMYFUNCTION("GOOGLEFINANCE(A91)"),16.76)</f>
        <v>16.76</v>
      </c>
      <c r="F91" s="17">
        <f>IFERROR(__xludf.DUMMYFUNCTION("GOOGLEFINANCE($A91,""high52"")"),20.3)</f>
        <v>20.3</v>
      </c>
      <c r="G91" s="16">
        <f t="shared" si="1"/>
        <v>-0.1743842365</v>
      </c>
      <c r="H91" s="40">
        <f>VLOOKUP($A91,'Dados StatusInvest'!$A:$AY,column(H91)-$A$5,0)*VLOOKUP($A91,'Dados StatusInvest'!$A:$AY,2,0)/$E91/100</f>
        <v>0</v>
      </c>
      <c r="I91" s="41">
        <f>VLOOKUP($A91,'Dados StatusInvest'!$A:$AY,column(I91)-$A$5,0)/VLOOKUP($A91,'Dados StatusInvest'!$A:$AY,2,0)*$E91</f>
        <v>150.1799138</v>
      </c>
      <c r="J91" s="41">
        <f>VLOOKUP($A91,'Dados StatusInvest'!$A:$AY,column(J91)-$A$5,0)/VLOOKUP($A91,'Dados StatusInvest'!$A:$AY,2,0)*$E91</f>
        <v>7.580676923</v>
      </c>
      <c r="K91" s="42">
        <f>VLOOKUP($A91,'Dados StatusInvest'!$A:$AY,column(K91)-$A$5,0)/VLOOKUP($A91,'Dados StatusInvest'!$A:$AY,2,0)*$E91</f>
        <v>5.136295385</v>
      </c>
      <c r="L91" s="43">
        <f>VLOOKUP($A91,'Dados StatusInvest'!$A:$AY,column(L91)-$A$5,0)/100</f>
        <v>0.6746</v>
      </c>
      <c r="M91" s="44">
        <f>VLOOKUP($A91,'Dados StatusInvest'!$A:$AY,column(M91)-$A$5,0)</f>
        <v>5.76</v>
      </c>
      <c r="N91" s="44">
        <f>VLOOKUP($A91,'Dados StatusInvest'!$A:$AY,column(N91)-$A$5,0)</f>
        <v>5.4</v>
      </c>
      <c r="O91" s="41">
        <f>VLOOKUP($A91,'Dados StatusInvest'!$A:$AY,column(O91)-$A$5,0)/VLOOKUP($A91,'Dados StatusInvest'!$A:$AY,2,0)*$E91</f>
        <v>140.6808615</v>
      </c>
      <c r="P91" s="41">
        <f>VLOOKUP($A91,'Dados StatusInvest'!$A:$AY,column(P91)-$A$5,0)-VLOOKUP($A91,'Dados StatusInvest'!$A:$AY,column(P91)-$A$5-1,0)+O91</f>
        <v>141.9108615</v>
      </c>
      <c r="Q91" s="44">
        <f>VLOOKUP($A91,'Dados StatusInvest'!$A:$AY,column(Q91)-$A$5,0)</f>
        <v>-0.45</v>
      </c>
      <c r="R91" s="44">
        <f>VLOOKUP($A91,'Dados StatusInvest'!$A:$AY,column(R91)-$A$5,0)</f>
        <v>-0.02</v>
      </c>
      <c r="S91" s="41">
        <f>VLOOKUP($A91,'Dados StatusInvest'!$A:$AY,column(S91)-$A$5,0)/VLOOKUP($A91,'Dados StatusInvest'!$A:$AY,2,0)*$E91</f>
        <v>8.106683077</v>
      </c>
      <c r="T91" s="42">
        <f>VLOOKUP($A91,'Dados StatusInvest'!$A:$AY,column(T91)-$A$5,0)/VLOOKUP($A91,'Dados StatusInvest'!$A:$AY,2,0)*$E91</f>
        <v>13.64521846</v>
      </c>
      <c r="U91" s="47">
        <f>VLOOKUP($A91,'Dados StatusInvest'!$A:$AY,column(U91)-$A$5,0)</f>
        <v>-11.05</v>
      </c>
      <c r="V91" s="45">
        <f>VLOOKUP($A91,'Dados StatusInvest'!$A:$AY,column(V91)-$A$5,0)</f>
        <v>3.18</v>
      </c>
      <c r="W91" s="45">
        <f>VLOOKUP($A91,'Dados StatusInvest'!$A:$AY,column(W91)-$A$5,0)</f>
        <v>5.05</v>
      </c>
      <c r="X91" s="48">
        <f>VLOOKUP($A91,'Dados StatusInvest'!$A:$AY,column(X91)-$A$5,0)</f>
        <v>3.42</v>
      </c>
      <c r="Y91" s="45">
        <f>VLOOKUP($A91,'Dados StatusInvest'!$A:$AY,column(Y91)-$A$5,0)</f>
        <v>0.63</v>
      </c>
      <c r="Z91" s="44">
        <f>VLOOKUP($A91,'Dados StatusInvest'!$A:$AY,column(Z91)-$A$5,0)</f>
        <v>0.68</v>
      </c>
      <c r="AA91" s="44">
        <f>VLOOKUP($A91,'Dados StatusInvest'!$A:$AY,column(AA91)-$A$5,0)</f>
        <v>0.32</v>
      </c>
      <c r="AB91" s="44">
        <f>VLOOKUP($A91,'Dados StatusInvest'!$A:$AY,column(AB91)-$A$5,0)</f>
        <v>0.63</v>
      </c>
      <c r="AC91" s="44">
        <f>VLOOKUP($A91,'Dados StatusInvest'!$A:$AY,column(AC91)-$A$5,0)</f>
        <v>0</v>
      </c>
      <c r="AD91" s="45">
        <f>VLOOKUP($A91,'Dados StatusInvest'!$A:$AY,column(AD91)-$A$5,0)</f>
        <v>0</v>
      </c>
      <c r="AE91" s="46">
        <f>VLOOKUP($A91,'Dados StatusInvest'!$A:$AY,column(AE91)-$A$5,0)</f>
        <v>87878739.54</v>
      </c>
      <c r="AF91" s="18"/>
    </row>
    <row r="92">
      <c r="A92" s="10" t="s">
        <v>138</v>
      </c>
      <c r="B92" s="39" t="str">
        <f>VLOOKUP(lEFT($A92,4),Setor!$A:$E,3,0)</f>
        <v>Comunicações</v>
      </c>
      <c r="C92" s="39" t="str">
        <f>VLOOKUP(lEFT($A92,4),Setor!$A:$E,4,0)</f>
        <v>Telecomunicações</v>
      </c>
      <c r="D92" s="39" t="str">
        <f>VLOOKUP(lEFT($A92,4),Setor!$A:$E,5,0)</f>
        <v>Telecomunicações</v>
      </c>
      <c r="E92" s="17">
        <f>IFERROR(__xludf.DUMMYFUNCTION("GOOGLEFINANCE(A92)"),11.82)</f>
        <v>11.82</v>
      </c>
      <c r="F92" s="17">
        <f>IFERROR(__xludf.DUMMYFUNCTION("GOOGLEFINANCE($A92,""high52"")"),15.14)</f>
        <v>15.14</v>
      </c>
      <c r="G92" s="16">
        <f t="shared" si="1"/>
        <v>-0.2192866579</v>
      </c>
      <c r="H92" s="40">
        <f>VLOOKUP($A92,'Dados StatusInvest'!$A:$AY,column(H92)-$A$5,0)*VLOOKUP($A92,'Dados StatusInvest'!$A:$AY,2,0)/$E92/100</f>
        <v>0.0548321489</v>
      </c>
      <c r="I92" s="41">
        <f>VLOOKUP($A92,'Dados StatusInvest'!$A:$AY,column(I92)-$A$5,0)/VLOOKUP($A92,'Dados StatusInvest'!$A:$AY,2,0)*$E92</f>
        <v>12.08221843</v>
      </c>
      <c r="J92" s="41">
        <f>VLOOKUP($A92,'Dados StatusInvest'!$A:$AY,column(J92)-$A$5,0)/VLOOKUP($A92,'Dados StatusInvest'!$A:$AY,2,0)*$E92</f>
        <v>1.200153584</v>
      </c>
      <c r="K92" s="42">
        <f>VLOOKUP($A92,'Dados StatusInvest'!$A:$AY,column(K92)-$A$5,0)/VLOOKUP($A92,'Dados StatusInvest'!$A:$AY,2,0)*$E92</f>
        <v>0.6555460751</v>
      </c>
      <c r="L92" s="43">
        <f>VLOOKUP($A92,'Dados StatusInvest'!$A:$AY,column(L92)-$A$5,0)/100</f>
        <v>0.5308</v>
      </c>
      <c r="M92" s="44">
        <f>VLOOKUP($A92,'Dados StatusInvest'!$A:$AY,column(M92)-$A$5,0)</f>
        <v>16.43</v>
      </c>
      <c r="N92" s="44">
        <f>VLOOKUP($A92,'Dados StatusInvest'!$A:$AY,column(N92)-$A$5,0)</f>
        <v>13.31</v>
      </c>
      <c r="O92" s="41">
        <f>VLOOKUP($A92,'Dados StatusInvest'!$A:$AY,column(O92)-$A$5,0)/VLOOKUP($A92,'Dados StatusInvest'!$A:$AY,2,0)*$E92</f>
        <v>9.782764505</v>
      </c>
      <c r="P92" s="41">
        <f>VLOOKUP($A92,'Dados StatusInvest'!$A:$AY,column(P92)-$A$5,0)-VLOOKUP($A92,'Dados StatusInvest'!$A:$AY,column(P92)-$A$5-1,0)+O92</f>
        <v>11.47276451</v>
      </c>
      <c r="Q92" s="44">
        <f>VLOOKUP($A92,'Dados StatusInvest'!$A:$AY,column(Q92)-$A$5,0)</f>
        <v>1.66</v>
      </c>
      <c r="R92" s="44">
        <f>VLOOKUP($A92,'Dados StatusInvest'!$A:$AY,column(R92)-$A$5,0)</f>
        <v>0.2</v>
      </c>
      <c r="S92" s="41">
        <f>VLOOKUP($A92,'Dados StatusInvest'!$A:$AY,column(S92)-$A$5,0)/VLOOKUP($A92,'Dados StatusInvest'!$A:$AY,2,0)*$E92</f>
        <v>1.603566553</v>
      </c>
      <c r="T92" s="42">
        <f>VLOOKUP($A92,'Dados StatusInvest'!$A:$AY,column(T92)-$A$5,0)/VLOOKUP($A92,'Dados StatusInvest'!$A:$AY,2,0)*$E92</f>
        <v>5.617525597</v>
      </c>
      <c r="U92" s="44">
        <f>VLOOKUP($A92,'Dados StatusInvest'!$A:$AY,column(U92)-$A$5,0)</f>
        <v>-0.91</v>
      </c>
      <c r="V92" s="45">
        <f>VLOOKUP($A92,'Dados StatusInvest'!$A:$AY,column(V92)-$A$5,0)</f>
        <v>1.67</v>
      </c>
      <c r="W92" s="45">
        <f>VLOOKUP($A92,'Dados StatusInvest'!$A:$AY,column(W92)-$A$5,0)</f>
        <v>9.97</v>
      </c>
      <c r="X92" s="45">
        <f>VLOOKUP($A92,'Dados StatusInvest'!$A:$AY,column(X92)-$A$5,0)</f>
        <v>5.41</v>
      </c>
      <c r="Y92" s="45">
        <f>VLOOKUP($A92,'Dados StatusInvest'!$A:$AY,column(Y92)-$A$5,0)</f>
        <v>8.15</v>
      </c>
      <c r="Z92" s="44">
        <f>VLOOKUP($A92,'Dados StatusInvest'!$A:$AY,column(Z92)-$A$5,0)</f>
        <v>0.54</v>
      </c>
      <c r="AA92" s="44">
        <f>VLOOKUP($A92,'Dados StatusInvest'!$A:$AY,column(AA92)-$A$5,0)</f>
        <v>0.46</v>
      </c>
      <c r="AB92" s="44">
        <f>VLOOKUP($A92,'Dados StatusInvest'!$A:$AY,column(AB92)-$A$5,0)</f>
        <v>0.41</v>
      </c>
      <c r="AC92" s="44">
        <f>VLOOKUP($A92,'Dados StatusInvest'!$A:$AY,column(AC92)-$A$5,0)</f>
        <v>0.15</v>
      </c>
      <c r="AD92" s="45">
        <f>VLOOKUP($A92,'Dados StatusInvest'!$A:$AY,column(AD92)-$A$5,0)</f>
        <v>2.6</v>
      </c>
      <c r="AE92" s="46">
        <f>VLOOKUP($A92,'Dados StatusInvest'!$A:$AY,column(AE92)-$A$5,0)</f>
        <v>66876863.21</v>
      </c>
      <c r="AF92" s="18"/>
    </row>
    <row r="93">
      <c r="A93" s="10" t="s">
        <v>139</v>
      </c>
      <c r="B93" s="52" t="str">
        <f>VLOOKUP(lEFT($A93,4),Setor!$A:$E,3,0)</f>
        <v>Utilidade Pública</v>
      </c>
      <c r="C93" s="52" t="str">
        <f>VLOOKUP(lEFT($A93,4),Setor!$A:$E,4,0)</f>
        <v>Energia Elétrica</v>
      </c>
      <c r="D93" s="52" t="str">
        <f>VLOOKUP(lEFT($A93,4),Setor!$A:$E,5,0)</f>
        <v>Energia Elétrica</v>
      </c>
      <c r="E93" s="53">
        <f>IFERROR(__xludf.DUMMYFUNCTION("GOOGLEFINANCE(A93)"),43.99)</f>
        <v>43.99</v>
      </c>
      <c r="F93" s="53">
        <f>IFERROR(__xludf.DUMMYFUNCTION("GOOGLEFINANCE($A93,""high52"")"),53.48)</f>
        <v>53.48</v>
      </c>
      <c r="G93" s="54">
        <f t="shared" si="1"/>
        <v>-0.1774495138</v>
      </c>
      <c r="H93" s="55">
        <f>VLOOKUP($A93,'Dados StatusInvest'!$A:$AY,column(H93)-$A$5,0)*VLOOKUP($A93,'Dados StatusInvest'!$A:$AY,2,0)/$E93/100</f>
        <v>0.03982743805</v>
      </c>
      <c r="I93" s="56">
        <f>VLOOKUP($A93,'Dados StatusInvest'!$A:$AY,column(I93)-$A$5,0)/VLOOKUP($A93,'Dados StatusInvest'!$A:$AY,2,0)*$E93</f>
        <v>6.381605557</v>
      </c>
      <c r="J93" s="56">
        <f>VLOOKUP($A93,'Dados StatusInvest'!$A:$AY,column(J93)-$A$5,0)/VLOOKUP($A93,'Dados StatusInvest'!$A:$AY,2,0)*$E93</f>
        <v>1.953552721</v>
      </c>
      <c r="K93" s="57">
        <f>VLOOKUP($A93,'Dados StatusInvest'!$A:$AY,column(K93)-$A$5,0)/VLOOKUP($A93,'Dados StatusInvest'!$A:$AY,2,0)*$E93</f>
        <v>0.3306012298</v>
      </c>
      <c r="L93" s="58">
        <f>VLOOKUP($A93,'Dados StatusInvest'!$A:$AY,column(L93)-$A$5,0)/100</f>
        <v>0.2112</v>
      </c>
      <c r="M93" s="59">
        <f>VLOOKUP($A93,'Dados StatusInvest'!$A:$AY,column(M93)-$A$5,0)</f>
        <v>16.77</v>
      </c>
      <c r="N93" s="63">
        <f>VLOOKUP($A93,'Dados StatusInvest'!$A:$AY,column(N93)-$A$5,0)</f>
        <v>11.01</v>
      </c>
      <c r="O93" s="56">
        <f>VLOOKUP($A93,'Dados StatusInvest'!$A:$AY,column(O93)-$A$5,0)/VLOOKUP($A93,'Dados StatusInvest'!$A:$AY,2,0)*$E93</f>
        <v>4.187615577</v>
      </c>
      <c r="P93" s="56">
        <f>VLOOKUP($A93,'Dados StatusInvest'!$A:$AY,column(P93)-$A$5,0)-VLOOKUP($A93,'Dados StatusInvest'!$A:$AY,column(P93)-$A$5-1,0)+O93</f>
        <v>8.077615577</v>
      </c>
      <c r="Q93" s="59">
        <f>VLOOKUP($A93,'Dados StatusInvest'!$A:$AY,column(Q93)-$A$5,0)</f>
        <v>3.9</v>
      </c>
      <c r="R93" s="59">
        <f>VLOOKUP($A93,'Dados StatusInvest'!$A:$AY,column(R93)-$A$5,0)</f>
        <v>1.82</v>
      </c>
      <c r="S93" s="56">
        <f>VLOOKUP($A93,'Dados StatusInvest'!$A:$AY,column(S93)-$A$5,0)/VLOOKUP($A93,'Dados StatusInvest'!$A:$AY,2,0)*$E93</f>
        <v>0.7012753359</v>
      </c>
      <c r="T93" s="57">
        <f>VLOOKUP($A93,'Dados StatusInvest'!$A:$AY,column(T93)-$A$5,0)/VLOOKUP($A93,'Dados StatusInvest'!$A:$AY,2,0)*$E93</f>
        <v>6.682152129</v>
      </c>
      <c r="U93" s="59">
        <f>VLOOKUP($A93,'Dados StatusInvest'!$A:$AY,column(U93)-$A$5,0)</f>
        <v>-0.44</v>
      </c>
      <c r="V93" s="60">
        <f>VLOOKUP($A93,'Dados StatusInvest'!$A:$AY,column(V93)-$A$5,0)</f>
        <v>1.25</v>
      </c>
      <c r="W93" s="60">
        <f>VLOOKUP($A93,'Dados StatusInvest'!$A:$AY,column(W93)-$A$5,0)</f>
        <v>30.52</v>
      </c>
      <c r="X93" s="60">
        <f>VLOOKUP($A93,'Dados StatusInvest'!$A:$AY,column(X93)-$A$5,0)</f>
        <v>5.21</v>
      </c>
      <c r="Y93" s="60">
        <f>VLOOKUP($A93,'Dados StatusInvest'!$A:$AY,column(Y93)-$A$5,0)</f>
        <v>10.44</v>
      </c>
      <c r="Z93" s="59">
        <f>VLOOKUP($A93,'Dados StatusInvest'!$A:$AY,column(Z93)-$A$5,0)</f>
        <v>0.17</v>
      </c>
      <c r="AA93" s="59">
        <f>VLOOKUP($A93,'Dados StatusInvest'!$A:$AY,column(AA93)-$A$5,0)</f>
        <v>0.81</v>
      </c>
      <c r="AB93" s="59">
        <f>VLOOKUP($A93,'Dados StatusInvest'!$A:$AY,column(AB93)-$A$5,0)</f>
        <v>0.47</v>
      </c>
      <c r="AC93" s="59">
        <f>VLOOKUP($A93,'Dados StatusInvest'!$A:$AY,column(AC93)-$A$5,0)</f>
        <v>10.79</v>
      </c>
      <c r="AD93" s="60">
        <f>VLOOKUP($A93,'Dados StatusInvest'!$A:$AY,column(AD93)-$A$5,0)</f>
        <v>50.4</v>
      </c>
      <c r="AE93" s="62">
        <f>VLOOKUP($A93,'Dados StatusInvest'!$A:$AY,column(AE93)-$A$5,0)</f>
        <v>68576696.25</v>
      </c>
      <c r="AF93" s="18"/>
    </row>
    <row r="94">
      <c r="A94" s="10" t="s">
        <v>140</v>
      </c>
      <c r="B94" s="39" t="str">
        <f>VLOOKUP(lEFT($A94,4),Setor!$A:$E,3,0)</f>
        <v>Financeiro</v>
      </c>
      <c r="C94" s="39" t="str">
        <f>VLOOKUP(lEFT($A94,4),Setor!$A:$E,4,0)</f>
        <v>Exploração de Imóveis</v>
      </c>
      <c r="D94" s="39" t="str">
        <f>VLOOKUP(lEFT($A94,4),Setor!$A:$E,5,0)</f>
        <v>Exploração de Imóveis</v>
      </c>
      <c r="E94" s="17">
        <f>IFERROR(__xludf.DUMMYFUNCTION("GOOGLEFINANCE(A94)"),33.25)</f>
        <v>33.25</v>
      </c>
      <c r="F94" s="17">
        <f>IFERROR(__xludf.DUMMYFUNCTION("GOOGLEFINANCE($A94,""high52"")"),47.25)</f>
        <v>47.25</v>
      </c>
      <c r="G94" s="16">
        <f t="shared" si="1"/>
        <v>-0.2962962963</v>
      </c>
      <c r="H94" s="40">
        <f>VLOOKUP($A94,'Dados StatusInvest'!$A:$AY,column(H94)-$A$5,0)*VLOOKUP($A94,'Dados StatusInvest'!$A:$AY,2,0)/$E94/100</f>
        <v>0.008538947368</v>
      </c>
      <c r="I94" s="41">
        <f>VLOOKUP($A94,'Dados StatusInvest'!$A:$AY,column(I94)-$A$5,0)/VLOOKUP($A94,'Dados StatusInvest'!$A:$AY,2,0)*$E94</f>
        <v>12.70320513</v>
      </c>
      <c r="J94" s="41">
        <f>VLOOKUP($A94,'Dados StatusInvest'!$A:$AY,column(J94)-$A$5,0)/VLOOKUP($A94,'Dados StatusInvest'!$A:$AY,2,0)*$E94</f>
        <v>1.694471154</v>
      </c>
      <c r="K94" s="42">
        <f>VLOOKUP($A94,'Dados StatusInvest'!$A:$AY,column(K94)-$A$5,0)/VLOOKUP($A94,'Dados StatusInvest'!$A:$AY,2,0)*$E94</f>
        <v>0.83125</v>
      </c>
      <c r="L94" s="43">
        <f>VLOOKUP($A94,'Dados StatusInvest'!$A:$AY,column(L94)-$A$5,0)/100</f>
        <v>0.5456</v>
      </c>
      <c r="M94" s="47">
        <f>VLOOKUP($A94,'Dados StatusInvest'!$A:$AY,column(M94)-$A$5,0)</f>
        <v>50.32</v>
      </c>
      <c r="N94" s="47">
        <f>VLOOKUP($A94,'Dados StatusInvest'!$A:$AY,column(N94)-$A$5,0)</f>
        <v>66.37</v>
      </c>
      <c r="O94" s="41">
        <f>VLOOKUP($A94,'Dados StatusInvest'!$A:$AY,column(O94)-$A$5,0)/VLOOKUP($A94,'Dados StatusInvest'!$A:$AY,2,0)*$E94</f>
        <v>16.75288462</v>
      </c>
      <c r="P94" s="41">
        <f>VLOOKUP($A94,'Dados StatusInvest'!$A:$AY,column(P94)-$A$5,0)-VLOOKUP($A94,'Dados StatusInvest'!$A:$AY,column(P94)-$A$5-1,0)+O94</f>
        <v>22.13288462</v>
      </c>
      <c r="Q94" s="44">
        <f>VLOOKUP($A94,'Dados StatusInvest'!$A:$AY,column(Q94)-$A$5,0)</f>
        <v>5.34</v>
      </c>
      <c r="R94" s="44">
        <f>VLOOKUP($A94,'Dados StatusInvest'!$A:$AY,column(R94)-$A$5,0)</f>
        <v>0.54</v>
      </c>
      <c r="S94" s="41">
        <f>VLOOKUP($A94,'Dados StatusInvest'!$A:$AY,column(S94)-$A$5,0)/VLOOKUP($A94,'Dados StatusInvest'!$A:$AY,2,0)*$E94</f>
        <v>8.429727564</v>
      </c>
      <c r="T94" s="42">
        <f>VLOOKUP($A94,'Dados StatusInvest'!$A:$AY,column(T94)-$A$5,0)/VLOOKUP($A94,'Dados StatusInvest'!$A:$AY,2,0)*$E94</f>
        <v>5.658894231</v>
      </c>
      <c r="U94" s="44">
        <f>VLOOKUP($A94,'Dados StatusInvest'!$A:$AY,column(U94)-$A$5,0)</f>
        <v>-1.01</v>
      </c>
      <c r="V94" s="45">
        <f>VLOOKUP($A94,'Dados StatusInvest'!$A:$AY,column(V94)-$A$5,0)</f>
        <v>2.87</v>
      </c>
      <c r="W94" s="45">
        <f>VLOOKUP($A94,'Dados StatusInvest'!$A:$AY,column(W94)-$A$5,0)</f>
        <v>13.38</v>
      </c>
      <c r="X94" s="45">
        <f>VLOOKUP($A94,'Dados StatusInvest'!$A:$AY,column(X94)-$A$5,0)</f>
        <v>6.58</v>
      </c>
      <c r="Y94" s="45">
        <f>VLOOKUP($A94,'Dados StatusInvest'!$A:$AY,column(Y94)-$A$5,0)</f>
        <v>2.23</v>
      </c>
      <c r="Z94" s="44">
        <f>VLOOKUP($A94,'Dados StatusInvest'!$A:$AY,column(Z94)-$A$5,0)</f>
        <v>0.49</v>
      </c>
      <c r="AA94" s="44">
        <f>VLOOKUP($A94,'Dados StatusInvest'!$A:$AY,column(AA94)-$A$5,0)</f>
        <v>0.51</v>
      </c>
      <c r="AB94" s="44">
        <f>VLOOKUP($A94,'Dados StatusInvest'!$A:$AY,column(AB94)-$A$5,0)</f>
        <v>0.1</v>
      </c>
      <c r="AC94" s="44">
        <f>VLOOKUP($A94,'Dados StatusInvest'!$A:$AY,column(AC94)-$A$5,0)</f>
        <v>1.21</v>
      </c>
      <c r="AD94" s="45">
        <f>VLOOKUP($A94,'Dados StatusInvest'!$A:$AY,column(AD94)-$A$5,0)</f>
        <v>19.33</v>
      </c>
      <c r="AE94" s="46">
        <f>VLOOKUP($A94,'Dados StatusInvest'!$A:$AY,column(AE94)-$A$5,0)</f>
        <v>59295793.29</v>
      </c>
      <c r="AF94" s="50"/>
    </row>
    <row r="95">
      <c r="A95" s="10" t="s">
        <v>141</v>
      </c>
      <c r="B95" s="39" t="str">
        <f>VLOOKUP(lEFT($A95,4),Setor!$A:$E,3,0)</f>
        <v>Consumo Cíclico</v>
      </c>
      <c r="C95" s="39" t="str">
        <f>VLOOKUP(lEFT($A95,4),Setor!$A:$E,4,0)</f>
        <v>Construção Civil</v>
      </c>
      <c r="D95" s="39" t="str">
        <f>VLOOKUP(lEFT($A95,4),Setor!$A:$E,5,0)</f>
        <v>Incorporações</v>
      </c>
      <c r="E95" s="17">
        <f>IFERROR(__xludf.DUMMYFUNCTION("GOOGLEFINANCE(A95)"),2.44)</f>
        <v>2.44</v>
      </c>
      <c r="F95" s="17">
        <f>IFERROR(__xludf.DUMMYFUNCTION("GOOGLEFINANCE($A95,""high52"")"),10.33)</f>
        <v>10.33</v>
      </c>
      <c r="G95" s="16">
        <f t="shared" si="1"/>
        <v>-0.7637947725</v>
      </c>
      <c r="H95" s="40">
        <f>VLOOKUP($A95,'Dados StatusInvest'!$A:$AY,column(H95)-$A$5,0)*VLOOKUP($A95,'Dados StatusInvest'!$A:$AY,2,0)/$E95/100</f>
        <v>0</v>
      </c>
      <c r="I95" s="41">
        <f>VLOOKUP($A95,'Dados StatusInvest'!$A:$AY,column(I95)-$A$5,0)/VLOOKUP($A95,'Dados StatusInvest'!$A:$AY,2,0)*$E95</f>
        <v>-2.429875519</v>
      </c>
      <c r="J95" s="41">
        <f>VLOOKUP($A95,'Dados StatusInvest'!$A:$AY,column(J95)-$A$5,0)/VLOOKUP($A95,'Dados StatusInvest'!$A:$AY,2,0)*$E95</f>
        <v>-2.014771784</v>
      </c>
      <c r="K95" s="42">
        <f>VLOOKUP($A95,'Dados StatusInvest'!$A:$AY,column(K95)-$A$5,0)/VLOOKUP($A95,'Dados StatusInvest'!$A:$AY,2,0)*$E95</f>
        <v>1.012448133</v>
      </c>
      <c r="L95" s="43">
        <f>VLOOKUP($A95,'Dados StatusInvest'!$A:$AY,column(L95)-$A$5,0)/100</f>
        <v>0.0957</v>
      </c>
      <c r="M95" s="44">
        <f>VLOOKUP($A95,'Dados StatusInvest'!$A:$AY,column(M95)-$A$5,0)</f>
        <v>-178.52</v>
      </c>
      <c r="N95" s="44">
        <f>VLOOKUP($A95,'Dados StatusInvest'!$A:$AY,column(N95)-$A$5,0)</f>
        <v>-210.34</v>
      </c>
      <c r="O95" s="41">
        <f>VLOOKUP($A95,'Dados StatusInvest'!$A:$AY,column(O95)-$A$5,0)/VLOOKUP($A95,'Dados StatusInvest'!$A:$AY,2,0)*$E95</f>
        <v>-2.865228216</v>
      </c>
      <c r="P95" s="41">
        <f>VLOOKUP($A95,'Dados StatusInvest'!$A:$AY,column(P95)-$A$5,0)-VLOOKUP($A95,'Dados StatusInvest'!$A:$AY,column(P95)-$A$5-1,0)+O95</f>
        <v>-4.075228216</v>
      </c>
      <c r="Q95" s="44">
        <f>VLOOKUP($A95,'Dados StatusInvest'!$A:$AY,column(Q95)-$A$5,0)</f>
        <v>-1.19</v>
      </c>
      <c r="R95" s="44">
        <f>VLOOKUP($A95,'Dados StatusInvest'!$A:$AY,column(R95)-$A$5,0)</f>
        <v>0</v>
      </c>
      <c r="S95" s="41">
        <f>VLOOKUP($A95,'Dados StatusInvest'!$A:$AY,column(S95)-$A$5,0)/VLOOKUP($A95,'Dados StatusInvest'!$A:$AY,2,0)*$E95</f>
        <v>5.112863071</v>
      </c>
      <c r="T95" s="42">
        <f>VLOOKUP($A95,'Dados StatusInvest'!$A:$AY,column(T95)-$A$5,0)/VLOOKUP($A95,'Dados StatusInvest'!$A:$AY,2,0)*$E95</f>
        <v>-1.812282158</v>
      </c>
      <c r="U95" s="44">
        <f>VLOOKUP($A95,'Dados StatusInvest'!$A:$AY,column(U95)-$A$5,0)</f>
        <v>-1.78</v>
      </c>
      <c r="V95" s="45">
        <f>VLOOKUP($A95,'Dados StatusInvest'!$A:$AY,column(V95)-$A$5,0)</f>
        <v>0.44</v>
      </c>
      <c r="W95" s="45">
        <f>VLOOKUP($A95,'Dados StatusInvest'!$A:$AY,column(W95)-$A$5,0)</f>
        <v>-82.81</v>
      </c>
      <c r="X95" s="45">
        <f>VLOOKUP($A95,'Dados StatusInvest'!$A:$AY,column(X95)-$A$5,0)</f>
        <v>-41.62</v>
      </c>
      <c r="Y95" s="45">
        <f>VLOOKUP($A95,'Dados StatusInvest'!$A:$AY,column(Y95)-$A$5,0)</f>
        <v>-297.69</v>
      </c>
      <c r="Z95" s="44">
        <f>VLOOKUP($A95,'Dados StatusInvest'!$A:$AY,column(Z95)-$A$5,0)</f>
        <v>-0.5</v>
      </c>
      <c r="AA95" s="44">
        <f>VLOOKUP($A95,'Dados StatusInvest'!$A:$AY,column(AA95)-$A$5,0)</f>
        <v>1.5</v>
      </c>
      <c r="AB95" s="44">
        <f>VLOOKUP($A95,'Dados StatusInvest'!$A:$AY,column(AB95)-$A$5,0)</f>
        <v>0.2</v>
      </c>
      <c r="AC95" s="44">
        <f>VLOOKUP($A95,'Dados StatusInvest'!$A:$AY,column(AC95)-$A$5,0)</f>
        <v>-17.04</v>
      </c>
      <c r="AD95" s="45">
        <f>VLOOKUP($A95,'Dados StatusInvest'!$A:$AY,column(AD95)-$A$5,0)</f>
        <v>0</v>
      </c>
      <c r="AE95" s="46">
        <f>VLOOKUP($A95,'Dados StatusInvest'!$A:$AY,column(AE95)-$A$5,0)</f>
        <v>52027963.29</v>
      </c>
      <c r="AF95" s="18"/>
    </row>
    <row r="96">
      <c r="A96" s="10" t="s">
        <v>142</v>
      </c>
      <c r="B96" s="39" t="str">
        <f>VLOOKUP(lEFT($A96,4),Setor!$A:$E,3,0)</f>
        <v>Utilidade Pública</v>
      </c>
      <c r="C96" s="39" t="str">
        <f>VLOOKUP(lEFT($A96,4),Setor!$A:$E,4,0)</f>
        <v>Energia Elétrica</v>
      </c>
      <c r="D96" s="39" t="str">
        <f>VLOOKUP(lEFT($A96,4),Setor!$A:$E,5,0)</f>
        <v>Energia Elétrica</v>
      </c>
      <c r="E96" s="17">
        <f>IFERROR(__xludf.DUMMYFUNCTION("GOOGLEFINANCE(A96)"),25.95)</f>
        <v>25.95</v>
      </c>
      <c r="F96" s="17">
        <f>IFERROR(__xludf.DUMMYFUNCTION("GOOGLEFINANCE($A96,""high52"")"),34.07)</f>
        <v>34.07</v>
      </c>
      <c r="G96" s="16">
        <f t="shared" si="1"/>
        <v>-0.2383328441</v>
      </c>
      <c r="H96" s="40">
        <f>VLOOKUP($A96,'Dados StatusInvest'!$A:$AY,column(H96)-$A$5,0)*VLOOKUP($A96,'Dados StatusInvest'!$A:$AY,2,0)/$E96/100</f>
        <v>0.115767052</v>
      </c>
      <c r="I96" s="41">
        <f>VLOOKUP($A96,'Dados StatusInvest'!$A:$AY,column(I96)-$A$5,0)/VLOOKUP($A96,'Dados StatusInvest'!$A:$AY,2,0)*$E96</f>
        <v>6.864129181</v>
      </c>
      <c r="J96" s="41">
        <f>VLOOKUP($A96,'Dados StatusInvest'!$A:$AY,column(J96)-$A$5,0)/VLOOKUP($A96,'Dados StatusInvest'!$A:$AY,2,0)*$E96</f>
        <v>1.985409458</v>
      </c>
      <c r="K96" s="42">
        <f>VLOOKUP($A96,'Dados StatusInvest'!$A:$AY,column(K96)-$A$5,0)/VLOOKUP($A96,'Dados StatusInvest'!$A:$AY,2,0)*$E96</f>
        <v>0.5287773933</v>
      </c>
      <c r="L96" s="43">
        <f>VLOOKUP($A96,'Dados StatusInvest'!$A:$AY,column(L96)-$A$5,0)/100</f>
        <v>0.2345</v>
      </c>
      <c r="M96" s="47">
        <f>VLOOKUP($A96,'Dados StatusInvest'!$A:$AY,column(M96)-$A$5,0)</f>
        <v>18.25</v>
      </c>
      <c r="N96" s="47">
        <f>VLOOKUP($A96,'Dados StatusInvest'!$A:$AY,column(N96)-$A$5,0)</f>
        <v>12.75</v>
      </c>
      <c r="O96" s="41">
        <f>VLOOKUP($A96,'Dados StatusInvest'!$A:$AY,column(O96)-$A$5,0)/VLOOKUP($A96,'Dados StatusInvest'!$A:$AY,2,0)*$E96</f>
        <v>4.798904268</v>
      </c>
      <c r="P96" s="41">
        <f>VLOOKUP($A96,'Dados StatusInvest'!$A:$AY,column(P96)-$A$5,0)-VLOOKUP($A96,'Dados StatusInvest'!$A:$AY,column(P96)-$A$5-1,0)+O96</f>
        <v>7.038904268</v>
      </c>
      <c r="Q96" s="44">
        <f>VLOOKUP($A96,'Dados StatusInvest'!$A:$AY,column(Q96)-$A$5,0)</f>
        <v>2.24</v>
      </c>
      <c r="R96" s="44">
        <f>VLOOKUP($A96,'Dados StatusInvest'!$A:$AY,column(R96)-$A$5,0)</f>
        <v>0.93</v>
      </c>
      <c r="S96" s="41">
        <f>VLOOKUP($A96,'Dados StatusInvest'!$A:$AY,column(S96)-$A$5,0)/VLOOKUP($A96,'Dados StatusInvest'!$A:$AY,2,0)*$E96</f>
        <v>0.8779700115</v>
      </c>
      <c r="T96" s="42">
        <f>VLOOKUP($A96,'Dados StatusInvest'!$A:$AY,column(T96)-$A$5,0)/VLOOKUP($A96,'Dados StatusInvest'!$A:$AY,2,0)*$E96</f>
        <v>-29.13264129</v>
      </c>
      <c r="U96" s="44">
        <f>VLOOKUP($A96,'Dados StatusInvest'!$A:$AY,column(U96)-$A$5,0)</f>
        <v>-0.67</v>
      </c>
      <c r="V96" s="45">
        <f>VLOOKUP($A96,'Dados StatusInvest'!$A:$AY,column(V96)-$A$5,0)</f>
        <v>0.92</v>
      </c>
      <c r="W96" s="45">
        <f>VLOOKUP($A96,'Dados StatusInvest'!$A:$AY,column(W96)-$A$5,0)</f>
        <v>28.86</v>
      </c>
      <c r="X96" s="45">
        <f>VLOOKUP($A96,'Dados StatusInvest'!$A:$AY,column(X96)-$A$5,0)</f>
        <v>7.76</v>
      </c>
      <c r="Y96" s="45">
        <f>VLOOKUP($A96,'Dados StatusInvest'!$A:$AY,column(Y96)-$A$5,0)</f>
        <v>15.21</v>
      </c>
      <c r="Z96" s="44">
        <f>VLOOKUP($A96,'Dados StatusInvest'!$A:$AY,column(Z96)-$A$5,0)</f>
        <v>0.27</v>
      </c>
      <c r="AA96" s="44">
        <f>VLOOKUP($A96,'Dados StatusInvest'!$A:$AY,column(AA96)-$A$5,0)</f>
        <v>0.73</v>
      </c>
      <c r="AB96" s="44">
        <f>VLOOKUP($A96,'Dados StatusInvest'!$A:$AY,column(AB96)-$A$5,0)</f>
        <v>0.61</v>
      </c>
      <c r="AC96" s="44">
        <f>VLOOKUP($A96,'Dados StatusInvest'!$A:$AY,column(AC96)-$A$5,0)</f>
        <v>8.45</v>
      </c>
      <c r="AD96" s="45">
        <f>VLOOKUP($A96,'Dados StatusInvest'!$A:$AY,column(AD96)-$A$5,0)</f>
        <v>38.17</v>
      </c>
      <c r="AE96" s="46">
        <f>VLOOKUP($A96,'Dados StatusInvest'!$A:$AY,column(AE96)-$A$5,0)</f>
        <v>54702308</v>
      </c>
      <c r="AF96" s="18"/>
    </row>
    <row r="97">
      <c r="A97" s="10" t="s">
        <v>143</v>
      </c>
      <c r="B97" s="39" t="str">
        <f>VLOOKUP(lEFT($A97,4),Setor!$A:$E,3,0)</f>
        <v>#N/A</v>
      </c>
      <c r="C97" s="39" t="str">
        <f>VLOOKUP(lEFT($A97,4),Setor!$A:$E,4,0)</f>
        <v>#N/A</v>
      </c>
      <c r="D97" s="39" t="str">
        <f>VLOOKUP(lEFT($A97,4),Setor!$A:$E,5,0)</f>
        <v>#N/A</v>
      </c>
      <c r="E97" s="17">
        <f>IFERROR(__xludf.DUMMYFUNCTION("GOOGLEFINANCE(A97)"),28.15)</f>
        <v>28.15</v>
      </c>
      <c r="F97" s="17">
        <f>IFERROR(__xludf.DUMMYFUNCTION("GOOGLEFINANCE($A97,""high52"")"),33.9)</f>
        <v>33.9</v>
      </c>
      <c r="G97" s="16">
        <f t="shared" si="1"/>
        <v>-0.1696165192</v>
      </c>
      <c r="H97" s="40">
        <f>VLOOKUP($A97,'Dados StatusInvest'!$A:$AY,column(H97)-$A$5,0)*VLOOKUP($A97,'Dados StatusInvest'!$A:$AY,2,0)/$E97/100</f>
        <v>0.005887424512</v>
      </c>
      <c r="I97" s="41">
        <f>VLOOKUP($A97,'Dados StatusInvest'!$A:$AY,column(I97)-$A$5,0)/VLOOKUP($A97,'Dados StatusInvest'!$A:$AY,2,0)*$E97</f>
        <v>19.37128871</v>
      </c>
      <c r="J97" s="41">
        <f>VLOOKUP($A97,'Dados StatusInvest'!$A:$AY,column(J97)-$A$5,0)/VLOOKUP($A97,'Dados StatusInvest'!$A:$AY,2,0)*$E97</f>
        <v>5.080829477</v>
      </c>
      <c r="K97" s="42">
        <f>VLOOKUP($A97,'Dados StatusInvest'!$A:$AY,column(K97)-$A$5,0)/VLOOKUP($A97,'Dados StatusInvest'!$A:$AY,2,0)*$E97</f>
        <v>3.126664293</v>
      </c>
      <c r="L97" s="43">
        <f>VLOOKUP($A97,'Dados StatusInvest'!$A:$AY,column(L97)-$A$5,0)/100</f>
        <v>0.3004</v>
      </c>
      <c r="M97" s="47">
        <f>VLOOKUP($A97,'Dados StatusInvest'!$A:$AY,column(M97)-$A$5,0)</f>
        <v>16.18</v>
      </c>
      <c r="N97" s="47">
        <f>VLOOKUP($A97,'Dados StatusInvest'!$A:$AY,column(N97)-$A$5,0)</f>
        <v>17.44</v>
      </c>
      <c r="O97" s="41">
        <f>VLOOKUP($A97,'Dados StatusInvest'!$A:$AY,column(O97)-$A$5,0)/VLOOKUP($A97,'Dados StatusInvest'!$A:$AY,2,0)*$E97</f>
        <v>20.8744927</v>
      </c>
      <c r="P97" s="41">
        <f>VLOOKUP($A97,'Dados StatusInvest'!$A:$AY,column(P97)-$A$5,0)-VLOOKUP($A97,'Dados StatusInvest'!$A:$AY,column(P97)-$A$5-1,0)+O97</f>
        <v>20.1944927</v>
      </c>
      <c r="Q97" s="44">
        <f>VLOOKUP($A97,'Dados StatusInvest'!$A:$AY,column(Q97)-$A$5,0)</f>
        <v>-1.14</v>
      </c>
      <c r="R97" s="44">
        <f>VLOOKUP($A97,'Dados StatusInvest'!$A:$AY,column(R97)-$A$5,0)</f>
        <v>-0.28</v>
      </c>
      <c r="S97" s="41">
        <f>VLOOKUP($A97,'Dados StatusInvest'!$A:$AY,column(S97)-$A$5,0)/VLOOKUP($A97,'Dados StatusInvest'!$A:$AY,2,0)*$E97</f>
        <v>3.377198291</v>
      </c>
      <c r="T97" s="42">
        <f>VLOOKUP($A97,'Dados StatusInvest'!$A:$AY,column(T97)-$A$5,0)/VLOOKUP($A97,'Dados StatusInvest'!$A:$AY,2,0)*$E97</f>
        <v>5.672089712</v>
      </c>
      <c r="U97" s="44">
        <f>VLOOKUP($A97,'Dados StatusInvest'!$A:$AY,column(U97)-$A$5,0)</f>
        <v>-17.13</v>
      </c>
      <c r="V97" s="45">
        <f>VLOOKUP($A97,'Dados StatusInvest'!$A:$AY,column(V97)-$A$5,0)</f>
        <v>3.08</v>
      </c>
      <c r="W97" s="45">
        <f>VLOOKUP($A97,'Dados StatusInvest'!$A:$AY,column(W97)-$A$5,0)</f>
        <v>26.23</v>
      </c>
      <c r="X97" s="45">
        <f>VLOOKUP($A97,'Dados StatusInvest'!$A:$AY,column(X97)-$A$5,0)</f>
        <v>16.15</v>
      </c>
      <c r="Y97" s="45">
        <f>VLOOKUP($A97,'Dados StatusInvest'!$A:$AY,column(Y97)-$A$5,0)</f>
        <v>18.43</v>
      </c>
      <c r="Z97" s="44">
        <f>VLOOKUP($A97,'Dados StatusInvest'!$A:$AY,column(Z97)-$A$5,0)</f>
        <v>0.62</v>
      </c>
      <c r="AA97" s="44">
        <f>VLOOKUP($A97,'Dados StatusInvest'!$A:$AY,column(AA97)-$A$5,0)</f>
        <v>0.38</v>
      </c>
      <c r="AB97" s="44">
        <f>VLOOKUP($A97,'Dados StatusInvest'!$A:$AY,column(AB97)-$A$5,0)</f>
        <v>0.93</v>
      </c>
      <c r="AC97" s="44">
        <f>VLOOKUP($A97,'Dados StatusInvest'!$A:$AY,column(AC97)-$A$5,0)</f>
        <v>0</v>
      </c>
      <c r="AD97" s="45">
        <f>VLOOKUP($A97,'Dados StatusInvest'!$A:$AY,column(AD97)-$A$5,0)</f>
        <v>0</v>
      </c>
      <c r="AE97" s="46">
        <f>VLOOKUP($A97,'Dados StatusInvest'!$A:$AY,column(AE97)-$A$5,0)</f>
        <v>66371291.25</v>
      </c>
      <c r="AF97" s="49"/>
    </row>
    <row r="98">
      <c r="A98" s="10" t="s">
        <v>144</v>
      </c>
      <c r="B98" s="39" t="str">
        <f>VLOOKUP(lEFT($A98,4),Setor!$A:$E,3,0)</f>
        <v>Consumo não Cíclico</v>
      </c>
      <c r="C98" s="39" t="str">
        <f>VLOOKUP(lEFT($A98,4),Setor!$A:$E,4,0)</f>
        <v>Comércio e Distribuição</v>
      </c>
      <c r="D98" s="39" t="str">
        <f>VLOOKUP(lEFT($A98,4),Setor!$A:$E,5,0)</f>
        <v>Alimentos</v>
      </c>
      <c r="E98" s="17">
        <f>IFERROR(__xludf.DUMMYFUNCTION("GOOGLEFINANCE(A98)"),23.92)</f>
        <v>23.92</v>
      </c>
      <c r="F98" s="17">
        <f>IFERROR(__xludf.DUMMYFUNCTION("GOOGLEFINANCE($A98,""high52"")"),90.8)</f>
        <v>90.8</v>
      </c>
      <c r="G98" s="16">
        <f t="shared" si="1"/>
        <v>-0.7365638767</v>
      </c>
      <c r="H98" s="40">
        <f>VLOOKUP($A98,'Dados StatusInvest'!$A:$AY,column(H98)-$A$5,0)*VLOOKUP($A98,'Dados StatusInvest'!$A:$AY,2,0)/$E98/100</f>
        <v>0.09096153846</v>
      </c>
      <c r="I98" s="41">
        <f>VLOOKUP($A98,'Dados StatusInvest'!$A:$AY,column(I98)-$A$5,0)/VLOOKUP($A98,'Dados StatusInvest'!$A:$AY,2,0)*$E98</f>
        <v>3.082181818</v>
      </c>
      <c r="J98" s="41">
        <f>VLOOKUP($A98,'Dados StatusInvest'!$A:$AY,column(J98)-$A$5,0)/VLOOKUP($A98,'Dados StatusInvest'!$A:$AY,2,0)*$E98</f>
        <v>0.5105454545</v>
      </c>
      <c r="K98" s="42">
        <f>VLOOKUP($A98,'Dados StatusInvest'!$A:$AY,column(K98)-$A$5,0)/VLOOKUP($A98,'Dados StatusInvest'!$A:$AY,2,0)*$E98</f>
        <v>0.1323636364</v>
      </c>
      <c r="L98" s="43">
        <f>VLOOKUP($A98,'Dados StatusInvest'!$A:$AY,column(L98)-$A$5,0)/100</f>
        <v>0.3227</v>
      </c>
      <c r="M98" s="44">
        <f>VLOOKUP($A98,'Dados StatusInvest'!$A:$AY,column(M98)-$A$5,0)</f>
        <v>5.77</v>
      </c>
      <c r="N98" s="44">
        <f>VLOOKUP($A98,'Dados StatusInvest'!$A:$AY,column(N98)-$A$5,0)</f>
        <v>5.95</v>
      </c>
      <c r="O98" s="41">
        <f>VLOOKUP($A98,'Dados StatusInvest'!$A:$AY,column(O98)-$A$5,0)/VLOOKUP($A98,'Dados StatusInvest'!$A:$AY,2,0)*$E98</f>
        <v>3.176727273</v>
      </c>
      <c r="P98" s="41">
        <f>VLOOKUP($A98,'Dados StatusInvest'!$A:$AY,column(P98)-$A$5,0)-VLOOKUP($A98,'Dados StatusInvest'!$A:$AY,column(P98)-$A$5-1,0)+O98</f>
        <v>5.506727273</v>
      </c>
      <c r="Q98" s="44">
        <f>VLOOKUP($A98,'Dados StatusInvest'!$A:$AY,column(Q98)-$A$5,0)</f>
        <v>2.3</v>
      </c>
      <c r="R98" s="44">
        <f>VLOOKUP($A98,'Dados StatusInvest'!$A:$AY,column(R98)-$A$5,0)</f>
        <v>0.37</v>
      </c>
      <c r="S98" s="41">
        <f>VLOOKUP($A98,'Dados StatusInvest'!$A:$AY,column(S98)-$A$5,0)/VLOOKUP($A98,'Dados StatusInvest'!$A:$AY,2,0)*$E98</f>
        <v>0.1796363636</v>
      </c>
      <c r="T98" s="42">
        <f>VLOOKUP($A98,'Dados StatusInvest'!$A:$AY,column(T98)-$A$5,0)/VLOOKUP($A98,'Dados StatusInvest'!$A:$AY,2,0)*$E98</f>
        <v>-24.96945455</v>
      </c>
      <c r="U98" s="44">
        <f>VLOOKUP($A98,'Dados StatusInvest'!$A:$AY,column(U98)-$A$5,0)</f>
        <v>-0.21</v>
      </c>
      <c r="V98" s="45">
        <f>VLOOKUP($A98,'Dados StatusInvest'!$A:$AY,column(V98)-$A$5,0)</f>
        <v>0.98</v>
      </c>
      <c r="W98" s="48">
        <f>VLOOKUP($A98,'Dados StatusInvest'!$A:$AY,column(W98)-$A$5,0)</f>
        <v>16.49</v>
      </c>
      <c r="X98" s="45">
        <f>VLOOKUP($A98,'Dados StatusInvest'!$A:$AY,column(X98)-$A$5,0)</f>
        <v>4.4</v>
      </c>
      <c r="Y98" s="45">
        <f>VLOOKUP($A98,'Dados StatusInvest'!$A:$AY,column(Y98)-$A$5,0)</f>
        <v>6.14</v>
      </c>
      <c r="Z98" s="44">
        <f>VLOOKUP($A98,'Dados StatusInvest'!$A:$AY,column(Z98)-$A$5,0)</f>
        <v>0.27</v>
      </c>
      <c r="AA98" s="44">
        <f>VLOOKUP($A98,'Dados StatusInvest'!$A:$AY,column(AA98)-$A$5,0)</f>
        <v>0.68</v>
      </c>
      <c r="AB98" s="44">
        <f>VLOOKUP($A98,'Dados StatusInvest'!$A:$AY,column(AB98)-$A$5,0)</f>
        <v>0.74</v>
      </c>
      <c r="AC98" s="44">
        <f>VLOOKUP($A98,'Dados StatusInvest'!$A:$AY,column(AC98)-$A$5,0)</f>
        <v>6.62</v>
      </c>
      <c r="AD98" s="45">
        <f>VLOOKUP($A98,'Dados StatusInvest'!$A:$AY,column(AD98)-$A$5,0)</f>
        <v>51.14</v>
      </c>
      <c r="AE98" s="46">
        <f>VLOOKUP($A98,'Dados StatusInvest'!$A:$AY,column(AE98)-$A$5,0)</f>
        <v>65994714.75</v>
      </c>
      <c r="AF98" s="49"/>
    </row>
    <row r="99">
      <c r="A99" s="10" t="s">
        <v>145</v>
      </c>
      <c r="B99" s="39" t="str">
        <f>VLOOKUP(lEFT($A99,4),Setor!$A:$E,3,0)</f>
        <v>#N/A</v>
      </c>
      <c r="C99" s="39" t="str">
        <f>VLOOKUP(lEFT($A99,4),Setor!$A:$E,4,0)</f>
        <v>#N/A</v>
      </c>
      <c r="D99" s="39" t="str">
        <f>VLOOKUP(lEFT($A99,4),Setor!$A:$E,5,0)</f>
        <v>#N/A</v>
      </c>
      <c r="E99" s="17">
        <f>IFERROR(__xludf.DUMMYFUNCTION("GOOGLEFINANCE(A99)"),6.33)</f>
        <v>6.33</v>
      </c>
      <c r="F99" s="17">
        <f>IFERROR(__xludf.DUMMYFUNCTION("GOOGLEFINANCE($A99,""high52"")"),11.2)</f>
        <v>11.2</v>
      </c>
      <c r="G99" s="16">
        <f t="shared" si="1"/>
        <v>-0.4348214286</v>
      </c>
      <c r="H99" s="40">
        <f>VLOOKUP($A99,'Dados StatusInvest'!$A:$AY,column(H99)-$A$5,0)*VLOOKUP($A99,'Dados StatusInvest'!$A:$AY,2,0)/$E99/100</f>
        <v>0.06031974724</v>
      </c>
      <c r="I99" s="41">
        <f>VLOOKUP($A99,'Dados StatusInvest'!$A:$AY,column(I99)-$A$5,0)/VLOOKUP($A99,'Dados StatusInvest'!$A:$AY,2,0)*$E99</f>
        <v>4.616464968</v>
      </c>
      <c r="J99" s="41">
        <f>VLOOKUP($A99,'Dados StatusInvest'!$A:$AY,column(J99)-$A$5,0)/VLOOKUP($A99,'Dados StatusInvest'!$A:$AY,2,0)*$E99</f>
        <v>2.288073248</v>
      </c>
      <c r="K99" s="42">
        <f>VLOOKUP($A99,'Dados StatusInvest'!$A:$AY,column(K99)-$A$5,0)/VLOOKUP($A99,'Dados StatusInvest'!$A:$AY,2,0)*$E99</f>
        <v>1.300270701</v>
      </c>
      <c r="L99" s="43">
        <f>VLOOKUP($A99,'Dados StatusInvest'!$A:$AY,column(L99)-$A$5,0)/100</f>
        <v>0.6585</v>
      </c>
      <c r="M99" s="44">
        <f>VLOOKUP($A99,'Dados StatusInvest'!$A:$AY,column(M99)-$A$5,0)</f>
        <v>55.35</v>
      </c>
      <c r="N99" s="44">
        <f>VLOOKUP($A99,'Dados StatusInvest'!$A:$AY,column(N99)-$A$5,0)</f>
        <v>34.22</v>
      </c>
      <c r="O99" s="41">
        <f>VLOOKUP($A99,'Dados StatusInvest'!$A:$AY,column(O99)-$A$5,0)/VLOOKUP($A99,'Dados StatusInvest'!$A:$AY,2,0)*$E99</f>
        <v>2.852531847</v>
      </c>
      <c r="P99" s="41">
        <f>VLOOKUP($A99,'Dados StatusInvest'!$A:$AY,column(P99)-$A$5,0)-VLOOKUP($A99,'Dados StatusInvest'!$A:$AY,column(P99)-$A$5-1,0)+O99</f>
        <v>2.392531847</v>
      </c>
      <c r="Q99" s="44">
        <f>VLOOKUP($A99,'Dados StatusInvest'!$A:$AY,column(Q99)-$A$5,0)</f>
        <v>-0.48</v>
      </c>
      <c r="R99" s="44">
        <f>VLOOKUP($A99,'Dados StatusInvest'!$A:$AY,column(R99)-$A$5,0)</f>
        <v>-0.38</v>
      </c>
      <c r="S99" s="41">
        <f>VLOOKUP($A99,'Dados StatusInvest'!$A:$AY,column(S99)-$A$5,0)/VLOOKUP($A99,'Dados StatusInvest'!$A:$AY,2,0)*$E99</f>
        <v>1.5825</v>
      </c>
      <c r="T99" s="42">
        <f>VLOOKUP($A99,'Dados StatusInvest'!$A:$AY,column(T99)-$A$5,0)/VLOOKUP($A99,'Dados StatusInvest'!$A:$AY,2,0)*$E99</f>
        <v>4.737420382</v>
      </c>
      <c r="U99" s="44">
        <f>VLOOKUP($A99,'Dados StatusInvest'!$A:$AY,column(U99)-$A$5,0)</f>
        <v>-2.6</v>
      </c>
      <c r="V99" s="45">
        <f>VLOOKUP($A99,'Dados StatusInvest'!$A:$AY,column(V99)-$A$5,0)</f>
        <v>2.17</v>
      </c>
      <c r="W99" s="45">
        <f>VLOOKUP($A99,'Dados StatusInvest'!$A:$AY,column(W99)-$A$5,0)</f>
        <v>49.53</v>
      </c>
      <c r="X99" s="45">
        <f>VLOOKUP($A99,'Dados StatusInvest'!$A:$AY,column(X99)-$A$5,0)</f>
        <v>28.08</v>
      </c>
      <c r="Y99" s="45">
        <f>VLOOKUP($A99,'Dados StatusInvest'!$A:$AY,column(Y99)-$A$5,0)</f>
        <v>46.59</v>
      </c>
      <c r="Z99" s="44">
        <f>VLOOKUP($A99,'Dados StatusInvest'!$A:$AY,column(Z99)-$A$5,0)</f>
        <v>0.57</v>
      </c>
      <c r="AA99" s="44">
        <f>VLOOKUP($A99,'Dados StatusInvest'!$A:$AY,column(AA99)-$A$5,0)</f>
        <v>0.43</v>
      </c>
      <c r="AB99" s="44">
        <f>VLOOKUP($A99,'Dados StatusInvest'!$A:$AY,column(AB99)-$A$5,0)</f>
        <v>0.82</v>
      </c>
      <c r="AC99" s="44">
        <f>VLOOKUP($A99,'Dados StatusInvest'!$A:$AY,column(AC99)-$A$5,0)</f>
        <v>0</v>
      </c>
      <c r="AD99" s="45">
        <f>VLOOKUP($A99,'Dados StatusInvest'!$A:$AY,column(AD99)-$A$5,0)</f>
        <v>0</v>
      </c>
      <c r="AE99" s="46">
        <f>VLOOKUP($A99,'Dados StatusInvest'!$A:$AY,column(AE99)-$A$5,0)</f>
        <v>62649531.25</v>
      </c>
      <c r="AF99" s="51"/>
    </row>
    <row r="100">
      <c r="A100" s="10" t="s">
        <v>146</v>
      </c>
      <c r="B100" s="52" t="str">
        <f>VLOOKUP(LEFT($A100,4),Setor!$A:$E,3,0)</f>
        <v>#N/A</v>
      </c>
      <c r="C100" s="52" t="str">
        <f>VLOOKUP(LEFT($A100,4),Setor!$A:$E,4,0)</f>
        <v>#N/A</v>
      </c>
      <c r="D100" s="52" t="str">
        <f>VLOOKUP(LEFT($A100,4),Setor!$A:$E,5,0)</f>
        <v>#N/A</v>
      </c>
      <c r="E100" s="53">
        <f>IFERROR(__xludf.DUMMYFUNCTION("GOOGLEFINANCE(A100)"),18.07)</f>
        <v>18.07</v>
      </c>
      <c r="F100" s="53">
        <f>IFERROR(__xludf.DUMMYFUNCTION("GOOGLEFINANCE($A100,""high52"")"),24.45)</f>
        <v>24.45</v>
      </c>
      <c r="G100" s="54">
        <f t="shared" si="1"/>
        <v>-0.2609406953</v>
      </c>
      <c r="H100" s="55">
        <f>VLOOKUP($A100,'Dados StatusInvest'!$A:$AY,COLUMN(H100)-$A$5,0)*VLOOKUP($A100,'Dados StatusInvest'!$A:$AY,2,0)/$E100/100</f>
        <v>0.04142434975</v>
      </c>
      <c r="I100" s="56">
        <f>VLOOKUP($A100,'Dados StatusInvest'!$A:$AY,COLUMN(I100)-$A$5,0)/VLOOKUP($A100,'Dados StatusInvest'!$A:$AY,2,0)*$E100</f>
        <v>9.512665917</v>
      </c>
      <c r="J100" s="56">
        <f>VLOOKUP($A100,'Dados StatusInvest'!$A:$AY,COLUMN(J100)-$A$5,0)/VLOOKUP($A100,'Dados StatusInvest'!$A:$AY,2,0)*$E100</f>
        <v>2.215556805</v>
      </c>
      <c r="K100" s="57">
        <f>VLOOKUP($A100,'Dados StatusInvest'!$A:$AY,COLUMN(K100)-$A$5,0)/VLOOKUP($A100,'Dados StatusInvest'!$A:$AY,2,0)*$E100</f>
        <v>1.046799775</v>
      </c>
      <c r="L100" s="58">
        <f>VLOOKUP($A100,'Dados StatusInvest'!$A:$AY,COLUMN(L100)-$A$5,0)/100</f>
        <v>0.3402</v>
      </c>
      <c r="M100" s="59">
        <f>VLOOKUP($A100,'Dados StatusInvest'!$A:$AY,COLUMN(M100)-$A$5,0)</f>
        <v>23.4</v>
      </c>
      <c r="N100" s="59">
        <f>VLOOKUP($A100,'Dados StatusInvest'!$A:$AY,COLUMN(N100)-$A$5,0)</f>
        <v>17.73</v>
      </c>
      <c r="O100" s="56">
        <f>VLOOKUP($A100,'Dados StatusInvest'!$A:$AY,COLUMN(O100)-$A$5,0)/VLOOKUP($A100,'Dados StatusInvest'!$A:$AY,2,0)*$E100</f>
        <v>7.20564117</v>
      </c>
      <c r="P100" s="56">
        <f>VLOOKUP($A100,'Dados StatusInvest'!$A:$AY,COLUMN(P100)-$A$5,0)-VLOOKUP($A100,'Dados StatusInvest'!$A:$AY,COLUMN(P100)-$A$5-1,0)+O100</f>
        <v>8.24564117</v>
      </c>
      <c r="Q100" s="59">
        <f>VLOOKUP($A100,'Dados StatusInvest'!$A:$AY,COLUMN(Q100)-$A$5,0)</f>
        <v>1.02</v>
      </c>
      <c r="R100" s="59">
        <f>VLOOKUP($A100,'Dados StatusInvest'!$A:$AY,COLUMN(R100)-$A$5,0)</f>
        <v>0.31</v>
      </c>
      <c r="S100" s="56">
        <f>VLOOKUP($A100,'Dados StatusInvest'!$A:$AY,COLUMN(S100)-$A$5,0)/VLOOKUP($A100,'Dados StatusInvest'!$A:$AY,2,0)*$E100</f>
        <v>1.687075366</v>
      </c>
      <c r="T100" s="57">
        <f>VLOOKUP($A100,'Dados StatusInvest'!$A:$AY,COLUMN(T100)-$A$5,0)/VLOOKUP($A100,'Dados StatusInvest'!$A:$AY,2,0)*$E100</f>
        <v>7.347924634</v>
      </c>
      <c r="U100" s="59">
        <f>VLOOKUP($A100,'Dados StatusInvest'!$A:$AY,COLUMN(U100)-$A$5,0)</f>
        <v>-1.6</v>
      </c>
      <c r="V100" s="60">
        <f>VLOOKUP($A100,'Dados StatusInvest'!$A:$AY,COLUMN(V100)-$A$5,0)</f>
        <v>1.68</v>
      </c>
      <c r="W100" s="60">
        <f>VLOOKUP($A100,'Dados StatusInvest'!$A:$AY,COLUMN(W100)-$A$5,0)</f>
        <v>23.25</v>
      </c>
      <c r="X100" s="60">
        <f>VLOOKUP($A100,'Dados StatusInvest'!$A:$AY,COLUMN(X100)-$A$5,0)</f>
        <v>11.06</v>
      </c>
      <c r="Y100" s="60">
        <f>VLOOKUP($A100,'Dados StatusInvest'!$A:$AY,COLUMN(Y100)-$A$5,0)</f>
        <v>14.3</v>
      </c>
      <c r="Z100" s="59">
        <f>VLOOKUP($A100,'Dados StatusInvest'!$A:$AY,COLUMN(Z100)-$A$5,0)</f>
        <v>0.48</v>
      </c>
      <c r="AA100" s="59">
        <f>VLOOKUP($A100,'Dados StatusInvest'!$A:$AY,COLUMN(AA100)-$A$5,0)</f>
        <v>0.52</v>
      </c>
      <c r="AB100" s="59">
        <f>VLOOKUP($A100,'Dados StatusInvest'!$A:$AY,COLUMN(AB100)-$A$5,0)</f>
        <v>0.62</v>
      </c>
      <c r="AC100" s="59">
        <f>VLOOKUP($A100,'Dados StatusInvest'!$A:$AY,COLUMN(AC100)-$A$5,0)</f>
        <v>8.21</v>
      </c>
      <c r="AD100" s="60">
        <f>VLOOKUP($A100,'Dados StatusInvest'!$A:$AY,COLUMN(AD100)-$A$5,0)</f>
        <v>48.26</v>
      </c>
      <c r="AE100" s="62">
        <f>VLOOKUP($A100,'Dados StatusInvest'!$A:$AY,COLUMN(AE100)-$A$5,0)</f>
        <v>68771496.54</v>
      </c>
      <c r="AF100" s="18"/>
    </row>
    <row r="101">
      <c r="A101" s="10" t="s">
        <v>147</v>
      </c>
      <c r="B101" s="39" t="str">
        <f>VLOOKUP(lEFT($A101,4),Setor!$A:$E,3,0)</f>
        <v>Financeiro</v>
      </c>
      <c r="C101" s="39" t="str">
        <f>VLOOKUP(lEFT($A101,4),Setor!$A:$E,4,0)</f>
        <v>Previdência e Seguros</v>
      </c>
      <c r="D101" s="39" t="str">
        <f>VLOOKUP(lEFT($A101,4),Setor!$A:$E,5,0)</f>
        <v>Corretoras de Seguros</v>
      </c>
      <c r="E101" s="17">
        <f>IFERROR(__xludf.DUMMYFUNCTION("GOOGLEFINANCE(A101)"),11.94)</f>
        <v>11.94</v>
      </c>
      <c r="F101" s="17">
        <f>IFERROR(__xludf.DUMMYFUNCTION("GOOGLEFINANCE($A101,""high52"")"),18.99)</f>
        <v>18.99</v>
      </c>
      <c r="G101" s="16">
        <f t="shared" si="1"/>
        <v>-0.3712480253</v>
      </c>
      <c r="H101" s="40">
        <f>VLOOKUP($A101,'Dados StatusInvest'!$A:$AY,column(H101)-$A$5,0)*VLOOKUP($A101,'Dados StatusInvest'!$A:$AY,2,0)/$E101/100</f>
        <v>0.05098718593</v>
      </c>
      <c r="I101" s="41">
        <f>VLOOKUP($A101,'Dados StatusInvest'!$A:$AY,column(I101)-$A$5,0)/VLOOKUP($A101,'Dados StatusInvest'!$A:$AY,2,0)*$E101</f>
        <v>7.919283887</v>
      </c>
      <c r="J101" s="41">
        <f>VLOOKUP($A101,'Dados StatusInvest'!$A:$AY,column(J101)-$A$5,0)/VLOOKUP($A101,'Dados StatusInvest'!$A:$AY,2,0)*$E101</f>
        <v>4.600920716</v>
      </c>
      <c r="K101" s="42">
        <f>VLOOKUP($A101,'Dados StatusInvest'!$A:$AY,column(K101)-$A$5,0)/VLOOKUP($A101,'Dados StatusInvest'!$A:$AY,2,0)*$E101</f>
        <v>1.903478261</v>
      </c>
      <c r="L101" s="43">
        <f>VLOOKUP($A101,'Dados StatusInvest'!$A:$AY,column(L101)-$A$5,0)/100</f>
        <v>0.7228</v>
      </c>
      <c r="M101" s="44">
        <f>VLOOKUP($A101,'Dados StatusInvest'!$A:$AY,column(M101)-$A$5,0)</f>
        <v>42.97</v>
      </c>
      <c r="N101" s="44">
        <f>VLOOKUP($A101,'Dados StatusInvest'!$A:$AY,column(N101)-$A$5,0)</f>
        <v>25.97</v>
      </c>
      <c r="O101" s="41">
        <f>VLOOKUP($A101,'Dados StatusInvest'!$A:$AY,column(O101)-$A$5,0)/VLOOKUP($A101,'Dados StatusInvest'!$A:$AY,2,0)*$E101</f>
        <v>4.784143223</v>
      </c>
      <c r="P101" s="41">
        <f>VLOOKUP($A101,'Dados StatusInvest'!$A:$AY,column(P101)-$A$5,0)-VLOOKUP($A101,'Dados StatusInvest'!$A:$AY,column(P101)-$A$5-1,0)+O101</f>
        <v>4.104143223</v>
      </c>
      <c r="Q101" s="44">
        <f>VLOOKUP($A101,'Dados StatusInvest'!$A:$AY,column(Q101)-$A$5,0)</f>
        <v>-0.72</v>
      </c>
      <c r="R101" s="44">
        <f>VLOOKUP($A101,'Dados StatusInvest'!$A:$AY,column(R101)-$A$5,0)</f>
        <v>-0.7</v>
      </c>
      <c r="S101" s="41">
        <f>VLOOKUP($A101,'Dados StatusInvest'!$A:$AY,column(S101)-$A$5,0)/VLOOKUP($A101,'Dados StatusInvest'!$A:$AY,2,0)*$E101</f>
        <v>2.056163683</v>
      </c>
      <c r="T101" s="42">
        <f>VLOOKUP($A101,'Dados StatusInvest'!$A:$AY,column(T101)-$A$5,0)/VLOOKUP($A101,'Dados StatusInvest'!$A:$AY,2,0)*$E101</f>
        <v>31.93161125</v>
      </c>
      <c r="U101" s="44">
        <f>VLOOKUP($A101,'Dados StatusInvest'!$A:$AY,column(U101)-$A$5,0)</f>
        <v>-3.17</v>
      </c>
      <c r="V101" s="45">
        <f>VLOOKUP($A101,'Dados StatusInvest'!$A:$AY,column(V101)-$A$5,0)</f>
        <v>1.17</v>
      </c>
      <c r="W101" s="45">
        <f>VLOOKUP($A101,'Dados StatusInvest'!$A:$AY,column(W101)-$A$5,0)</f>
        <v>58.08</v>
      </c>
      <c r="X101" s="45">
        <f>VLOOKUP($A101,'Dados StatusInvest'!$A:$AY,column(X101)-$A$5,0)</f>
        <v>24.02</v>
      </c>
      <c r="Y101" s="45">
        <f>VLOOKUP($A101,'Dados StatusInvest'!$A:$AY,column(Y101)-$A$5,0)</f>
        <v>63.72</v>
      </c>
      <c r="Z101" s="44">
        <f>VLOOKUP($A101,'Dados StatusInvest'!$A:$AY,column(Z101)-$A$5,0)</f>
        <v>0.41</v>
      </c>
      <c r="AA101" s="44">
        <f>VLOOKUP($A101,'Dados StatusInvest'!$A:$AY,column(AA101)-$A$5,0)</f>
        <v>0.57</v>
      </c>
      <c r="AB101" s="44">
        <f>VLOOKUP($A101,'Dados StatusInvest'!$A:$AY,column(AB101)-$A$5,0)</f>
        <v>0.92</v>
      </c>
      <c r="AC101" s="44">
        <f>VLOOKUP($A101,'Dados StatusInvest'!$A:$AY,column(AC101)-$A$5,0)</f>
        <v>17.16</v>
      </c>
      <c r="AD101" s="45">
        <f>VLOOKUP($A101,'Dados StatusInvest'!$A:$AY,column(AD101)-$A$5,0)</f>
        <v>19.97</v>
      </c>
      <c r="AE101" s="46">
        <f>VLOOKUP($A101,'Dados StatusInvest'!$A:$AY,column(AE101)-$A$5,0)</f>
        <v>57802818.04</v>
      </c>
      <c r="AF101" s="18"/>
    </row>
    <row r="102">
      <c r="A102" s="10" t="s">
        <v>148</v>
      </c>
      <c r="B102" s="39" t="str">
        <f>VLOOKUP(lEFT($A102,4),Setor!$A:$E,3,0)</f>
        <v>Bens Industriais</v>
      </c>
      <c r="C102" s="39" t="str">
        <f>VLOOKUP(lEFT($A102,4),Setor!$A:$E,4,0)</f>
        <v>Transporte</v>
      </c>
      <c r="D102" s="39" t="str">
        <f>VLOOKUP(lEFT($A102,4),Setor!$A:$E,5,0)</f>
        <v>Exploração de Rodovias</v>
      </c>
      <c r="E102" s="17">
        <f>IFERROR(__xludf.DUMMYFUNCTION("GOOGLEFINANCE(A102)"),9.36)</f>
        <v>9.36</v>
      </c>
      <c r="F102" s="17">
        <f>IFERROR(__xludf.DUMMYFUNCTION("GOOGLEFINANCE($A102,""high52"")"),13.75)</f>
        <v>13.75</v>
      </c>
      <c r="G102" s="16">
        <f t="shared" si="1"/>
        <v>-0.3192727273</v>
      </c>
      <c r="H102" s="40">
        <f>VLOOKUP($A102,'Dados StatusInvest'!$A:$AY,column(H102)-$A$5,0)*VLOOKUP($A102,'Dados StatusInvest'!$A:$AY,2,0)/$E102/100</f>
        <v>0</v>
      </c>
      <c r="I102" s="41">
        <f>VLOOKUP($A102,'Dados StatusInvest'!$A:$AY,column(I102)-$A$5,0)/VLOOKUP($A102,'Dados StatusInvest'!$A:$AY,2,0)*$E102</f>
        <v>-18.95668966</v>
      </c>
      <c r="J102" s="41">
        <f>VLOOKUP($A102,'Dados StatusInvest'!$A:$AY,column(J102)-$A$5,0)/VLOOKUP($A102,'Dados StatusInvest'!$A:$AY,2,0)*$E102</f>
        <v>3.313655172</v>
      </c>
      <c r="K102" s="42">
        <f>VLOOKUP($A102,'Dados StatusInvest'!$A:$AY,column(K102)-$A$5,0)/VLOOKUP($A102,'Dados StatusInvest'!$A:$AY,2,0)*$E102</f>
        <v>0.451862069</v>
      </c>
      <c r="L102" s="43">
        <f>VLOOKUP($A102,'Dados StatusInvest'!$A:$AY,column(L102)-$A$5,0)/100</f>
        <v>0.4138</v>
      </c>
      <c r="M102" s="44">
        <f>VLOOKUP($A102,'Dados StatusInvest'!$A:$AY,column(M102)-$A$5,0)</f>
        <v>24.46</v>
      </c>
      <c r="N102" s="44">
        <f>VLOOKUP($A102,'Dados StatusInvest'!$A:$AY,column(N102)-$A$5,0)</f>
        <v>-8.13</v>
      </c>
      <c r="O102" s="41">
        <f>VLOOKUP($A102,'Dados StatusInvest'!$A:$AY,column(O102)-$A$5,0)/VLOOKUP($A102,'Dados StatusInvest'!$A:$AY,2,0)*$E102</f>
        <v>6.304551724</v>
      </c>
      <c r="P102" s="41">
        <f>VLOOKUP($A102,'Dados StatusInvest'!$A:$AY,column(P102)-$A$5,0)-VLOOKUP($A102,'Dados StatusInvest'!$A:$AY,column(P102)-$A$5-1,0)+O102</f>
        <v>12.11455172</v>
      </c>
      <c r="Q102" s="44">
        <f>VLOOKUP($A102,'Dados StatusInvest'!$A:$AY,column(Q102)-$A$5,0)</f>
        <v>5.78</v>
      </c>
      <c r="R102" s="44">
        <f>VLOOKUP($A102,'Dados StatusInvest'!$A:$AY,column(R102)-$A$5,0)</f>
        <v>3.04</v>
      </c>
      <c r="S102" s="41">
        <f>VLOOKUP($A102,'Dados StatusInvest'!$A:$AY,column(S102)-$A$5,0)/VLOOKUP($A102,'Dados StatusInvest'!$A:$AY,2,0)*$E102</f>
        <v>1.538482759</v>
      </c>
      <c r="T102" s="42">
        <f>VLOOKUP($A102,'Dados StatusInvest'!$A:$AY,column(T102)-$A$5,0)/VLOOKUP($A102,'Dados StatusInvest'!$A:$AY,2,0)*$E102</f>
        <v>193.0957241</v>
      </c>
      <c r="U102" s="44">
        <f>VLOOKUP($A102,'Dados StatusInvest'!$A:$AY,column(U102)-$A$5,0)</f>
        <v>-0.61</v>
      </c>
      <c r="V102" s="45">
        <f>VLOOKUP($A102,'Dados StatusInvest'!$A:$AY,column(V102)-$A$5,0)</f>
        <v>1.01</v>
      </c>
      <c r="W102" s="45">
        <f>VLOOKUP($A102,'Dados StatusInvest'!$A:$AY,column(W102)-$A$5,0)</f>
        <v>-17.48</v>
      </c>
      <c r="X102" s="45">
        <f>VLOOKUP($A102,'Dados StatusInvest'!$A:$AY,column(X102)-$A$5,0)</f>
        <v>-2.41</v>
      </c>
      <c r="Y102" s="45">
        <f>VLOOKUP($A102,'Dados StatusInvest'!$A:$AY,column(Y102)-$A$5,0)</f>
        <v>5</v>
      </c>
      <c r="Z102" s="44">
        <f>VLOOKUP($A102,'Dados StatusInvest'!$A:$AY,column(Z102)-$A$5,0)</f>
        <v>0.14</v>
      </c>
      <c r="AA102" s="44">
        <f>VLOOKUP($A102,'Dados StatusInvest'!$A:$AY,column(AA102)-$A$5,0)</f>
        <v>0.86</v>
      </c>
      <c r="AB102" s="44">
        <f>VLOOKUP($A102,'Dados StatusInvest'!$A:$AY,column(AB102)-$A$5,0)</f>
        <v>0.3</v>
      </c>
      <c r="AC102" s="44">
        <f>VLOOKUP($A102,'Dados StatusInvest'!$A:$AY,column(AC102)-$A$5,0)</f>
        <v>7.89</v>
      </c>
      <c r="AD102" s="45">
        <f>VLOOKUP($A102,'Dados StatusInvest'!$A:$AY,column(AD102)-$A$5,0)</f>
        <v>0</v>
      </c>
      <c r="AE102" s="46">
        <f>VLOOKUP($A102,'Dados StatusInvest'!$A:$AY,column(AE102)-$A$5,0)</f>
        <v>54665926.67</v>
      </c>
      <c r="AF102" s="50"/>
    </row>
    <row r="103">
      <c r="A103" s="10" t="s">
        <v>149</v>
      </c>
      <c r="B103" s="39" t="str">
        <f>VLOOKUP(lEFT($A103,4),Setor!$A:$E,3,0)</f>
        <v>Consumo não Cíclico</v>
      </c>
      <c r="C103" s="39" t="str">
        <f>VLOOKUP(lEFT($A103,4),Setor!$A:$E,4,0)</f>
        <v>Agropecuária</v>
      </c>
      <c r="D103" s="39" t="str">
        <f>VLOOKUP(lEFT($A103,4),Setor!$A:$E,5,0)</f>
        <v>Agricultura</v>
      </c>
      <c r="E103" s="17">
        <f>IFERROR(__xludf.DUMMYFUNCTION("GOOGLEFINANCE(A103)"),48.0)</f>
        <v>48</v>
      </c>
      <c r="F103" s="17">
        <f>IFERROR(__xludf.DUMMYFUNCTION("GOOGLEFINANCE($A103,""high52"")"),56.76)</f>
        <v>56.76</v>
      </c>
      <c r="G103" s="16">
        <f t="shared" si="1"/>
        <v>-0.1543340381</v>
      </c>
      <c r="H103" s="40">
        <f>VLOOKUP($A103,'Dados StatusInvest'!$A:$AY,column(H103)-$A$5,0)*VLOOKUP($A103,'Dados StatusInvest'!$A:$AY,2,0)/$E103/100</f>
        <v>0.02627460417</v>
      </c>
      <c r="I103" s="41">
        <f>VLOOKUP($A103,'Dados StatusInvest'!$A:$AY,column(I103)-$A$5,0)/VLOOKUP($A103,'Dados StatusInvest'!$A:$AY,2,0)*$E103</f>
        <v>10.04700198</v>
      </c>
      <c r="J103" s="41">
        <f>VLOOKUP($A103,'Dados StatusInvest'!$A:$AY,column(J103)-$A$5,0)/VLOOKUP($A103,'Dados StatusInvest'!$A:$AY,2,0)*$E103</f>
        <v>2.49857237</v>
      </c>
      <c r="K103" s="42">
        <f>VLOOKUP($A103,'Dados StatusInvest'!$A:$AY,column(K103)-$A$5,0)/VLOOKUP($A103,'Dados StatusInvest'!$A:$AY,2,0)*$E103</f>
        <v>0.9066549528</v>
      </c>
      <c r="L103" s="43">
        <f>VLOOKUP($A103,'Dados StatusInvest'!$A:$AY,column(L103)-$A$5,0)/100</f>
        <v>0.3537</v>
      </c>
      <c r="M103" s="44">
        <f>VLOOKUP($A103,'Dados StatusInvest'!$A:$AY,column(M103)-$A$5,0)</f>
        <v>29.24</v>
      </c>
      <c r="N103" s="44">
        <f>VLOOKUP($A103,'Dados StatusInvest'!$A:$AY,column(N103)-$A$5,0)</f>
        <v>17.66</v>
      </c>
      <c r="O103" s="41">
        <f>VLOOKUP($A103,'Dados StatusInvest'!$A:$AY,column(O103)-$A$5,0)/VLOOKUP($A103,'Dados StatusInvest'!$A:$AY,2,0)*$E103</f>
        <v>6.061937184</v>
      </c>
      <c r="P103" s="41">
        <f>VLOOKUP($A103,'Dados StatusInvest'!$A:$AY,column(P103)-$A$5,0)-VLOOKUP($A103,'Dados StatusInvest'!$A:$AY,column(P103)-$A$5-1,0)+O103</f>
        <v>7.011937184</v>
      </c>
      <c r="Q103" s="44">
        <f>VLOOKUP($A103,'Dados StatusInvest'!$A:$AY,column(Q103)-$A$5,0)</f>
        <v>0.93</v>
      </c>
      <c r="R103" s="44">
        <f>VLOOKUP($A103,'Dados StatusInvest'!$A:$AY,column(R103)-$A$5,0)</f>
        <v>0.38</v>
      </c>
      <c r="S103" s="41">
        <f>VLOOKUP($A103,'Dados StatusInvest'!$A:$AY,column(S103)-$A$5,0)/VLOOKUP($A103,'Dados StatusInvest'!$A:$AY,2,0)*$E103</f>
        <v>1.771139908</v>
      </c>
      <c r="T103" s="42">
        <f>VLOOKUP($A103,'Dados StatusInvest'!$A:$AY,column(T103)-$A$5,0)/VLOOKUP($A103,'Dados StatusInvest'!$A:$AY,2,0)*$E103</f>
        <v>4.248627279</v>
      </c>
      <c r="U103" s="47">
        <f>VLOOKUP($A103,'Dados StatusInvest'!$A:$AY,column(U103)-$A$5,0)</f>
        <v>-1.59</v>
      </c>
      <c r="V103" s="45">
        <f>VLOOKUP($A103,'Dados StatusInvest'!$A:$AY,column(V103)-$A$5,0)</f>
        <v>1.85</v>
      </c>
      <c r="W103" s="45">
        <f>VLOOKUP($A103,'Dados StatusInvest'!$A:$AY,column(W103)-$A$5,0)</f>
        <v>24.9</v>
      </c>
      <c r="X103" s="48">
        <f>VLOOKUP($A103,'Dados StatusInvest'!$A:$AY,column(X103)-$A$5,0)</f>
        <v>8.99</v>
      </c>
      <c r="Y103" s="45">
        <f>VLOOKUP($A103,'Dados StatusInvest'!$A:$AY,column(Y103)-$A$5,0)</f>
        <v>16.75</v>
      </c>
      <c r="Z103" s="44">
        <f>VLOOKUP($A103,'Dados StatusInvest'!$A:$AY,column(Z103)-$A$5,0)</f>
        <v>0.36</v>
      </c>
      <c r="AA103" s="44">
        <f>VLOOKUP($A103,'Dados StatusInvest'!$A:$AY,column(AA103)-$A$5,0)</f>
        <v>0.61</v>
      </c>
      <c r="AB103" s="44">
        <f>VLOOKUP($A103,'Dados StatusInvest'!$A:$AY,column(AB103)-$A$5,0)</f>
        <v>0.51</v>
      </c>
      <c r="AC103" s="44">
        <f>VLOOKUP($A103,'Dados StatusInvest'!$A:$AY,column(AC103)-$A$5,0)</f>
        <v>17.07</v>
      </c>
      <c r="AD103" s="45">
        <f>VLOOKUP($A103,'Dados StatusInvest'!$A:$AY,column(AD103)-$A$5,0)</f>
        <v>49.7</v>
      </c>
      <c r="AE103" s="46">
        <f>VLOOKUP($A103,'Dados StatusInvest'!$A:$AY,column(AE103)-$A$5,0)</f>
        <v>68049028.75</v>
      </c>
      <c r="AF103" s="18"/>
    </row>
    <row r="104">
      <c r="A104" s="10" t="s">
        <v>150</v>
      </c>
      <c r="B104" s="39" t="str">
        <f>VLOOKUP(lEFT($A104,4),Setor!$A:$E,3,0)</f>
        <v>Utilidade Pública</v>
      </c>
      <c r="C104" s="39" t="str">
        <f>VLOOKUP(lEFT($A104,4),Setor!$A:$E,4,0)</f>
        <v>Energia Elétrica</v>
      </c>
      <c r="D104" s="39" t="str">
        <f>VLOOKUP(lEFT($A104,4),Setor!$A:$E,5,0)</f>
        <v>Energia Elétrica</v>
      </c>
      <c r="E104" s="17">
        <f>IFERROR(__xludf.DUMMYFUNCTION("GOOGLEFINANCE(A104)"),37.63)</f>
        <v>37.63</v>
      </c>
      <c r="F104" s="17">
        <f>IFERROR(__xludf.DUMMYFUNCTION("GOOGLEFINANCE($A104,""high52"")"),46.6)</f>
        <v>46.6</v>
      </c>
      <c r="G104" s="16">
        <f t="shared" si="1"/>
        <v>-0.1924892704</v>
      </c>
      <c r="H104" s="40">
        <f>VLOOKUP($A104,'Dados StatusInvest'!$A:$AY,column(H104)-$A$5,0)*VLOOKUP($A104,'Dados StatusInvest'!$A:$AY,2,0)/$E104/100</f>
        <v>0.06929896359</v>
      </c>
      <c r="I104" s="41">
        <f>VLOOKUP($A104,'Dados StatusInvest'!$A:$AY,column(I104)-$A$5,0)/VLOOKUP($A104,'Dados StatusInvest'!$A:$AY,2,0)*$E104</f>
        <v>12.96818817</v>
      </c>
      <c r="J104" s="41">
        <f>VLOOKUP($A104,'Dados StatusInvest'!$A:$AY,column(J104)-$A$5,0)/VLOOKUP($A104,'Dados StatusInvest'!$A:$AY,2,0)*$E104</f>
        <v>3.763</v>
      </c>
      <c r="K104" s="42">
        <f>VLOOKUP($A104,'Dados StatusInvest'!$A:$AY,column(K104)-$A$5,0)/VLOOKUP($A104,'Dados StatusInvest'!$A:$AY,2,0)*$E104</f>
        <v>0.8092473118</v>
      </c>
      <c r="L104" s="43">
        <f>VLOOKUP($A104,'Dados StatusInvest'!$A:$AY,column(L104)-$A$5,0)/100</f>
        <v>0.4439</v>
      </c>
      <c r="M104" s="47">
        <f>VLOOKUP($A104,'Dados StatusInvest'!$A:$AY,column(M104)-$A$5,0)</f>
        <v>44.26</v>
      </c>
      <c r="N104" s="47">
        <f>VLOOKUP($A104,'Dados StatusInvest'!$A:$AY,column(N104)-$A$5,0)</f>
        <v>17.72</v>
      </c>
      <c r="O104" s="41">
        <f>VLOOKUP($A104,'Dados StatusInvest'!$A:$AY,column(O104)-$A$5,0)/VLOOKUP($A104,'Dados StatusInvest'!$A:$AY,2,0)*$E104</f>
        <v>5.189298387</v>
      </c>
      <c r="P104" s="41">
        <f>VLOOKUP($A104,'Dados StatusInvest'!$A:$AY,column(P104)-$A$5,0)-VLOOKUP($A104,'Dados StatusInvest'!$A:$AY,column(P104)-$A$5-1,0)+O104</f>
        <v>7.439298387</v>
      </c>
      <c r="Q104" s="44">
        <f>VLOOKUP($A104,'Dados StatusInvest'!$A:$AY,column(Q104)-$A$5,0)</f>
        <v>2.24</v>
      </c>
      <c r="R104" s="44">
        <f>VLOOKUP($A104,'Dados StatusInvest'!$A:$AY,column(R104)-$A$5,0)</f>
        <v>1.63</v>
      </c>
      <c r="S104" s="41">
        <f>VLOOKUP($A104,'Dados StatusInvest'!$A:$AY,column(S104)-$A$5,0)/VLOOKUP($A104,'Dados StatusInvest'!$A:$AY,2,0)*$E104</f>
        <v>2.296239247</v>
      </c>
      <c r="T104" s="42">
        <f>VLOOKUP($A104,'Dados StatusInvest'!$A:$AY,column(T104)-$A$5,0)/VLOOKUP($A104,'Dados StatusInvest'!$A:$AY,2,0)*$E104</f>
        <v>10.19651613</v>
      </c>
      <c r="U104" s="44">
        <f>VLOOKUP($A104,'Dados StatusInvest'!$A:$AY,column(U104)-$A$5,0)</f>
        <v>-1.04</v>
      </c>
      <c r="V104" s="45">
        <f>VLOOKUP($A104,'Dados StatusInvest'!$A:$AY,column(V104)-$A$5,0)</f>
        <v>1.53</v>
      </c>
      <c r="W104" s="45">
        <f>VLOOKUP($A104,'Dados StatusInvest'!$A:$AY,column(W104)-$A$5,0)</f>
        <v>28.99</v>
      </c>
      <c r="X104" s="48">
        <f>VLOOKUP($A104,'Dados StatusInvest'!$A:$AY,column(X104)-$A$5,0)</f>
        <v>6.26</v>
      </c>
      <c r="Y104" s="45">
        <f>VLOOKUP($A104,'Dados StatusInvest'!$A:$AY,column(Y104)-$A$5,0)</f>
        <v>19.9</v>
      </c>
      <c r="Z104" s="44">
        <f>VLOOKUP($A104,'Dados StatusInvest'!$A:$AY,column(Z104)-$A$5,0)</f>
        <v>0.22</v>
      </c>
      <c r="AA104" s="44">
        <f>VLOOKUP($A104,'Dados StatusInvest'!$A:$AY,column(AA104)-$A$5,0)</f>
        <v>0.78</v>
      </c>
      <c r="AB104" s="44">
        <f>VLOOKUP($A104,'Dados StatusInvest'!$A:$AY,column(AB104)-$A$5,0)</f>
        <v>0.35</v>
      </c>
      <c r="AC104" s="44">
        <f>VLOOKUP($A104,'Dados StatusInvest'!$A:$AY,column(AC104)-$A$5,0)</f>
        <v>13.49</v>
      </c>
      <c r="AD104" s="45">
        <f>VLOOKUP($A104,'Dados StatusInvest'!$A:$AY,column(AD104)-$A$5,0)</f>
        <v>9.55</v>
      </c>
      <c r="AE104" s="46">
        <f>VLOOKUP($A104,'Dados StatusInvest'!$A:$AY,column(AE104)-$A$5,0)</f>
        <v>58890338.46</v>
      </c>
      <c r="AF104" s="50"/>
    </row>
    <row r="105">
      <c r="A105" s="10" t="s">
        <v>151</v>
      </c>
      <c r="B105" s="39" t="str">
        <f>VLOOKUP(lEFT($A105,4),Setor!$A:$E,3,0)</f>
        <v>Consumo Cíclico</v>
      </c>
      <c r="C105" s="39" t="str">
        <f>VLOOKUP(lEFT($A105,4),Setor!$A:$E,4,0)</f>
        <v>Comércio</v>
      </c>
      <c r="D105" s="39" t="str">
        <f>VLOOKUP(lEFT($A105,4),Setor!$A:$E,5,0)</f>
        <v>Tecidos, Vestuário e Calçados</v>
      </c>
      <c r="E105" s="17">
        <f>IFERROR(__xludf.DUMMYFUNCTION("GOOGLEFINANCE(A105)"),81.74)</f>
        <v>81.74</v>
      </c>
      <c r="F105" s="17">
        <f>IFERROR(__xludf.DUMMYFUNCTION("GOOGLEFINANCE($A105,""high52"")"),101.84)</f>
        <v>101.84</v>
      </c>
      <c r="G105" s="16">
        <f t="shared" si="1"/>
        <v>-0.1973684211</v>
      </c>
      <c r="H105" s="40">
        <f>VLOOKUP($A105,'Dados StatusInvest'!$A:$AY,column(H105)-$A$5,0)*VLOOKUP($A105,'Dados StatusInvest'!$A:$AY,2,0)/$E105/100</f>
        <v>0.01044590164</v>
      </c>
      <c r="I105" s="41">
        <f>VLOOKUP($A105,'Dados StatusInvest'!$A:$AY,column(I105)-$A$5,0)/VLOOKUP($A105,'Dados StatusInvest'!$A:$AY,2,0)*$E105</f>
        <v>34.31508475</v>
      </c>
      <c r="J105" s="41">
        <f>VLOOKUP($A105,'Dados StatusInvest'!$A:$AY,column(J105)-$A$5,0)/VLOOKUP($A105,'Dados StatusInvest'!$A:$AY,2,0)*$E105</f>
        <v>5.696779661</v>
      </c>
      <c r="K105" s="42">
        <f>VLOOKUP($A105,'Dados StatusInvest'!$A:$AY,column(K105)-$A$5,0)/VLOOKUP($A105,'Dados StatusInvest'!$A:$AY,2,0)*$E105</f>
        <v>2.956949153</v>
      </c>
      <c r="L105" s="43">
        <f>VLOOKUP($A105,'Dados StatusInvest'!$A:$AY,column(L105)-$A$5,0)/100</f>
        <v>0.493</v>
      </c>
      <c r="M105" s="47">
        <f>VLOOKUP($A105,'Dados StatusInvest'!$A:$AY,column(M105)-$A$5,0)</f>
        <v>20.33</v>
      </c>
      <c r="N105" s="47">
        <f>VLOOKUP($A105,'Dados StatusInvest'!$A:$AY,column(N105)-$A$5,0)</f>
        <v>14.71</v>
      </c>
      <c r="O105" s="41">
        <f>VLOOKUP($A105,'Dados StatusInvest'!$A:$AY,column(O105)-$A$5,0)/VLOOKUP($A105,'Dados StatusInvest'!$A:$AY,2,0)*$E105</f>
        <v>24.82389831</v>
      </c>
      <c r="P105" s="41">
        <f>VLOOKUP($A105,'Dados StatusInvest'!$A:$AY,column(P105)-$A$5,0)-VLOOKUP($A105,'Dados StatusInvest'!$A:$AY,column(P105)-$A$5-1,0)+O105</f>
        <v>25.21389831</v>
      </c>
      <c r="Q105" s="44">
        <f>VLOOKUP($A105,'Dados StatusInvest'!$A:$AY,column(Q105)-$A$5,0)</f>
        <v>0.38</v>
      </c>
      <c r="R105" s="44">
        <f>VLOOKUP($A105,'Dados StatusInvest'!$A:$AY,column(R105)-$A$5,0)</f>
        <v>0.09</v>
      </c>
      <c r="S105" s="41">
        <f>VLOOKUP($A105,'Dados StatusInvest'!$A:$AY,column(S105)-$A$5,0)/VLOOKUP($A105,'Dados StatusInvest'!$A:$AY,2,0)*$E105</f>
        <v>5.045423729</v>
      </c>
      <c r="T105" s="42">
        <f>VLOOKUP($A105,'Dados StatusInvest'!$A:$AY,column(T105)-$A$5,0)/VLOOKUP($A105,'Dados StatusInvest'!$A:$AY,2,0)*$E105</f>
        <v>17.12135593</v>
      </c>
      <c r="U105" s="44">
        <f>VLOOKUP($A105,'Dados StatusInvest'!$A:$AY,column(U105)-$A$5,0)</f>
        <v>-5.57</v>
      </c>
      <c r="V105" s="45">
        <f>VLOOKUP($A105,'Dados StatusInvest'!$A:$AY,column(V105)-$A$5,0)</f>
        <v>1.55</v>
      </c>
      <c r="W105" s="45">
        <f>VLOOKUP($A105,'Dados StatusInvest'!$A:$AY,column(W105)-$A$5,0)</f>
        <v>16.6</v>
      </c>
      <c r="X105" s="45">
        <f>VLOOKUP($A105,'Dados StatusInvest'!$A:$AY,column(X105)-$A$5,0)</f>
        <v>8.62</v>
      </c>
      <c r="Y105" s="45">
        <f>VLOOKUP($A105,'Dados StatusInvest'!$A:$AY,column(Y105)-$A$5,0)</f>
        <v>14.63</v>
      </c>
      <c r="Z105" s="44">
        <f>VLOOKUP($A105,'Dados StatusInvest'!$A:$AY,column(Z105)-$A$5,0)</f>
        <v>0.52</v>
      </c>
      <c r="AA105" s="44">
        <f>VLOOKUP($A105,'Dados StatusInvest'!$A:$AY,column(AA105)-$A$5,0)</f>
        <v>0.48</v>
      </c>
      <c r="AB105" s="44">
        <f>VLOOKUP($A105,'Dados StatusInvest'!$A:$AY,column(AB105)-$A$5,0)</f>
        <v>0.59</v>
      </c>
      <c r="AC105" s="44">
        <f>VLOOKUP($A105,'Dados StatusInvest'!$A:$AY,column(AC105)-$A$5,0)</f>
        <v>7.26</v>
      </c>
      <c r="AD105" s="45">
        <f>VLOOKUP($A105,'Dados StatusInvest'!$A:$AY,column(AD105)-$A$5,0)</f>
        <v>14.7</v>
      </c>
      <c r="AE105" s="46">
        <f>VLOOKUP($A105,'Dados StatusInvest'!$A:$AY,column(AE105)-$A$5,0)</f>
        <v>60051827.33</v>
      </c>
      <c r="AF105" s="50"/>
    </row>
    <row r="106">
      <c r="A106" s="10" t="s">
        <v>152</v>
      </c>
      <c r="B106" s="52" t="str">
        <f>VLOOKUP(LEFT($A106,4),Setor!$A:$E,3,0)</f>
        <v>Consumo Cíclico</v>
      </c>
      <c r="C106" s="52" t="str">
        <f>VLOOKUP(LEFT($A106,4),Setor!$A:$E,4,0)</f>
        <v>Construção Civil</v>
      </c>
      <c r="D106" s="52" t="str">
        <f>VLOOKUP(LEFT($A106,4),Setor!$A:$E,5,0)</f>
        <v>Incorporações</v>
      </c>
      <c r="E106" s="53">
        <f>IFERROR(__xludf.DUMMYFUNCTION("GOOGLEFINANCE(A106)"),23.76)</f>
        <v>23.76</v>
      </c>
      <c r="F106" s="53">
        <f>IFERROR(__xludf.DUMMYFUNCTION("GOOGLEFINANCE($A106,""high52"")"),46.0)</f>
        <v>46</v>
      </c>
      <c r="G106" s="54">
        <f t="shared" si="1"/>
        <v>-0.4834782609</v>
      </c>
      <c r="H106" s="55">
        <f>VLOOKUP($A106,'Dados StatusInvest'!$A:$AY,COLUMN(H106)-$A$5,0)*VLOOKUP($A106,'Dados StatusInvest'!$A:$AY,2,0)/$E106/100</f>
        <v>0.01783017677</v>
      </c>
      <c r="I106" s="56">
        <f>VLOOKUP($A106,'Dados StatusInvest'!$A:$AY,COLUMN(I106)-$A$5,0)/VLOOKUP($A106,'Dados StatusInvest'!$A:$AY,2,0)*$E106</f>
        <v>11.4335378</v>
      </c>
      <c r="J106" s="56">
        <f>VLOOKUP($A106,'Dados StatusInvest'!$A:$AY,COLUMN(J106)-$A$5,0)/VLOOKUP($A106,'Dados StatusInvest'!$A:$AY,2,0)*$E106</f>
        <v>1.262410367</v>
      </c>
      <c r="K106" s="57">
        <f>VLOOKUP($A106,'Dados StatusInvest'!$A:$AY,COLUMN(K106)-$A$5,0)/VLOOKUP($A106,'Dados StatusInvest'!$A:$AY,2,0)*$E106</f>
        <v>1.108457883</v>
      </c>
      <c r="L106" s="58">
        <f>VLOOKUP($A106,'Dados StatusInvest'!$A:$AY,COLUMN(L106)-$A$5,0)/100</f>
        <v>0.4302</v>
      </c>
      <c r="M106" s="59">
        <f>VLOOKUP($A106,'Dados StatusInvest'!$A:$AY,COLUMN(M106)-$A$5,0)</f>
        <v>30.48</v>
      </c>
      <c r="N106" s="59">
        <f>VLOOKUP($A106,'Dados StatusInvest'!$A:$AY,COLUMN(N106)-$A$5,0)</f>
        <v>46.37</v>
      </c>
      <c r="O106" s="56">
        <f>VLOOKUP($A106,'Dados StatusInvest'!$A:$AY,COLUMN(O106)-$A$5,0)/VLOOKUP($A106,'Dados StatusInvest'!$A:$AY,2,0)*$E106</f>
        <v>17.38636717</v>
      </c>
      <c r="P106" s="56">
        <f>VLOOKUP($A106,'Dados StatusInvest'!$A:$AY,COLUMN(P106)-$A$5,0)-VLOOKUP($A106,'Dados StatusInvest'!$A:$AY,COLUMN(P106)-$A$5-1,0)+O106</f>
        <v>14.05636717</v>
      </c>
      <c r="Q106" s="59">
        <f>VLOOKUP($A106,'Dados StatusInvest'!$A:$AY,COLUMN(Q106)-$A$5,0)</f>
        <v>-3.38</v>
      </c>
      <c r="R106" s="59">
        <f>VLOOKUP($A106,'Dados StatusInvest'!$A:$AY,COLUMN(R106)-$A$5,0)</f>
        <v>-0.24</v>
      </c>
      <c r="S106" s="56">
        <f>VLOOKUP($A106,'Dados StatusInvest'!$A:$AY,COLUMN(S106)-$A$5,0)/VLOOKUP($A106,'Dados StatusInvest'!$A:$AY,2,0)*$E106</f>
        <v>5.295965443</v>
      </c>
      <c r="T106" s="57">
        <f>VLOOKUP($A106,'Dados StatusInvest'!$A:$AY,COLUMN(T106)-$A$5,0)/VLOOKUP($A106,'Dados StatusInvest'!$A:$AY,2,0)*$E106</f>
        <v>2.678773218</v>
      </c>
      <c r="U106" s="59">
        <f>VLOOKUP($A106,'Dados StatusInvest'!$A:$AY,COLUMN(U106)-$A$5,0)</f>
        <v>-2.05</v>
      </c>
      <c r="V106" s="60">
        <f>VLOOKUP($A106,'Dados StatusInvest'!$A:$AY,COLUMN(V106)-$A$5,0)</f>
        <v>7.38</v>
      </c>
      <c r="W106" s="60">
        <f>VLOOKUP($A106,'Dados StatusInvest'!$A:$AY,COLUMN(W106)-$A$5,0)</f>
        <v>11.02</v>
      </c>
      <c r="X106" s="60">
        <f>VLOOKUP($A106,'Dados StatusInvest'!$A:$AY,COLUMN(X106)-$A$5,0)</f>
        <v>9.65</v>
      </c>
      <c r="Y106" s="60">
        <f>VLOOKUP($A106,'Dados StatusInvest'!$A:$AY,COLUMN(Y106)-$A$5,0)</f>
        <v>6.57</v>
      </c>
      <c r="Z106" s="59">
        <f>VLOOKUP($A106,'Dados StatusInvest'!$A:$AY,COLUMN(Z106)-$A$5,0)</f>
        <v>0.88</v>
      </c>
      <c r="AA106" s="59">
        <f>VLOOKUP($A106,'Dados StatusInvest'!$A:$AY,COLUMN(AA106)-$A$5,0)</f>
        <v>0.11</v>
      </c>
      <c r="AB106" s="59">
        <f>VLOOKUP($A106,'Dados StatusInvest'!$A:$AY,COLUMN(AB106)-$A$5,0)</f>
        <v>0.21</v>
      </c>
      <c r="AC106" s="59">
        <f>VLOOKUP($A106,'Dados StatusInvest'!$A:$AY,COLUMN(AC106)-$A$5,0)</f>
        <v>2.84</v>
      </c>
      <c r="AD106" s="60">
        <f>VLOOKUP($A106,'Dados StatusInvest'!$A:$AY,COLUMN(AD106)-$A$5,0)</f>
        <v>1.22</v>
      </c>
      <c r="AE106" s="62">
        <f>VLOOKUP($A106,'Dados StatusInvest'!$A:$AY,COLUMN(AE106)-$A$5,0)</f>
        <v>54716516.75</v>
      </c>
      <c r="AF106" s="18"/>
    </row>
    <row r="107">
      <c r="A107" s="10" t="s">
        <v>153</v>
      </c>
      <c r="B107" s="39" t="str">
        <f>VLOOKUP(lEFT($A107,4),Setor!$A:$E,3,0)</f>
        <v>#N/A</v>
      </c>
      <c r="C107" s="39" t="str">
        <f>VLOOKUP(lEFT($A107,4),Setor!$A:$E,4,0)</f>
        <v>#N/A</v>
      </c>
      <c r="D107" s="39" t="str">
        <f>VLOOKUP(lEFT($A107,4),Setor!$A:$E,5,0)</f>
        <v>#N/A</v>
      </c>
      <c r="E107" s="17">
        <f>IFERROR(__xludf.DUMMYFUNCTION("GOOGLEFINANCE(A107)"),41.06)</f>
        <v>41.06</v>
      </c>
      <c r="F107" s="17">
        <f>IFERROR(__xludf.DUMMYFUNCTION("GOOGLEFINANCE($A107,""high52"")"),50.99)</f>
        <v>50.99</v>
      </c>
      <c r="G107" s="16">
        <f t="shared" si="1"/>
        <v>-0.1947440675</v>
      </c>
      <c r="H107" s="40">
        <f>VLOOKUP($A107,'Dados StatusInvest'!$A:$AY,column(H107)-$A$5,0)*VLOOKUP($A107,'Dados StatusInvest'!$A:$AY,2,0)/$E107/100</f>
        <v>0</v>
      </c>
      <c r="I107" s="41">
        <f>VLOOKUP($A107,'Dados StatusInvest'!$A:$AY,column(I107)-$A$5,0)/VLOOKUP($A107,'Dados StatusInvest'!$A:$AY,2,0)*$E107</f>
        <v>-26.16288301</v>
      </c>
      <c r="J107" s="41">
        <f>VLOOKUP($A107,'Dados StatusInvest'!$A:$AY,column(J107)-$A$5,0)/VLOOKUP($A107,'Dados StatusInvest'!$A:$AY,2,0)*$E107</f>
        <v>3.00229805</v>
      </c>
      <c r="K107" s="42">
        <f>VLOOKUP($A107,'Dados StatusInvest'!$A:$AY,column(K107)-$A$5,0)/VLOOKUP($A107,'Dados StatusInvest'!$A:$AY,2,0)*$E107</f>
        <v>1.810909935</v>
      </c>
      <c r="L107" s="43">
        <f>VLOOKUP($A107,'Dados StatusInvest'!$A:$AY,column(L107)-$A$5,0)/100</f>
        <v>0.554</v>
      </c>
      <c r="M107" s="44">
        <f>VLOOKUP($A107,'Dados StatusInvest'!$A:$AY,column(M107)-$A$5,0)</f>
        <v>24.24</v>
      </c>
      <c r="N107" s="47">
        <f>VLOOKUP($A107,'Dados StatusInvest'!$A:$AY,column(N107)-$A$5,0)</f>
        <v>-44.19</v>
      </c>
      <c r="O107" s="41">
        <f>VLOOKUP($A107,'Dados StatusInvest'!$A:$AY,column(O107)-$A$5,0)/VLOOKUP($A107,'Dados StatusInvest'!$A:$AY,2,0)*$E107</f>
        <v>47.70318013</v>
      </c>
      <c r="P107" s="41">
        <f>VLOOKUP($A107,'Dados StatusInvest'!$A:$AY,column(P107)-$A$5,0)-VLOOKUP($A107,'Dados StatusInvest'!$A:$AY,column(P107)-$A$5-1,0)+O107</f>
        <v>42.09318013</v>
      </c>
      <c r="Q107" s="44">
        <f>VLOOKUP($A107,'Dados StatusInvest'!$A:$AY,column(Q107)-$A$5,0)</f>
        <v>-6.85</v>
      </c>
      <c r="R107" s="44">
        <f>VLOOKUP($A107,'Dados StatusInvest'!$A:$AY,column(R107)-$A$5,0)</f>
        <v>-0.43</v>
      </c>
      <c r="S107" s="41">
        <f>VLOOKUP($A107,'Dados StatusInvest'!$A:$AY,column(S107)-$A$5,0)/VLOOKUP($A107,'Dados StatusInvest'!$A:$AY,2,0)*$E107</f>
        <v>11.56123027</v>
      </c>
      <c r="T107" s="42">
        <f>VLOOKUP($A107,'Dados StatusInvest'!$A:$AY,column(T107)-$A$5,0)/VLOOKUP($A107,'Dados StatusInvest'!$A:$AY,2,0)*$E107</f>
        <v>4.18415506</v>
      </c>
      <c r="U107" s="44">
        <f>VLOOKUP($A107,'Dados StatusInvest'!$A:$AY,column(U107)-$A$5,0)</f>
        <v>-3.83</v>
      </c>
      <c r="V107" s="45">
        <f>VLOOKUP($A107,'Dados StatusInvest'!$A:$AY,column(V107)-$A$5,0)</f>
        <v>6.94</v>
      </c>
      <c r="W107" s="48">
        <f>VLOOKUP($A107,'Dados StatusInvest'!$A:$AY,column(W107)-$A$5,0)</f>
        <v>-11.48</v>
      </c>
      <c r="X107" s="45">
        <f>VLOOKUP($A107,'Dados StatusInvest'!$A:$AY,column(X107)-$A$5,0)</f>
        <v>-6.91</v>
      </c>
      <c r="Y107" s="45">
        <f>VLOOKUP($A107,'Dados StatusInvest'!$A:$AY,column(Y107)-$A$5,0)</f>
        <v>3.62</v>
      </c>
      <c r="Z107" s="44">
        <f>VLOOKUP($A107,'Dados StatusInvest'!$A:$AY,column(Z107)-$A$5,0)</f>
        <v>0.6</v>
      </c>
      <c r="AA107" s="44">
        <f>VLOOKUP($A107,'Dados StatusInvest'!$A:$AY,column(AA107)-$A$5,0)</f>
        <v>0.37</v>
      </c>
      <c r="AB107" s="44">
        <f>VLOOKUP($A107,'Dados StatusInvest'!$A:$AY,column(AB107)-$A$5,0)</f>
        <v>0.16</v>
      </c>
      <c r="AC107" s="44">
        <f>VLOOKUP($A107,'Dados StatusInvest'!$A:$AY,column(AC107)-$A$5,0)</f>
        <v>0</v>
      </c>
      <c r="AD107" s="45">
        <f>VLOOKUP($A107,'Dados StatusInvest'!$A:$AY,column(AD107)-$A$5,0)</f>
        <v>0</v>
      </c>
      <c r="AE107" s="46">
        <f>VLOOKUP($A107,'Dados StatusInvest'!$A:$AY,column(AE107)-$A$5,0)</f>
        <v>77392403.04</v>
      </c>
      <c r="AF107" s="18"/>
    </row>
    <row r="108">
      <c r="A108" s="10" t="s">
        <v>154</v>
      </c>
      <c r="B108" s="39" t="str">
        <f>VLOOKUP(lEFT($A108,4),Setor!$A:$E,3,0)</f>
        <v>Utilidade Pública</v>
      </c>
      <c r="C108" s="39" t="str">
        <f>VLOOKUP(lEFT($A108,4),Setor!$A:$E,4,0)</f>
        <v>Energia Elétrica</v>
      </c>
      <c r="D108" s="39" t="str">
        <f>VLOOKUP(lEFT($A108,4),Setor!$A:$E,5,0)</f>
        <v>Energia Elétrica</v>
      </c>
      <c r="E108" s="17">
        <f>IFERROR(__xludf.DUMMYFUNCTION("GOOGLEFINANCE(A108)"),23.89)</f>
        <v>23.89</v>
      </c>
      <c r="F108" s="17">
        <f>IFERROR(__xludf.DUMMYFUNCTION("GOOGLEFINANCE($A108,""high52"")"),31.68)</f>
        <v>31.68</v>
      </c>
      <c r="G108" s="16">
        <f t="shared" si="1"/>
        <v>-0.2458964646</v>
      </c>
      <c r="H108" s="40">
        <f>VLOOKUP($A108,'Dados StatusInvest'!$A:$AY,column(H108)-$A$5,0)*VLOOKUP($A108,'Dados StatusInvest'!$A:$AY,2,0)/$E108/100</f>
        <v>0.1086552951</v>
      </c>
      <c r="I108" s="41">
        <f>VLOOKUP($A108,'Dados StatusInvest'!$A:$AY,column(I108)-$A$5,0)/VLOOKUP($A108,'Dados StatusInvest'!$A:$AY,2,0)*$E108</f>
        <v>4.788501099</v>
      </c>
      <c r="J108" s="41">
        <f>VLOOKUP($A108,'Dados StatusInvest'!$A:$AY,column(J108)-$A$5,0)/VLOOKUP($A108,'Dados StatusInvest'!$A:$AY,2,0)*$E108</f>
        <v>1.102615385</v>
      </c>
      <c r="K108" s="42">
        <f>VLOOKUP($A108,'Dados StatusInvest'!$A:$AY,column(K108)-$A$5,0)/VLOOKUP($A108,'Dados StatusInvest'!$A:$AY,2,0)*$E108</f>
        <v>0.5565582418</v>
      </c>
      <c r="L108" s="43">
        <f>VLOOKUP($A108,'Dados StatusInvest'!$A:$AY,column(L108)-$A$5,0)/100</f>
        <v>0.3227</v>
      </c>
      <c r="M108" s="44">
        <f>VLOOKUP($A108,'Dados StatusInvest'!$A:$AY,column(M108)-$A$5,0)</f>
        <v>38.28</v>
      </c>
      <c r="N108" s="44">
        <f>VLOOKUP($A108,'Dados StatusInvest'!$A:$AY,column(N108)-$A$5,0)</f>
        <v>79.62</v>
      </c>
      <c r="O108" s="41">
        <f>VLOOKUP($A108,'Dados StatusInvest'!$A:$AY,column(O108)-$A$5,0)/VLOOKUP($A108,'Dados StatusInvest'!$A:$AY,2,0)*$E108</f>
        <v>9.955041758</v>
      </c>
      <c r="P108" s="41">
        <f>VLOOKUP($A108,'Dados StatusInvest'!$A:$AY,column(P108)-$A$5,0)-VLOOKUP($A108,'Dados StatusInvest'!$A:$AY,column(P108)-$A$5-1,0)+O108</f>
        <v>11.57504176</v>
      </c>
      <c r="Q108" s="44">
        <f>VLOOKUP($A108,'Dados StatusInvest'!$A:$AY,column(Q108)-$A$5,0)</f>
        <v>1.73</v>
      </c>
      <c r="R108" s="44">
        <f>VLOOKUP($A108,'Dados StatusInvest'!$A:$AY,column(R108)-$A$5,0)</f>
        <v>0.19</v>
      </c>
      <c r="S108" s="41">
        <f>VLOOKUP($A108,'Dados StatusInvest'!$A:$AY,column(S108)-$A$5,0)/VLOOKUP($A108,'Dados StatusInvest'!$A:$AY,2,0)*$E108</f>
        <v>3.811898901</v>
      </c>
      <c r="T108" s="42">
        <f>VLOOKUP($A108,'Dados StatusInvest'!$A:$AY,column(T108)-$A$5,0)/VLOOKUP($A108,'Dados StatusInvest'!$A:$AY,2,0)*$E108</f>
        <v>32.38538901</v>
      </c>
      <c r="U108" s="44">
        <f>VLOOKUP($A108,'Dados StatusInvest'!$A:$AY,column(U108)-$A$5,0)</f>
        <v>-0.57</v>
      </c>
      <c r="V108" s="45">
        <f>VLOOKUP($A108,'Dados StatusInvest'!$A:$AY,column(V108)-$A$5,0)</f>
        <v>1.35</v>
      </c>
      <c r="W108" s="45">
        <f>VLOOKUP($A108,'Dados StatusInvest'!$A:$AY,column(W108)-$A$5,0)</f>
        <v>23.09</v>
      </c>
      <c r="X108" s="45">
        <f>VLOOKUP($A108,'Dados StatusInvest'!$A:$AY,column(X108)-$A$5,0)</f>
        <v>11.61</v>
      </c>
      <c r="Y108" s="45">
        <f>VLOOKUP($A108,'Dados StatusInvest'!$A:$AY,column(Y108)-$A$5,0)</f>
        <v>-8.25</v>
      </c>
      <c r="Z108" s="44">
        <f>VLOOKUP($A108,'Dados StatusInvest'!$A:$AY,column(Z108)-$A$5,0)</f>
        <v>0.5</v>
      </c>
      <c r="AA108" s="44">
        <f>VLOOKUP($A108,'Dados StatusInvest'!$A:$AY,column(AA108)-$A$5,0)</f>
        <v>0.5</v>
      </c>
      <c r="AB108" s="44">
        <f>VLOOKUP($A108,'Dados StatusInvest'!$A:$AY,column(AB108)-$A$5,0)</f>
        <v>0.15</v>
      </c>
      <c r="AC108" s="44">
        <f>VLOOKUP($A108,'Dados StatusInvest'!$A:$AY,column(AC108)-$A$5,0)</f>
        <v>-8.26</v>
      </c>
      <c r="AD108" s="45">
        <f>VLOOKUP($A108,'Dados StatusInvest'!$A:$AY,column(AD108)-$A$5,0)</f>
        <v>0</v>
      </c>
      <c r="AE108" s="46">
        <f>VLOOKUP($A108,'Dados StatusInvest'!$A:$AY,column(AE108)-$A$5,0)</f>
        <v>57228534.71</v>
      </c>
      <c r="AF108" s="50"/>
    </row>
    <row r="109">
      <c r="A109" s="10" t="s">
        <v>155</v>
      </c>
      <c r="B109" s="39" t="str">
        <f>VLOOKUP(lEFT($A109,4),Setor!$A:$E,3,0)</f>
        <v>Consumo Cíclico</v>
      </c>
      <c r="C109" s="39" t="str">
        <f>VLOOKUP(lEFT($A109,4),Setor!$A:$E,4,0)</f>
        <v>Diversos</v>
      </c>
      <c r="D109" s="39" t="str">
        <f>VLOOKUP(lEFT($A109,4),Setor!$A:$E,5,0)</f>
        <v>Aluguel de carros</v>
      </c>
      <c r="E109" s="17">
        <f>IFERROR(__xludf.DUMMYFUNCTION("GOOGLEFINANCE(A109)"),17.31)</f>
        <v>17.31</v>
      </c>
      <c r="F109" s="17">
        <f>IFERROR(__xludf.DUMMYFUNCTION("GOOGLEFINANCE($A109,""high52"")"),23.49)</f>
        <v>23.49</v>
      </c>
      <c r="G109" s="16">
        <f t="shared" si="1"/>
        <v>-0.2630906769</v>
      </c>
      <c r="H109" s="40">
        <f>VLOOKUP($A109,'Dados StatusInvest'!$A:$AY,column(H109)-$A$5,0)*VLOOKUP($A109,'Dados StatusInvest'!$A:$AY,2,0)/$E109/100</f>
        <v>0.02281542461</v>
      </c>
      <c r="I109" s="41">
        <f>VLOOKUP($A109,'Dados StatusInvest'!$A:$AY,column(I109)-$A$5,0)/VLOOKUP($A109,'Dados StatusInvest'!$A:$AY,2,0)*$E109</f>
        <v>12.43869027</v>
      </c>
      <c r="J109" s="41">
        <f>VLOOKUP($A109,'Dados StatusInvest'!$A:$AY,column(J109)-$A$5,0)/VLOOKUP($A109,'Dados StatusInvest'!$A:$AY,2,0)*$E109</f>
        <v>2.450973451</v>
      </c>
      <c r="K109" s="42">
        <f>VLOOKUP($A109,'Dados StatusInvest'!$A:$AY,column(K109)-$A$5,0)/VLOOKUP($A109,'Dados StatusInvest'!$A:$AY,2,0)*$E109</f>
        <v>0.4391327434</v>
      </c>
      <c r="L109" s="43">
        <f>VLOOKUP($A109,'Dados StatusInvest'!$A:$AY,column(L109)-$A$5,0)/100</f>
        <v>0.3319</v>
      </c>
      <c r="M109" s="47">
        <f>VLOOKUP($A109,'Dados StatusInvest'!$A:$AY,column(M109)-$A$5,0)</f>
        <v>23.26</v>
      </c>
      <c r="N109" s="47">
        <f>VLOOKUP($A109,'Dados StatusInvest'!$A:$AY,column(N109)-$A$5,0)</f>
        <v>12.47</v>
      </c>
      <c r="O109" s="41">
        <f>VLOOKUP($A109,'Dados StatusInvest'!$A:$AY,column(O109)-$A$5,0)/VLOOKUP($A109,'Dados StatusInvest'!$A:$AY,2,0)*$E109</f>
        <v>6.668690265</v>
      </c>
      <c r="P109" s="41">
        <f>VLOOKUP($A109,'Dados StatusInvest'!$A:$AY,column(P109)-$A$5,0)-VLOOKUP($A109,'Dados StatusInvest'!$A:$AY,column(P109)-$A$5-1,0)+O109</f>
        <v>10.65869027</v>
      </c>
      <c r="Q109" s="44">
        <f>VLOOKUP($A109,'Dados StatusInvest'!$A:$AY,column(Q109)-$A$5,0)</f>
        <v>3.95</v>
      </c>
      <c r="R109" s="44">
        <f>VLOOKUP($A109,'Dados StatusInvest'!$A:$AY,column(R109)-$A$5,0)</f>
        <v>1.45</v>
      </c>
      <c r="S109" s="41">
        <f>VLOOKUP($A109,'Dados StatusInvest'!$A:$AY,column(S109)-$A$5,0)/VLOOKUP($A109,'Dados StatusInvest'!$A:$AY,2,0)*$E109</f>
        <v>1.552283186</v>
      </c>
      <c r="T109" s="42">
        <f>VLOOKUP($A109,'Dados StatusInvest'!$A:$AY,column(T109)-$A$5,0)/VLOOKUP($A109,'Dados StatusInvest'!$A:$AY,2,0)*$E109</f>
        <v>1.450159292</v>
      </c>
      <c r="U109" s="44">
        <f>VLOOKUP($A109,'Dados StatusInvest'!$A:$AY,column(U109)-$A$5,0)</f>
        <v>-0.8</v>
      </c>
      <c r="V109" s="45">
        <f>VLOOKUP($A109,'Dados StatusInvest'!$A:$AY,column(V109)-$A$5,0)</f>
        <v>2.95</v>
      </c>
      <c r="W109" s="48">
        <f>VLOOKUP($A109,'Dados StatusInvest'!$A:$AY,column(W109)-$A$5,0)</f>
        <v>19.7</v>
      </c>
      <c r="X109" s="45">
        <f>VLOOKUP($A109,'Dados StatusInvest'!$A:$AY,column(X109)-$A$5,0)</f>
        <v>3.55</v>
      </c>
      <c r="Y109" s="48">
        <f>VLOOKUP($A109,'Dados StatusInvest'!$A:$AY,column(Y109)-$A$5,0)</f>
        <v>6.11</v>
      </c>
      <c r="Z109" s="44">
        <f>VLOOKUP($A109,'Dados StatusInvest'!$A:$AY,column(Z109)-$A$5,0)</f>
        <v>0.18</v>
      </c>
      <c r="AA109" s="44">
        <f>VLOOKUP($A109,'Dados StatusInvest'!$A:$AY,column(AA109)-$A$5,0)</f>
        <v>0.82</v>
      </c>
      <c r="AB109" s="44">
        <f>VLOOKUP($A109,'Dados StatusInvest'!$A:$AY,column(AB109)-$A$5,0)</f>
        <v>0.28</v>
      </c>
      <c r="AC109" s="44">
        <f>VLOOKUP($A109,'Dados StatusInvest'!$A:$AY,column(AC109)-$A$5,0)</f>
        <v>27.48</v>
      </c>
      <c r="AD109" s="45">
        <f>VLOOKUP($A109,'Dados StatusInvest'!$A:$AY,column(AD109)-$A$5,0)</f>
        <v>49.71</v>
      </c>
      <c r="AE109" s="46">
        <f>VLOOKUP($A109,'Dados StatusInvest'!$A:$AY,column(AE109)-$A$5,0)</f>
        <v>46169447.83</v>
      </c>
      <c r="AF109" s="49"/>
    </row>
    <row r="110">
      <c r="A110" s="10" t="s">
        <v>156</v>
      </c>
      <c r="B110" s="39" t="str">
        <f>VLOOKUP(lEFT($A110,4),Setor!$A:$E,3,0)</f>
        <v>Utilidade Pública</v>
      </c>
      <c r="C110" s="39" t="str">
        <f>VLOOKUP(lEFT($A110,4),Setor!$A:$E,4,0)</f>
        <v>Energia Elétrica</v>
      </c>
      <c r="D110" s="39" t="str">
        <f>VLOOKUP(lEFT($A110,4),Setor!$A:$E,5,0)</f>
        <v>Energia Elétrica</v>
      </c>
      <c r="E110" s="17">
        <f>IFERROR(__xludf.DUMMYFUNCTION("GOOGLEFINANCE(A110)"),18.06)</f>
        <v>18.06</v>
      </c>
      <c r="F110" s="17">
        <f>IFERROR(__xludf.DUMMYFUNCTION("GOOGLEFINANCE($A110,""high52"")"),20.65)</f>
        <v>20.65</v>
      </c>
      <c r="G110" s="16">
        <f t="shared" si="1"/>
        <v>-0.1254237288</v>
      </c>
      <c r="H110" s="40">
        <f>VLOOKUP($A110,'Dados StatusInvest'!$A:$AY,column(H110)-$A$5,0)*VLOOKUP($A110,'Dados StatusInvest'!$A:$AY,2,0)/$E110/100</f>
        <v>0.05532292359</v>
      </c>
      <c r="I110" s="41">
        <f>VLOOKUP($A110,'Dados StatusInvest'!$A:$AY,column(I110)-$A$5,0)/VLOOKUP($A110,'Dados StatusInvest'!$A:$AY,2,0)*$E110</f>
        <v>5.959699499</v>
      </c>
      <c r="J110" s="41">
        <f>VLOOKUP($A110,'Dados StatusInvest'!$A:$AY,column(J110)-$A$5,0)/VLOOKUP($A110,'Dados StatusInvest'!$A:$AY,2,0)*$E110</f>
        <v>1.045208681</v>
      </c>
      <c r="K110" s="42">
        <f>VLOOKUP($A110,'Dados StatusInvest'!$A:$AY,column(K110)-$A$5,0)/VLOOKUP($A110,'Dados StatusInvest'!$A:$AY,2,0)*$E110</f>
        <v>0.3417028381</v>
      </c>
      <c r="L110" s="43">
        <f>VLOOKUP($A110,'Dados StatusInvest'!$A:$AY,column(L110)-$A$5,0)/100</f>
        <v>0.2512</v>
      </c>
      <c r="M110" s="44">
        <f>VLOOKUP($A110,'Dados StatusInvest'!$A:$AY,column(M110)-$A$5,0)</f>
        <v>20.99</v>
      </c>
      <c r="N110" s="44">
        <f>VLOOKUP($A110,'Dados StatusInvest'!$A:$AY,column(N110)-$A$5,0)</f>
        <v>11.25</v>
      </c>
      <c r="O110" s="41">
        <f>VLOOKUP($A110,'Dados StatusInvest'!$A:$AY,column(O110)-$A$5,0)/VLOOKUP($A110,'Dados StatusInvest'!$A:$AY,2,0)*$E110</f>
        <v>3.195926544</v>
      </c>
      <c r="P110" s="41">
        <f>VLOOKUP($A110,'Dados StatusInvest'!$A:$AY,column(P110)-$A$5,0)-VLOOKUP($A110,'Dados StatusInvest'!$A:$AY,column(P110)-$A$5-1,0)+O110</f>
        <v>5.515926544</v>
      </c>
      <c r="Q110" s="44">
        <f>VLOOKUP($A110,'Dados StatusInvest'!$A:$AY,column(Q110)-$A$5,0)</f>
        <v>2.33</v>
      </c>
      <c r="R110" s="44">
        <f>VLOOKUP($A110,'Dados StatusInvest'!$A:$AY,column(R110)-$A$5,0)</f>
        <v>0.76</v>
      </c>
      <c r="S110" s="41">
        <f>VLOOKUP($A110,'Dados StatusInvest'!$A:$AY,column(S110)-$A$5,0)/VLOOKUP($A110,'Dados StatusInvest'!$A:$AY,2,0)*$E110</f>
        <v>0.6733555927</v>
      </c>
      <c r="T110" s="42">
        <f>VLOOKUP($A110,'Dados StatusInvest'!$A:$AY,column(T110)-$A$5,0)/VLOOKUP($A110,'Dados StatusInvest'!$A:$AY,2,0)*$E110</f>
        <v>33.7481803</v>
      </c>
      <c r="U110" s="44">
        <f>VLOOKUP($A110,'Dados StatusInvest'!$A:$AY,column(U110)-$A$5,0)</f>
        <v>-0.45</v>
      </c>
      <c r="V110" s="45">
        <f>VLOOKUP($A110,'Dados StatusInvest'!$A:$AY,column(V110)-$A$5,0)</f>
        <v>1.04</v>
      </c>
      <c r="W110" s="45">
        <f>VLOOKUP($A110,'Dados StatusInvest'!$A:$AY,column(W110)-$A$5,0)</f>
        <v>17.54</v>
      </c>
      <c r="X110" s="45">
        <f>VLOOKUP($A110,'Dados StatusInvest'!$A:$AY,column(X110)-$A$5,0)</f>
        <v>5.8</v>
      </c>
      <c r="Y110" s="45">
        <f>VLOOKUP($A110,'Dados StatusInvest'!$A:$AY,column(Y110)-$A$5,0)</f>
        <v>12.48</v>
      </c>
      <c r="Z110" s="44">
        <f>VLOOKUP($A110,'Dados StatusInvest'!$A:$AY,column(Z110)-$A$5,0)</f>
        <v>0.33</v>
      </c>
      <c r="AA110" s="44">
        <f>VLOOKUP($A110,'Dados StatusInvest'!$A:$AY,column(AA110)-$A$5,0)</f>
        <v>0.63</v>
      </c>
      <c r="AB110" s="44">
        <f>VLOOKUP($A110,'Dados StatusInvest'!$A:$AY,column(AB110)-$A$5,0)</f>
        <v>0.52</v>
      </c>
      <c r="AC110" s="44">
        <f>VLOOKUP($A110,'Dados StatusInvest'!$A:$AY,column(AC110)-$A$5,0)</f>
        <v>7.87</v>
      </c>
      <c r="AD110" s="45">
        <f>VLOOKUP($A110,'Dados StatusInvest'!$A:$AY,column(AD110)-$A$5,0)</f>
        <v>7.77</v>
      </c>
      <c r="AE110" s="46">
        <f>VLOOKUP($A110,'Dados StatusInvest'!$A:$AY,column(AE110)-$A$5,0)</f>
        <v>53267315.33</v>
      </c>
      <c r="AF110" s="50"/>
    </row>
    <row r="111">
      <c r="A111" s="10" t="s">
        <v>157</v>
      </c>
      <c r="B111" s="39" t="str">
        <f>VLOOKUP(lEFT($A111,4),Setor!$A:$E,3,0)</f>
        <v>#N/A</v>
      </c>
      <c r="C111" s="39" t="str">
        <f>VLOOKUP(lEFT($A111,4),Setor!$A:$E,4,0)</f>
        <v>#N/A</v>
      </c>
      <c r="D111" s="39" t="str">
        <f>VLOOKUP(lEFT($A111,4),Setor!$A:$E,5,0)</f>
        <v>#N/A</v>
      </c>
      <c r="E111" s="17">
        <f>IFERROR(__xludf.DUMMYFUNCTION("GOOGLEFINANCE(A111)"),15.59)</f>
        <v>15.59</v>
      </c>
      <c r="F111" s="17">
        <f>IFERROR(__xludf.DUMMYFUNCTION("GOOGLEFINANCE($A111,""high52"")"),18.98)</f>
        <v>18.98</v>
      </c>
      <c r="G111" s="16">
        <f t="shared" si="1"/>
        <v>-0.1786090622</v>
      </c>
      <c r="H111" s="40">
        <f>VLOOKUP($A111,'Dados StatusInvest'!$A:$AY,column(H111)-$A$5,0)*VLOOKUP($A111,'Dados StatusInvest'!$A:$AY,2,0)/$E111/100</f>
        <v>0</v>
      </c>
      <c r="I111" s="41">
        <f>VLOOKUP($A111,'Dados StatusInvest'!$A:$AY,column(I111)-$A$5,0)/VLOOKUP($A111,'Dados StatusInvest'!$A:$AY,2,0)*$E111</f>
        <v>55.02544128</v>
      </c>
      <c r="J111" s="41">
        <f>VLOOKUP($A111,'Dados StatusInvest'!$A:$AY,column(J111)-$A$5,0)/VLOOKUP($A111,'Dados StatusInvest'!$A:$AY,2,0)*$E111</f>
        <v>9.923863794</v>
      </c>
      <c r="K111" s="42">
        <f>VLOOKUP($A111,'Dados StatusInvest'!$A:$AY,column(K111)-$A$5,0)/VLOOKUP($A111,'Dados StatusInvest'!$A:$AY,2,0)*$E111</f>
        <v>2.979325921</v>
      </c>
      <c r="L111" s="43">
        <f>VLOOKUP($A111,'Dados StatusInvest'!$A:$AY,column(L111)-$A$5,0)/100</f>
        <v>0.3426</v>
      </c>
      <c r="M111" s="44">
        <f>VLOOKUP($A111,'Dados StatusInvest'!$A:$AY,column(M111)-$A$5,0)</f>
        <v>24.6</v>
      </c>
      <c r="N111" s="44">
        <f>VLOOKUP($A111,'Dados StatusInvest'!$A:$AY,column(N111)-$A$5,0)</f>
        <v>13.34</v>
      </c>
      <c r="O111" s="41">
        <f>VLOOKUP($A111,'Dados StatusInvest'!$A:$AY,column(O111)-$A$5,0)/VLOOKUP($A111,'Dados StatusInvest'!$A:$AY,2,0)*$E111</f>
        <v>29.83659486</v>
      </c>
      <c r="P111" s="41">
        <f>VLOOKUP($A111,'Dados StatusInvest'!$A:$AY,column(P111)-$A$5,0)-VLOOKUP($A111,'Dados StatusInvest'!$A:$AY,column(P111)-$A$5-1,0)+O111</f>
        <v>33.95659486</v>
      </c>
      <c r="Q111" s="44">
        <f>VLOOKUP($A111,'Dados StatusInvest'!$A:$AY,column(Q111)-$A$5,0)</f>
        <v>4.04</v>
      </c>
      <c r="R111" s="44">
        <f>VLOOKUP($A111,'Dados StatusInvest'!$A:$AY,column(R111)-$A$5,0)</f>
        <v>1.34</v>
      </c>
      <c r="S111" s="41">
        <f>VLOOKUP($A111,'Dados StatusInvest'!$A:$AY,column(S111)-$A$5,0)/VLOOKUP($A111,'Dados StatusInvest'!$A:$AY,2,0)*$E111</f>
        <v>7.334558721</v>
      </c>
      <c r="T111" s="42">
        <f>VLOOKUP($A111,'Dados StatusInvest'!$A:$AY,column(T111)-$A$5,0)/VLOOKUP($A111,'Dados StatusInvest'!$A:$AY,2,0)*$E111</f>
        <v>96.31348158</v>
      </c>
      <c r="U111" s="44">
        <f>VLOOKUP($A111,'Dados StatusInvest'!$A:$AY,column(U111)-$A$5,0)</f>
        <v>-3.58</v>
      </c>
      <c r="V111" s="45">
        <f>VLOOKUP($A111,'Dados StatusInvest'!$A:$AY,column(V111)-$A$5,0)</f>
        <v>1.15</v>
      </c>
      <c r="W111" s="45">
        <f>VLOOKUP($A111,'Dados StatusInvest'!$A:$AY,column(W111)-$A$5,0)</f>
        <v>18.04</v>
      </c>
      <c r="X111" s="45">
        <f>VLOOKUP($A111,'Dados StatusInvest'!$A:$AY,column(X111)-$A$5,0)</f>
        <v>5.42</v>
      </c>
      <c r="Y111" s="45">
        <f>VLOOKUP($A111,'Dados StatusInvest'!$A:$AY,column(Y111)-$A$5,0)</f>
        <v>9.76</v>
      </c>
      <c r="Z111" s="44">
        <f>VLOOKUP($A111,'Dados StatusInvest'!$A:$AY,column(Z111)-$A$5,0)</f>
        <v>0.3</v>
      </c>
      <c r="AA111" s="44">
        <f>VLOOKUP($A111,'Dados StatusInvest'!$A:$AY,column(AA111)-$A$5,0)</f>
        <v>0.7</v>
      </c>
      <c r="AB111" s="44">
        <f>VLOOKUP($A111,'Dados StatusInvest'!$A:$AY,column(AB111)-$A$5,0)</f>
        <v>0.41</v>
      </c>
      <c r="AC111" s="44">
        <f>VLOOKUP($A111,'Dados StatusInvest'!$A:$AY,column(AC111)-$A$5,0)</f>
        <v>0</v>
      </c>
      <c r="AD111" s="45">
        <f>VLOOKUP($A111,'Dados StatusInvest'!$A:$AY,column(AD111)-$A$5,0)</f>
        <v>0</v>
      </c>
      <c r="AE111" s="46">
        <f>VLOOKUP($A111,'Dados StatusInvest'!$A:$AY,column(AE111)-$A$5,0)</f>
        <v>51807263.21</v>
      </c>
      <c r="AF111" s="18"/>
    </row>
    <row r="112">
      <c r="A112" s="10" t="s">
        <v>158</v>
      </c>
      <c r="B112" s="39" t="str">
        <f>VLOOKUP(lEFT($A112,4),Setor!$A:$E,3,0)</f>
        <v>Financeiro</v>
      </c>
      <c r="C112" s="39" t="str">
        <f>VLOOKUP(lEFT($A112,4),Setor!$A:$E,4,0)</f>
        <v>Intermediários Financeiros</v>
      </c>
      <c r="D112" s="39" t="str">
        <f>VLOOKUP(lEFT($A112,4),Setor!$A:$E,5,0)</f>
        <v>Bancos</v>
      </c>
      <c r="E112" s="17">
        <f>IFERROR(__xludf.DUMMYFUNCTION("GOOGLEFINANCE(A112)"),22.52)</f>
        <v>22.52</v>
      </c>
      <c r="F112" s="17">
        <f>IFERROR(__xludf.DUMMYFUNCTION("GOOGLEFINANCE($A112,""high52"")"),30.15)</f>
        <v>30.15</v>
      </c>
      <c r="G112" s="16">
        <f t="shared" si="1"/>
        <v>-0.2530679934</v>
      </c>
      <c r="H112" s="40">
        <f>VLOOKUP($A112,'Dados StatusInvest'!$A:$AY,column(H112)-$A$5,0)*VLOOKUP($A112,'Dados StatusInvest'!$A:$AY,2,0)/$E112/100</f>
        <v>0.03111931616</v>
      </c>
      <c r="I112" s="41">
        <f>VLOOKUP($A112,'Dados StatusInvest'!$A:$AY,column(I112)-$A$5,0)/VLOOKUP($A112,'Dados StatusInvest'!$A:$AY,2,0)*$E112</f>
        <v>7.945868691</v>
      </c>
      <c r="J112" s="41">
        <f>VLOOKUP($A112,'Dados StatusInvest'!$A:$AY,column(J112)-$A$5,0)/VLOOKUP($A112,'Dados StatusInvest'!$A:$AY,2,0)*$E112</f>
        <v>1.53888343</v>
      </c>
      <c r="K112" s="42">
        <f>VLOOKUP($A112,'Dados StatusInvest'!$A:$AY,column(K112)-$A$5,0)/VLOOKUP($A112,'Dados StatusInvest'!$A:$AY,2,0)*$E112</f>
        <v>0.110638678</v>
      </c>
      <c r="L112" s="43">
        <f>VLOOKUP($A112,'Dados StatusInvest'!$A:$AY,column(L112)-$A$5,0)/100</f>
        <v>0.699</v>
      </c>
      <c r="M112" s="44">
        <f>VLOOKUP($A112,'Dados StatusInvest'!$A:$AY,column(M112)-$A$5,0)</f>
        <v>22.63</v>
      </c>
      <c r="N112" s="44">
        <f>VLOOKUP($A112,'Dados StatusInvest'!$A:$AY,column(N112)-$A$5,0)</f>
        <v>15.24</v>
      </c>
      <c r="O112" s="41">
        <f>VLOOKUP($A112,'Dados StatusInvest'!$A:$AY,column(O112)-$A$5,0)/VLOOKUP($A112,'Dados StatusInvest'!$A:$AY,2,0)*$E112</f>
        <v>5.35088879</v>
      </c>
      <c r="P112" s="41">
        <f>VLOOKUP($A112,'Dados StatusInvest'!$A:$AY,column(P112)-$A$5,0)-VLOOKUP($A112,'Dados StatusInvest'!$A:$AY,column(P112)-$A$5-1,0)+O112</f>
        <v>5.67088879</v>
      </c>
      <c r="Q112" s="44">
        <f>VLOOKUP($A112,'Dados StatusInvest'!$A:$AY,column(Q112)-$A$5,0)</f>
        <v>0</v>
      </c>
      <c r="R112" s="44">
        <f>VLOOKUP($A112,'Dados StatusInvest'!$A:$AY,column(R112)-$A$5,0)</f>
        <v>0</v>
      </c>
      <c r="S112" s="41">
        <f>VLOOKUP($A112,'Dados StatusInvest'!$A:$AY,column(S112)-$A$5,0)/VLOOKUP($A112,'Dados StatusInvest'!$A:$AY,2,0)*$E112</f>
        <v>1.206967396</v>
      </c>
      <c r="T112" s="42">
        <f>VLOOKUP($A112,'Dados StatusInvest'!$A:$AY,column(T112)-$A$5,0)/VLOOKUP($A112,'Dados StatusInvest'!$A:$AY,2,0)*$E112</f>
        <v>0</v>
      </c>
      <c r="U112" s="44">
        <f>VLOOKUP($A112,'Dados StatusInvest'!$A:$AY,column(U112)-$A$5,0)</f>
        <v>-0.11</v>
      </c>
      <c r="V112" s="45">
        <f>VLOOKUP($A112,'Dados StatusInvest'!$A:$AY,column(V112)-$A$5,0)</f>
        <v>0</v>
      </c>
      <c r="W112" s="45">
        <f>VLOOKUP($A112,'Dados StatusInvest'!$A:$AY,column(W112)-$A$5,0)</f>
        <v>19.39</v>
      </c>
      <c r="X112" s="45">
        <f>VLOOKUP($A112,'Dados StatusInvest'!$A:$AY,column(X112)-$A$5,0)</f>
        <v>1.42</v>
      </c>
      <c r="Y112" s="45">
        <f>VLOOKUP($A112,'Dados StatusInvest'!$A:$AY,column(Y112)-$A$5,0)</f>
        <v>0</v>
      </c>
      <c r="Z112" s="44">
        <f>VLOOKUP($A112,'Dados StatusInvest'!$A:$AY,column(Z112)-$A$5,0)</f>
        <v>0.07</v>
      </c>
      <c r="AA112" s="44">
        <f>VLOOKUP($A112,'Dados StatusInvest'!$A:$AY,column(AA112)-$A$5,0)</f>
        <v>0.92</v>
      </c>
      <c r="AB112" s="44">
        <f>VLOOKUP($A112,'Dados StatusInvest'!$A:$AY,column(AB112)-$A$5,0)</f>
        <v>0.09</v>
      </c>
      <c r="AC112" s="44">
        <f>VLOOKUP($A112,'Dados StatusInvest'!$A:$AY,column(AC112)-$A$5,0)</f>
        <v>6.04</v>
      </c>
      <c r="AD112" s="45">
        <f>VLOOKUP($A112,'Dados StatusInvest'!$A:$AY,column(AD112)-$A$5,0)</f>
        <v>1.55</v>
      </c>
      <c r="AE112" s="46">
        <f>VLOOKUP($A112,'Dados StatusInvest'!$A:$AY,column(AE112)-$A$5,0)</f>
        <v>62745706.04</v>
      </c>
      <c r="AF112" s="51"/>
    </row>
    <row r="113">
      <c r="A113" s="10" t="s">
        <v>159</v>
      </c>
      <c r="B113" s="52" t="str">
        <f>VLOOKUP(LEFT($A113,4),Setor!$A:$E,3,0)</f>
        <v>Saúde</v>
      </c>
      <c r="C113" s="52" t="str">
        <f>VLOOKUP(LEFT($A113,4),Setor!$A:$E,4,0)</f>
        <v>Análises e Diagnósticos</v>
      </c>
      <c r="D113" s="52" t="str">
        <f>VLOOKUP(LEFT($A113,4),Setor!$A:$E,5,0)</f>
        <v>Análises e Diagnósticos</v>
      </c>
      <c r="E113" s="53">
        <f>IFERROR(__xludf.DUMMYFUNCTION("GOOGLEFINANCE(A113)"),21.41)</f>
        <v>21.41</v>
      </c>
      <c r="F113" s="53">
        <f>IFERROR(__xludf.DUMMYFUNCTION("GOOGLEFINANCE($A113,""high52"")"),29.5)</f>
        <v>29.5</v>
      </c>
      <c r="G113" s="54">
        <f t="shared" si="1"/>
        <v>-0.2742372881</v>
      </c>
      <c r="H113" s="55">
        <f>VLOOKUP($A113,'Dados StatusInvest'!$A:$AY,COLUMN(H113)-$A$5,0)*VLOOKUP($A113,'Dados StatusInvest'!$A:$AY,2,0)/$E113/100</f>
        <v>0.04031480617</v>
      </c>
      <c r="I113" s="56">
        <f>VLOOKUP($A113,'Dados StatusInvest'!$A:$AY,COLUMN(I113)-$A$5,0)/VLOOKUP($A113,'Dados StatusInvest'!$A:$AY,2,0)*$E113</f>
        <v>14.94101193</v>
      </c>
      <c r="J113" s="56">
        <f>VLOOKUP($A113,'Dados StatusInvest'!$A:$AY,COLUMN(J113)-$A$5,0)/VLOOKUP($A113,'Dados StatusInvest'!$A:$AY,2,0)*$E113</f>
        <v>3.873217184</v>
      </c>
      <c r="K113" s="57">
        <f>VLOOKUP($A113,'Dados StatusInvest'!$A:$AY,COLUMN(K113)-$A$5,0)/VLOOKUP($A113,'Dados StatusInvest'!$A:$AY,2,0)*$E113</f>
        <v>1.277446301</v>
      </c>
      <c r="L113" s="58">
        <f>VLOOKUP($A113,'Dados StatusInvest'!$A:$AY,COLUMN(L113)-$A$5,0)/100</f>
        <v>0.3211</v>
      </c>
      <c r="M113" s="59">
        <f>VLOOKUP($A113,'Dados StatusInvest'!$A:$AY,COLUMN(M113)-$A$5,0)</f>
        <v>21.04</v>
      </c>
      <c r="N113" s="59">
        <f>VLOOKUP($A113,'Dados StatusInvest'!$A:$AY,COLUMN(N113)-$A$5,0)</f>
        <v>12.56</v>
      </c>
      <c r="O113" s="56">
        <f>VLOOKUP($A113,'Dados StatusInvest'!$A:$AY,COLUMN(O113)-$A$5,0)/VLOOKUP($A113,'Dados StatusInvest'!$A:$AY,2,0)*$E113</f>
        <v>8.921684964</v>
      </c>
      <c r="P113" s="56">
        <f>VLOOKUP($A113,'Dados StatusInvest'!$A:$AY,COLUMN(P113)-$A$5,0)-VLOOKUP($A113,'Dados StatusInvest'!$A:$AY,COLUMN(P113)-$A$5-1,0)+O113</f>
        <v>11.27168496</v>
      </c>
      <c r="Q113" s="59">
        <f>VLOOKUP($A113,'Dados StatusInvest'!$A:$AY,COLUMN(Q113)-$A$5,0)</f>
        <v>2.33</v>
      </c>
      <c r="R113" s="59">
        <f>VLOOKUP($A113,'Dados StatusInvest'!$A:$AY,COLUMN(R113)-$A$5,0)</f>
        <v>1.01</v>
      </c>
      <c r="S113" s="56">
        <f>VLOOKUP($A113,'Dados StatusInvest'!$A:$AY,COLUMN(S113)-$A$5,0)/VLOOKUP($A113,'Dados StatusInvest'!$A:$AY,2,0)*$E113</f>
        <v>1.880400955</v>
      </c>
      <c r="T113" s="57">
        <f>VLOOKUP($A113,'Dados StatusInvest'!$A:$AY,COLUMN(T113)-$A$5,0)/VLOOKUP($A113,'Dados StatusInvest'!$A:$AY,2,0)*$E113</f>
        <v>-593.4811122</v>
      </c>
      <c r="U113" s="59">
        <f>VLOOKUP($A113,'Dados StatusInvest'!$A:$AY,COLUMN(U113)-$A$5,0)</f>
        <v>-1.73</v>
      </c>
      <c r="V113" s="60">
        <f>VLOOKUP($A113,'Dados StatusInvest'!$A:$AY,COLUMN(V113)-$A$5,0)</f>
        <v>0.99</v>
      </c>
      <c r="W113" s="60">
        <f>VLOOKUP($A113,'Dados StatusInvest'!$A:$AY,COLUMN(W113)-$A$5,0)</f>
        <v>25.94</v>
      </c>
      <c r="X113" s="60">
        <f>VLOOKUP($A113,'Dados StatusInvest'!$A:$AY,COLUMN(X113)-$A$5,0)</f>
        <v>8.57</v>
      </c>
      <c r="Y113" s="60">
        <f>VLOOKUP($A113,'Dados StatusInvest'!$A:$AY,COLUMN(Y113)-$A$5,0)</f>
        <v>14.36</v>
      </c>
      <c r="Z113" s="59">
        <f>VLOOKUP($A113,'Dados StatusInvest'!$A:$AY,COLUMN(Z113)-$A$5,0)</f>
        <v>0.33</v>
      </c>
      <c r="AA113" s="59">
        <f>VLOOKUP($A113,'Dados StatusInvest'!$A:$AY,COLUMN(AA113)-$A$5,0)</f>
        <v>0.67</v>
      </c>
      <c r="AB113" s="59">
        <f>VLOOKUP($A113,'Dados StatusInvest'!$A:$AY,COLUMN(AB113)-$A$5,0)</f>
        <v>0.68</v>
      </c>
      <c r="AC113" s="59">
        <f>VLOOKUP($A113,'Dados StatusInvest'!$A:$AY,COLUMN(AC113)-$A$5,0)</f>
        <v>9.42</v>
      </c>
      <c r="AD113" s="60">
        <f>VLOOKUP($A113,'Dados StatusInvest'!$A:$AY,COLUMN(AD113)-$A$5,0)</f>
        <v>33.53</v>
      </c>
      <c r="AE113" s="62">
        <f>VLOOKUP($A113,'Dados StatusInvest'!$A:$AY,COLUMN(AE113)-$A$5,0)</f>
        <v>38155409.83</v>
      </c>
      <c r="AF113" s="18"/>
    </row>
    <row r="114">
      <c r="A114" s="10" t="s">
        <v>160</v>
      </c>
      <c r="B114" s="39" t="str">
        <f>VLOOKUP(lEFT($A114,4),Setor!$A:$E,3,0)</f>
        <v>Financeiro</v>
      </c>
      <c r="C114" s="39" t="str">
        <f>VLOOKUP(lEFT($A114,4),Setor!$A:$E,4,0)</f>
        <v>Holdings Diversificadas</v>
      </c>
      <c r="D114" s="39" t="str">
        <f>VLOOKUP(lEFT($A114,4),Setor!$A:$E,5,0)</f>
        <v>Holdings Diversificadas</v>
      </c>
      <c r="E114" s="17">
        <f>IFERROR(__xludf.DUMMYFUNCTION("GOOGLEFINANCE(A114)"),13.51)</f>
        <v>13.51</v>
      </c>
      <c r="F114" s="17">
        <f>IFERROR(__xludf.DUMMYFUNCTION("GOOGLEFINANCE($A114,""high52"")"),17.89)</f>
        <v>17.89</v>
      </c>
      <c r="G114" s="16">
        <f t="shared" si="1"/>
        <v>-0.2448295137</v>
      </c>
      <c r="H114" s="40">
        <f>VLOOKUP($A114,'Dados StatusInvest'!$A:$AY,column(H114)-$A$5,0)*VLOOKUP($A114,'Dados StatusInvest'!$A:$AY,2,0)/$E114/100</f>
        <v>0.006336417469</v>
      </c>
      <c r="I114" s="41">
        <f>VLOOKUP($A114,'Dados StatusInvest'!$A:$AY,column(I114)-$A$5,0)/VLOOKUP($A114,'Dados StatusInvest'!$A:$AY,2,0)*$E114</f>
        <v>21.22413819</v>
      </c>
      <c r="J114" s="41">
        <f>VLOOKUP($A114,'Dados StatusInvest'!$A:$AY,column(J114)-$A$5,0)/VLOOKUP($A114,'Dados StatusInvest'!$A:$AY,2,0)*$E114</f>
        <v>4.175072134</v>
      </c>
      <c r="K114" s="42">
        <f>VLOOKUP($A114,'Dados StatusInvest'!$A:$AY,column(K114)-$A$5,0)/VLOOKUP($A114,'Dados StatusInvest'!$A:$AY,2,0)*$E114</f>
        <v>0.3282611997</v>
      </c>
      <c r="L114" s="43">
        <f>VLOOKUP($A114,'Dados StatusInvest'!$A:$AY,column(L114)-$A$5,0)/100</f>
        <v>0.2645</v>
      </c>
      <c r="M114" s="44">
        <f>VLOOKUP($A114,'Dados StatusInvest'!$A:$AY,column(M114)-$A$5,0)</f>
        <v>18.43</v>
      </c>
      <c r="N114" s="44">
        <f>VLOOKUP($A114,'Dados StatusInvest'!$A:$AY,column(N114)-$A$5,0)</f>
        <v>4.69</v>
      </c>
      <c r="O114" s="41">
        <f>VLOOKUP($A114,'Dados StatusInvest'!$A:$AY,column(O114)-$A$5,0)/VLOOKUP($A114,'Dados StatusInvest'!$A:$AY,2,0)*$E114</f>
        <v>5.406051632</v>
      </c>
      <c r="P114" s="41">
        <f>VLOOKUP($A114,'Dados StatusInvest'!$A:$AY,column(P114)-$A$5,0)-VLOOKUP($A114,'Dados StatusInvest'!$A:$AY,column(P114)-$A$5-1,0)+O114</f>
        <v>10.88605163</v>
      </c>
      <c r="Q114" s="44">
        <f>VLOOKUP($A114,'Dados StatusInvest'!$A:$AY,column(Q114)-$A$5,0)</f>
        <v>5.46</v>
      </c>
      <c r="R114" s="44">
        <f>VLOOKUP($A114,'Dados StatusInvest'!$A:$AY,column(R114)-$A$5,0)</f>
        <v>4.22</v>
      </c>
      <c r="S114" s="41">
        <f>VLOOKUP($A114,'Dados StatusInvest'!$A:$AY,column(S114)-$A$5,0)/VLOOKUP($A114,'Dados StatusInvest'!$A:$AY,2,0)*$E114</f>
        <v>0.9950417616</v>
      </c>
      <c r="T114" s="42">
        <f>VLOOKUP($A114,'Dados StatusInvest'!$A:$AY,column(T114)-$A$5,0)/VLOOKUP($A114,'Dados StatusInvest'!$A:$AY,2,0)*$E114</f>
        <v>1.015558087</v>
      </c>
      <c r="U114" s="47">
        <f>VLOOKUP($A114,'Dados StatusInvest'!$A:$AY,column(U114)-$A$5,0)</f>
        <v>-0.6</v>
      </c>
      <c r="V114" s="45">
        <f>VLOOKUP($A114,'Dados StatusInvest'!$A:$AY,column(V114)-$A$5,0)</f>
        <v>3.05</v>
      </c>
      <c r="W114" s="45">
        <f>VLOOKUP($A114,'Dados StatusInvest'!$A:$AY,column(W114)-$A$5,0)</f>
        <v>19.68</v>
      </c>
      <c r="X114" s="48">
        <f>VLOOKUP($A114,'Dados StatusInvest'!$A:$AY,column(X114)-$A$5,0)</f>
        <v>1.53</v>
      </c>
      <c r="Y114" s="45">
        <f>VLOOKUP($A114,'Dados StatusInvest'!$A:$AY,column(Y114)-$A$5,0)</f>
        <v>5.93</v>
      </c>
      <c r="Z114" s="44">
        <f>VLOOKUP($A114,'Dados StatusInvest'!$A:$AY,column(Z114)-$A$5,0)</f>
        <v>0.08</v>
      </c>
      <c r="AA114" s="44">
        <f>VLOOKUP($A114,'Dados StatusInvest'!$A:$AY,column(AA114)-$A$5,0)</f>
        <v>0.87</v>
      </c>
      <c r="AB114" s="44">
        <f>VLOOKUP($A114,'Dados StatusInvest'!$A:$AY,column(AB114)-$A$5,0)</f>
        <v>0.33</v>
      </c>
      <c r="AC114" s="44">
        <f>VLOOKUP($A114,'Dados StatusInvest'!$A:$AY,column(AC114)-$A$5,0)</f>
        <v>10.36</v>
      </c>
      <c r="AD114" s="45">
        <f>VLOOKUP($A114,'Dados StatusInvest'!$A:$AY,column(AD114)-$A$5,0)</f>
        <v>61.71</v>
      </c>
      <c r="AE114" s="46">
        <f>VLOOKUP($A114,'Dados StatusInvest'!$A:$AY,column(AE114)-$A$5,0)</f>
        <v>32281784.29</v>
      </c>
      <c r="AF114" s="18"/>
    </row>
    <row r="115">
      <c r="A115" s="10" t="s">
        <v>161</v>
      </c>
      <c r="B115" s="39" t="str">
        <f>VLOOKUP(lEFT($A115,4),Setor!$A:$E,3,0)</f>
        <v>Bens Industriais</v>
      </c>
      <c r="C115" s="39" t="str">
        <f>VLOOKUP(lEFT($A115,4),Setor!$A:$E,4,0)</f>
        <v>Material de Transporte</v>
      </c>
      <c r="D115" s="39" t="str">
        <f>VLOOKUP(lEFT($A115,4),Setor!$A:$E,5,0)</f>
        <v>Material Rodoviário</v>
      </c>
      <c r="E115" s="17">
        <f>IFERROR(__xludf.DUMMYFUNCTION("GOOGLEFINANCE(A115)"),11.37)</f>
        <v>11.37</v>
      </c>
      <c r="F115" s="17">
        <f>IFERROR(__xludf.DUMMYFUNCTION("GOOGLEFINANCE($A115,""high52"")"),16.79)</f>
        <v>16.79</v>
      </c>
      <c r="G115" s="16">
        <f t="shared" si="1"/>
        <v>-0.3228111971</v>
      </c>
      <c r="H115" s="40">
        <f>VLOOKUP($A115,'Dados StatusInvest'!$A:$AY,column(H115)-$A$5,0)*VLOOKUP($A115,'Dados StatusInvest'!$A:$AY,2,0)/$E115/100</f>
        <v>0.05714177661</v>
      </c>
      <c r="I115" s="41">
        <f>VLOOKUP($A115,'Dados StatusInvest'!$A:$AY,column(I115)-$A$5,0)/VLOOKUP($A115,'Dados StatusInvest'!$A:$AY,2,0)*$E115</f>
        <v>4.554058615</v>
      </c>
      <c r="J115" s="41">
        <f>VLOOKUP($A115,'Dados StatusInvest'!$A:$AY,column(J115)-$A$5,0)/VLOOKUP($A115,'Dados StatusInvest'!$A:$AY,2,0)*$E115</f>
        <v>1.71660746</v>
      </c>
      <c r="K115" s="42">
        <f>VLOOKUP($A115,'Dados StatusInvest'!$A:$AY,column(K115)-$A$5,0)/VLOOKUP($A115,'Dados StatusInvest'!$A:$AY,2,0)*$E115</f>
        <v>0.4241030195</v>
      </c>
      <c r="L115" s="43">
        <f>VLOOKUP($A115,'Dados StatusInvest'!$A:$AY,column(L115)-$A$5,0)/100</f>
        <v>0.2648</v>
      </c>
      <c r="M115" s="47">
        <f>VLOOKUP($A115,'Dados StatusInvest'!$A:$AY,column(M115)-$A$5,0)</f>
        <v>19.26</v>
      </c>
      <c r="N115" s="47">
        <f>VLOOKUP($A115,'Dados StatusInvest'!$A:$AY,column(N115)-$A$5,0)</f>
        <v>11.83</v>
      </c>
      <c r="O115" s="41">
        <f>VLOOKUP($A115,'Dados StatusInvest'!$A:$AY,column(O115)-$A$5,0)/VLOOKUP($A115,'Dados StatusInvest'!$A:$AY,2,0)*$E115</f>
        <v>2.797060391</v>
      </c>
      <c r="P115" s="41">
        <f>VLOOKUP($A115,'Dados StatusInvest'!$A:$AY,column(P115)-$A$5,0)-VLOOKUP($A115,'Dados StatusInvest'!$A:$AY,column(P115)-$A$5-1,0)+O115</f>
        <v>4.357060391</v>
      </c>
      <c r="Q115" s="44">
        <f>VLOOKUP($A115,'Dados StatusInvest'!$A:$AY,column(Q115)-$A$5,0)</f>
        <v>1.4</v>
      </c>
      <c r="R115" s="44">
        <f>VLOOKUP($A115,'Dados StatusInvest'!$A:$AY,column(R115)-$A$5,0)</f>
        <v>0.86</v>
      </c>
      <c r="S115" s="41">
        <f>VLOOKUP($A115,'Dados StatusInvest'!$A:$AY,column(S115)-$A$5,0)/VLOOKUP($A115,'Dados StatusInvest'!$A:$AY,2,0)*$E115</f>
        <v>0.5351776199</v>
      </c>
      <c r="T115" s="42">
        <f>VLOOKUP($A115,'Dados StatusInvest'!$A:$AY,column(T115)-$A$5,0)/VLOOKUP($A115,'Dados StatusInvest'!$A:$AY,2,0)*$E115</f>
        <v>1.39348135</v>
      </c>
      <c r="U115" s="44">
        <f>VLOOKUP($A115,'Dados StatusInvest'!$A:$AY,column(U115)-$A$5,0)</f>
        <v>-1.04</v>
      </c>
      <c r="V115" s="45">
        <f>VLOOKUP($A115,'Dados StatusInvest'!$A:$AY,column(V115)-$A$5,0)</f>
        <v>2.08</v>
      </c>
      <c r="W115" s="45">
        <f>VLOOKUP($A115,'Dados StatusInvest'!$A:$AY,column(W115)-$A$5,0)</f>
        <v>37.77</v>
      </c>
      <c r="X115" s="45">
        <f>VLOOKUP($A115,'Dados StatusInvest'!$A:$AY,column(X115)-$A$5,0)</f>
        <v>9.41</v>
      </c>
      <c r="Y115" s="48">
        <f>VLOOKUP($A115,'Dados StatusInvest'!$A:$AY,column(Y115)-$A$5,0)</f>
        <v>13.75</v>
      </c>
      <c r="Z115" s="44">
        <f>VLOOKUP($A115,'Dados StatusInvest'!$A:$AY,column(Z115)-$A$5,0)</f>
        <v>0.25</v>
      </c>
      <c r="AA115" s="44">
        <f>VLOOKUP($A115,'Dados StatusInvest'!$A:$AY,column(AA115)-$A$5,0)</f>
        <v>0.68</v>
      </c>
      <c r="AB115" s="44">
        <f>VLOOKUP($A115,'Dados StatusInvest'!$A:$AY,column(AB115)-$A$5,0)</f>
        <v>0.79</v>
      </c>
      <c r="AC115" s="44">
        <f>VLOOKUP($A115,'Dados StatusInvest'!$A:$AY,column(AC115)-$A$5,0)</f>
        <v>11.59</v>
      </c>
      <c r="AD115" s="45">
        <f>VLOOKUP($A115,'Dados StatusInvest'!$A:$AY,column(AD115)-$A$5,0)</f>
        <v>0</v>
      </c>
      <c r="AE115" s="46">
        <f>VLOOKUP($A115,'Dados StatusInvest'!$A:$AY,column(AE115)-$A$5,0)</f>
        <v>35298094.63</v>
      </c>
      <c r="AF115" s="18"/>
    </row>
    <row r="116">
      <c r="A116" s="10" t="s">
        <v>162</v>
      </c>
      <c r="B116" s="39" t="str">
        <f>VLOOKUP(lEFT($A116,4),Setor!$A:$E,3,0)</f>
        <v>Utilidade Pública</v>
      </c>
      <c r="C116" s="39" t="str">
        <f>VLOOKUP(lEFT($A116,4),Setor!$A:$E,4,0)</f>
        <v>Energia Elétrica</v>
      </c>
      <c r="D116" s="39" t="str">
        <f>VLOOKUP(lEFT($A116,4),Setor!$A:$E,5,0)</f>
        <v>Energia Elétrica</v>
      </c>
      <c r="E116" s="17">
        <f>IFERROR(__xludf.DUMMYFUNCTION("GOOGLEFINANCE(A116)"),24.3)</f>
        <v>24.3</v>
      </c>
      <c r="F116" s="17">
        <f>IFERROR(__xludf.DUMMYFUNCTION("GOOGLEFINANCE($A116,""high52"")"),29.35)</f>
        <v>29.35</v>
      </c>
      <c r="G116" s="16">
        <f t="shared" si="1"/>
        <v>-0.1720613288</v>
      </c>
      <c r="H116" s="40">
        <f>VLOOKUP($A116,'Dados StatusInvest'!$A:$AY,column(H116)-$A$5,0)*VLOOKUP($A116,'Dados StatusInvest'!$A:$AY,2,0)/$E116/100</f>
        <v>0.1426141975</v>
      </c>
      <c r="I116" s="41">
        <f>VLOOKUP($A116,'Dados StatusInvest'!$A:$AY,column(I116)-$A$5,0)/VLOOKUP($A116,'Dados StatusInvest'!$A:$AY,2,0)*$E116</f>
        <v>4.548074534</v>
      </c>
      <c r="J116" s="41">
        <f>VLOOKUP($A116,'Dados StatusInvest'!$A:$AY,column(J116)-$A$5,0)/VLOOKUP($A116,'Dados StatusInvest'!$A:$AY,2,0)*$E116</f>
        <v>1.137018634</v>
      </c>
      <c r="K116" s="42">
        <f>VLOOKUP($A116,'Dados StatusInvest'!$A:$AY,column(K116)-$A$5,0)/VLOOKUP($A116,'Dados StatusInvest'!$A:$AY,2,0)*$E116</f>
        <v>0.5735403727</v>
      </c>
      <c r="L116" s="43">
        <f>VLOOKUP($A116,'Dados StatusInvest'!$A:$AY,column(L116)-$A$5,0)/100</f>
        <v>0.6902</v>
      </c>
      <c r="M116" s="44">
        <f>VLOOKUP($A116,'Dados StatusInvest'!$A:$AY,column(M116)-$A$5,0)</f>
        <v>120.03</v>
      </c>
      <c r="N116" s="44">
        <f>VLOOKUP($A116,'Dados StatusInvest'!$A:$AY,column(N116)-$A$5,0)</f>
        <v>88.69</v>
      </c>
      <c r="O116" s="41">
        <f>VLOOKUP($A116,'Dados StatusInvest'!$A:$AY,column(O116)-$A$5,0)/VLOOKUP($A116,'Dados StatusInvest'!$A:$AY,2,0)*$E116</f>
        <v>3.360745342</v>
      </c>
      <c r="P116" s="41">
        <f>VLOOKUP($A116,'Dados StatusInvest'!$A:$AY,column(P116)-$A$5,0)-VLOOKUP($A116,'Dados StatusInvest'!$A:$AY,column(P116)-$A$5-1,0)+O116</f>
        <v>4.830745342</v>
      </c>
      <c r="Q116" s="44">
        <f>VLOOKUP($A116,'Dados StatusInvest'!$A:$AY,column(Q116)-$A$5,0)</f>
        <v>1.06</v>
      </c>
      <c r="R116" s="44">
        <f>VLOOKUP($A116,'Dados StatusInvest'!$A:$AY,column(R116)-$A$5,0)</f>
        <v>0.36</v>
      </c>
      <c r="S116" s="41">
        <f>VLOOKUP($A116,'Dados StatusInvest'!$A:$AY,column(S116)-$A$5,0)/VLOOKUP($A116,'Dados StatusInvest'!$A:$AY,2,0)*$E116</f>
        <v>4.02484472</v>
      </c>
      <c r="T116" s="42">
        <f>VLOOKUP($A116,'Dados StatusInvest'!$A:$AY,column(T116)-$A$5,0)/VLOOKUP($A116,'Dados StatusInvest'!$A:$AY,2,0)*$E116</f>
        <v>7.617018634</v>
      </c>
      <c r="U116" s="44">
        <f>VLOOKUP($A116,'Dados StatusInvest'!$A:$AY,column(U116)-$A$5,0)</f>
        <v>-0.67</v>
      </c>
      <c r="V116" s="45">
        <f>VLOOKUP($A116,'Dados StatusInvest'!$A:$AY,column(V116)-$A$5,0)</f>
        <v>2.05</v>
      </c>
      <c r="W116" s="45">
        <f>VLOOKUP($A116,'Dados StatusInvest'!$A:$AY,column(W116)-$A$5,0)</f>
        <v>24.93</v>
      </c>
      <c r="X116" s="45">
        <f>VLOOKUP($A116,'Dados StatusInvest'!$A:$AY,column(X116)-$A$5,0)</f>
        <v>12.64</v>
      </c>
      <c r="Y116" s="48">
        <f>VLOOKUP($A116,'Dados StatusInvest'!$A:$AY,column(Y116)-$A$5,0)</f>
        <v>18.37</v>
      </c>
      <c r="Z116" s="44">
        <f>VLOOKUP($A116,'Dados StatusInvest'!$A:$AY,column(Z116)-$A$5,0)</f>
        <v>0.51</v>
      </c>
      <c r="AA116" s="44">
        <f>VLOOKUP($A116,'Dados StatusInvest'!$A:$AY,column(AA116)-$A$5,0)</f>
        <v>0.48</v>
      </c>
      <c r="AB116" s="44">
        <f>VLOOKUP($A116,'Dados StatusInvest'!$A:$AY,column(AB116)-$A$5,0)</f>
        <v>0.14</v>
      </c>
      <c r="AC116" s="44">
        <f>VLOOKUP($A116,'Dados StatusInvest'!$A:$AY,column(AC116)-$A$5,0)</f>
        <v>23.49</v>
      </c>
      <c r="AD116" s="45">
        <f>VLOOKUP($A116,'Dados StatusInvest'!$A:$AY,column(AD116)-$A$5,0)</f>
        <v>47.51</v>
      </c>
      <c r="AE116" s="46">
        <f>VLOOKUP($A116,'Dados StatusInvest'!$A:$AY,column(AE116)-$A$5,0)</f>
        <v>32293677.13</v>
      </c>
      <c r="AF116" s="18"/>
    </row>
    <row r="117">
      <c r="A117" s="10" t="s">
        <v>163</v>
      </c>
      <c r="B117" s="39" t="str">
        <f>VLOOKUP(lEFT($A117,4),Setor!$A:$E,3,0)</f>
        <v>Bens Industriais</v>
      </c>
      <c r="C117" s="39" t="str">
        <f>VLOOKUP(lEFT($A117,4),Setor!$A:$E,4,0)</f>
        <v>Construção e Engenharia</v>
      </c>
      <c r="D117" s="39" t="str">
        <f>VLOOKUP(lEFT($A117,4),Setor!$A:$E,5,0)</f>
        <v>Produtos para Construção</v>
      </c>
      <c r="E117" s="17">
        <f>IFERROR(__xludf.DUMMYFUNCTION("GOOGLEFINANCE(A117)"),15.65)</f>
        <v>15.65</v>
      </c>
      <c r="F117" s="17">
        <f>IFERROR(__xludf.DUMMYFUNCTION("GOOGLEFINANCE($A117,""high52"")"),34.72)</f>
        <v>34.72</v>
      </c>
      <c r="G117" s="16">
        <f t="shared" si="1"/>
        <v>-0.5492511521</v>
      </c>
      <c r="H117" s="40">
        <f>VLOOKUP($A117,'Dados StatusInvest'!$A:$AY,column(H117)-$A$5,0)*VLOOKUP($A117,'Dados StatusInvest'!$A:$AY,2,0)/$E117/100</f>
        <v>0</v>
      </c>
      <c r="I117" s="41">
        <f>VLOOKUP($A117,'Dados StatusInvest'!$A:$AY,column(I117)-$A$5,0)/VLOOKUP($A117,'Dados StatusInvest'!$A:$AY,2,0)*$E117</f>
        <v>3.466515544</v>
      </c>
      <c r="J117" s="41">
        <f>VLOOKUP($A117,'Dados StatusInvest'!$A:$AY,column(J117)-$A$5,0)/VLOOKUP($A117,'Dados StatusInvest'!$A:$AY,2,0)*$E117</f>
        <v>2.179242228</v>
      </c>
      <c r="K117" s="42">
        <f>VLOOKUP($A117,'Dados StatusInvest'!$A:$AY,column(K117)-$A$5,0)/VLOOKUP($A117,'Dados StatusInvest'!$A:$AY,2,0)*$E117</f>
        <v>1.084553109</v>
      </c>
      <c r="L117" s="43">
        <f>VLOOKUP($A117,'Dados StatusInvest'!$A:$AY,column(L117)-$A$5,0)/100</f>
        <v>0.4376</v>
      </c>
      <c r="M117" s="44">
        <f>VLOOKUP($A117,'Dados StatusInvest'!$A:$AY,column(M117)-$A$5,0)</f>
        <v>34.19</v>
      </c>
      <c r="N117" s="44">
        <f>VLOOKUP($A117,'Dados StatusInvest'!$A:$AY,column(N117)-$A$5,0)</f>
        <v>28.24</v>
      </c>
      <c r="O117" s="41">
        <f>VLOOKUP($A117,'Dados StatusInvest'!$A:$AY,column(O117)-$A$5,0)/VLOOKUP($A117,'Dados StatusInvest'!$A:$AY,2,0)*$E117</f>
        <v>2.858354922</v>
      </c>
      <c r="P117" s="41">
        <f>VLOOKUP($A117,'Dados StatusInvest'!$A:$AY,column(P117)-$A$5,0)-VLOOKUP($A117,'Dados StatusInvest'!$A:$AY,column(P117)-$A$5-1,0)+O117</f>
        <v>2.428354922</v>
      </c>
      <c r="Q117" s="44">
        <f>VLOOKUP($A117,'Dados StatusInvest'!$A:$AY,column(Q117)-$A$5,0)</f>
        <v>-0.45</v>
      </c>
      <c r="R117" s="44">
        <f>VLOOKUP($A117,'Dados StatusInvest'!$A:$AY,column(R117)-$A$5,0)</f>
        <v>-0.34</v>
      </c>
      <c r="S117" s="41">
        <f>VLOOKUP($A117,'Dados StatusInvest'!$A:$AY,column(S117)-$A$5,0)/VLOOKUP($A117,'Dados StatusInvest'!$A:$AY,2,0)*$E117</f>
        <v>0.9831930052</v>
      </c>
      <c r="T117" s="42">
        <f>VLOOKUP($A117,'Dados StatusInvest'!$A:$AY,column(T117)-$A$5,0)/VLOOKUP($A117,'Dados StatusInvest'!$A:$AY,2,0)*$E117</f>
        <v>2.158970207</v>
      </c>
      <c r="U117" s="44">
        <f>VLOOKUP($A117,'Dados StatusInvest'!$A:$AY,column(U117)-$A$5,0)</f>
        <v>-3.5</v>
      </c>
      <c r="V117" s="45">
        <f>VLOOKUP($A117,'Dados StatusInvest'!$A:$AY,column(V117)-$A$5,0)</f>
        <v>3.57</v>
      </c>
      <c r="W117" s="48">
        <f>VLOOKUP($A117,'Dados StatusInvest'!$A:$AY,column(W117)-$A$5,0)</f>
        <v>62.99</v>
      </c>
      <c r="X117" s="45">
        <f>VLOOKUP($A117,'Dados StatusInvest'!$A:$AY,column(X117)-$A$5,0)</f>
        <v>31.21</v>
      </c>
      <c r="Y117" s="45">
        <f>VLOOKUP($A117,'Dados StatusInvest'!$A:$AY,column(Y117)-$A$5,0)</f>
        <v>55.36</v>
      </c>
      <c r="Z117" s="44">
        <f>VLOOKUP($A117,'Dados StatusInvest'!$A:$AY,column(Z117)-$A$5,0)</f>
        <v>0.5</v>
      </c>
      <c r="AA117" s="44">
        <f>VLOOKUP($A117,'Dados StatusInvest'!$A:$AY,column(AA117)-$A$5,0)</f>
        <v>0.5</v>
      </c>
      <c r="AB117" s="44">
        <f>VLOOKUP($A117,'Dados StatusInvest'!$A:$AY,column(AB117)-$A$5,0)</f>
        <v>1.11</v>
      </c>
      <c r="AC117" s="44">
        <f>VLOOKUP($A117,'Dados StatusInvest'!$A:$AY,column(AC117)-$A$5,0)</f>
        <v>-6.86</v>
      </c>
      <c r="AD117" s="45">
        <f>VLOOKUP($A117,'Dados StatusInvest'!$A:$AY,column(AD117)-$A$5,0)</f>
        <v>56.82</v>
      </c>
      <c r="AE117" s="46">
        <f>VLOOKUP($A117,'Dados StatusInvest'!$A:$AY,column(AE117)-$A$5,0)</f>
        <v>28084200.33</v>
      </c>
      <c r="AF117" s="49"/>
    </row>
    <row r="118">
      <c r="A118" s="10" t="s">
        <v>164</v>
      </c>
      <c r="B118" s="39" t="str">
        <f>VLOOKUP(lEFT($A118,4),Setor!$A:$E,3,0)</f>
        <v>Utilidade Pública</v>
      </c>
      <c r="C118" s="39" t="str">
        <f>VLOOKUP(lEFT($A118,4),Setor!$A:$E,4,0)</f>
        <v>Energia Elétrica</v>
      </c>
      <c r="D118" s="39" t="str">
        <f>VLOOKUP(lEFT($A118,4),Setor!$A:$E,5,0)</f>
        <v>Energia Elétrica</v>
      </c>
      <c r="E118" s="17">
        <f>IFERROR(__xludf.DUMMYFUNCTION("GOOGLEFINANCE(A118)"),15.43)</f>
        <v>15.43</v>
      </c>
      <c r="F118" s="17">
        <f>IFERROR(__xludf.DUMMYFUNCTION("GOOGLEFINANCE($A118,""high52"")"),19.6)</f>
        <v>19.6</v>
      </c>
      <c r="G118" s="16">
        <f t="shared" si="1"/>
        <v>-0.212755102</v>
      </c>
      <c r="H118" s="40">
        <f>VLOOKUP($A118,'Dados StatusInvest'!$A:$AY,column(H118)-$A$5,0)*VLOOKUP($A118,'Dados StatusInvest'!$A:$AY,2,0)/$E118/100</f>
        <v>0.03407634478</v>
      </c>
      <c r="I118" s="41">
        <f>VLOOKUP($A118,'Dados StatusInvest'!$A:$AY,column(I118)-$A$5,0)/VLOOKUP($A118,'Dados StatusInvest'!$A:$AY,2,0)*$E118</f>
        <v>4.902990654</v>
      </c>
      <c r="J118" s="41">
        <f>VLOOKUP($A118,'Dados StatusInvest'!$A:$AY,column(J118)-$A$5,0)/VLOOKUP($A118,'Dados StatusInvest'!$A:$AY,2,0)*$E118</f>
        <v>0.8343324433</v>
      </c>
      <c r="K118" s="42">
        <f>VLOOKUP($A118,'Dados StatusInvest'!$A:$AY,column(K118)-$A$5,0)/VLOOKUP($A118,'Dados StatusInvest'!$A:$AY,2,0)*$E118</f>
        <v>0.2472096128</v>
      </c>
      <c r="L118" s="43">
        <f>VLOOKUP($A118,'Dados StatusInvest'!$A:$AY,column(L118)-$A$5,0)/100</f>
        <v>0.2454</v>
      </c>
      <c r="M118" s="47">
        <f>VLOOKUP($A118,'Dados StatusInvest'!$A:$AY,column(M118)-$A$5,0)</f>
        <v>17.8</v>
      </c>
      <c r="N118" s="47">
        <f>VLOOKUP($A118,'Dados StatusInvest'!$A:$AY,column(N118)-$A$5,0)</f>
        <v>10.2</v>
      </c>
      <c r="O118" s="41">
        <f>VLOOKUP($A118,'Dados StatusInvest'!$A:$AY,column(O118)-$A$5,0)/VLOOKUP($A118,'Dados StatusInvest'!$A:$AY,2,0)*$E118</f>
        <v>2.812009346</v>
      </c>
      <c r="P118" s="41">
        <f>VLOOKUP($A118,'Dados StatusInvest'!$A:$AY,column(P118)-$A$5,0)-VLOOKUP($A118,'Dados StatusInvest'!$A:$AY,column(P118)-$A$5-1,0)+O118</f>
        <v>6.902009346</v>
      </c>
      <c r="Q118" s="44">
        <f>VLOOKUP($A118,'Dados StatusInvest'!$A:$AY,column(Q118)-$A$5,0)</f>
        <v>4.08</v>
      </c>
      <c r="R118" s="44">
        <f>VLOOKUP($A118,'Dados StatusInvest'!$A:$AY,column(R118)-$A$5,0)</f>
        <v>1.21</v>
      </c>
      <c r="S118" s="41">
        <f>VLOOKUP($A118,'Dados StatusInvest'!$A:$AY,column(S118)-$A$5,0)/VLOOKUP($A118,'Dados StatusInvest'!$A:$AY,2,0)*$E118</f>
        <v>0.5047196262</v>
      </c>
      <c r="T118" s="42">
        <f>VLOOKUP($A118,'Dados StatusInvest'!$A:$AY,column(T118)-$A$5,0)/VLOOKUP($A118,'Dados StatusInvest'!$A:$AY,2,0)*$E118</f>
        <v>6.272943925</v>
      </c>
      <c r="U118" s="44">
        <f>VLOOKUP($A118,'Dados StatusInvest'!$A:$AY,column(U118)-$A$5,0)</f>
        <v>-0.31</v>
      </c>
      <c r="V118" s="45">
        <f>VLOOKUP($A118,'Dados StatusInvest'!$A:$AY,column(V118)-$A$5,0)</f>
        <v>1.24</v>
      </c>
      <c r="W118" s="45">
        <f>VLOOKUP($A118,'Dados StatusInvest'!$A:$AY,column(W118)-$A$5,0)</f>
        <v>16.99</v>
      </c>
      <c r="X118" s="45">
        <f>VLOOKUP($A118,'Dados StatusInvest'!$A:$AY,column(X118)-$A$5,0)</f>
        <v>5.11</v>
      </c>
      <c r="Y118" s="45">
        <f>VLOOKUP($A118,'Dados StatusInvest'!$A:$AY,column(Y118)-$A$5,0)</f>
        <v>9.84</v>
      </c>
      <c r="Z118" s="44">
        <f>VLOOKUP($A118,'Dados StatusInvest'!$A:$AY,column(Z118)-$A$5,0)</f>
        <v>0.3</v>
      </c>
      <c r="AA118" s="44">
        <f>VLOOKUP($A118,'Dados StatusInvest'!$A:$AY,column(AA118)-$A$5,0)</f>
        <v>0.69</v>
      </c>
      <c r="AB118" s="44">
        <f>VLOOKUP($A118,'Dados StatusInvest'!$A:$AY,column(AB118)-$A$5,0)</f>
        <v>0.5</v>
      </c>
      <c r="AC118" s="44">
        <f>VLOOKUP($A118,'Dados StatusInvest'!$A:$AY,column(AC118)-$A$5,0)</f>
        <v>16.97</v>
      </c>
      <c r="AD118" s="45">
        <f>VLOOKUP($A118,'Dados StatusInvest'!$A:$AY,column(AD118)-$A$5,0)</f>
        <v>65.3</v>
      </c>
      <c r="AE118" s="46">
        <f>VLOOKUP($A118,'Dados StatusInvest'!$A:$AY,column(AE118)-$A$5,0)</f>
        <v>45115928.08</v>
      </c>
      <c r="AF118" s="51"/>
    </row>
    <row r="119">
      <c r="A119" s="10" t="s">
        <v>165</v>
      </c>
      <c r="B119" s="39" t="str">
        <f>VLOOKUP(lEFT($A119,4),Setor!$A:$E,3,0)</f>
        <v>Consumo Cíclico</v>
      </c>
      <c r="C119" s="39" t="str">
        <f>VLOOKUP(lEFT($A119,4),Setor!$A:$E,4,0)</f>
        <v>Tecidos, Vestuário e Calçados</v>
      </c>
      <c r="D119" s="39" t="str">
        <f>VLOOKUP(lEFT($A119,4),Setor!$A:$E,5,0)</f>
        <v>Acessórios</v>
      </c>
      <c r="E119" s="17">
        <f>IFERROR(__xludf.DUMMYFUNCTION("GOOGLEFINANCE(A119)"),29.19)</f>
        <v>29.19</v>
      </c>
      <c r="F119" s="17">
        <f>IFERROR(__xludf.DUMMYFUNCTION("GOOGLEFINANCE($A119,""high52"")"),35.08)</f>
        <v>35.08</v>
      </c>
      <c r="G119" s="16">
        <f t="shared" si="1"/>
        <v>-0.1679019384</v>
      </c>
      <c r="H119" s="40">
        <f>VLOOKUP($A119,'Dados StatusInvest'!$A:$AY,column(H119)-$A$5,0)*VLOOKUP($A119,'Dados StatusInvest'!$A:$AY,2,0)/$E119/100</f>
        <v>0.005436930456</v>
      </c>
      <c r="I119" s="41">
        <f>VLOOKUP($A119,'Dados StatusInvest'!$A:$AY,column(I119)-$A$5,0)/VLOOKUP($A119,'Dados StatusInvest'!$A:$AY,2,0)*$E119</f>
        <v>32.07398024</v>
      </c>
      <c r="J119" s="41">
        <f>VLOOKUP($A119,'Dados StatusInvest'!$A:$AY,column(J119)-$A$5,0)/VLOOKUP($A119,'Dados StatusInvest'!$A:$AY,2,0)*$E119</f>
        <v>5.469262526</v>
      </c>
      <c r="K119" s="42">
        <f>VLOOKUP($A119,'Dados StatusInvest'!$A:$AY,column(K119)-$A$5,0)/VLOOKUP($A119,'Dados StatusInvest'!$A:$AY,2,0)*$E119</f>
        <v>3.162078335</v>
      </c>
      <c r="L119" s="43">
        <f>VLOOKUP($A119,'Dados StatusInvest'!$A:$AY,column(L119)-$A$5,0)/100</f>
        <v>0.7506</v>
      </c>
      <c r="M119" s="44">
        <f>VLOOKUP($A119,'Dados StatusInvest'!$A:$AY,column(M119)-$A$5,0)</f>
        <v>23.57</v>
      </c>
      <c r="N119" s="44">
        <f>VLOOKUP($A119,'Dados StatusInvest'!$A:$AY,column(N119)-$A$5,0)</f>
        <v>18.37</v>
      </c>
      <c r="O119" s="41">
        <f>VLOOKUP($A119,'Dados StatusInvest'!$A:$AY,column(O119)-$A$5,0)/VLOOKUP($A119,'Dados StatusInvest'!$A:$AY,2,0)*$E119</f>
        <v>24.98762879</v>
      </c>
      <c r="P119" s="41">
        <f>VLOOKUP($A119,'Dados StatusInvest'!$A:$AY,column(P119)-$A$5,0)-VLOOKUP($A119,'Dados StatusInvest'!$A:$AY,column(P119)-$A$5-1,0)+O119</f>
        <v>24.48762879</v>
      </c>
      <c r="Q119" s="44">
        <f>VLOOKUP($A119,'Dados StatusInvest'!$A:$AY,column(Q119)-$A$5,0)</f>
        <v>-0.52</v>
      </c>
      <c r="R119" s="44">
        <f>VLOOKUP($A119,'Dados StatusInvest'!$A:$AY,column(R119)-$A$5,0)</f>
        <v>-0.11</v>
      </c>
      <c r="S119" s="41">
        <f>VLOOKUP($A119,'Dados StatusInvest'!$A:$AY,column(S119)-$A$5,0)/VLOOKUP($A119,'Dados StatusInvest'!$A:$AY,2,0)*$E119</f>
        <v>5.891559633</v>
      </c>
      <c r="T119" s="42">
        <f>VLOOKUP($A119,'Dados StatusInvest'!$A:$AY,column(T119)-$A$5,0)/VLOOKUP($A119,'Dados StatusInvest'!$A:$AY,2,0)*$E119</f>
        <v>8.033944954</v>
      </c>
      <c r="U119" s="44">
        <f>VLOOKUP($A119,'Dados StatusInvest'!$A:$AY,column(U119)-$A$5,0)</f>
        <v>-7.76</v>
      </c>
      <c r="V119" s="45">
        <f>VLOOKUP($A119,'Dados StatusInvest'!$A:$AY,column(V119)-$A$5,0)</f>
        <v>2.87</v>
      </c>
      <c r="W119" s="45">
        <f>VLOOKUP($A119,'Dados StatusInvest'!$A:$AY,column(W119)-$A$5,0)</f>
        <v>17.06</v>
      </c>
      <c r="X119" s="45">
        <f>VLOOKUP($A119,'Dados StatusInvest'!$A:$AY,column(X119)-$A$5,0)</f>
        <v>9.86</v>
      </c>
      <c r="Y119" s="45">
        <f>VLOOKUP($A119,'Dados StatusInvest'!$A:$AY,column(Y119)-$A$5,0)</f>
        <v>16.21</v>
      </c>
      <c r="Z119" s="44">
        <f>VLOOKUP($A119,'Dados StatusInvest'!$A:$AY,column(Z119)-$A$5,0)</f>
        <v>0.58</v>
      </c>
      <c r="AA119" s="44">
        <f>VLOOKUP($A119,'Dados StatusInvest'!$A:$AY,column(AA119)-$A$5,0)</f>
        <v>0.42</v>
      </c>
      <c r="AB119" s="44">
        <f>VLOOKUP($A119,'Dados StatusInvest'!$A:$AY,column(AB119)-$A$5,0)</f>
        <v>0.54</v>
      </c>
      <c r="AC119" s="44">
        <f>VLOOKUP($A119,'Dados StatusInvest'!$A:$AY,column(AC119)-$A$5,0)</f>
        <v>0</v>
      </c>
      <c r="AD119" s="45">
        <f>VLOOKUP($A119,'Dados StatusInvest'!$A:$AY,column(AD119)-$A$5,0)</f>
        <v>0</v>
      </c>
      <c r="AE119" s="46">
        <f>VLOOKUP($A119,'Dados StatusInvest'!$A:$AY,column(AE119)-$A$5,0)</f>
        <v>31340848.42</v>
      </c>
      <c r="AF119" s="18"/>
    </row>
    <row r="120">
      <c r="A120" s="10" t="s">
        <v>166</v>
      </c>
      <c r="B120" s="39" t="str">
        <f>VLOOKUP(lEFT($A120,4),Setor!$A:$E,3,0)</f>
        <v>Utilidade Pública</v>
      </c>
      <c r="C120" s="39" t="str">
        <f>VLOOKUP(lEFT($A120,4),Setor!$A:$E,4,0)</f>
        <v>Água e Saneamento</v>
      </c>
      <c r="D120" s="39" t="str">
        <f>VLOOKUP(lEFT($A120,4),Setor!$A:$E,5,0)</f>
        <v>Água e Saneamento</v>
      </c>
      <c r="E120" s="17">
        <f>IFERROR(__xludf.DUMMYFUNCTION("GOOGLEFINANCE(A120)"),19.16)</f>
        <v>19.16</v>
      </c>
      <c r="F120" s="17">
        <f>IFERROR(__xludf.DUMMYFUNCTION("GOOGLEFINANCE($A120,""high52"")"),28.38)</f>
        <v>28.38</v>
      </c>
      <c r="G120" s="16">
        <f t="shared" si="1"/>
        <v>-0.3248766737</v>
      </c>
      <c r="H120" s="40">
        <f>VLOOKUP($A120,'Dados StatusInvest'!$A:$AY,column(H120)-$A$5,0)*VLOOKUP($A120,'Dados StatusInvest'!$A:$AY,2,0)/$E120/100</f>
        <v>0.05190840292</v>
      </c>
      <c r="I120" s="41">
        <f>VLOOKUP($A120,'Dados StatusInvest'!$A:$AY,column(I120)-$A$5,0)/VLOOKUP($A120,'Dados StatusInvest'!$A:$AY,2,0)*$E120</f>
        <v>5.606799354</v>
      </c>
      <c r="J120" s="41">
        <f>VLOOKUP($A120,'Dados StatusInvest'!$A:$AY,column(J120)-$A$5,0)/VLOOKUP($A120,'Dados StatusInvest'!$A:$AY,2,0)*$E120</f>
        <v>0.7936094675</v>
      </c>
      <c r="K120" s="42">
        <f>VLOOKUP($A120,'Dados StatusInvest'!$A:$AY,column(K120)-$A$5,0)/VLOOKUP($A120,'Dados StatusInvest'!$A:$AY,2,0)*$E120</f>
        <v>0.4225712749</v>
      </c>
      <c r="L120" s="43">
        <f>VLOOKUP($A120,'Dados StatusInvest'!$A:$AY,column(L120)-$A$5,0)/100</f>
        <v>0.6003</v>
      </c>
      <c r="M120" s="44">
        <f>VLOOKUP($A120,'Dados StatusInvest'!$A:$AY,column(M120)-$A$5,0)</f>
        <v>33.99</v>
      </c>
      <c r="N120" s="44">
        <f>VLOOKUP($A120,'Dados StatusInvest'!$A:$AY,column(N120)-$A$5,0)</f>
        <v>21.09</v>
      </c>
      <c r="O120" s="41">
        <f>VLOOKUP($A120,'Dados StatusInvest'!$A:$AY,column(O120)-$A$5,0)/VLOOKUP($A120,'Dados StatusInvest'!$A:$AY,2,0)*$E120</f>
        <v>3.473329747</v>
      </c>
      <c r="P120" s="41">
        <f>VLOOKUP($A120,'Dados StatusInvest'!$A:$AY,column(P120)-$A$5,0)-VLOOKUP($A120,'Dados StatusInvest'!$A:$AY,column(P120)-$A$5-1,0)+O120</f>
        <v>5.313329747</v>
      </c>
      <c r="Q120" s="44">
        <f>VLOOKUP($A120,'Dados StatusInvest'!$A:$AY,column(Q120)-$A$5,0)</f>
        <v>1.83</v>
      </c>
      <c r="R120" s="44">
        <f>VLOOKUP($A120,'Dados StatusInvest'!$A:$AY,column(R120)-$A$5,0)</f>
        <v>0.42</v>
      </c>
      <c r="S120" s="41">
        <f>VLOOKUP($A120,'Dados StatusInvest'!$A:$AY,column(S120)-$A$5,0)/VLOOKUP($A120,'Dados StatusInvest'!$A:$AY,2,0)*$E120</f>
        <v>1.185260893</v>
      </c>
      <c r="T120" s="42">
        <f>VLOOKUP($A120,'Dados StatusInvest'!$A:$AY,column(T120)-$A$5,0)/VLOOKUP($A120,'Dados StatusInvest'!$A:$AY,2,0)*$E120</f>
        <v>7.626896181</v>
      </c>
      <c r="U120" s="47">
        <f>VLOOKUP($A120,'Dados StatusInvest'!$A:$AY,column(U120)-$A$5,0)</f>
        <v>-0.47</v>
      </c>
      <c r="V120" s="45">
        <f>VLOOKUP($A120,'Dados StatusInvest'!$A:$AY,column(V120)-$A$5,0)</f>
        <v>1.62</v>
      </c>
      <c r="W120" s="45">
        <f>VLOOKUP($A120,'Dados StatusInvest'!$A:$AY,column(W120)-$A$5,0)</f>
        <v>14.15</v>
      </c>
      <c r="X120" s="48">
        <f>VLOOKUP($A120,'Dados StatusInvest'!$A:$AY,column(X120)-$A$5,0)</f>
        <v>7.46</v>
      </c>
      <c r="Y120" s="45">
        <f>VLOOKUP($A120,'Dados StatusInvest'!$A:$AY,column(Y120)-$A$5,0)</f>
        <v>11.19</v>
      </c>
      <c r="Z120" s="44">
        <f>VLOOKUP($A120,'Dados StatusInvest'!$A:$AY,column(Z120)-$A$5,0)</f>
        <v>0.53</v>
      </c>
      <c r="AA120" s="44">
        <f>VLOOKUP($A120,'Dados StatusInvest'!$A:$AY,column(AA120)-$A$5,0)</f>
        <v>0.47</v>
      </c>
      <c r="AB120" s="44">
        <f>VLOOKUP($A120,'Dados StatusInvest'!$A:$AY,column(AB120)-$A$5,0)</f>
        <v>0.35</v>
      </c>
      <c r="AC120" s="44">
        <f>VLOOKUP($A120,'Dados StatusInvest'!$A:$AY,column(AC120)-$A$5,0)</f>
        <v>10.07</v>
      </c>
      <c r="AD120" s="45">
        <f>VLOOKUP($A120,'Dados StatusInvest'!$A:$AY,column(AD120)-$A$5,0)</f>
        <v>18.72</v>
      </c>
      <c r="AE120" s="46">
        <f>VLOOKUP($A120,'Dados StatusInvest'!$A:$AY,column(AE120)-$A$5,0)</f>
        <v>36224716.21</v>
      </c>
      <c r="AF120" s="18"/>
    </row>
    <row r="121">
      <c r="A121" s="10" t="s">
        <v>167</v>
      </c>
      <c r="B121" s="39" t="str">
        <f>VLOOKUP(lEFT($A121,4),Setor!$A:$E,3,0)</f>
        <v>Consumo Cíclico</v>
      </c>
      <c r="C121" s="39" t="str">
        <f>VLOOKUP(lEFT($A121,4),Setor!$A:$E,4,0)</f>
        <v>Comércio</v>
      </c>
      <c r="D121" s="39" t="str">
        <f>VLOOKUP(lEFT($A121,4),Setor!$A:$E,5,0)</f>
        <v>Produtos Diversos</v>
      </c>
      <c r="E121" s="17">
        <f>IFERROR(__xludf.DUMMYFUNCTION("GOOGLEFINANCE(A121)"),16.25)</f>
        <v>16.25</v>
      </c>
      <c r="F121" s="17">
        <f>IFERROR(__xludf.DUMMYFUNCTION("GOOGLEFINANCE($A121,""high52"")"),25.34)</f>
        <v>25.34</v>
      </c>
      <c r="G121" s="16">
        <f t="shared" si="1"/>
        <v>-0.3587213891</v>
      </c>
      <c r="H121" s="40">
        <f>VLOOKUP($A121,'Dados StatusInvest'!$A:$AY,column(H121)-$A$5,0)*VLOOKUP($A121,'Dados StatusInvest'!$A:$AY,2,0)/$E121/100</f>
        <v>0.0053</v>
      </c>
      <c r="I121" s="41">
        <f>VLOOKUP($A121,'Dados StatusInvest'!$A:$AY,column(I121)-$A$5,0)/VLOOKUP($A121,'Dados StatusInvest'!$A:$AY,2,0)*$E121</f>
        <v>32.88</v>
      </c>
      <c r="J121" s="41">
        <f>VLOOKUP($A121,'Dados StatusInvest'!$A:$AY,column(J121)-$A$5,0)/VLOOKUP($A121,'Dados StatusInvest'!$A:$AY,2,0)*$E121</f>
        <v>5.94</v>
      </c>
      <c r="K121" s="42">
        <f>VLOOKUP($A121,'Dados StatusInvest'!$A:$AY,column(K121)-$A$5,0)/VLOOKUP($A121,'Dados StatusInvest'!$A:$AY,2,0)*$E121</f>
        <v>1.25</v>
      </c>
      <c r="L121" s="43">
        <f>VLOOKUP($A121,'Dados StatusInvest'!$A:$AY,column(L121)-$A$5,0)/100</f>
        <v>0.4109</v>
      </c>
      <c r="M121" s="47">
        <f>VLOOKUP($A121,'Dados StatusInvest'!$A:$AY,column(M121)-$A$5,0)</f>
        <v>10.18</v>
      </c>
      <c r="N121" s="47">
        <f>VLOOKUP($A121,'Dados StatusInvest'!$A:$AY,column(N121)-$A$5,0)</f>
        <v>4.9</v>
      </c>
      <c r="O121" s="41">
        <f>VLOOKUP($A121,'Dados StatusInvest'!$A:$AY,column(O121)-$A$5,0)/VLOOKUP($A121,'Dados StatusInvest'!$A:$AY,2,0)*$E121</f>
        <v>15.83</v>
      </c>
      <c r="P121" s="41">
        <f>VLOOKUP($A121,'Dados StatusInvest'!$A:$AY,column(P121)-$A$5,0)-VLOOKUP($A121,'Dados StatusInvest'!$A:$AY,column(P121)-$A$5-1,0)+O121</f>
        <v>14.93</v>
      </c>
      <c r="Q121" s="44">
        <f>VLOOKUP($A121,'Dados StatusInvest'!$A:$AY,column(Q121)-$A$5,0)</f>
        <v>-1.11</v>
      </c>
      <c r="R121" s="44">
        <f>VLOOKUP($A121,'Dados StatusInvest'!$A:$AY,column(R121)-$A$5,0)</f>
        <v>-0.42</v>
      </c>
      <c r="S121" s="41">
        <f>VLOOKUP($A121,'Dados StatusInvest'!$A:$AY,column(S121)-$A$5,0)/VLOOKUP($A121,'Dados StatusInvest'!$A:$AY,2,0)*$E121</f>
        <v>1.61</v>
      </c>
      <c r="T121" s="42">
        <f>VLOOKUP($A121,'Dados StatusInvest'!$A:$AY,column(T121)-$A$5,0)/VLOOKUP($A121,'Dados StatusInvest'!$A:$AY,2,0)*$E121</f>
        <v>3.59</v>
      </c>
      <c r="U121" s="44">
        <f>VLOOKUP($A121,'Dados StatusInvest'!$A:$AY,column(U121)-$A$5,0)</f>
        <v>-4.3</v>
      </c>
      <c r="V121" s="45">
        <f>VLOOKUP($A121,'Dados StatusInvest'!$A:$AY,column(V121)-$A$5,0)</f>
        <v>1.96</v>
      </c>
      <c r="W121" s="48">
        <f>VLOOKUP($A121,'Dados StatusInvest'!$A:$AY,column(W121)-$A$5,0)</f>
        <v>18.06</v>
      </c>
      <c r="X121" s="45">
        <f>VLOOKUP($A121,'Dados StatusInvest'!$A:$AY,column(X121)-$A$5,0)</f>
        <v>3.8</v>
      </c>
      <c r="Y121" s="45">
        <f>VLOOKUP($A121,'Dados StatusInvest'!$A:$AY,column(Y121)-$A$5,0)</f>
        <v>17.27</v>
      </c>
      <c r="Z121" s="44">
        <f>VLOOKUP($A121,'Dados StatusInvest'!$A:$AY,column(Z121)-$A$5,0)</f>
        <v>0.21</v>
      </c>
      <c r="AA121" s="44">
        <f>VLOOKUP($A121,'Dados StatusInvest'!$A:$AY,column(AA121)-$A$5,0)</f>
        <v>0.79</v>
      </c>
      <c r="AB121" s="44">
        <f>VLOOKUP($A121,'Dados StatusInvest'!$A:$AY,column(AB121)-$A$5,0)</f>
        <v>0.78</v>
      </c>
      <c r="AC121" s="44">
        <f>VLOOKUP($A121,'Dados StatusInvest'!$A:$AY,column(AC121)-$A$5,0)</f>
        <v>0</v>
      </c>
      <c r="AD121" s="45">
        <f>VLOOKUP($A121,'Dados StatusInvest'!$A:$AY,column(AD121)-$A$5,0)</f>
        <v>0</v>
      </c>
      <c r="AE121" s="46">
        <f>VLOOKUP($A121,'Dados StatusInvest'!$A:$AY,column(AE121)-$A$5,0)</f>
        <v>29848059.38</v>
      </c>
      <c r="AF121" s="51"/>
    </row>
    <row r="122">
      <c r="A122" s="10" t="s">
        <v>168</v>
      </c>
      <c r="B122" s="39" t="str">
        <f>VLOOKUP(lEFT($A122,4),Setor!$A:$E,3,0)</f>
        <v>Consumo não Cíclico</v>
      </c>
      <c r="C122" s="39" t="str">
        <f>VLOOKUP(lEFT($A122,4),Setor!$A:$E,4,0)</f>
        <v>Alimentos Processados</v>
      </c>
      <c r="D122" s="39" t="str">
        <f>VLOOKUP(lEFT($A122,4),Setor!$A:$E,5,0)</f>
        <v>Açucar e Alcool</v>
      </c>
      <c r="E122" s="17">
        <f>IFERROR(__xludf.DUMMYFUNCTION("GOOGLEFINANCE(A122)"),36.19)</f>
        <v>36.19</v>
      </c>
      <c r="F122" s="17">
        <f>IFERROR(__xludf.DUMMYFUNCTION("GOOGLEFINANCE($A122,""high52"")"),40.46)</f>
        <v>40.46</v>
      </c>
      <c r="G122" s="16">
        <f t="shared" si="1"/>
        <v>-0.1055363322</v>
      </c>
      <c r="H122" s="40">
        <f>VLOOKUP($A122,'Dados StatusInvest'!$A:$AY,column(H122)-$A$5,0)*VLOOKUP($A122,'Dados StatusInvest'!$A:$AY,2,0)/$E122/100</f>
        <v>0.03340773694</v>
      </c>
      <c r="I122" s="41">
        <f>VLOOKUP($A122,'Dados StatusInvest'!$A:$AY,column(I122)-$A$5,0)/VLOOKUP($A122,'Dados StatusInvest'!$A:$AY,2,0)*$E122</f>
        <v>12.82888454</v>
      </c>
      <c r="J122" s="41">
        <f>VLOOKUP($A122,'Dados StatusInvest'!$A:$AY,column(J122)-$A$5,0)/VLOOKUP($A122,'Dados StatusInvest'!$A:$AY,2,0)*$E122</f>
        <v>3.227455969</v>
      </c>
      <c r="K122" s="42">
        <f>VLOOKUP($A122,'Dados StatusInvest'!$A:$AY,column(K122)-$A$5,0)/VLOOKUP($A122,'Dados StatusInvest'!$A:$AY,2,0)*$E122</f>
        <v>1.031976517</v>
      </c>
      <c r="L122" s="43">
        <f>VLOOKUP($A122,'Dados StatusInvest'!$A:$AY,column(L122)-$A$5,0)/100</f>
        <v>0.3774</v>
      </c>
      <c r="M122" s="44">
        <f>VLOOKUP($A122,'Dados StatusInvest'!$A:$AY,column(M122)-$A$5,0)</f>
        <v>37.22</v>
      </c>
      <c r="N122" s="44">
        <f>VLOOKUP($A122,'Dados StatusInvest'!$A:$AY,column(N122)-$A$5,0)</f>
        <v>21.91</v>
      </c>
      <c r="O122" s="41">
        <f>VLOOKUP($A122,'Dados StatusInvest'!$A:$AY,column(O122)-$A$5,0)/VLOOKUP($A122,'Dados StatusInvest'!$A:$AY,2,0)*$E122</f>
        <v>7.557710372</v>
      </c>
      <c r="P122" s="41">
        <f>VLOOKUP($A122,'Dados StatusInvest'!$A:$AY,column(P122)-$A$5,0)-VLOOKUP($A122,'Dados StatusInvest'!$A:$AY,column(P122)-$A$5-1,0)+O122</f>
        <v>10.27771037</v>
      </c>
      <c r="Q122" s="44">
        <f>VLOOKUP($A122,'Dados StatusInvest'!$A:$AY,column(Q122)-$A$5,0)</f>
        <v>2.71</v>
      </c>
      <c r="R122" s="44">
        <f>VLOOKUP($A122,'Dados StatusInvest'!$A:$AY,column(R122)-$A$5,0)</f>
        <v>1.16</v>
      </c>
      <c r="S122" s="41">
        <f>VLOOKUP($A122,'Dados StatusInvest'!$A:$AY,column(S122)-$A$5,0)/VLOOKUP($A122,'Dados StatusInvest'!$A:$AY,2,0)*$E122</f>
        <v>2.812641879</v>
      </c>
      <c r="T122" s="42">
        <f>VLOOKUP($A122,'Dados StatusInvest'!$A:$AY,column(T122)-$A$5,0)/VLOOKUP($A122,'Dados StatusInvest'!$A:$AY,2,0)*$E122</f>
        <v>9.419315068</v>
      </c>
      <c r="U122" s="47">
        <f>VLOOKUP($A122,'Dados StatusInvest'!$A:$AY,column(U122)-$A$5,0)</f>
        <v>-1.38</v>
      </c>
      <c r="V122" s="45">
        <f>VLOOKUP($A122,'Dados StatusInvest'!$A:$AY,column(V122)-$A$5,0)</f>
        <v>1.74</v>
      </c>
      <c r="W122" s="45">
        <f>VLOOKUP($A122,'Dados StatusInvest'!$A:$AY,column(W122)-$A$5,0)</f>
        <v>25.12</v>
      </c>
      <c r="X122" s="48">
        <f>VLOOKUP($A122,'Dados StatusInvest'!$A:$AY,column(X122)-$A$5,0)</f>
        <v>8.07</v>
      </c>
      <c r="Y122" s="45">
        <f>VLOOKUP($A122,'Dados StatusInvest'!$A:$AY,column(Y122)-$A$5,0)</f>
        <v>14.07</v>
      </c>
      <c r="Z122" s="44">
        <f>VLOOKUP($A122,'Dados StatusInvest'!$A:$AY,column(Z122)-$A$5,0)</f>
        <v>0.32</v>
      </c>
      <c r="AA122" s="44">
        <f>VLOOKUP($A122,'Dados StatusInvest'!$A:$AY,column(AA122)-$A$5,0)</f>
        <v>0.68</v>
      </c>
      <c r="AB122" s="44">
        <f>VLOOKUP($A122,'Dados StatusInvest'!$A:$AY,column(AB122)-$A$5,0)</f>
        <v>0.37</v>
      </c>
      <c r="AC122" s="44">
        <f>VLOOKUP($A122,'Dados StatusInvest'!$A:$AY,column(AC122)-$A$5,0)</f>
        <v>12.98</v>
      </c>
      <c r="AD122" s="45">
        <f>VLOOKUP($A122,'Dados StatusInvest'!$A:$AY,column(AD122)-$A$5,0)</f>
        <v>37.08</v>
      </c>
      <c r="AE122" s="46">
        <f>VLOOKUP($A122,'Dados StatusInvest'!$A:$AY,column(AE122)-$A$5,0)</f>
        <v>44062580.08</v>
      </c>
      <c r="AF122" s="18"/>
    </row>
    <row r="123">
      <c r="A123" s="10" t="s">
        <v>169</v>
      </c>
      <c r="B123" s="39" t="str">
        <f>VLOOKUP(lEFT($A123,4),Setor!$A:$E,3,0)</f>
        <v>Consumo Cíclico</v>
      </c>
      <c r="C123" s="39" t="str">
        <f>VLOOKUP(lEFT($A123,4),Setor!$A:$E,4,0)</f>
        <v>Comércio</v>
      </c>
      <c r="D123" s="39" t="str">
        <f>VLOOKUP(lEFT($A123,4),Setor!$A:$E,5,0)</f>
        <v>Tecidos, Vestuário e Calçados</v>
      </c>
      <c r="E123" s="17">
        <f>IFERROR(__xludf.DUMMYFUNCTION("GOOGLEFINANCE(A123)"),5.43)</f>
        <v>5.43</v>
      </c>
      <c r="F123" s="17">
        <f>IFERROR(__xludf.DUMMYFUNCTION("GOOGLEFINANCE($A123,""high52"")"),10.08)</f>
        <v>10.08</v>
      </c>
      <c r="G123" s="16">
        <f t="shared" si="1"/>
        <v>-0.4613095238</v>
      </c>
      <c r="H123" s="40">
        <f>VLOOKUP($A123,'Dados StatusInvest'!$A:$AY,column(H123)-$A$5,0)*VLOOKUP($A123,'Dados StatusInvest'!$A:$AY,2,0)/$E123/100</f>
        <v>0</v>
      </c>
      <c r="I123" s="41">
        <f>VLOOKUP($A123,'Dados StatusInvest'!$A:$AY,column(I123)-$A$5,0)/VLOOKUP($A123,'Dados StatusInvest'!$A:$AY,2,0)*$E123</f>
        <v>12.6630916</v>
      </c>
      <c r="J123" s="41">
        <f>VLOOKUP($A123,'Dados StatusInvest'!$A:$AY,column(J123)-$A$5,0)/VLOOKUP($A123,'Dados StatusInvest'!$A:$AY,2,0)*$E123</f>
        <v>1.616564885</v>
      </c>
      <c r="K123" s="42">
        <f>VLOOKUP($A123,'Dados StatusInvest'!$A:$AY,column(K123)-$A$5,0)/VLOOKUP($A123,'Dados StatusInvest'!$A:$AY,2,0)*$E123</f>
        <v>0.4352290076</v>
      </c>
      <c r="L123" s="43">
        <f>VLOOKUP($A123,'Dados StatusInvest'!$A:$AY,column(L123)-$A$5,0)/100</f>
        <v>0.4223</v>
      </c>
      <c r="M123" s="44">
        <f>VLOOKUP($A123,'Dados StatusInvest'!$A:$AY,column(M123)-$A$5,0)</f>
        <v>-5.35</v>
      </c>
      <c r="N123" s="44">
        <f>VLOOKUP($A123,'Dados StatusInvest'!$A:$AY,column(N123)-$A$5,0)</f>
        <v>4.85</v>
      </c>
      <c r="O123" s="41">
        <f>VLOOKUP($A123,'Dados StatusInvest'!$A:$AY,column(O123)-$A$5,0)/VLOOKUP($A123,'Dados StatusInvest'!$A:$AY,2,0)*$E123</f>
        <v>-11.49211832</v>
      </c>
      <c r="P123" s="41">
        <f>VLOOKUP($A123,'Dados StatusInvest'!$A:$AY,column(P123)-$A$5,0)-VLOOKUP($A123,'Dados StatusInvest'!$A:$AY,column(P123)-$A$5-1,0)+O123</f>
        <v>-21.26211832</v>
      </c>
      <c r="Q123" s="44">
        <f>VLOOKUP($A123,'Dados StatusInvest'!$A:$AY,column(Q123)-$A$5,0)</f>
        <v>-9.7</v>
      </c>
      <c r="R123" s="44">
        <f>VLOOKUP($A123,'Dados StatusInvest'!$A:$AY,column(R123)-$A$5,0)</f>
        <v>1.36</v>
      </c>
      <c r="S123" s="41">
        <f>VLOOKUP($A123,'Dados StatusInvest'!$A:$AY,column(S123)-$A$5,0)/VLOOKUP($A123,'Dados StatusInvest'!$A:$AY,2,0)*$E123</f>
        <v>0.6113931298</v>
      </c>
      <c r="T123" s="42">
        <f>VLOOKUP($A123,'Dados StatusInvest'!$A:$AY,column(T123)-$A$5,0)/VLOOKUP($A123,'Dados StatusInvest'!$A:$AY,2,0)*$E123</f>
        <v>5.854866412</v>
      </c>
      <c r="U123" s="44">
        <f>VLOOKUP($A123,'Dados StatusInvest'!$A:$AY,column(U123)-$A$5,0)</f>
        <v>-0.86</v>
      </c>
      <c r="V123" s="45">
        <f>VLOOKUP($A123,'Dados StatusInvest'!$A:$AY,column(V123)-$A$5,0)</f>
        <v>1.17</v>
      </c>
      <c r="W123" s="45">
        <f>VLOOKUP($A123,'Dados StatusInvest'!$A:$AY,column(W123)-$A$5,0)</f>
        <v>12.76</v>
      </c>
      <c r="X123" s="45">
        <f>VLOOKUP($A123,'Dados StatusInvest'!$A:$AY,column(X123)-$A$5,0)</f>
        <v>3.45</v>
      </c>
      <c r="Y123" s="45">
        <f>VLOOKUP($A123,'Dados StatusInvest'!$A:$AY,column(Y123)-$A$5,0)</f>
        <v>-5.39</v>
      </c>
      <c r="Z123" s="44">
        <f>VLOOKUP($A123,'Dados StatusInvest'!$A:$AY,column(Z123)-$A$5,0)</f>
        <v>0.27</v>
      </c>
      <c r="AA123" s="44">
        <f>VLOOKUP($A123,'Dados StatusInvest'!$A:$AY,column(AA123)-$A$5,0)</f>
        <v>0.73</v>
      </c>
      <c r="AB123" s="44">
        <f>VLOOKUP($A123,'Dados StatusInvest'!$A:$AY,column(AB123)-$A$5,0)</f>
        <v>0.71</v>
      </c>
      <c r="AC123" s="44">
        <f>VLOOKUP($A123,'Dados StatusInvest'!$A:$AY,column(AC123)-$A$5,0)</f>
        <v>-7.53</v>
      </c>
      <c r="AD123" s="45">
        <f>VLOOKUP($A123,'Dados StatusInvest'!$A:$AY,column(AD123)-$A$5,0)</f>
        <v>0</v>
      </c>
      <c r="AE123" s="46">
        <f>VLOOKUP($A123,'Dados StatusInvest'!$A:$AY,column(AE123)-$A$5,0)</f>
        <v>30045136.71</v>
      </c>
      <c r="AF123" s="49"/>
    </row>
    <row r="124">
      <c r="A124" s="10" t="s">
        <v>170</v>
      </c>
      <c r="B124" s="39" t="str">
        <f>VLOOKUP(lEFT($A124,4),Setor!$A:$E,3,0)</f>
        <v>Consumo Cíclico</v>
      </c>
      <c r="C124" s="39" t="str">
        <f>VLOOKUP(lEFT($A124,4),Setor!$A:$E,4,0)</f>
        <v>Viagens e Lazer</v>
      </c>
      <c r="D124" s="39" t="str">
        <f>VLOOKUP(lEFT($A124,4),Setor!$A:$E,5,0)</f>
        <v>Atividades Esportivas</v>
      </c>
      <c r="E124" s="17">
        <f>IFERROR(__xludf.DUMMYFUNCTION("GOOGLEFINANCE(A124)"),25.09)</f>
        <v>25.09</v>
      </c>
      <c r="F124" s="17">
        <f>IFERROR(__xludf.DUMMYFUNCTION("GOOGLEFINANCE($A124,""high52"")"),33.19)</f>
        <v>33.19</v>
      </c>
      <c r="G124" s="16">
        <f t="shared" si="1"/>
        <v>-0.2440494125</v>
      </c>
      <c r="H124" s="40">
        <f>VLOOKUP($A124,'Dados StatusInvest'!$A:$AY,column(H124)-$A$5,0)*VLOOKUP($A124,'Dados StatusInvest'!$A:$AY,2,0)/$E124/100</f>
        <v>0</v>
      </c>
      <c r="I124" s="41">
        <f>VLOOKUP($A124,'Dados StatusInvest'!$A:$AY,column(I124)-$A$5,0)/VLOOKUP($A124,'Dados StatusInvest'!$A:$AY,2,0)*$E124</f>
        <v>-22.15208486</v>
      </c>
      <c r="J124" s="41">
        <f>VLOOKUP($A124,'Dados StatusInvest'!$A:$AY,column(J124)-$A$5,0)/VLOOKUP($A124,'Dados StatusInvest'!$A:$AY,2,0)*$E124</f>
        <v>7.155410037</v>
      </c>
      <c r="K124" s="42">
        <f>VLOOKUP($A124,'Dados StatusInvest'!$A:$AY,column(K124)-$A$5,0)/VLOOKUP($A124,'Dados StatusInvest'!$A:$AY,2,0)*$E124</f>
        <v>1.873304774</v>
      </c>
      <c r="L124" s="43">
        <f>VLOOKUP($A124,'Dados StatusInvest'!$A:$AY,column(L124)-$A$5,0)/100</f>
        <v>-0.0527</v>
      </c>
      <c r="M124" s="44">
        <f>VLOOKUP($A124,'Dados StatusInvest'!$A:$AY,column(M124)-$A$5,0)</f>
        <v>-35.53</v>
      </c>
      <c r="N124" s="44">
        <f>VLOOKUP($A124,'Dados StatusInvest'!$A:$AY,column(N124)-$A$5,0)</f>
        <v>-51.08</v>
      </c>
      <c r="O124" s="41">
        <f>VLOOKUP($A124,'Dados StatusInvest'!$A:$AY,column(O124)-$A$5,0)/VLOOKUP($A124,'Dados StatusInvest'!$A:$AY,2,0)*$E124</f>
        <v>-31.85641779</v>
      </c>
      <c r="P124" s="41">
        <f>VLOOKUP($A124,'Dados StatusInvest'!$A:$AY,column(P124)-$A$5,0)-VLOOKUP($A124,'Dados StatusInvest'!$A:$AY,column(P124)-$A$5-1,0)+O124</f>
        <v>-35.77641779</v>
      </c>
      <c r="Q124" s="44">
        <f>VLOOKUP($A124,'Dados StatusInvest'!$A:$AY,column(Q124)-$A$5,0)</f>
        <v>-3.9</v>
      </c>
      <c r="R124" s="44">
        <f>VLOOKUP($A124,'Dados StatusInvest'!$A:$AY,column(R124)-$A$5,0)</f>
        <v>0.88</v>
      </c>
      <c r="S124" s="41">
        <f>VLOOKUP($A124,'Dados StatusInvest'!$A:$AY,column(S124)-$A$5,0)/VLOOKUP($A124,'Dados StatusInvest'!$A:$AY,2,0)*$E124</f>
        <v>11.32172175</v>
      </c>
      <c r="T124" s="42">
        <f>VLOOKUP($A124,'Dados StatusInvest'!$A:$AY,column(T124)-$A$5,0)/VLOOKUP($A124,'Dados StatusInvest'!$A:$AY,2,0)*$E124</f>
        <v>-426.1000612</v>
      </c>
      <c r="U124" s="44">
        <f>VLOOKUP($A124,'Dados StatusInvest'!$A:$AY,column(U124)-$A$5,0)</f>
        <v>-2.16</v>
      </c>
      <c r="V124" s="45">
        <f>VLOOKUP($A124,'Dados StatusInvest'!$A:$AY,column(V124)-$A$5,0)</f>
        <v>0.97</v>
      </c>
      <c r="W124" s="45">
        <f>VLOOKUP($A124,'Dados StatusInvest'!$A:$AY,column(W124)-$A$5,0)</f>
        <v>-32.29</v>
      </c>
      <c r="X124" s="45">
        <f>VLOOKUP($A124,'Dados StatusInvest'!$A:$AY,column(X124)-$A$5,0)</f>
        <v>-8.43</v>
      </c>
      <c r="Y124" s="45">
        <f>VLOOKUP($A124,'Dados StatusInvest'!$A:$AY,column(Y124)-$A$5,0)</f>
        <v>-11.18</v>
      </c>
      <c r="Z124" s="44">
        <f>VLOOKUP($A124,'Dados StatusInvest'!$A:$AY,column(Z124)-$A$5,0)</f>
        <v>0.26</v>
      </c>
      <c r="AA124" s="44">
        <f>VLOOKUP($A124,'Dados StatusInvest'!$A:$AY,column(AA124)-$A$5,0)</f>
        <v>0.74</v>
      </c>
      <c r="AB124" s="44">
        <f>VLOOKUP($A124,'Dados StatusInvest'!$A:$AY,column(AB124)-$A$5,0)</f>
        <v>0.17</v>
      </c>
      <c r="AC124" s="44">
        <f>VLOOKUP($A124,'Dados StatusInvest'!$A:$AY,column(AC124)-$A$5,0)</f>
        <v>18.59</v>
      </c>
      <c r="AD124" s="45">
        <f>VLOOKUP($A124,'Dados StatusInvest'!$A:$AY,column(AD124)-$A$5,0)</f>
        <v>0</v>
      </c>
      <c r="AE124" s="46">
        <f>VLOOKUP($A124,'Dados StatusInvest'!$A:$AY,column(AE124)-$A$5,0)</f>
        <v>22897749.17</v>
      </c>
      <c r="AF124" s="18"/>
    </row>
    <row r="125">
      <c r="A125" s="10" t="s">
        <v>171</v>
      </c>
      <c r="B125" s="39" t="str">
        <f>VLOOKUP(lEFT($A125,4),Setor!$A:$E,3,0)</f>
        <v>Materiais Básicos</v>
      </c>
      <c r="C125" s="39" t="str">
        <f>VLOOKUP(lEFT($A125,4),Setor!$A:$E,4,0)</f>
        <v>Siderurgia e Metalurgia</v>
      </c>
      <c r="D125" s="39" t="str">
        <f>VLOOKUP(lEFT($A125,4),Setor!$A:$E,5,0)</f>
        <v>Siderurgia</v>
      </c>
      <c r="E125" s="17">
        <f>IFERROR(__xludf.DUMMYFUNCTION("GOOGLEFINANCE(A125)"),51.74)</f>
        <v>51.74</v>
      </c>
      <c r="F125" s="17">
        <f>IFERROR(__xludf.DUMMYFUNCTION("GOOGLEFINANCE($A125,""high52"")"),60.3)</f>
        <v>60.3</v>
      </c>
      <c r="G125" s="16">
        <f t="shared" si="1"/>
        <v>-0.1419568823</v>
      </c>
      <c r="H125" s="40">
        <f>VLOOKUP($A125,'Dados StatusInvest'!$A:$AY,column(H125)-$A$5,0)*VLOOKUP($A125,'Dados StatusInvest'!$A:$AY,2,0)/$E125/100</f>
        <v>0.02613225744</v>
      </c>
      <c r="I125" s="41">
        <f>VLOOKUP($A125,'Dados StatusInvest'!$A:$AY,column(I125)-$A$5,0)/VLOOKUP($A125,'Dados StatusInvest'!$A:$AY,2,0)*$E125</f>
        <v>20.55107567</v>
      </c>
      <c r="J125" s="41">
        <f>VLOOKUP($A125,'Dados StatusInvest'!$A:$AY,column(J125)-$A$5,0)/VLOOKUP($A125,'Dados StatusInvest'!$A:$AY,2,0)*$E125</f>
        <v>2.324827855</v>
      </c>
      <c r="K125" s="42">
        <f>VLOOKUP($A125,'Dados StatusInvest'!$A:$AY,column(K125)-$A$5,0)/VLOOKUP($A125,'Dados StatusInvest'!$A:$AY,2,0)*$E125</f>
        <v>1.570013616</v>
      </c>
      <c r="L125" s="43">
        <f>VLOOKUP($A125,'Dados StatusInvest'!$A:$AY,column(L125)-$A$5,0)/100</f>
        <v>0.3329</v>
      </c>
      <c r="M125" s="44">
        <f>VLOOKUP($A125,'Dados StatusInvest'!$A:$AY,column(M125)-$A$5,0)</f>
        <v>23.8</v>
      </c>
      <c r="N125" s="44">
        <f>VLOOKUP($A125,'Dados StatusInvest'!$A:$AY,column(N125)-$A$5,0)</f>
        <v>11.84</v>
      </c>
      <c r="O125" s="41">
        <f>VLOOKUP($A125,'Dados StatusInvest'!$A:$AY,column(O125)-$A$5,0)/VLOOKUP($A125,'Dados StatusInvest'!$A:$AY,2,0)*$E125</f>
        <v>10.22521688</v>
      </c>
      <c r="P125" s="41">
        <f>VLOOKUP($A125,'Dados StatusInvest'!$A:$AY,column(P125)-$A$5,0)-VLOOKUP($A125,'Dados StatusInvest'!$A:$AY,column(P125)-$A$5-1,0)+O125</f>
        <v>10.48521688</v>
      </c>
      <c r="Q125" s="44">
        <f>VLOOKUP($A125,'Dados StatusInvest'!$A:$AY,column(Q125)-$A$5,0)</f>
        <v>0.15</v>
      </c>
      <c r="R125" s="44">
        <f>VLOOKUP($A125,'Dados StatusInvest'!$A:$AY,column(R125)-$A$5,0)</f>
        <v>0.03</v>
      </c>
      <c r="S125" s="41">
        <f>VLOOKUP($A125,'Dados StatusInvest'!$A:$AY,column(S125)-$A$5,0)/VLOOKUP($A125,'Dados StatusInvest'!$A:$AY,2,0)*$E125</f>
        <v>2.435533943</v>
      </c>
      <c r="T125" s="42">
        <f>VLOOKUP($A125,'Dados StatusInvest'!$A:$AY,column(T125)-$A$5,0)/VLOOKUP($A125,'Dados StatusInvest'!$A:$AY,2,0)*$E125</f>
        <v>6.511530831</v>
      </c>
      <c r="U125" s="44">
        <f>VLOOKUP($A125,'Dados StatusInvest'!$A:$AY,column(U125)-$A$5,0)</f>
        <v>-2.42</v>
      </c>
      <c r="V125" s="45">
        <f>VLOOKUP($A125,'Dados StatusInvest'!$A:$AY,column(V125)-$A$5,0)</f>
        <v>3.16</v>
      </c>
      <c r="W125" s="48">
        <f>VLOOKUP($A125,'Dados StatusInvest'!$A:$AY,column(W125)-$A$5,0)</f>
        <v>11.32</v>
      </c>
      <c r="X125" s="45">
        <f>VLOOKUP($A125,'Dados StatusInvest'!$A:$AY,column(X125)-$A$5,0)</f>
        <v>7.65</v>
      </c>
      <c r="Y125" s="45">
        <f>VLOOKUP($A125,'Dados StatusInvest'!$A:$AY,column(Y125)-$A$5,0)</f>
        <v>17.63</v>
      </c>
      <c r="Z125" s="44">
        <f>VLOOKUP($A125,'Dados StatusInvest'!$A:$AY,column(Z125)-$A$5,0)</f>
        <v>0.68</v>
      </c>
      <c r="AA125" s="44">
        <f>VLOOKUP($A125,'Dados StatusInvest'!$A:$AY,column(AA125)-$A$5,0)</f>
        <v>0.32</v>
      </c>
      <c r="AB125" s="44">
        <f>VLOOKUP($A125,'Dados StatusInvest'!$A:$AY,column(AB125)-$A$5,0)</f>
        <v>0.65</v>
      </c>
      <c r="AC125" s="44">
        <f>VLOOKUP($A125,'Dados StatusInvest'!$A:$AY,column(AC125)-$A$5,0)</f>
        <v>11.62</v>
      </c>
      <c r="AD125" s="45">
        <f>VLOOKUP($A125,'Dados StatusInvest'!$A:$AY,column(AD125)-$A$5,0)</f>
        <v>5.12</v>
      </c>
      <c r="AE125" s="46">
        <f>VLOOKUP($A125,'Dados StatusInvest'!$A:$AY,column(AE125)-$A$5,0)</f>
        <v>41349862.63</v>
      </c>
      <c r="AF125" s="49"/>
    </row>
    <row r="126">
      <c r="A126" s="10" t="s">
        <v>172</v>
      </c>
      <c r="B126" s="39" t="str">
        <f>VLOOKUP(lEFT($A126,4),Setor!$A:$E,3,0)</f>
        <v>Consumo não Cíclico</v>
      </c>
      <c r="C126" s="39" t="str">
        <f>VLOOKUP(lEFT($A126,4),Setor!$A:$E,4,0)</f>
        <v>Comércio e Distribuição</v>
      </c>
      <c r="D126" s="39" t="str">
        <f>VLOOKUP(lEFT($A126,4),Setor!$A:$E,5,0)</f>
        <v>Alimentos</v>
      </c>
      <c r="E126" s="17">
        <f>IFERROR(__xludf.DUMMYFUNCTION("GOOGLEFINANCE(A126)"),7.97)</f>
        <v>7.97</v>
      </c>
      <c r="F126" s="17">
        <f>IFERROR(__xludf.DUMMYFUNCTION("GOOGLEFINANCE($A126,""high52"")"),9.45)</f>
        <v>9.45</v>
      </c>
      <c r="G126" s="16">
        <f t="shared" si="1"/>
        <v>-0.1566137566</v>
      </c>
      <c r="H126" s="40">
        <f>VLOOKUP($A126,'Dados StatusInvest'!$A:$AY,column(H126)-$A$5,0)*VLOOKUP($A126,'Dados StatusInvest'!$A:$AY,2,0)/$E126/100</f>
        <v>0</v>
      </c>
      <c r="I126" s="41">
        <f>VLOOKUP($A126,'Dados StatusInvest'!$A:$AY,column(I126)-$A$5,0)/VLOOKUP($A126,'Dados StatusInvest'!$A:$AY,2,0)*$E126</f>
        <v>22.72809711</v>
      </c>
      <c r="J126" s="41">
        <f>VLOOKUP($A126,'Dados StatusInvest'!$A:$AY,column(J126)-$A$5,0)/VLOOKUP($A126,'Dados StatusInvest'!$A:$AY,2,0)*$E126</f>
        <v>2.939068241</v>
      </c>
      <c r="K126" s="42">
        <f>VLOOKUP($A126,'Dados StatusInvest'!$A:$AY,column(K126)-$A$5,0)/VLOOKUP($A126,'Dados StatusInvest'!$A:$AY,2,0)*$E126</f>
        <v>2.008188976</v>
      </c>
      <c r="L126" s="43">
        <f>VLOOKUP($A126,'Dados StatusInvest'!$A:$AY,column(L126)-$A$5,0)/100</f>
        <v>0.2336</v>
      </c>
      <c r="M126" s="47">
        <f>VLOOKUP($A126,'Dados StatusInvest'!$A:$AY,column(M126)-$A$5,0)</f>
        <v>6.17</v>
      </c>
      <c r="N126" s="47">
        <f>VLOOKUP($A126,'Dados StatusInvest'!$A:$AY,column(N126)-$A$5,0)</f>
        <v>5.39</v>
      </c>
      <c r="O126" s="41">
        <f>VLOOKUP($A126,'Dados StatusInvest'!$A:$AY,column(O126)-$A$5,0)/VLOOKUP($A126,'Dados StatusInvest'!$A:$AY,2,0)*$E126</f>
        <v>19.84132546</v>
      </c>
      <c r="P126" s="41">
        <f>VLOOKUP($A126,'Dados StatusInvest'!$A:$AY,column(P126)-$A$5,0)-VLOOKUP($A126,'Dados StatusInvest'!$A:$AY,column(P126)-$A$5-1,0)+O126</f>
        <v>19.33132546</v>
      </c>
      <c r="Q126" s="44">
        <f>VLOOKUP($A126,'Dados StatusInvest'!$A:$AY,column(Q126)-$A$5,0)</f>
        <v>-0.49</v>
      </c>
      <c r="R126" s="44">
        <f>VLOOKUP($A126,'Dados StatusInvest'!$A:$AY,column(R126)-$A$5,0)</f>
        <v>-0.07</v>
      </c>
      <c r="S126" s="41">
        <f>VLOOKUP($A126,'Dados StatusInvest'!$A:$AY,column(S126)-$A$5,0)/VLOOKUP($A126,'Dados StatusInvest'!$A:$AY,2,0)*$E126</f>
        <v>1.223740157</v>
      </c>
      <c r="T126" s="42">
        <f>VLOOKUP($A126,'Dados StatusInvest'!$A:$AY,column(T126)-$A$5,0)/VLOOKUP($A126,'Dados StatusInvest'!$A:$AY,2,0)*$E126</f>
        <v>3.849028871</v>
      </c>
      <c r="U126" s="44">
        <f>VLOOKUP($A126,'Dados StatusInvest'!$A:$AY,column(U126)-$A$5,0)</f>
        <v>-6.36</v>
      </c>
      <c r="V126" s="45">
        <f>VLOOKUP($A126,'Dados StatusInvest'!$A:$AY,column(V126)-$A$5,0)</f>
        <v>3.99</v>
      </c>
      <c r="W126" s="45">
        <f>VLOOKUP($A126,'Dados StatusInvest'!$A:$AY,column(W126)-$A$5,0)</f>
        <v>12.94</v>
      </c>
      <c r="X126" s="48">
        <f>VLOOKUP($A126,'Dados StatusInvest'!$A:$AY,column(X126)-$A$5,0)</f>
        <v>8.85</v>
      </c>
      <c r="Y126" s="45">
        <f>VLOOKUP($A126,'Dados StatusInvest'!$A:$AY,column(Y126)-$A$5,0)</f>
        <v>12.11</v>
      </c>
      <c r="Z126" s="44">
        <f>VLOOKUP($A126,'Dados StatusInvest'!$A:$AY,column(Z126)-$A$5,0)</f>
        <v>0.68</v>
      </c>
      <c r="AA126" s="44">
        <f>VLOOKUP($A126,'Dados StatusInvest'!$A:$AY,column(AA126)-$A$5,0)</f>
        <v>0.31</v>
      </c>
      <c r="AB126" s="44">
        <f>VLOOKUP($A126,'Dados StatusInvest'!$A:$AY,column(AB126)-$A$5,0)</f>
        <v>1.64</v>
      </c>
      <c r="AC126" s="44">
        <f>VLOOKUP($A126,'Dados StatusInvest'!$A:$AY,column(AC126)-$A$5,0)</f>
        <v>0</v>
      </c>
      <c r="AD126" s="45">
        <f>VLOOKUP($A126,'Dados StatusInvest'!$A:$AY,column(AD126)-$A$5,0)</f>
        <v>0</v>
      </c>
      <c r="AE126" s="46">
        <f>VLOOKUP($A126,'Dados StatusInvest'!$A:$AY,column(AE126)-$A$5,0)</f>
        <v>42105743.46</v>
      </c>
      <c r="AF126" s="49"/>
    </row>
    <row r="127">
      <c r="A127" s="10" t="s">
        <v>173</v>
      </c>
      <c r="B127" s="39" t="str">
        <f>VLOOKUP(lEFT($A127,4),Setor!$A:$E,3,0)</f>
        <v>Bens Industriais</v>
      </c>
      <c r="C127" s="39" t="str">
        <f>VLOOKUP(lEFT($A127,4),Setor!$A:$E,4,0)</f>
        <v>Máquinas e Equipamentos</v>
      </c>
      <c r="D127" s="39" t="str">
        <f>VLOOKUP(lEFT($A127,4),Setor!$A:$E,5,0)</f>
        <v>Armas e Munições</v>
      </c>
      <c r="E127" s="17">
        <f>IFERROR(__xludf.DUMMYFUNCTION("GOOGLEFINANCE(A127)"),21.97)</f>
        <v>21.97</v>
      </c>
      <c r="F127" s="17">
        <f>IFERROR(__xludf.DUMMYFUNCTION("GOOGLEFINANCE($A127,""high52"")"),29.75)</f>
        <v>29.75</v>
      </c>
      <c r="G127" s="16">
        <f t="shared" si="1"/>
        <v>-0.261512605</v>
      </c>
      <c r="H127" s="40">
        <f>VLOOKUP($A127,'Dados StatusInvest'!$A:$AY,column(H127)-$A$5,0)*VLOOKUP($A127,'Dados StatusInvest'!$A:$AY,2,0)/$E127/100</f>
        <v>0</v>
      </c>
      <c r="I127" s="41">
        <f>VLOOKUP($A127,'Dados StatusInvest'!$A:$AY,column(I127)-$A$5,0)/VLOOKUP($A127,'Dados StatusInvest'!$A:$AY,2,0)*$E127</f>
        <v>3.747823529</v>
      </c>
      <c r="J127" s="41">
        <f>VLOOKUP($A127,'Dados StatusInvest'!$A:$AY,column(J127)-$A$5,0)/VLOOKUP($A127,'Dados StatusInvest'!$A:$AY,2,0)*$E127</f>
        <v>6.677156863</v>
      </c>
      <c r="K127" s="42">
        <f>VLOOKUP($A127,'Dados StatusInvest'!$A:$AY,column(K127)-$A$5,0)/VLOOKUP($A127,'Dados StatusInvest'!$A:$AY,2,0)*$E127</f>
        <v>1.464666667</v>
      </c>
      <c r="L127" s="43">
        <f>VLOOKUP($A127,'Dados StatusInvest'!$A:$AY,column(L127)-$A$5,0)/100</f>
        <v>0.4543</v>
      </c>
      <c r="M127" s="47">
        <f>VLOOKUP($A127,'Dados StatusInvest'!$A:$AY,column(M127)-$A$5,0)</f>
        <v>30.14</v>
      </c>
      <c r="N127" s="47">
        <f>VLOOKUP($A127,'Dados StatusInvest'!$A:$AY,column(N127)-$A$5,0)</f>
        <v>28.56</v>
      </c>
      <c r="O127" s="41">
        <f>VLOOKUP($A127,'Dados StatusInvest'!$A:$AY,column(O127)-$A$5,0)/VLOOKUP($A127,'Dados StatusInvest'!$A:$AY,2,0)*$E127</f>
        <v>3.553970588</v>
      </c>
      <c r="P127" s="41">
        <f>VLOOKUP($A127,'Dados StatusInvest'!$A:$AY,column(P127)-$A$5,0)-VLOOKUP($A127,'Dados StatusInvest'!$A:$AY,column(P127)-$A$5-1,0)+O127</f>
        <v>4.263970588</v>
      </c>
      <c r="Q127" s="44">
        <f>VLOOKUP($A127,'Dados StatusInvest'!$A:$AY,column(Q127)-$A$5,0)</f>
        <v>0.63</v>
      </c>
      <c r="R127" s="44">
        <f>VLOOKUP($A127,'Dados StatusInvest'!$A:$AY,column(R127)-$A$5,0)</f>
        <v>1.18</v>
      </c>
      <c r="S127" s="41">
        <f>VLOOKUP($A127,'Dados StatusInvest'!$A:$AY,column(S127)-$A$5,0)/VLOOKUP($A127,'Dados StatusInvest'!$A:$AY,2,0)*$E127</f>
        <v>1.076960784</v>
      </c>
      <c r="T127" s="42">
        <f>VLOOKUP($A127,'Dados StatusInvest'!$A:$AY,column(T127)-$A$5,0)/VLOOKUP($A127,'Dados StatusInvest'!$A:$AY,2,0)*$E127</f>
        <v>4.835553922</v>
      </c>
      <c r="U127" s="44">
        <f>VLOOKUP($A127,'Dados StatusInvest'!$A:$AY,column(U127)-$A$5,0)</f>
        <v>-3.98</v>
      </c>
      <c r="V127" s="45">
        <f>VLOOKUP($A127,'Dados StatusInvest'!$A:$AY,column(V127)-$A$5,0)</f>
        <v>1.86</v>
      </c>
      <c r="W127" s="45">
        <f>VLOOKUP($A127,'Dados StatusInvest'!$A:$AY,column(W127)-$A$5,0)</f>
        <v>177.96</v>
      </c>
      <c r="X127" s="45">
        <f>VLOOKUP($A127,'Dados StatusInvest'!$A:$AY,column(X127)-$A$5,0)</f>
        <v>39.14</v>
      </c>
      <c r="Y127" s="45">
        <f>VLOOKUP($A127,'Dados StatusInvest'!$A:$AY,column(Y127)-$A$5,0)</f>
        <v>69.02</v>
      </c>
      <c r="Z127" s="44">
        <f>VLOOKUP($A127,'Dados StatusInvest'!$A:$AY,column(Z127)-$A$5,0)</f>
        <v>0.22</v>
      </c>
      <c r="AA127" s="44">
        <f>VLOOKUP($A127,'Dados StatusInvest'!$A:$AY,column(AA127)-$A$5,0)</f>
        <v>0.78</v>
      </c>
      <c r="AB127" s="44">
        <f>VLOOKUP($A127,'Dados StatusInvest'!$A:$AY,column(AB127)-$A$5,0)</f>
        <v>1.37</v>
      </c>
      <c r="AC127" s="44">
        <f>VLOOKUP($A127,'Dados StatusInvest'!$A:$AY,column(AC127)-$A$5,0)</f>
        <v>16.57</v>
      </c>
      <c r="AD127" s="45">
        <f>VLOOKUP($A127,'Dados StatusInvest'!$A:$AY,column(AD127)-$A$5,0)</f>
        <v>0</v>
      </c>
      <c r="AE127" s="46">
        <f>VLOOKUP($A127,'Dados StatusInvest'!$A:$AY,column(AE127)-$A$5,0)</f>
        <v>32066558.58</v>
      </c>
      <c r="AF127" s="18"/>
    </row>
    <row r="128">
      <c r="A128" s="10" t="s">
        <v>174</v>
      </c>
      <c r="B128" s="39" t="str">
        <f>VLOOKUP(lEFT($A128,4),Setor!$A:$E,3,0)</f>
        <v>Bens Industriais</v>
      </c>
      <c r="C128" s="39" t="str">
        <f>VLOOKUP(lEFT($A128,4),Setor!$A:$E,4,0)</f>
        <v>Transporte</v>
      </c>
      <c r="D128" s="39" t="str">
        <f>VLOOKUP(lEFT($A128,4),Setor!$A:$E,5,0)</f>
        <v>Serviços de Apoio e Armazenagem</v>
      </c>
      <c r="E128" s="17">
        <f>IFERROR(__xludf.DUMMYFUNCTION("GOOGLEFINANCE(A128)"),7.52)</f>
        <v>7.52</v>
      </c>
      <c r="F128" s="17">
        <f>IFERROR(__xludf.DUMMYFUNCTION("GOOGLEFINANCE($A128,""high52"")"),9.99)</f>
        <v>9.99</v>
      </c>
      <c r="G128" s="16">
        <f t="shared" si="1"/>
        <v>-0.2472472472</v>
      </c>
      <c r="H128" s="40">
        <f>VLOOKUP($A128,'Dados StatusInvest'!$A:$AY,column(H128)-$A$5,0)*VLOOKUP($A128,'Dados StatusInvest'!$A:$AY,2,0)/$E128/100</f>
        <v>0</v>
      </c>
      <c r="I128" s="41">
        <f>VLOOKUP($A128,'Dados StatusInvest'!$A:$AY,column(I128)-$A$5,0)/VLOOKUP($A128,'Dados StatusInvest'!$A:$AY,2,0)*$E128</f>
        <v>65.25228346</v>
      </c>
      <c r="J128" s="41">
        <f>VLOOKUP($A128,'Dados StatusInvest'!$A:$AY,column(J128)-$A$5,0)/VLOOKUP($A128,'Dados StatusInvest'!$A:$AY,2,0)*$E128</f>
        <v>2.980367454</v>
      </c>
      <c r="K128" s="42">
        <f>VLOOKUP($A128,'Dados StatusInvest'!$A:$AY,column(K128)-$A$5,0)/VLOOKUP($A128,'Dados StatusInvest'!$A:$AY,2,0)*$E128</f>
        <v>1.450708661</v>
      </c>
      <c r="L128" s="43">
        <f>VLOOKUP($A128,'Dados StatusInvest'!$A:$AY,column(L128)-$A$5,0)/100</f>
        <v>0.334</v>
      </c>
      <c r="M128" s="44">
        <f>VLOOKUP($A128,'Dados StatusInvest'!$A:$AY,column(M128)-$A$5,0)</f>
        <v>18.32</v>
      </c>
      <c r="N128" s="44">
        <f>VLOOKUP($A128,'Dados StatusInvest'!$A:$AY,column(N128)-$A$5,0)</f>
        <v>8.53</v>
      </c>
      <c r="O128" s="41">
        <f>VLOOKUP($A128,'Dados StatusInvest'!$A:$AY,column(O128)-$A$5,0)/VLOOKUP($A128,'Dados StatusInvest'!$A:$AY,2,0)*$E128</f>
        <v>30.37606299</v>
      </c>
      <c r="P128" s="41">
        <f>VLOOKUP($A128,'Dados StatusInvest'!$A:$AY,column(P128)-$A$5,0)-VLOOKUP($A128,'Dados StatusInvest'!$A:$AY,column(P128)-$A$5-1,0)+O128</f>
        <v>27.25606299</v>
      </c>
      <c r="Q128" s="44">
        <f>VLOOKUP($A128,'Dados StatusInvest'!$A:$AY,column(Q128)-$A$5,0)</f>
        <v>-3.2</v>
      </c>
      <c r="R128" s="44">
        <f>VLOOKUP($A128,'Dados StatusInvest'!$A:$AY,column(R128)-$A$5,0)</f>
        <v>-0.31</v>
      </c>
      <c r="S128" s="41">
        <f>VLOOKUP($A128,'Dados StatusInvest'!$A:$AY,column(S128)-$A$5,0)/VLOOKUP($A128,'Dados StatusInvest'!$A:$AY,2,0)*$E128</f>
        <v>5.565984252</v>
      </c>
      <c r="T128" s="42">
        <f>VLOOKUP($A128,'Dados StatusInvest'!$A:$AY,column(T128)-$A$5,0)/VLOOKUP($A128,'Dados StatusInvest'!$A:$AY,2,0)*$E128</f>
        <v>7.115380577</v>
      </c>
      <c r="U128" s="44">
        <f>VLOOKUP($A128,'Dados StatusInvest'!$A:$AY,column(U128)-$A$5,0)</f>
        <v>-2.07</v>
      </c>
      <c r="V128" s="45">
        <f>VLOOKUP($A128,'Dados StatusInvest'!$A:$AY,column(V128)-$A$5,0)</f>
        <v>3.28</v>
      </c>
      <c r="W128" s="45">
        <f>VLOOKUP($A128,'Dados StatusInvest'!$A:$AY,column(W128)-$A$5,0)</f>
        <v>4.57</v>
      </c>
      <c r="X128" s="45">
        <f>VLOOKUP($A128,'Dados StatusInvest'!$A:$AY,column(X128)-$A$5,0)</f>
        <v>2.22</v>
      </c>
      <c r="Y128" s="45">
        <f>VLOOKUP($A128,'Dados StatusInvest'!$A:$AY,column(Y128)-$A$5,0)</f>
        <v>6.16</v>
      </c>
      <c r="Z128" s="44">
        <f>VLOOKUP($A128,'Dados StatusInvest'!$A:$AY,column(Z128)-$A$5,0)</f>
        <v>0.49</v>
      </c>
      <c r="AA128" s="44">
        <f>VLOOKUP($A128,'Dados StatusInvest'!$A:$AY,column(AA128)-$A$5,0)</f>
        <v>0.51</v>
      </c>
      <c r="AB128" s="44">
        <f>VLOOKUP($A128,'Dados StatusInvest'!$A:$AY,column(AB128)-$A$5,0)</f>
        <v>0.26</v>
      </c>
      <c r="AC128" s="44">
        <f>VLOOKUP($A128,'Dados StatusInvest'!$A:$AY,column(AC128)-$A$5,0)</f>
        <v>-0.73</v>
      </c>
      <c r="AD128" s="45">
        <f>VLOOKUP($A128,'Dados StatusInvest'!$A:$AY,column(AD128)-$A$5,0)</f>
        <v>0</v>
      </c>
      <c r="AE128" s="46">
        <f>VLOOKUP($A128,'Dados StatusInvest'!$A:$AY,column(AE128)-$A$5,0)</f>
        <v>25911061.38</v>
      </c>
      <c r="AF128" s="18"/>
    </row>
    <row r="129">
      <c r="A129" s="10" t="s">
        <v>175</v>
      </c>
      <c r="B129" s="39" t="str">
        <f>VLOOKUP(lEFT($A129,4),Setor!$A:$E,3,0)</f>
        <v>Utilidade Pública</v>
      </c>
      <c r="C129" s="39" t="str">
        <f>VLOOKUP(lEFT($A129,4),Setor!$A:$E,4,0)</f>
        <v>Energia Elétrica</v>
      </c>
      <c r="D129" s="39" t="str">
        <f>VLOOKUP(lEFT($A129,4),Setor!$A:$E,5,0)</f>
        <v>Energia Elétrica</v>
      </c>
      <c r="E129" s="17">
        <f>IFERROR(__xludf.DUMMYFUNCTION("GOOGLEFINANCE(A129)"),12.7)</f>
        <v>12.7</v>
      </c>
      <c r="F129" s="17">
        <f>IFERROR(__xludf.DUMMYFUNCTION("GOOGLEFINANCE($A129,""high52"")"),25.15)</f>
        <v>25.15</v>
      </c>
      <c r="G129" s="16">
        <f t="shared" si="1"/>
        <v>-0.4950298211</v>
      </c>
      <c r="H129" s="40">
        <f>VLOOKUP($A129,'Dados StatusInvest'!$A:$AY,column(H129)-$A$5,0)*VLOOKUP($A129,'Dados StatusInvest'!$A:$AY,2,0)/$E129/100</f>
        <v>0.03475417323</v>
      </c>
      <c r="I129" s="41">
        <f>VLOOKUP($A129,'Dados StatusInvest'!$A:$AY,column(I129)-$A$5,0)/VLOOKUP($A129,'Dados StatusInvest'!$A:$AY,2,0)*$E129</f>
        <v>8.905606759</v>
      </c>
      <c r="J129" s="41">
        <f>VLOOKUP($A129,'Dados StatusInvest'!$A:$AY,column(J129)-$A$5,0)/VLOOKUP($A129,'Dados StatusInvest'!$A:$AY,2,0)*$E129</f>
        <v>0.5657450077</v>
      </c>
      <c r="K129" s="42">
        <f>VLOOKUP($A129,'Dados StatusInvest'!$A:$AY,column(K129)-$A$5,0)/VLOOKUP($A129,'Dados StatusInvest'!$A:$AY,2,0)*$E129</f>
        <v>0.1658218126</v>
      </c>
      <c r="L129" s="43">
        <f>VLOOKUP($A129,'Dados StatusInvest'!$A:$AY,column(L129)-$A$5,0)/100</f>
        <v>0.2267</v>
      </c>
      <c r="M129" s="47">
        <f>VLOOKUP($A129,'Dados StatusInvest'!$A:$AY,column(M129)-$A$5,0)</f>
        <v>13.83</v>
      </c>
      <c r="N129" s="47">
        <f>VLOOKUP($A129,'Dados StatusInvest'!$A:$AY,column(N129)-$A$5,0)</f>
        <v>3.69</v>
      </c>
      <c r="O129" s="41">
        <f>VLOOKUP($A129,'Dados StatusInvest'!$A:$AY,column(O129)-$A$5,0)/VLOOKUP($A129,'Dados StatusInvest'!$A:$AY,2,0)*$E129</f>
        <v>2.380030722</v>
      </c>
      <c r="P129" s="41">
        <f>VLOOKUP($A129,'Dados StatusInvest'!$A:$AY,column(P129)-$A$5,0)-VLOOKUP($A129,'Dados StatusInvest'!$A:$AY,column(P129)-$A$5-1,0)+O129</f>
        <v>5.530030722</v>
      </c>
      <c r="Q129" s="44">
        <f>VLOOKUP($A129,'Dados StatusInvest'!$A:$AY,column(Q129)-$A$5,0)</f>
        <v>3.17</v>
      </c>
      <c r="R129" s="44">
        <f>VLOOKUP($A129,'Dados StatusInvest'!$A:$AY,column(R129)-$A$5,0)</f>
        <v>0.75</v>
      </c>
      <c r="S129" s="41">
        <f>VLOOKUP($A129,'Dados StatusInvest'!$A:$AY,column(S129)-$A$5,0)/VLOOKUP($A129,'Dados StatusInvest'!$A:$AY,2,0)*$E129</f>
        <v>0.3316436252</v>
      </c>
      <c r="T129" s="42">
        <f>VLOOKUP($A129,'Dados StatusInvest'!$A:$AY,column(T129)-$A$5,0)/VLOOKUP($A129,'Dados StatusInvest'!$A:$AY,2,0)*$E129</f>
        <v>0.7998463902</v>
      </c>
      <c r="U129" s="44">
        <f>VLOOKUP($A129,'Dados StatusInvest'!$A:$AY,column(U129)-$A$5,0)</f>
        <v>-0.27</v>
      </c>
      <c r="V129" s="45">
        <f>VLOOKUP($A129,'Dados StatusInvest'!$A:$AY,column(V129)-$A$5,0)</f>
        <v>2.23</v>
      </c>
      <c r="W129" s="45">
        <f>VLOOKUP($A129,'Dados StatusInvest'!$A:$AY,column(W129)-$A$5,0)</f>
        <v>6.34</v>
      </c>
      <c r="X129" s="45">
        <f>VLOOKUP($A129,'Dados StatusInvest'!$A:$AY,column(X129)-$A$5,0)</f>
        <v>1.87</v>
      </c>
      <c r="Y129" s="45">
        <f>VLOOKUP($A129,'Dados StatusInvest'!$A:$AY,column(Y129)-$A$5,0)</f>
        <v>8.2</v>
      </c>
      <c r="Z129" s="44">
        <f>VLOOKUP($A129,'Dados StatusInvest'!$A:$AY,column(Z129)-$A$5,0)</f>
        <v>0.29</v>
      </c>
      <c r="AA129" s="44">
        <f>VLOOKUP($A129,'Dados StatusInvest'!$A:$AY,column(AA129)-$A$5,0)</f>
        <v>0.71</v>
      </c>
      <c r="AB129" s="44">
        <f>VLOOKUP($A129,'Dados StatusInvest'!$A:$AY,column(AB129)-$A$5,0)</f>
        <v>0.51</v>
      </c>
      <c r="AC129" s="44">
        <f>VLOOKUP($A129,'Dados StatusInvest'!$A:$AY,column(AC129)-$A$5,0)</f>
        <v>3.68</v>
      </c>
      <c r="AD129" s="45">
        <f>VLOOKUP($A129,'Dados StatusInvest'!$A:$AY,column(AD129)-$A$5,0)</f>
        <v>69.63</v>
      </c>
      <c r="AE129" s="46">
        <f>VLOOKUP($A129,'Dados StatusInvest'!$A:$AY,column(AE129)-$A$5,0)</f>
        <v>36615214.42</v>
      </c>
      <c r="AF129" s="51"/>
    </row>
    <row r="130">
      <c r="A130" s="10" t="s">
        <v>176</v>
      </c>
      <c r="B130" s="39" t="str">
        <f>VLOOKUP(lEFT($A130,4),Setor!$A:$E,3,0)</f>
        <v>Bens Industriais</v>
      </c>
      <c r="C130" s="39" t="str">
        <f>VLOOKUP(lEFT($A130,4),Setor!$A:$E,4,0)</f>
        <v>Construção e Engenharia</v>
      </c>
      <c r="D130" s="39" t="str">
        <f>VLOOKUP(lEFT($A130,4),Setor!$A:$E,5,0)</f>
        <v>Produtos para Construção</v>
      </c>
      <c r="E130" s="17">
        <f>IFERROR(__xludf.DUMMYFUNCTION("GOOGLEFINANCE(A130)"),11.29)</f>
        <v>11.29</v>
      </c>
      <c r="F130" s="17">
        <f>IFERROR(__xludf.DUMMYFUNCTION("GOOGLEFINANCE($A130,""high52"")"),19.77)</f>
        <v>19.77</v>
      </c>
      <c r="G130" s="16">
        <f t="shared" si="1"/>
        <v>-0.4289327264</v>
      </c>
      <c r="H130" s="40">
        <f>VLOOKUP($A130,'Dados StatusInvest'!$A:$AY,column(H130)-$A$5,0)*VLOOKUP($A130,'Dados StatusInvest'!$A:$AY,2,0)/$E130/100</f>
        <v>0.04908237378</v>
      </c>
      <c r="I130" s="41">
        <f>VLOOKUP($A130,'Dados StatusInvest'!$A:$AY,column(I130)-$A$5,0)/VLOOKUP($A130,'Dados StatusInvest'!$A:$AY,2,0)*$E130</f>
        <v>12.8219145</v>
      </c>
      <c r="J130" s="41">
        <f>VLOOKUP($A130,'Dados StatusInvest'!$A:$AY,column(J130)-$A$5,0)/VLOOKUP($A130,'Dados StatusInvest'!$A:$AY,2,0)*$E130</f>
        <v>4.322936803</v>
      </c>
      <c r="K130" s="42">
        <f>VLOOKUP($A130,'Dados StatusInvest'!$A:$AY,column(K130)-$A$5,0)/VLOOKUP($A130,'Dados StatusInvest'!$A:$AY,2,0)*$E130</f>
        <v>0.8813754647</v>
      </c>
      <c r="L130" s="43">
        <f>VLOOKUP($A130,'Dados StatusInvest'!$A:$AY,column(L130)-$A$5,0)/100</f>
        <v>0.4</v>
      </c>
      <c r="M130" s="47">
        <f>VLOOKUP($A130,'Dados StatusInvest'!$A:$AY,column(M130)-$A$5,0)</f>
        <v>13.86</v>
      </c>
      <c r="N130" s="47">
        <f>VLOOKUP($A130,'Dados StatusInvest'!$A:$AY,column(N130)-$A$5,0)</f>
        <v>8.02</v>
      </c>
      <c r="O130" s="41">
        <f>VLOOKUP($A130,'Dados StatusInvest'!$A:$AY,column(O130)-$A$5,0)/VLOOKUP($A130,'Dados StatusInvest'!$A:$AY,2,0)*$E130</f>
        <v>7.418243494</v>
      </c>
      <c r="P130" s="41">
        <f>VLOOKUP($A130,'Dados StatusInvest'!$A:$AY,column(P130)-$A$5,0)-VLOOKUP($A130,'Dados StatusInvest'!$A:$AY,column(P130)-$A$5-1,0)+O130</f>
        <v>9.478243494</v>
      </c>
      <c r="Q130" s="44">
        <f>VLOOKUP($A130,'Dados StatusInvest'!$A:$AY,column(Q130)-$A$5,0)</f>
        <v>2</v>
      </c>
      <c r="R130" s="44">
        <f>VLOOKUP($A130,'Dados StatusInvest'!$A:$AY,column(R130)-$A$5,0)</f>
        <v>1.16</v>
      </c>
      <c r="S130" s="41">
        <f>VLOOKUP($A130,'Dados StatusInvest'!$A:$AY,column(S130)-$A$5,0)/VLOOKUP($A130,'Dados StatusInvest'!$A:$AY,2,0)*$E130</f>
        <v>1.028271375</v>
      </c>
      <c r="T130" s="42">
        <f>VLOOKUP($A130,'Dados StatusInvest'!$A:$AY,column(T130)-$A$5,0)/VLOOKUP($A130,'Dados StatusInvest'!$A:$AY,2,0)*$E130</f>
        <v>18.59282528</v>
      </c>
      <c r="U130" s="44">
        <f>VLOOKUP($A130,'Dados StatusInvest'!$A:$AY,column(U130)-$A$5,0)</f>
        <v>-1.48</v>
      </c>
      <c r="V130" s="45">
        <f>VLOOKUP($A130,'Dados StatusInvest'!$A:$AY,column(V130)-$A$5,0)</f>
        <v>1.12</v>
      </c>
      <c r="W130" s="45">
        <f>VLOOKUP($A130,'Dados StatusInvest'!$A:$AY,column(W130)-$A$5,0)</f>
        <v>33.74</v>
      </c>
      <c r="X130" s="45">
        <f>VLOOKUP($A130,'Dados StatusInvest'!$A:$AY,column(X130)-$A$5,0)</f>
        <v>6.89</v>
      </c>
      <c r="Y130" s="45">
        <f>VLOOKUP($A130,'Dados StatusInvest'!$A:$AY,column(Y130)-$A$5,0)</f>
        <v>20.11</v>
      </c>
      <c r="Z130" s="44">
        <f>VLOOKUP($A130,'Dados StatusInvest'!$A:$AY,column(Z130)-$A$5,0)</f>
        <v>0.2</v>
      </c>
      <c r="AA130" s="44">
        <f>VLOOKUP($A130,'Dados StatusInvest'!$A:$AY,column(AA130)-$A$5,0)</f>
        <v>0.8</v>
      </c>
      <c r="AB130" s="44">
        <f>VLOOKUP($A130,'Dados StatusInvest'!$A:$AY,column(AB130)-$A$5,0)</f>
        <v>0.86</v>
      </c>
      <c r="AC130" s="44">
        <f>VLOOKUP($A130,'Dados StatusInvest'!$A:$AY,column(AC130)-$A$5,0)</f>
        <v>4.66</v>
      </c>
      <c r="AD130" s="45">
        <f>VLOOKUP($A130,'Dados StatusInvest'!$A:$AY,column(AD130)-$A$5,0)</f>
        <v>20.9</v>
      </c>
      <c r="AE130" s="46">
        <f>VLOOKUP($A130,'Dados StatusInvest'!$A:$AY,column(AE130)-$A$5,0)</f>
        <v>26437656</v>
      </c>
      <c r="AF130" s="18"/>
    </row>
    <row r="131">
      <c r="A131" s="10" t="s">
        <v>177</v>
      </c>
      <c r="B131" s="39" t="str">
        <f>VLOOKUP(lEFT($A131,4),Setor!$A:$E,3,0)</f>
        <v>Utilidade Pública</v>
      </c>
      <c r="C131" s="39" t="str">
        <f>VLOOKUP(lEFT($A131,4),Setor!$A:$E,4,0)</f>
        <v>Energia Elétrica</v>
      </c>
      <c r="D131" s="39" t="str">
        <f>VLOOKUP(lEFT($A131,4),Setor!$A:$E,5,0)</f>
        <v>Energia Elétrica</v>
      </c>
      <c r="E131" s="17">
        <f>IFERROR(__xludf.DUMMYFUNCTION("GOOGLEFINANCE(A131)"),33.51)</f>
        <v>33.51</v>
      </c>
      <c r="F131" s="17">
        <f>IFERROR(__xludf.DUMMYFUNCTION("GOOGLEFINANCE($A131,""high52"")"),43.5)</f>
        <v>43.5</v>
      </c>
      <c r="G131" s="16">
        <f t="shared" si="1"/>
        <v>-0.2296551724</v>
      </c>
      <c r="H131" s="40">
        <f>VLOOKUP($A131,'Dados StatusInvest'!$A:$AY,column(H131)-$A$5,0)*VLOOKUP($A131,'Dados StatusInvest'!$A:$AY,2,0)/$E131/100</f>
        <v>0</v>
      </c>
      <c r="I131" s="41">
        <f>VLOOKUP($A131,'Dados StatusInvest'!$A:$AY,column(I131)-$A$5,0)/VLOOKUP($A131,'Dados StatusInvest'!$A:$AY,2,0)*$E131</f>
        <v>-61.27542857</v>
      </c>
      <c r="J131" s="41">
        <f>VLOOKUP($A131,'Dados StatusInvest'!$A:$AY,column(J131)-$A$5,0)/VLOOKUP($A131,'Dados StatusInvest'!$A:$AY,2,0)*$E131</f>
        <v>1.873677419</v>
      </c>
      <c r="K131" s="42">
        <f>VLOOKUP($A131,'Dados StatusInvest'!$A:$AY,column(K131)-$A$5,0)/VLOOKUP($A131,'Dados StatusInvest'!$A:$AY,2,0)*$E131</f>
        <v>0.6382857143</v>
      </c>
      <c r="L131" s="43">
        <f>VLOOKUP($A131,'Dados StatusInvest'!$A:$AY,column(L131)-$A$5,0)/100</f>
        <v>0.3676</v>
      </c>
      <c r="M131" s="47">
        <f>VLOOKUP($A131,'Dados StatusInvest'!$A:$AY,column(M131)-$A$5,0)</f>
        <v>37.22</v>
      </c>
      <c r="N131" s="47">
        <f>VLOOKUP($A131,'Dados StatusInvest'!$A:$AY,column(N131)-$A$5,0)</f>
        <v>-7.29</v>
      </c>
      <c r="O131" s="41">
        <f>VLOOKUP($A131,'Dados StatusInvest'!$A:$AY,column(O131)-$A$5,0)/VLOOKUP($A131,'Dados StatusInvest'!$A:$AY,2,0)*$E131</f>
        <v>12.0038894</v>
      </c>
      <c r="P131" s="41">
        <f>VLOOKUP($A131,'Dados StatusInvest'!$A:$AY,column(P131)-$A$5,0)-VLOOKUP($A131,'Dados StatusInvest'!$A:$AY,column(P131)-$A$5-1,0)+O131</f>
        <v>21.4938894</v>
      </c>
      <c r="Q131" s="44">
        <f>VLOOKUP($A131,'Dados StatusInvest'!$A:$AY,column(Q131)-$A$5,0)</f>
        <v>9.57</v>
      </c>
      <c r="R131" s="44">
        <f>VLOOKUP($A131,'Dados StatusInvest'!$A:$AY,column(R131)-$A$5,0)</f>
        <v>1.5</v>
      </c>
      <c r="S131" s="41">
        <f>VLOOKUP($A131,'Dados StatusInvest'!$A:$AY,column(S131)-$A$5,0)/VLOOKUP($A131,'Dados StatusInvest'!$A:$AY,2,0)*$E131</f>
        <v>4.468</v>
      </c>
      <c r="T131" s="42">
        <f>VLOOKUP($A131,'Dados StatusInvest'!$A:$AY,column(T131)-$A$5,0)/VLOOKUP($A131,'Dados StatusInvest'!$A:$AY,2,0)*$E131</f>
        <v>13.49665438</v>
      </c>
      <c r="U131" s="44">
        <f>VLOOKUP($A131,'Dados StatusInvest'!$A:$AY,column(U131)-$A$5,0)</f>
        <v>-0.7</v>
      </c>
      <c r="V131" s="45">
        <f>VLOOKUP($A131,'Dados StatusInvest'!$A:$AY,column(V131)-$A$5,0)</f>
        <v>1.75</v>
      </c>
      <c r="W131" s="45">
        <f>VLOOKUP($A131,'Dados StatusInvest'!$A:$AY,column(W131)-$A$5,0)</f>
        <v>-3.06</v>
      </c>
      <c r="X131" s="45">
        <f>VLOOKUP($A131,'Dados StatusInvest'!$A:$AY,column(X131)-$A$5,0)</f>
        <v>-1.05</v>
      </c>
      <c r="Y131" s="45">
        <f>VLOOKUP($A131,'Dados StatusInvest'!$A:$AY,column(Y131)-$A$5,0)</f>
        <v>5.14</v>
      </c>
      <c r="Z131" s="44">
        <f>VLOOKUP($A131,'Dados StatusInvest'!$A:$AY,column(Z131)-$A$5,0)</f>
        <v>0.34</v>
      </c>
      <c r="AA131" s="44">
        <f>VLOOKUP($A131,'Dados StatusInvest'!$A:$AY,column(AA131)-$A$5,0)</f>
        <v>0.63</v>
      </c>
      <c r="AB131" s="44">
        <f>VLOOKUP($A131,'Dados StatusInvest'!$A:$AY,column(AB131)-$A$5,0)</f>
        <v>0.14</v>
      </c>
      <c r="AC131" s="44">
        <f>VLOOKUP($A131,'Dados StatusInvest'!$A:$AY,column(AC131)-$A$5,0)</f>
        <v>50.4</v>
      </c>
      <c r="AD131" s="45">
        <f>VLOOKUP($A131,'Dados StatusInvest'!$A:$AY,column(AD131)-$A$5,0)</f>
        <v>0</v>
      </c>
      <c r="AE131" s="46">
        <f>VLOOKUP($A131,'Dados StatusInvest'!$A:$AY,column(AE131)-$A$5,0)</f>
        <v>59572202.88</v>
      </c>
      <c r="AF131" s="50"/>
    </row>
    <row r="132">
      <c r="A132" s="10" t="s">
        <v>178</v>
      </c>
      <c r="B132" s="39" t="str">
        <f>VLOOKUP(lEFT($A132,4),Setor!$A:$E,3,0)</f>
        <v>Consumo não Cíclico</v>
      </c>
      <c r="C132" s="39" t="str">
        <f>VLOOKUP(lEFT($A132,4),Setor!$A:$E,4,0)</f>
        <v>Alimentos Processados</v>
      </c>
      <c r="D132" s="39" t="str">
        <f>VLOOKUP(lEFT($A132,4),Setor!$A:$E,5,0)</f>
        <v>Alimentos Diversos</v>
      </c>
      <c r="E132" s="17">
        <f>IFERROR(__xludf.DUMMYFUNCTION("GOOGLEFINANCE(A132)"),31.04)</f>
        <v>31.04</v>
      </c>
      <c r="F132" s="17">
        <f>IFERROR(__xludf.DUMMYFUNCTION("GOOGLEFINANCE($A132,""high52"")"),37.81)</f>
        <v>37.81</v>
      </c>
      <c r="G132" s="16">
        <f t="shared" si="1"/>
        <v>-0.1790531605</v>
      </c>
      <c r="H132" s="40">
        <f>VLOOKUP($A132,'Dados StatusInvest'!$A:$AY,column(H132)-$A$5,0)*VLOOKUP($A132,'Dados StatusInvest'!$A:$AY,2,0)/$E132/100</f>
        <v>0.0195875</v>
      </c>
      <c r="I132" s="41">
        <f>VLOOKUP($A132,'Dados StatusInvest'!$A:$AY,column(I132)-$A$5,0)/VLOOKUP($A132,'Dados StatusInvest'!$A:$AY,2,0)*$E132</f>
        <v>16.6589917</v>
      </c>
      <c r="J132" s="41">
        <f>VLOOKUP($A132,'Dados StatusInvest'!$A:$AY,column(J132)-$A$5,0)/VLOOKUP($A132,'Dados StatusInvest'!$A:$AY,2,0)*$E132</f>
        <v>1.58468411</v>
      </c>
      <c r="K132" s="42">
        <f>VLOOKUP($A132,'Dados StatusInvest'!$A:$AY,column(K132)-$A$5,0)/VLOOKUP($A132,'Dados StatusInvest'!$A:$AY,2,0)*$E132</f>
        <v>1.020140396</v>
      </c>
      <c r="L132" s="43">
        <f>VLOOKUP($A132,'Dados StatusInvest'!$A:$AY,column(L132)-$A$5,0)/100</f>
        <v>0.2897</v>
      </c>
      <c r="M132" s="47">
        <f>VLOOKUP($A132,'Dados StatusInvest'!$A:$AY,column(M132)-$A$5,0)</f>
        <v>6.38</v>
      </c>
      <c r="N132" s="47">
        <f>VLOOKUP($A132,'Dados StatusInvest'!$A:$AY,column(N132)-$A$5,0)</f>
        <v>8.77</v>
      </c>
      <c r="O132" s="41">
        <f>VLOOKUP($A132,'Dados StatusInvest'!$A:$AY,column(O132)-$A$5,0)/VLOOKUP($A132,'Dados StatusInvest'!$A:$AY,2,0)*$E132</f>
        <v>22.88878111</v>
      </c>
      <c r="P132" s="41">
        <f>VLOOKUP($A132,'Dados StatusInvest'!$A:$AY,column(P132)-$A$5,0)-VLOOKUP($A132,'Dados StatusInvest'!$A:$AY,column(P132)-$A$5-1,0)+O132</f>
        <v>23.75878111</v>
      </c>
      <c r="Q132" s="44">
        <f>VLOOKUP($A132,'Dados StatusInvest'!$A:$AY,column(Q132)-$A$5,0)</f>
        <v>0.59</v>
      </c>
      <c r="R132" s="44">
        <f>VLOOKUP($A132,'Dados StatusInvest'!$A:$AY,column(R132)-$A$5,0)</f>
        <v>0.04</v>
      </c>
      <c r="S132" s="41">
        <f>VLOOKUP($A132,'Dados StatusInvest'!$A:$AY,column(S132)-$A$5,0)/VLOOKUP($A132,'Dados StatusInvest'!$A:$AY,2,0)*$E132</f>
        <v>1.465832802</v>
      </c>
      <c r="T132" s="42">
        <f>VLOOKUP($A132,'Dados StatusInvest'!$A:$AY,column(T132)-$A$5,0)/VLOOKUP($A132,'Dados StatusInvest'!$A:$AY,2,0)*$E132</f>
        <v>3.704199107</v>
      </c>
      <c r="U132" s="44">
        <f>VLOOKUP($A132,'Dados StatusInvest'!$A:$AY,column(U132)-$A$5,0)</f>
        <v>-1.77</v>
      </c>
      <c r="V132" s="45">
        <f>VLOOKUP($A132,'Dados StatusInvest'!$A:$AY,column(V132)-$A$5,0)</f>
        <v>2.97</v>
      </c>
      <c r="W132" s="45">
        <f>VLOOKUP($A132,'Dados StatusInvest'!$A:$AY,column(W132)-$A$5,0)</f>
        <v>9.54</v>
      </c>
      <c r="X132" s="45">
        <f>VLOOKUP($A132,'Dados StatusInvest'!$A:$AY,column(X132)-$A$5,0)</f>
        <v>6.13</v>
      </c>
      <c r="Y132" s="45">
        <f>VLOOKUP($A132,'Dados StatusInvest'!$A:$AY,column(Y132)-$A$5,0)</f>
        <v>4.44</v>
      </c>
      <c r="Z132" s="44">
        <f>VLOOKUP($A132,'Dados StatusInvest'!$A:$AY,column(Z132)-$A$5,0)</f>
        <v>0.64</v>
      </c>
      <c r="AA132" s="44">
        <f>VLOOKUP($A132,'Dados StatusInvest'!$A:$AY,column(AA132)-$A$5,0)</f>
        <v>0.36</v>
      </c>
      <c r="AB132" s="44">
        <f>VLOOKUP($A132,'Dados StatusInvest'!$A:$AY,column(AB132)-$A$5,0)</f>
        <v>0.7</v>
      </c>
      <c r="AC132" s="44">
        <f>VLOOKUP($A132,'Dados StatusInvest'!$A:$AY,column(AC132)-$A$5,0)</f>
        <v>9.43</v>
      </c>
      <c r="AD132" s="45">
        <f>VLOOKUP($A132,'Dados StatusInvest'!$A:$AY,column(AD132)-$A$5,0)</f>
        <v>0.9</v>
      </c>
      <c r="AE132" s="46">
        <f>VLOOKUP($A132,'Dados StatusInvest'!$A:$AY,column(AE132)-$A$5,0)</f>
        <v>26889687.79</v>
      </c>
      <c r="AF132" s="51"/>
    </row>
    <row r="133">
      <c r="A133" s="10" t="s">
        <v>179</v>
      </c>
      <c r="B133" s="52" t="str">
        <f>VLOOKUP(LEFT($A133,4),Setor!$A:$E,3,0)</f>
        <v>#N/A</v>
      </c>
      <c r="C133" s="52" t="str">
        <f>VLOOKUP(LEFT($A133,4),Setor!$A:$E,4,0)</f>
        <v>#N/A</v>
      </c>
      <c r="D133" s="52" t="str">
        <f>VLOOKUP(LEFT($A133,4),Setor!$A:$E,5,0)</f>
        <v>#N/A</v>
      </c>
      <c r="E133" s="53">
        <f>IFERROR(__xludf.DUMMYFUNCTION("GOOGLEFINANCE(A133)"),13.51)</f>
        <v>13.51</v>
      </c>
      <c r="F133" s="53">
        <f>IFERROR(__xludf.DUMMYFUNCTION("GOOGLEFINANCE($A133,""high52"")"),19.62)</f>
        <v>19.62</v>
      </c>
      <c r="G133" s="54">
        <f t="shared" si="1"/>
        <v>-0.3114169215</v>
      </c>
      <c r="H133" s="55">
        <f>VLOOKUP($A133,'Dados StatusInvest'!$A:$AY,COLUMN(H133)-$A$5,0)*VLOOKUP($A133,'Dados StatusInvest'!$A:$AY,2,0)/$E133/100</f>
        <v>0</v>
      </c>
      <c r="I133" s="56">
        <f>VLOOKUP($A133,'Dados StatusInvest'!$A:$AY,COLUMN(I133)-$A$5,0)/VLOOKUP($A133,'Dados StatusInvest'!$A:$AY,2,0)*$E133</f>
        <v>-31.23823022</v>
      </c>
      <c r="J133" s="56">
        <f>VLOOKUP($A133,'Dados StatusInvest'!$A:$AY,COLUMN(J133)-$A$5,0)/VLOOKUP($A133,'Dados StatusInvest'!$A:$AY,2,0)*$E133</f>
        <v>-126.925964</v>
      </c>
      <c r="K133" s="57">
        <f>VLOOKUP($A133,'Dados StatusInvest'!$A:$AY,COLUMN(K133)-$A$5,0)/VLOOKUP($A133,'Dados StatusInvest'!$A:$AY,2,0)*$E133</f>
        <v>2.147992806</v>
      </c>
      <c r="L133" s="58">
        <f>VLOOKUP($A133,'Dados StatusInvest'!$A:$AY,COLUMN(L133)-$A$5,0)/100</f>
        <v>0.304</v>
      </c>
      <c r="M133" s="59">
        <f>VLOOKUP($A133,'Dados StatusInvest'!$A:$AY,COLUMN(M133)-$A$5,0)</f>
        <v>-10.88</v>
      </c>
      <c r="N133" s="59">
        <f>VLOOKUP($A133,'Dados StatusInvest'!$A:$AY,COLUMN(N133)-$A$5,0)</f>
        <v>-19.08</v>
      </c>
      <c r="O133" s="56">
        <f>VLOOKUP($A133,'Dados StatusInvest'!$A:$AY,COLUMN(O133)-$A$5,0)/VLOOKUP($A133,'Dados StatusInvest'!$A:$AY,2,0)*$E133</f>
        <v>-54.78839568</v>
      </c>
      <c r="P133" s="56">
        <f>VLOOKUP($A133,'Dados StatusInvest'!$A:$AY,COLUMN(P133)-$A$5,0)-VLOOKUP($A133,'Dados StatusInvest'!$A:$AY,COLUMN(P133)-$A$5-1,0)+O133</f>
        <v>-64.73839568</v>
      </c>
      <c r="Q133" s="59">
        <f>VLOOKUP($A133,'Dados StatusInvest'!$A:$AY,COLUMN(Q133)-$A$5,0)</f>
        <v>-9.95</v>
      </c>
      <c r="R133" s="59">
        <f>VLOOKUP($A133,'Dados StatusInvest'!$A:$AY,COLUMN(R133)-$A$5,0)</f>
        <v>0</v>
      </c>
      <c r="S133" s="56">
        <f>VLOOKUP($A133,'Dados StatusInvest'!$A:$AY,COLUMN(S133)-$A$5,0)/VLOOKUP($A133,'Dados StatusInvest'!$A:$AY,2,0)*$E133</f>
        <v>5.958007194</v>
      </c>
      <c r="T133" s="57">
        <f>VLOOKUP($A133,'Dados StatusInvest'!$A:$AY,COLUMN(T133)-$A$5,0)/VLOOKUP($A133,'Dados StatusInvest'!$A:$AY,2,0)*$E133</f>
        <v>46.23530216</v>
      </c>
      <c r="U133" s="59">
        <f>VLOOKUP($A133,'Dados StatusInvest'!$A:$AY,COLUMN(U133)-$A$5,0)</f>
        <v>-3.39</v>
      </c>
      <c r="V133" s="60">
        <f>VLOOKUP($A133,'Dados StatusInvest'!$A:$AY,COLUMN(V133)-$A$5,0)</f>
        <v>1.15</v>
      </c>
      <c r="W133" s="61">
        <f>VLOOKUP($A133,'Dados StatusInvest'!$A:$AY,COLUMN(W133)-$A$5,0)</f>
        <v>-406.3</v>
      </c>
      <c r="X133" s="60">
        <f>VLOOKUP($A133,'Dados StatusInvest'!$A:$AY,COLUMN(X133)-$A$5,0)</f>
        <v>-6.88</v>
      </c>
      <c r="Y133" s="60">
        <f>VLOOKUP($A133,'Dados StatusInvest'!$A:$AY,COLUMN(Y133)-$A$5,0)</f>
        <v>-8.63</v>
      </c>
      <c r="Z133" s="59">
        <f>VLOOKUP($A133,'Dados StatusInvest'!$A:$AY,COLUMN(Z133)-$A$5,0)</f>
        <v>-0.02</v>
      </c>
      <c r="AA133" s="59">
        <f>VLOOKUP($A133,'Dados StatusInvest'!$A:$AY,COLUMN(AA133)-$A$5,0)</f>
        <v>0.93</v>
      </c>
      <c r="AB133" s="59">
        <f>VLOOKUP($A133,'Dados StatusInvest'!$A:$AY,COLUMN(AB133)-$A$5,0)</f>
        <v>0.36</v>
      </c>
      <c r="AC133" s="59">
        <f>VLOOKUP($A133,'Dados StatusInvest'!$A:$AY,COLUMN(AC133)-$A$5,0)</f>
        <v>0</v>
      </c>
      <c r="AD133" s="60">
        <f>VLOOKUP($A133,'Dados StatusInvest'!$A:$AY,COLUMN(AD133)-$A$5,0)</f>
        <v>0</v>
      </c>
      <c r="AE133" s="62">
        <f>VLOOKUP($A133,'Dados StatusInvest'!$A:$AY,COLUMN(AE133)-$A$5,0)</f>
        <v>16860190.88</v>
      </c>
      <c r="AF133" s="18"/>
    </row>
    <row r="134">
      <c r="A134" s="10" t="s">
        <v>180</v>
      </c>
      <c r="B134" s="39" t="str">
        <f>VLOOKUP(lEFT($A134,4),Setor!$A:$E,3,0)</f>
        <v>Consumo Cíclico</v>
      </c>
      <c r="C134" s="39" t="str">
        <f>VLOOKUP(lEFT($A134,4),Setor!$A:$E,4,0)</f>
        <v>Diversos</v>
      </c>
      <c r="D134" s="39" t="str">
        <f>VLOOKUP(lEFT($A134,4),Setor!$A:$E,5,0)</f>
        <v>Serviços Educacionais</v>
      </c>
      <c r="E134" s="17">
        <f>IFERROR(__xludf.DUMMYFUNCTION("GOOGLEFINANCE(A134)"),9.33)</f>
        <v>9.33</v>
      </c>
      <c r="F134" s="17">
        <f>IFERROR(__xludf.DUMMYFUNCTION("GOOGLEFINANCE($A134,""high52"")"),14.54)</f>
        <v>14.54</v>
      </c>
      <c r="G134" s="16">
        <f t="shared" si="1"/>
        <v>-0.3583218707</v>
      </c>
      <c r="H134" s="40">
        <f>VLOOKUP($A134,'Dados StatusInvest'!$A:$AY,column(H134)-$A$5,0)*VLOOKUP($A134,'Dados StatusInvest'!$A:$AY,2,0)/$E134/100</f>
        <v>0</v>
      </c>
      <c r="I134" s="41">
        <f>VLOOKUP($A134,'Dados StatusInvest'!$A:$AY,column(I134)-$A$5,0)/VLOOKUP($A134,'Dados StatusInvest'!$A:$AY,2,0)*$E134</f>
        <v>158.3595302</v>
      </c>
      <c r="J134" s="41">
        <f>VLOOKUP($A134,'Dados StatusInvest'!$A:$AY,column(J134)-$A$5,0)/VLOOKUP($A134,'Dados StatusInvest'!$A:$AY,2,0)*$E134</f>
        <v>1.471510067</v>
      </c>
      <c r="K134" s="42">
        <f>VLOOKUP($A134,'Dados StatusInvest'!$A:$AY,column(K134)-$A$5,0)/VLOOKUP($A134,'Dados StatusInvest'!$A:$AY,2,0)*$E134</f>
        <v>0.3652684564</v>
      </c>
      <c r="L134" s="43">
        <f>VLOOKUP($A134,'Dados StatusInvest'!$A:$AY,column(L134)-$A$5,0)/100</f>
        <v>0.5436</v>
      </c>
      <c r="M134" s="44">
        <f>VLOOKUP($A134,'Dados StatusInvest'!$A:$AY,column(M134)-$A$5,0)</f>
        <v>12.33</v>
      </c>
      <c r="N134" s="44">
        <f>VLOOKUP($A134,'Dados StatusInvest'!$A:$AY,column(N134)-$A$5,0)</f>
        <v>1.38</v>
      </c>
      <c r="O134" s="41">
        <f>VLOOKUP($A134,'Dados StatusInvest'!$A:$AY,column(O134)-$A$5,0)/VLOOKUP($A134,'Dados StatusInvest'!$A:$AY,2,0)*$E134</f>
        <v>17.67899329</v>
      </c>
      <c r="P134" s="41">
        <f>VLOOKUP($A134,'Dados StatusInvest'!$A:$AY,column(P134)-$A$5,0)-VLOOKUP($A134,'Dados StatusInvest'!$A:$AY,column(P134)-$A$5-1,0)+O134</f>
        <v>37.86899329</v>
      </c>
      <c r="Q134" s="44">
        <f>VLOOKUP($A134,'Dados StatusInvest'!$A:$AY,column(Q134)-$A$5,0)</f>
        <v>20.1</v>
      </c>
      <c r="R134" s="44">
        <f>VLOOKUP($A134,'Dados StatusInvest'!$A:$AY,column(R134)-$A$5,0)</f>
        <v>1.67</v>
      </c>
      <c r="S134" s="41">
        <f>VLOOKUP($A134,'Dados StatusInvest'!$A:$AY,column(S134)-$A$5,0)/VLOOKUP($A134,'Dados StatusInvest'!$A:$AY,2,0)*$E134</f>
        <v>2.181174497</v>
      </c>
      <c r="T134" s="42">
        <f>VLOOKUP($A134,'Dados StatusInvest'!$A:$AY,column(T134)-$A$5,0)/VLOOKUP($A134,'Dados StatusInvest'!$A:$AY,2,0)*$E134</f>
        <v>-52.95348993</v>
      </c>
      <c r="U134" s="44">
        <f>VLOOKUP($A134,'Dados StatusInvest'!$A:$AY,column(U134)-$A$5,0)</f>
        <v>-0.41</v>
      </c>
      <c r="V134" s="45">
        <f>VLOOKUP($A134,'Dados StatusInvest'!$A:$AY,column(V134)-$A$5,0)</f>
        <v>0.95</v>
      </c>
      <c r="W134" s="45">
        <f>VLOOKUP($A134,'Dados StatusInvest'!$A:$AY,column(W134)-$A$5,0)</f>
        <v>0.93</v>
      </c>
      <c r="X134" s="45">
        <f>VLOOKUP($A134,'Dados StatusInvest'!$A:$AY,column(X134)-$A$5,0)</f>
        <v>0.23</v>
      </c>
      <c r="Y134" s="45">
        <f>VLOOKUP($A134,'Dados StatusInvest'!$A:$AY,column(Y134)-$A$5,0)</f>
        <v>2.56</v>
      </c>
      <c r="Z134" s="44">
        <f>VLOOKUP($A134,'Dados StatusInvest'!$A:$AY,column(Z134)-$A$5,0)</f>
        <v>0.25</v>
      </c>
      <c r="AA134" s="44">
        <f>VLOOKUP($A134,'Dados StatusInvest'!$A:$AY,column(AA134)-$A$5,0)</f>
        <v>0.75</v>
      </c>
      <c r="AB134" s="44">
        <f>VLOOKUP($A134,'Dados StatusInvest'!$A:$AY,column(AB134)-$A$5,0)</f>
        <v>0.17</v>
      </c>
      <c r="AC134" s="44">
        <f>VLOOKUP($A134,'Dados StatusInvest'!$A:$AY,column(AC134)-$A$5,0)</f>
        <v>11.24</v>
      </c>
      <c r="AD134" s="45">
        <f>VLOOKUP($A134,'Dados StatusInvest'!$A:$AY,column(AD134)-$A$5,0)</f>
        <v>-18.01</v>
      </c>
      <c r="AE134" s="46">
        <f>VLOOKUP($A134,'Dados StatusInvest'!$A:$AY,column(AE134)-$A$5,0)</f>
        <v>24392804.79</v>
      </c>
      <c r="AF134" s="51"/>
    </row>
    <row r="135">
      <c r="A135" s="10" t="s">
        <v>181</v>
      </c>
      <c r="B135" s="52" t="str">
        <f>VLOOKUP(lEFT($A135,4),Setor!$A:$E,3,0)</f>
        <v>Consumo Cíclico</v>
      </c>
      <c r="C135" s="52" t="str">
        <f>VLOOKUP(lEFT($A135,4),Setor!$A:$E,4,0)</f>
        <v>Tecidos, Vestuário e Calçados</v>
      </c>
      <c r="D135" s="52" t="str">
        <f>VLOOKUP(lEFT($A135,4),Setor!$A:$E,5,0)</f>
        <v>Calçados</v>
      </c>
      <c r="E135" s="53">
        <f>IFERROR(__xludf.DUMMYFUNCTION("GOOGLEFINANCE(A135)"),9.17)</f>
        <v>9.17</v>
      </c>
      <c r="F135" s="53">
        <f>IFERROR(__xludf.DUMMYFUNCTION("GOOGLEFINANCE($A135,""high52"")"),12.61)</f>
        <v>12.61</v>
      </c>
      <c r="G135" s="54">
        <f t="shared" si="1"/>
        <v>-0.2727993656</v>
      </c>
      <c r="H135" s="55">
        <f>VLOOKUP($A135,'Dados StatusInvest'!$A:$AY,column(H135)-$A$5,0)*VLOOKUP($A135,'Dados StatusInvest'!$A:$AY,2,0)/$E135/100</f>
        <v>0.07200654308</v>
      </c>
      <c r="I135" s="56">
        <f>VLOOKUP($A135,'Dados StatusInvest'!$A:$AY,column(I135)-$A$5,0)/VLOOKUP($A135,'Dados StatusInvest'!$A:$AY,2,0)*$E135</f>
        <v>14.20704225</v>
      </c>
      <c r="J135" s="56">
        <f>VLOOKUP($A135,'Dados StatusInvest'!$A:$AY,column(J135)-$A$5,0)/VLOOKUP($A135,'Dados StatusInvest'!$A:$AY,2,0)*$E135</f>
        <v>2.120293427</v>
      </c>
      <c r="K135" s="57">
        <f>VLOOKUP($A135,'Dados StatusInvest'!$A:$AY,column(K135)-$A$5,0)/VLOOKUP($A135,'Dados StatusInvest'!$A:$AY,2,0)*$E135</f>
        <v>1.958849765</v>
      </c>
      <c r="L135" s="58">
        <f>VLOOKUP($A135,'Dados StatusInvest'!$A:$AY,column(L135)-$A$5,0)/100</f>
        <v>0.4516</v>
      </c>
      <c r="M135" s="63">
        <f>VLOOKUP($A135,'Dados StatusInvest'!$A:$AY,column(M135)-$A$5,0)</f>
        <v>19.15</v>
      </c>
      <c r="N135" s="63">
        <f>VLOOKUP($A135,'Dados StatusInvest'!$A:$AY,column(N135)-$A$5,0)</f>
        <v>24.78</v>
      </c>
      <c r="O135" s="56">
        <f>VLOOKUP($A135,'Dados StatusInvest'!$A:$AY,column(O135)-$A$5,0)/VLOOKUP($A135,'Dados StatusInvest'!$A:$AY,2,0)*$E135</f>
        <v>18.38305164</v>
      </c>
      <c r="P135" s="56">
        <f>VLOOKUP($A135,'Dados StatusInvest'!$A:$AY,column(P135)-$A$5,0)-VLOOKUP($A135,'Dados StatusInvest'!$A:$AY,column(P135)-$A$5-1,0)+O135</f>
        <v>15.50305164</v>
      </c>
      <c r="Q135" s="59">
        <f>VLOOKUP($A135,'Dados StatusInvest'!$A:$AY,column(Q135)-$A$5,0)</f>
        <v>-3.04</v>
      </c>
      <c r="R135" s="59">
        <f>VLOOKUP($A135,'Dados StatusInvest'!$A:$AY,column(R135)-$A$5,0)</f>
        <v>-0.35</v>
      </c>
      <c r="S135" s="56">
        <f>VLOOKUP($A135,'Dados StatusInvest'!$A:$AY,column(S135)-$A$5,0)/VLOOKUP($A135,'Dados StatusInvest'!$A:$AY,2,0)*$E135</f>
        <v>3.519471831</v>
      </c>
      <c r="T135" s="57">
        <f>VLOOKUP($A135,'Dados StatusInvest'!$A:$AY,column(T135)-$A$5,0)/VLOOKUP($A135,'Dados StatusInvest'!$A:$AY,2,0)*$E135</f>
        <v>3.282687793</v>
      </c>
      <c r="U135" s="59">
        <f>VLOOKUP($A135,'Dados StatusInvest'!$A:$AY,column(U135)-$A$5,0)</f>
        <v>-5.24</v>
      </c>
      <c r="V135" s="60">
        <f>VLOOKUP($A135,'Dados StatusInvest'!$A:$AY,column(V135)-$A$5,0)</f>
        <v>11.61</v>
      </c>
      <c r="W135" s="60">
        <f>VLOOKUP($A135,'Dados StatusInvest'!$A:$AY,column(W135)-$A$5,0)</f>
        <v>14.91</v>
      </c>
      <c r="X135" s="61">
        <f>VLOOKUP($A135,'Dados StatusInvest'!$A:$AY,column(X135)-$A$5,0)</f>
        <v>13.78</v>
      </c>
      <c r="Y135" s="60">
        <f>VLOOKUP($A135,'Dados StatusInvest'!$A:$AY,column(Y135)-$A$5,0)</f>
        <v>9.77</v>
      </c>
      <c r="Z135" s="59">
        <f>VLOOKUP($A135,'Dados StatusInvest'!$A:$AY,column(Z135)-$A$5,0)</f>
        <v>0.92</v>
      </c>
      <c r="AA135" s="59">
        <f>VLOOKUP($A135,'Dados StatusInvest'!$A:$AY,column(AA135)-$A$5,0)</f>
        <v>0.08</v>
      </c>
      <c r="AB135" s="59">
        <f>VLOOKUP($A135,'Dados StatusInvest'!$A:$AY,column(AB135)-$A$5,0)</f>
        <v>0.56</v>
      </c>
      <c r="AC135" s="59">
        <f>VLOOKUP($A135,'Dados StatusInvest'!$A:$AY,column(AC135)-$A$5,0)</f>
        <v>-2.95</v>
      </c>
      <c r="AD135" s="60">
        <f>VLOOKUP($A135,'Dados StatusInvest'!$A:$AY,column(AD135)-$A$5,0)</f>
        <v>1.1</v>
      </c>
      <c r="AE135" s="62">
        <f>VLOOKUP($A135,'Dados StatusInvest'!$A:$AY,column(AE135)-$A$5,0)</f>
        <v>23342485.38</v>
      </c>
      <c r="AF135" s="18"/>
    </row>
    <row r="136">
      <c r="A136" s="10" t="s">
        <v>182</v>
      </c>
      <c r="B136" s="39" t="str">
        <f>VLOOKUP(lEFT($A136,4),Setor!$A:$E,3,0)</f>
        <v>#N/A</v>
      </c>
      <c r="C136" s="39" t="str">
        <f>VLOOKUP(lEFT($A136,4),Setor!$A:$E,4,0)</f>
        <v>#N/A</v>
      </c>
      <c r="D136" s="39" t="str">
        <f>VLOOKUP(lEFT($A136,4),Setor!$A:$E,5,0)</f>
        <v>#N/A</v>
      </c>
      <c r="E136" s="17">
        <f>IFERROR(__xludf.DUMMYFUNCTION("GOOGLEFINANCE(A136)"),16.62)</f>
        <v>16.62</v>
      </c>
      <c r="F136" s="17">
        <f>IFERROR(__xludf.DUMMYFUNCTION("GOOGLEFINANCE($A136,""high52"")"),31.95)</f>
        <v>31.95</v>
      </c>
      <c r="G136" s="16">
        <f t="shared" si="1"/>
        <v>-0.4798122066</v>
      </c>
      <c r="H136" s="40">
        <f>VLOOKUP($A136,'Dados StatusInvest'!$A:$AY,column(H136)-$A$5,0)*VLOOKUP($A136,'Dados StatusInvest'!$A:$AY,2,0)/$E136/100</f>
        <v>0</v>
      </c>
      <c r="I136" s="41">
        <f>VLOOKUP($A136,'Dados StatusInvest'!$A:$AY,column(I136)-$A$5,0)/VLOOKUP($A136,'Dados StatusInvest'!$A:$AY,2,0)*$E136</f>
        <v>249.0339026</v>
      </c>
      <c r="J136" s="41">
        <f>VLOOKUP($A136,'Dados StatusInvest'!$A:$AY,column(J136)-$A$5,0)/VLOOKUP($A136,'Dados StatusInvest'!$A:$AY,2,0)*$E136</f>
        <v>3.858412275</v>
      </c>
      <c r="K136" s="42">
        <f>VLOOKUP($A136,'Dados StatusInvest'!$A:$AY,column(K136)-$A$5,0)/VLOOKUP($A136,'Dados StatusInvest'!$A:$AY,2,0)*$E136</f>
        <v>1.208525684</v>
      </c>
      <c r="L136" s="43">
        <f>VLOOKUP($A136,'Dados StatusInvest'!$A:$AY,column(L136)-$A$5,0)/100</f>
        <v>0.1927</v>
      </c>
      <c r="M136" s="44">
        <f>VLOOKUP($A136,'Dados StatusInvest'!$A:$AY,column(M136)-$A$5,0)</f>
        <v>3.6</v>
      </c>
      <c r="N136" s="44">
        <f>VLOOKUP($A136,'Dados StatusInvest'!$A:$AY,column(N136)-$A$5,0)</f>
        <v>0.71</v>
      </c>
      <c r="O136" s="41">
        <f>VLOOKUP($A136,'Dados StatusInvest'!$A:$AY,column(O136)-$A$5,0)/VLOOKUP($A136,'Dados StatusInvest'!$A:$AY,2,0)*$E136</f>
        <v>48.81778519</v>
      </c>
      <c r="P136" s="41">
        <f>VLOOKUP($A136,'Dados StatusInvest'!$A:$AY,column(P136)-$A$5,0)-VLOOKUP($A136,'Dados StatusInvest'!$A:$AY,column(P136)-$A$5-1,0)+O136</f>
        <v>57.33778519</v>
      </c>
      <c r="Q136" s="44">
        <f>VLOOKUP($A136,'Dados StatusInvest'!$A:$AY,column(Q136)-$A$5,0)</f>
        <v>8.28</v>
      </c>
      <c r="R136" s="44">
        <f>VLOOKUP($A136,'Dados StatusInvest'!$A:$AY,column(R136)-$A$5,0)</f>
        <v>0.65</v>
      </c>
      <c r="S136" s="41">
        <f>VLOOKUP($A136,'Dados StatusInvest'!$A:$AY,column(S136)-$A$5,0)/VLOOKUP($A136,'Dados StatusInvest'!$A:$AY,2,0)*$E136</f>
        <v>1.762895264</v>
      </c>
      <c r="T136" s="42">
        <f>VLOOKUP($A136,'Dados StatusInvest'!$A:$AY,column(T136)-$A$5,0)/VLOOKUP($A136,'Dados StatusInvest'!$A:$AY,2,0)*$E136</f>
        <v>17.47372915</v>
      </c>
      <c r="U136" s="44">
        <f>VLOOKUP($A136,'Dados StatusInvest'!$A:$AY,column(U136)-$A$5,0)</f>
        <v>-1.67</v>
      </c>
      <c r="V136" s="45">
        <f>VLOOKUP($A136,'Dados StatusInvest'!$A:$AY,column(V136)-$A$5,0)</f>
        <v>1.25</v>
      </c>
      <c r="W136" s="45">
        <f>VLOOKUP($A136,'Dados StatusInvest'!$A:$AY,column(W136)-$A$5,0)</f>
        <v>1.55</v>
      </c>
      <c r="X136" s="45">
        <f>VLOOKUP($A136,'Dados StatusInvest'!$A:$AY,column(X136)-$A$5,0)</f>
        <v>0.48</v>
      </c>
      <c r="Y136" s="45">
        <f>VLOOKUP($A136,'Dados StatusInvest'!$A:$AY,column(Y136)-$A$5,0)</f>
        <v>2.35</v>
      </c>
      <c r="Z136" s="44">
        <f>VLOOKUP($A136,'Dados StatusInvest'!$A:$AY,column(Z136)-$A$5,0)</f>
        <v>0.31</v>
      </c>
      <c r="AA136" s="44">
        <f>VLOOKUP($A136,'Dados StatusInvest'!$A:$AY,column(AA136)-$A$5,0)</f>
        <v>0.69</v>
      </c>
      <c r="AB136" s="44">
        <f>VLOOKUP($A136,'Dados StatusInvest'!$A:$AY,column(AB136)-$A$5,0)</f>
        <v>0.69</v>
      </c>
      <c r="AC136" s="44">
        <f>VLOOKUP($A136,'Dados StatusInvest'!$A:$AY,column(AC136)-$A$5,0)</f>
        <v>0</v>
      </c>
      <c r="AD136" s="45">
        <f>VLOOKUP($A136,'Dados StatusInvest'!$A:$AY,column(AD136)-$A$5,0)</f>
        <v>0</v>
      </c>
      <c r="AE136" s="46">
        <f>VLOOKUP($A136,'Dados StatusInvest'!$A:$AY,column(AE136)-$A$5,0)</f>
        <v>31856502.88</v>
      </c>
      <c r="AF136" s="18"/>
    </row>
    <row r="137">
      <c r="A137" s="10" t="s">
        <v>183</v>
      </c>
      <c r="B137" s="39" t="str">
        <f>VLOOKUP(lEFT($A137,4),Setor!$A:$E,3,0)</f>
        <v>Financeiro</v>
      </c>
      <c r="C137" s="39" t="str">
        <f>VLOOKUP(lEFT($A137,4),Setor!$A:$E,4,0)</f>
        <v>Exploração de Imóveis</v>
      </c>
      <c r="D137" s="39" t="str">
        <f>VLOOKUP(lEFT($A137,4),Setor!$A:$E,5,0)</f>
        <v>Exploração de Imóveis</v>
      </c>
      <c r="E137" s="17">
        <f>IFERROR(__xludf.DUMMYFUNCTION("GOOGLEFINANCE(A137)"),22.88)</f>
        <v>22.88</v>
      </c>
      <c r="F137" s="17">
        <f>IFERROR(__xludf.DUMMYFUNCTION("GOOGLEFINANCE($A137,""high52"")"),32.78)</f>
        <v>32.78</v>
      </c>
      <c r="G137" s="16">
        <f t="shared" si="1"/>
        <v>-0.3020134228</v>
      </c>
      <c r="H137" s="40">
        <f>VLOOKUP($A137,'Dados StatusInvest'!$A:$AY,column(H137)-$A$5,0)*VLOOKUP($A137,'Dados StatusInvest'!$A:$AY,2,0)/$E137/100</f>
        <v>0.009930856643</v>
      </c>
      <c r="I137" s="41">
        <f>VLOOKUP($A137,'Dados StatusInvest'!$A:$AY,column(I137)-$A$5,0)/VLOOKUP($A137,'Dados StatusInvest'!$A:$AY,2,0)*$E137</f>
        <v>47.50244787</v>
      </c>
      <c r="J137" s="41">
        <f>VLOOKUP($A137,'Dados StatusInvest'!$A:$AY,column(J137)-$A$5,0)/VLOOKUP($A137,'Dados StatusInvest'!$A:$AY,2,0)*$E137</f>
        <v>0.9127107888</v>
      </c>
      <c r="K137" s="42">
        <f>VLOOKUP($A137,'Dados StatusInvest'!$A:$AY,column(K137)-$A$5,0)/VLOOKUP($A137,'Dados StatusInvest'!$A:$AY,2,0)*$E137</f>
        <v>0.5600725295</v>
      </c>
      <c r="L137" s="43">
        <f>VLOOKUP($A137,'Dados StatusInvest'!$A:$AY,column(L137)-$A$5,0)/100</f>
        <v>0.6501</v>
      </c>
      <c r="M137" s="44">
        <f>VLOOKUP($A137,'Dados StatusInvest'!$A:$AY,column(M137)-$A$5,0)</f>
        <v>33.73</v>
      </c>
      <c r="N137" s="44">
        <f>VLOOKUP($A137,'Dados StatusInvest'!$A:$AY,column(N137)-$A$5,0)</f>
        <v>15.82</v>
      </c>
      <c r="O137" s="41">
        <f>VLOOKUP($A137,'Dados StatusInvest'!$A:$AY,column(O137)-$A$5,0)/VLOOKUP($A137,'Dados StatusInvest'!$A:$AY,2,0)*$E137</f>
        <v>22.2680689</v>
      </c>
      <c r="P137" s="41">
        <f>VLOOKUP($A137,'Dados StatusInvest'!$A:$AY,column(P137)-$A$5,0)-VLOOKUP($A137,'Dados StatusInvest'!$A:$AY,column(P137)-$A$5-1,0)+O137</f>
        <v>25.7080689</v>
      </c>
      <c r="Q137" s="44">
        <f>VLOOKUP($A137,'Dados StatusInvest'!$A:$AY,column(Q137)-$A$5,0)</f>
        <v>3.43</v>
      </c>
      <c r="R137" s="44">
        <f>VLOOKUP($A137,'Dados StatusInvest'!$A:$AY,column(R137)-$A$5,0)</f>
        <v>0.14</v>
      </c>
      <c r="S137" s="41">
        <f>VLOOKUP($A137,'Dados StatusInvest'!$A:$AY,column(S137)-$A$5,0)/VLOOKUP($A137,'Dados StatusInvest'!$A:$AY,2,0)*$E137</f>
        <v>7.50912058</v>
      </c>
      <c r="T137" s="42">
        <f>VLOOKUP($A137,'Dados StatusInvest'!$A:$AY,column(T137)-$A$5,0)/VLOOKUP($A137,'Dados StatusInvest'!$A:$AY,2,0)*$E137</f>
        <v>6.741613781</v>
      </c>
      <c r="U137" s="44">
        <f>VLOOKUP($A137,'Dados StatusInvest'!$A:$AY,column(U137)-$A$5,0)</f>
        <v>-0.63</v>
      </c>
      <c r="V137" s="45">
        <f>VLOOKUP($A137,'Dados StatusInvest'!$A:$AY,column(V137)-$A$5,0)</f>
        <v>2.54</v>
      </c>
      <c r="W137" s="45">
        <f>VLOOKUP($A137,'Dados StatusInvest'!$A:$AY,column(W137)-$A$5,0)</f>
        <v>1.93</v>
      </c>
      <c r="X137" s="45">
        <f>VLOOKUP($A137,'Dados StatusInvest'!$A:$AY,column(X137)-$A$5,0)</f>
        <v>1.18</v>
      </c>
      <c r="Y137" s="45">
        <f>VLOOKUP($A137,'Dados StatusInvest'!$A:$AY,column(Y137)-$A$5,0)</f>
        <v>2.47</v>
      </c>
      <c r="Z137" s="44">
        <f>VLOOKUP($A137,'Dados StatusInvest'!$A:$AY,column(Z137)-$A$5,0)</f>
        <v>0.61</v>
      </c>
      <c r="AA137" s="44">
        <f>VLOOKUP($A137,'Dados StatusInvest'!$A:$AY,column(AA137)-$A$5,0)</f>
        <v>0.29</v>
      </c>
      <c r="AB137" s="44">
        <f>VLOOKUP($A137,'Dados StatusInvest'!$A:$AY,column(AB137)-$A$5,0)</f>
        <v>0.07</v>
      </c>
      <c r="AC137" s="44">
        <f>VLOOKUP($A137,'Dados StatusInvest'!$A:$AY,column(AC137)-$A$5,0)</f>
        <v>19.22</v>
      </c>
      <c r="AD137" s="45">
        <f>VLOOKUP($A137,'Dados StatusInvest'!$A:$AY,column(AD137)-$A$5,0)</f>
        <v>5.68</v>
      </c>
      <c r="AE137" s="46">
        <f>VLOOKUP($A137,'Dados StatusInvest'!$A:$AY,column(AE137)-$A$5,0)</f>
        <v>27694981.75</v>
      </c>
      <c r="AF137" s="50"/>
    </row>
    <row r="138">
      <c r="A138" s="10" t="s">
        <v>184</v>
      </c>
      <c r="B138" s="39" t="str">
        <f>VLOOKUP(lEFT($A138,4),Setor!$A:$E,3,0)</f>
        <v>#N/A</v>
      </c>
      <c r="C138" s="39" t="str">
        <f>VLOOKUP(lEFT($A138,4),Setor!$A:$E,4,0)</f>
        <v>#N/A</v>
      </c>
      <c r="D138" s="39" t="str">
        <f>VLOOKUP(lEFT($A138,4),Setor!$A:$E,5,0)</f>
        <v>#N/A</v>
      </c>
      <c r="E138" s="17">
        <f>IFERROR(__xludf.DUMMYFUNCTION("GOOGLEFINANCE(A138)"),12.61)</f>
        <v>12.61</v>
      </c>
      <c r="F138" s="17">
        <f>IFERROR(__xludf.DUMMYFUNCTION("GOOGLEFINANCE($A138,""high52"")"),23.28)</f>
        <v>23.28</v>
      </c>
      <c r="G138" s="16">
        <f t="shared" si="1"/>
        <v>-0.4583333333</v>
      </c>
      <c r="H138" s="40">
        <f>VLOOKUP($A138,'Dados StatusInvest'!$A:$AY,column(H138)-$A$5,0)*VLOOKUP($A138,'Dados StatusInvest'!$A:$AY,2,0)/$E138/100</f>
        <v>0.01128017446</v>
      </c>
      <c r="I138" s="41">
        <f>VLOOKUP($A138,'Dados StatusInvest'!$A:$AY,column(I138)-$A$5,0)/VLOOKUP($A138,'Dados StatusInvest'!$A:$AY,2,0)*$E138</f>
        <v>11.74254888</v>
      </c>
      <c r="J138" s="41">
        <f>VLOOKUP($A138,'Dados StatusInvest'!$A:$AY,column(J138)-$A$5,0)/VLOOKUP($A138,'Dados StatusInvest'!$A:$AY,2,0)*$E138</f>
        <v>4.392041999</v>
      </c>
      <c r="K138" s="42">
        <f>VLOOKUP($A138,'Dados StatusInvest'!$A:$AY,column(K138)-$A$5,0)/VLOOKUP($A138,'Dados StatusInvest'!$A:$AY,2,0)*$E138</f>
        <v>1.588805214</v>
      </c>
      <c r="L138" s="43">
        <f>VLOOKUP($A138,'Dados StatusInvest'!$A:$AY,column(L138)-$A$5,0)/100</f>
        <v>0.5509</v>
      </c>
      <c r="M138" s="44">
        <f>VLOOKUP($A138,'Dados StatusInvest'!$A:$AY,column(M138)-$A$5,0)</f>
        <v>35.02</v>
      </c>
      <c r="N138" s="44">
        <f>VLOOKUP($A138,'Dados StatusInvest'!$A:$AY,column(N138)-$A$5,0)</f>
        <v>34.35</v>
      </c>
      <c r="O138" s="41">
        <f>VLOOKUP($A138,'Dados StatusInvest'!$A:$AY,column(O138)-$A$5,0)/VLOOKUP($A138,'Dados StatusInvest'!$A:$AY,2,0)*$E138</f>
        <v>11.51427227</v>
      </c>
      <c r="P138" s="41">
        <f>VLOOKUP($A138,'Dados StatusInvest'!$A:$AY,column(P138)-$A$5,0)-VLOOKUP($A138,'Dados StatusInvest'!$A:$AY,column(P138)-$A$5-1,0)+O138</f>
        <v>13.40427227</v>
      </c>
      <c r="Q138" s="44">
        <f>VLOOKUP($A138,'Dados StatusInvest'!$A:$AY,column(Q138)-$A$5,0)</f>
        <v>1.74</v>
      </c>
      <c r="R138" s="44">
        <f>VLOOKUP($A138,'Dados StatusInvest'!$A:$AY,column(R138)-$A$5,0)</f>
        <v>0.66</v>
      </c>
      <c r="S138" s="41">
        <f>VLOOKUP($A138,'Dados StatusInvest'!$A:$AY,column(S138)-$A$5,0)/VLOOKUP($A138,'Dados StatusInvest'!$A:$AY,2,0)*$E138</f>
        <v>4.035930485</v>
      </c>
      <c r="T138" s="42">
        <f>VLOOKUP($A138,'Dados StatusInvest'!$A:$AY,column(T138)-$A$5,0)/VLOOKUP($A138,'Dados StatusInvest'!$A:$AY,2,0)*$E138</f>
        <v>71.78842867</v>
      </c>
      <c r="U138" s="44">
        <f>VLOOKUP($A138,'Dados StatusInvest'!$A:$AY,column(U138)-$A$5,0)</f>
        <v>-2.87</v>
      </c>
      <c r="V138" s="45">
        <f>VLOOKUP($A138,'Dados StatusInvest'!$A:$AY,column(V138)-$A$5,0)</f>
        <v>1.06</v>
      </c>
      <c r="W138" s="45">
        <f>VLOOKUP($A138,'Dados StatusInvest'!$A:$AY,column(W138)-$A$5,0)</f>
        <v>37.39</v>
      </c>
      <c r="X138" s="45">
        <f>VLOOKUP($A138,'Dados StatusInvest'!$A:$AY,column(X138)-$A$5,0)</f>
        <v>13.51</v>
      </c>
      <c r="Y138" s="45">
        <f>VLOOKUP($A138,'Dados StatusInvest'!$A:$AY,column(Y138)-$A$5,0)</f>
        <v>14.07</v>
      </c>
      <c r="Z138" s="44">
        <f>VLOOKUP($A138,'Dados StatusInvest'!$A:$AY,column(Z138)-$A$5,0)</f>
        <v>0.36</v>
      </c>
      <c r="AA138" s="44">
        <f>VLOOKUP($A138,'Dados StatusInvest'!$A:$AY,column(AA138)-$A$5,0)</f>
        <v>0.64</v>
      </c>
      <c r="AB138" s="44">
        <f>VLOOKUP($A138,'Dados StatusInvest'!$A:$AY,column(AB138)-$A$5,0)</f>
        <v>0.39</v>
      </c>
      <c r="AC138" s="44">
        <f>VLOOKUP($A138,'Dados StatusInvest'!$A:$AY,column(AC138)-$A$5,0)</f>
        <v>0</v>
      </c>
      <c r="AD138" s="45">
        <f>VLOOKUP($A138,'Dados StatusInvest'!$A:$AY,column(AD138)-$A$5,0)</f>
        <v>0</v>
      </c>
      <c r="AE138" s="46">
        <f>VLOOKUP($A138,'Dados StatusInvest'!$A:$AY,column(AE138)-$A$5,0)</f>
        <v>24511374</v>
      </c>
      <c r="AF138" s="51"/>
    </row>
    <row r="139">
      <c r="A139" s="10" t="s">
        <v>185</v>
      </c>
      <c r="B139" s="39" t="str">
        <f>VLOOKUP(lEFT($A139,4),Setor!$A:$E,3,0)</f>
        <v>Consumo Cíclico</v>
      </c>
      <c r="C139" s="39" t="str">
        <f>VLOOKUP(lEFT($A139,4),Setor!$A:$E,4,0)</f>
        <v>Construção Civil</v>
      </c>
      <c r="D139" s="39" t="str">
        <f>VLOOKUP(lEFT($A139,4),Setor!$A:$E,5,0)</f>
        <v>Incorporações</v>
      </c>
      <c r="E139" s="17">
        <f>IFERROR(__xludf.DUMMYFUNCTION("GOOGLEFINANCE(A139)"),17.54)</f>
        <v>17.54</v>
      </c>
      <c r="F139" s="17">
        <f>IFERROR(__xludf.DUMMYFUNCTION("GOOGLEFINANCE($A139,""high52"")"),31.65)</f>
        <v>31.65</v>
      </c>
      <c r="G139" s="16">
        <f t="shared" si="1"/>
        <v>-0.4458135861</v>
      </c>
      <c r="H139" s="40">
        <f>VLOOKUP($A139,'Dados StatusInvest'!$A:$AY,column(H139)-$A$5,0)*VLOOKUP($A139,'Dados StatusInvest'!$A:$AY,2,0)/$E139/100</f>
        <v>0.01981847206</v>
      </c>
      <c r="I139" s="41">
        <f>VLOOKUP($A139,'Dados StatusInvest'!$A:$AY,column(I139)-$A$5,0)/VLOOKUP($A139,'Dados StatusInvest'!$A:$AY,2,0)*$E139</f>
        <v>8.58471831</v>
      </c>
      <c r="J139" s="41">
        <f>VLOOKUP($A139,'Dados StatusInvest'!$A:$AY,column(J139)-$A$5,0)/VLOOKUP($A139,'Dados StatusInvest'!$A:$AY,2,0)*$E139</f>
        <v>1.22491784</v>
      </c>
      <c r="K139" s="42">
        <f>VLOOKUP($A139,'Dados StatusInvest'!$A:$AY,column(K139)-$A$5,0)/VLOOKUP($A139,'Dados StatusInvest'!$A:$AY,2,0)*$E139</f>
        <v>0.4117370892</v>
      </c>
      <c r="L139" s="43">
        <f>VLOOKUP($A139,'Dados StatusInvest'!$A:$AY,column(L139)-$A$5,0)/100</f>
        <v>0.2974</v>
      </c>
      <c r="M139" s="44">
        <f>VLOOKUP($A139,'Dados StatusInvest'!$A:$AY,column(M139)-$A$5,0)</f>
        <v>11.19</v>
      </c>
      <c r="N139" s="44">
        <f>VLOOKUP($A139,'Dados StatusInvest'!$A:$AY,column(N139)-$A$5,0)</f>
        <v>8.07</v>
      </c>
      <c r="O139" s="41">
        <f>VLOOKUP($A139,'Dados StatusInvest'!$A:$AY,column(O139)-$A$5,0)/VLOOKUP($A139,'Dados StatusInvest'!$A:$AY,2,0)*$E139</f>
        <v>6.186349765</v>
      </c>
      <c r="P139" s="41">
        <f>VLOOKUP($A139,'Dados StatusInvest'!$A:$AY,column(P139)-$A$5,0)-VLOOKUP($A139,'Dados StatusInvest'!$A:$AY,column(P139)-$A$5-1,0)+O139</f>
        <v>6.876349765</v>
      </c>
      <c r="Q139" s="44">
        <f>VLOOKUP($A139,'Dados StatusInvest'!$A:$AY,column(Q139)-$A$5,0)</f>
        <v>0.62</v>
      </c>
      <c r="R139" s="44">
        <f>VLOOKUP($A139,'Dados StatusInvest'!$A:$AY,column(R139)-$A$5,0)</f>
        <v>0.12</v>
      </c>
      <c r="S139" s="41">
        <f>VLOOKUP($A139,'Dados StatusInvest'!$A:$AY,column(S139)-$A$5,0)/VLOOKUP($A139,'Dados StatusInvest'!$A:$AY,2,0)*$E139</f>
        <v>0.6896596244</v>
      </c>
      <c r="T139" s="42">
        <f>VLOOKUP($A139,'Dados StatusInvest'!$A:$AY,column(T139)-$A$5,0)/VLOOKUP($A139,'Dados StatusInvest'!$A:$AY,2,0)*$E139</f>
        <v>1.029342723</v>
      </c>
      <c r="U139" s="44">
        <f>VLOOKUP($A139,'Dados StatusInvest'!$A:$AY,column(U139)-$A$5,0)</f>
        <v>-1.06</v>
      </c>
      <c r="V139" s="45">
        <f>VLOOKUP($A139,'Dados StatusInvest'!$A:$AY,column(V139)-$A$5,0)</f>
        <v>2.8</v>
      </c>
      <c r="W139" s="45">
        <f>VLOOKUP($A139,'Dados StatusInvest'!$A:$AY,column(W139)-$A$5,0)</f>
        <v>14.31</v>
      </c>
      <c r="X139" s="45">
        <f>VLOOKUP($A139,'Dados StatusInvest'!$A:$AY,column(X139)-$A$5,0)</f>
        <v>4.8</v>
      </c>
      <c r="Y139" s="45">
        <f>VLOOKUP($A139,'Dados StatusInvest'!$A:$AY,column(Y139)-$A$5,0)</f>
        <v>9.51</v>
      </c>
      <c r="Z139" s="44">
        <f>VLOOKUP($A139,'Dados StatusInvest'!$A:$AY,column(Z139)-$A$5,0)</f>
        <v>0.34</v>
      </c>
      <c r="AA139" s="44">
        <f>VLOOKUP($A139,'Dados StatusInvest'!$A:$AY,column(AA139)-$A$5,0)</f>
        <v>0.66</v>
      </c>
      <c r="AB139" s="44">
        <f>VLOOKUP($A139,'Dados StatusInvest'!$A:$AY,column(AB139)-$A$5,0)</f>
        <v>0.6</v>
      </c>
      <c r="AC139" s="44">
        <f>VLOOKUP($A139,'Dados StatusInvest'!$A:$AY,column(AC139)-$A$5,0)</f>
        <v>21.81</v>
      </c>
      <c r="AD139" s="45">
        <f>VLOOKUP($A139,'Dados StatusInvest'!$A:$AY,column(AD139)-$A$5,0)</f>
        <v>47.69</v>
      </c>
      <c r="AE139" s="46">
        <f>VLOOKUP($A139,'Dados StatusInvest'!$A:$AY,column(AE139)-$A$5,0)</f>
        <v>27995745.67</v>
      </c>
      <c r="AF139" s="18"/>
    </row>
    <row r="140">
      <c r="A140" s="10" t="s">
        <v>186</v>
      </c>
      <c r="B140" s="39" t="str">
        <f>VLOOKUP(lEFT($A140,4),Setor!$A:$E,3,0)</f>
        <v>Consumo Cíclico</v>
      </c>
      <c r="C140" s="39" t="str">
        <f>VLOOKUP(lEFT($A140,4),Setor!$A:$E,4,0)</f>
        <v>Construção Civil</v>
      </c>
      <c r="D140" s="39" t="str">
        <f>VLOOKUP(lEFT($A140,4),Setor!$A:$E,5,0)</f>
        <v>Incorporações</v>
      </c>
      <c r="E140" s="17">
        <f>IFERROR(__xludf.DUMMYFUNCTION("GOOGLEFINANCE(A140)"),5.8)</f>
        <v>5.8</v>
      </c>
      <c r="F140" s="17">
        <f>IFERROR(__xludf.DUMMYFUNCTION("GOOGLEFINANCE($A140,""high52"")"),8.55)</f>
        <v>8.55</v>
      </c>
      <c r="G140" s="16">
        <f t="shared" si="1"/>
        <v>-0.3216374269</v>
      </c>
      <c r="H140" s="40">
        <f>VLOOKUP($A140,'Dados StatusInvest'!$A:$AY,column(H140)-$A$5,0)*VLOOKUP($A140,'Dados StatusInvest'!$A:$AY,2,0)/$E140/100</f>
        <v>0.04781034483</v>
      </c>
      <c r="I140" s="41">
        <f>VLOOKUP($A140,'Dados StatusInvest'!$A:$AY,column(I140)-$A$5,0)/VLOOKUP($A140,'Dados StatusInvest'!$A:$AY,2,0)*$E140</f>
        <v>4.492542373</v>
      </c>
      <c r="J140" s="41">
        <f>VLOOKUP($A140,'Dados StatusInvest'!$A:$AY,column(J140)-$A$5,0)/VLOOKUP($A140,'Dados StatusInvest'!$A:$AY,2,0)*$E140</f>
        <v>0.9338983051</v>
      </c>
      <c r="K140" s="42">
        <f>VLOOKUP($A140,'Dados StatusInvest'!$A:$AY,column(K140)-$A$5,0)/VLOOKUP($A140,'Dados StatusInvest'!$A:$AY,2,0)*$E140</f>
        <v>0.4915254237</v>
      </c>
      <c r="L140" s="43">
        <f>VLOOKUP($A140,'Dados StatusInvest'!$A:$AY,column(L140)-$A$5,0)/100</f>
        <v>0.7303</v>
      </c>
      <c r="M140" s="47">
        <f>VLOOKUP($A140,'Dados StatusInvest'!$A:$AY,column(M140)-$A$5,0)</f>
        <v>57.67</v>
      </c>
      <c r="N140" s="47">
        <f>VLOOKUP($A140,'Dados StatusInvest'!$A:$AY,column(N140)-$A$5,0)</f>
        <v>49.22</v>
      </c>
      <c r="O140" s="41">
        <f>VLOOKUP($A140,'Dados StatusInvest'!$A:$AY,column(O140)-$A$5,0)/VLOOKUP($A140,'Dados StatusInvest'!$A:$AY,2,0)*$E140</f>
        <v>3.833898305</v>
      </c>
      <c r="P140" s="41">
        <f>VLOOKUP($A140,'Dados StatusInvest'!$A:$AY,column(P140)-$A$5,0)-VLOOKUP($A140,'Dados StatusInvest'!$A:$AY,column(P140)-$A$5-1,0)+O140</f>
        <v>4.433898305</v>
      </c>
      <c r="Q140" s="44">
        <f>VLOOKUP($A140,'Dados StatusInvest'!$A:$AY,column(Q140)-$A$5,0)</f>
        <v>0.6</v>
      </c>
      <c r="R140" s="44">
        <f>VLOOKUP($A140,'Dados StatusInvest'!$A:$AY,column(R140)-$A$5,0)</f>
        <v>0.15</v>
      </c>
      <c r="S140" s="41">
        <f>VLOOKUP($A140,'Dados StatusInvest'!$A:$AY,column(S140)-$A$5,0)/VLOOKUP($A140,'Dados StatusInvest'!$A:$AY,2,0)*$E140</f>
        <v>2.211864407</v>
      </c>
      <c r="T140" s="42">
        <f>VLOOKUP($A140,'Dados StatusInvest'!$A:$AY,column(T140)-$A$5,0)/VLOOKUP($A140,'Dados StatusInvest'!$A:$AY,2,0)*$E140</f>
        <v>2.310169492</v>
      </c>
      <c r="U140" s="44">
        <f>VLOOKUP($A140,'Dados StatusInvest'!$A:$AY,column(U140)-$A$5,0)</f>
        <v>-0.74</v>
      </c>
      <c r="V140" s="45">
        <f>VLOOKUP($A140,'Dados StatusInvest'!$A:$AY,column(V140)-$A$5,0)</f>
        <v>3.14</v>
      </c>
      <c r="W140" s="45">
        <f>VLOOKUP($A140,'Dados StatusInvest'!$A:$AY,column(W140)-$A$5,0)</f>
        <v>20.76</v>
      </c>
      <c r="X140" s="48">
        <f>VLOOKUP($A140,'Dados StatusInvest'!$A:$AY,column(X140)-$A$5,0)</f>
        <v>11.02</v>
      </c>
      <c r="Y140" s="45">
        <f>VLOOKUP($A140,'Dados StatusInvest'!$A:$AY,column(Y140)-$A$5,0)</f>
        <v>15.84</v>
      </c>
      <c r="Z140" s="44">
        <f>VLOOKUP($A140,'Dados StatusInvest'!$A:$AY,column(Z140)-$A$5,0)</f>
        <v>0.53</v>
      </c>
      <c r="AA140" s="44">
        <f>VLOOKUP($A140,'Dados StatusInvest'!$A:$AY,column(AA140)-$A$5,0)</f>
        <v>0.46</v>
      </c>
      <c r="AB140" s="44">
        <f>VLOOKUP($A140,'Dados StatusInvest'!$A:$AY,column(AB140)-$A$5,0)</f>
        <v>0.22</v>
      </c>
      <c r="AC140" s="44">
        <f>VLOOKUP($A140,'Dados StatusInvest'!$A:$AY,column(AC140)-$A$5,0)</f>
        <v>13.16</v>
      </c>
      <c r="AD140" s="45">
        <f>VLOOKUP($A140,'Dados StatusInvest'!$A:$AY,column(AD140)-$A$5,0)</f>
        <v>52.2</v>
      </c>
      <c r="AE140" s="46">
        <f>VLOOKUP($A140,'Dados StatusInvest'!$A:$AY,column(AE140)-$A$5,0)</f>
        <v>22317820.42</v>
      </c>
      <c r="AF140" s="50"/>
    </row>
    <row r="141">
      <c r="A141" s="10" t="s">
        <v>187</v>
      </c>
      <c r="B141" s="39" t="str">
        <f>VLOOKUP(lEFT($A141,4),Setor!$A:$E,3,0)</f>
        <v>Consumo Cíclico</v>
      </c>
      <c r="C141" s="39" t="str">
        <f>VLOOKUP(lEFT($A141,4),Setor!$A:$E,4,0)</f>
        <v>Comércio</v>
      </c>
      <c r="D141" s="39" t="str">
        <f>VLOOKUP(lEFT($A141,4),Setor!$A:$E,5,0)</f>
        <v>Produtos Diversos</v>
      </c>
      <c r="E141" s="17">
        <f>IFERROR(__xludf.DUMMYFUNCTION("GOOGLEFINANCE(A141)"),4.66)</f>
        <v>4.66</v>
      </c>
      <c r="F141" s="17">
        <f>IFERROR(__xludf.DUMMYFUNCTION("GOOGLEFINANCE($A141,""high52"")"),26.74)</f>
        <v>26.74</v>
      </c>
      <c r="G141" s="16">
        <f t="shared" si="1"/>
        <v>-0.8257292446</v>
      </c>
      <c r="H141" s="40">
        <f>VLOOKUP($A141,'Dados StatusInvest'!$A:$AY,column(H141)-$A$5,0)*VLOOKUP($A141,'Dados StatusInvest'!$A:$AY,2,0)/$E141/100</f>
        <v>0.04614592275</v>
      </c>
      <c r="I141" s="41">
        <f>VLOOKUP($A141,'Dados StatusInvest'!$A:$AY,column(I141)-$A$5,0)/VLOOKUP($A141,'Dados StatusInvest'!$A:$AY,2,0)*$E141</f>
        <v>16.20598214</v>
      </c>
      <c r="J141" s="41">
        <f>VLOOKUP($A141,'Dados StatusInvest'!$A:$AY,column(J141)-$A$5,0)/VLOOKUP($A141,'Dados StatusInvest'!$A:$AY,2,0)*$E141</f>
        <v>1.341830357</v>
      </c>
      <c r="K141" s="42">
        <f>VLOOKUP($A141,'Dados StatusInvest'!$A:$AY,column(K141)-$A$5,0)/VLOOKUP($A141,'Dados StatusInvest'!$A:$AY,2,0)*$E141</f>
        <v>0.1976339286</v>
      </c>
      <c r="L141" s="43">
        <f>VLOOKUP($A141,'Dados StatusInvest'!$A:$AY,column(L141)-$A$5,0)/100</f>
        <v>0.3336</v>
      </c>
      <c r="M141" s="44">
        <f>VLOOKUP($A141,'Dados StatusInvest'!$A:$AY,column(M141)-$A$5,0)</f>
        <v>4.66</v>
      </c>
      <c r="N141" s="47">
        <f>VLOOKUP($A141,'Dados StatusInvest'!$A:$AY,column(N141)-$A$5,0)</f>
        <v>2.19</v>
      </c>
      <c r="O141" s="41">
        <f>VLOOKUP($A141,'Dados StatusInvest'!$A:$AY,column(O141)-$A$5,0)/VLOOKUP($A141,'Dados StatusInvest'!$A:$AY,2,0)*$E141</f>
        <v>7.624508929</v>
      </c>
      <c r="P141" s="41">
        <f>VLOOKUP($A141,'Dados StatusInvest'!$A:$AY,column(P141)-$A$5,0)-VLOOKUP($A141,'Dados StatusInvest'!$A:$AY,column(P141)-$A$5-1,0)+O141</f>
        <v>11.91450893</v>
      </c>
      <c r="Q141" s="44">
        <f>VLOOKUP($A141,'Dados StatusInvest'!$A:$AY,column(Q141)-$A$5,0)</f>
        <v>3.91</v>
      </c>
      <c r="R141" s="44">
        <f>VLOOKUP($A141,'Dados StatusInvest'!$A:$AY,column(R141)-$A$5,0)</f>
        <v>0.69</v>
      </c>
      <c r="S141" s="41">
        <f>VLOOKUP($A141,'Dados StatusInvest'!$A:$AY,column(S141)-$A$5,0)/VLOOKUP($A141,'Dados StatusInvest'!$A:$AY,2,0)*$E141</f>
        <v>0.3536607143</v>
      </c>
      <c r="T141" s="42">
        <f>VLOOKUP($A141,'Dados StatusInvest'!$A:$AY,column(T141)-$A$5,0)/VLOOKUP($A141,'Dados StatusInvest'!$A:$AY,2,0)*$E141</f>
        <v>0.6553125</v>
      </c>
      <c r="U141" s="44">
        <f>VLOOKUP($A141,'Dados StatusInvest'!$A:$AY,column(U141)-$A$5,0)</f>
        <v>-0.49</v>
      </c>
      <c r="V141" s="45">
        <f>VLOOKUP($A141,'Dados StatusInvest'!$A:$AY,column(V141)-$A$5,0)</f>
        <v>2.05</v>
      </c>
      <c r="W141" s="45">
        <f>VLOOKUP($A141,'Dados StatusInvest'!$A:$AY,column(W141)-$A$5,0)</f>
        <v>8.31</v>
      </c>
      <c r="X141" s="45">
        <f>VLOOKUP($A141,'Dados StatusInvest'!$A:$AY,column(X141)-$A$5,0)</f>
        <v>1.25</v>
      </c>
      <c r="Y141" s="45">
        <f>VLOOKUP($A141,'Dados StatusInvest'!$A:$AY,column(Y141)-$A$5,0)</f>
        <v>3.19</v>
      </c>
      <c r="Z141" s="44">
        <f>VLOOKUP($A141,'Dados StatusInvest'!$A:$AY,column(Z141)-$A$5,0)</f>
        <v>0.15</v>
      </c>
      <c r="AA141" s="44">
        <f>VLOOKUP($A141,'Dados StatusInvest'!$A:$AY,column(AA141)-$A$5,0)</f>
        <v>0.63</v>
      </c>
      <c r="AB141" s="44">
        <f>VLOOKUP($A141,'Dados StatusInvest'!$A:$AY,column(AB141)-$A$5,0)</f>
        <v>0.57</v>
      </c>
      <c r="AC141" s="44">
        <f>VLOOKUP($A141,'Dados StatusInvest'!$A:$AY,column(AC141)-$A$5,0)</f>
        <v>3.5</v>
      </c>
      <c r="AD141" s="45">
        <f>VLOOKUP($A141,'Dados StatusInvest'!$A:$AY,column(AD141)-$A$5,0)</f>
        <v>16.72</v>
      </c>
      <c r="AE141" s="46">
        <f>VLOOKUP($A141,'Dados StatusInvest'!$A:$AY,column(AE141)-$A$5,0)</f>
        <v>26491165.04</v>
      </c>
      <c r="AF141" s="49"/>
    </row>
    <row r="142">
      <c r="A142" s="10" t="s">
        <v>188</v>
      </c>
      <c r="B142" s="39" t="str">
        <f>VLOOKUP(lEFT($A142,4),Setor!$A:$E,3,0)</f>
        <v>Utilidade Pública</v>
      </c>
      <c r="C142" s="39" t="str">
        <f>VLOOKUP(lEFT($A142,4),Setor!$A:$E,4,0)</f>
        <v>Água e Saneamento</v>
      </c>
      <c r="D142" s="39" t="str">
        <f>VLOOKUP(lEFT($A142,4),Setor!$A:$E,5,0)</f>
        <v>Água e Saneamento</v>
      </c>
      <c r="E142" s="17">
        <f>IFERROR(__xludf.DUMMYFUNCTION("GOOGLEFINANCE(A142)"),13.91)</f>
        <v>13.91</v>
      </c>
      <c r="F142" s="17">
        <f>IFERROR(__xludf.DUMMYFUNCTION("GOOGLEFINANCE($A142,""high52"")"),18.1)</f>
        <v>18.1</v>
      </c>
      <c r="G142" s="16">
        <f t="shared" si="1"/>
        <v>-0.2314917127</v>
      </c>
      <c r="H142" s="40">
        <f>VLOOKUP($A142,'Dados StatusInvest'!$A:$AY,column(H142)-$A$5,0)*VLOOKUP($A142,'Dados StatusInvest'!$A:$AY,2,0)/$E142/100</f>
        <v>0.2233655643</v>
      </c>
      <c r="I142" s="41">
        <f>VLOOKUP($A142,'Dados StatusInvest'!$A:$AY,column(I142)-$A$5,0)/VLOOKUP($A142,'Dados StatusInvest'!$A:$AY,2,0)*$E142</f>
        <v>5.471608856</v>
      </c>
      <c r="J142" s="41">
        <f>VLOOKUP($A142,'Dados StatusInvest'!$A:$AY,column(J142)-$A$5,0)/VLOOKUP($A142,'Dados StatusInvest'!$A:$AY,2,0)*$E142</f>
        <v>0.7801918819</v>
      </c>
      <c r="K142" s="42">
        <f>VLOOKUP($A142,'Dados StatusInvest'!$A:$AY,column(K142)-$A$5,0)/VLOOKUP($A142,'Dados StatusInvest'!$A:$AY,2,0)*$E142</f>
        <v>0.4414243542</v>
      </c>
      <c r="L142" s="43">
        <f>VLOOKUP($A142,'Dados StatusInvest'!$A:$AY,column(L142)-$A$5,0)/100</f>
        <v>0.4428</v>
      </c>
      <c r="M142" s="44">
        <f>VLOOKUP($A142,'Dados StatusInvest'!$A:$AY,column(M142)-$A$5,0)</f>
        <v>25.2</v>
      </c>
      <c r="N142" s="44">
        <f>VLOOKUP($A142,'Dados StatusInvest'!$A:$AY,column(N142)-$A$5,0)</f>
        <v>17.15</v>
      </c>
      <c r="O142" s="41">
        <f>VLOOKUP($A142,'Dados StatusInvest'!$A:$AY,column(O142)-$A$5,0)/VLOOKUP($A142,'Dados StatusInvest'!$A:$AY,2,0)*$E142</f>
        <v>3.726442804</v>
      </c>
      <c r="P142" s="41">
        <f>VLOOKUP($A142,'Dados StatusInvest'!$A:$AY,column(P142)-$A$5,0)-VLOOKUP($A142,'Dados StatusInvest'!$A:$AY,column(P142)-$A$5-1,0)+O142</f>
        <v>5.556442804</v>
      </c>
      <c r="Q142" s="44">
        <f>VLOOKUP($A142,'Dados StatusInvest'!$A:$AY,column(Q142)-$A$5,0)</f>
        <v>1.82</v>
      </c>
      <c r="R142" s="44">
        <f>VLOOKUP($A142,'Dados StatusInvest'!$A:$AY,column(R142)-$A$5,0)</f>
        <v>0.38</v>
      </c>
      <c r="S142" s="41">
        <f>VLOOKUP($A142,'Dados StatusInvest'!$A:$AY,column(S142)-$A$5,0)/VLOOKUP($A142,'Dados StatusInvest'!$A:$AY,2,0)*$E142</f>
        <v>0.9341771218</v>
      </c>
      <c r="T142" s="42">
        <f>VLOOKUP($A142,'Dados StatusInvest'!$A:$AY,column(T142)-$A$5,0)/VLOOKUP($A142,'Dados StatusInvest'!$A:$AY,2,0)*$E142</f>
        <v>9.393099631</v>
      </c>
      <c r="U142" s="47">
        <f>VLOOKUP($A142,'Dados StatusInvest'!$A:$AY,column(U142)-$A$5,0)</f>
        <v>-0.53</v>
      </c>
      <c r="V142" s="45">
        <f>VLOOKUP($A142,'Dados StatusInvest'!$A:$AY,column(V142)-$A$5,0)</f>
        <v>1.36</v>
      </c>
      <c r="W142" s="48">
        <f>VLOOKUP($A142,'Dados StatusInvest'!$A:$AY,column(W142)-$A$5,0)</f>
        <v>14.21</v>
      </c>
      <c r="X142" s="48">
        <f>VLOOKUP($A142,'Dados StatusInvest'!$A:$AY,column(X142)-$A$5,0)</f>
        <v>8.12</v>
      </c>
      <c r="Y142" s="48">
        <f>VLOOKUP($A142,'Dados StatusInvest'!$A:$AY,column(Y142)-$A$5,0)</f>
        <v>10.45</v>
      </c>
      <c r="Z142" s="44">
        <f>VLOOKUP($A142,'Dados StatusInvest'!$A:$AY,column(Z142)-$A$5,0)</f>
        <v>0.57</v>
      </c>
      <c r="AA142" s="44">
        <f>VLOOKUP($A142,'Dados StatusInvest'!$A:$AY,column(AA142)-$A$5,0)</f>
        <v>0.43</v>
      </c>
      <c r="AB142" s="44">
        <f>VLOOKUP($A142,'Dados StatusInvest'!$A:$AY,column(AB142)-$A$5,0)</f>
        <v>0.47</v>
      </c>
      <c r="AC142" s="44">
        <f>VLOOKUP($A142,'Dados StatusInvest'!$A:$AY,column(AC142)-$A$5,0)</f>
        <v>6.86</v>
      </c>
      <c r="AD142" s="45">
        <f>VLOOKUP($A142,'Dados StatusInvest'!$A:$AY,column(AD142)-$A$5,0)</f>
        <v>0</v>
      </c>
      <c r="AE142" s="46">
        <f>VLOOKUP($A142,'Dados StatusInvest'!$A:$AY,column(AE142)-$A$5,0)</f>
        <v>28027863.42</v>
      </c>
      <c r="AF142" s="51"/>
    </row>
    <row r="143">
      <c r="A143" s="10" t="s">
        <v>189</v>
      </c>
      <c r="B143" s="39" t="str">
        <f>VLOOKUP(lEFT($A143,4),Setor!$A:$E,3,0)</f>
        <v>#N/A</v>
      </c>
      <c r="C143" s="39" t="str">
        <f>VLOOKUP(lEFT($A143,4),Setor!$A:$E,4,0)</f>
        <v>#N/A</v>
      </c>
      <c r="D143" s="39" t="str">
        <f>VLOOKUP(lEFT($A143,4),Setor!$A:$E,5,0)</f>
        <v>#N/A</v>
      </c>
      <c r="E143" s="17">
        <f>IFERROR(__xludf.DUMMYFUNCTION("GOOGLEFINANCE(A143)"),29.64)</f>
        <v>29.64</v>
      </c>
      <c r="F143" s="17">
        <f>IFERROR(__xludf.DUMMYFUNCTION("GOOGLEFINANCE($A143,""high52"")"),40.88)</f>
        <v>40.88</v>
      </c>
      <c r="G143" s="16">
        <f t="shared" si="1"/>
        <v>-0.2749510763</v>
      </c>
      <c r="H143" s="40">
        <f>VLOOKUP($A143,'Dados StatusInvest'!$A:$AY,column(H143)-$A$5,0)*VLOOKUP($A143,'Dados StatusInvest'!$A:$AY,2,0)/$E143/100</f>
        <v>0</v>
      </c>
      <c r="I143" s="41">
        <f>VLOOKUP($A143,'Dados StatusInvest'!$A:$AY,column(I143)-$A$5,0)/VLOOKUP($A143,'Dados StatusInvest'!$A:$AY,2,0)*$E143</f>
        <v>-234.317087</v>
      </c>
      <c r="J143" s="41">
        <f>VLOOKUP($A143,'Dados StatusInvest'!$A:$AY,column(J143)-$A$5,0)/VLOOKUP($A143,'Dados StatusInvest'!$A:$AY,2,0)*$E143</f>
        <v>3.790913043</v>
      </c>
      <c r="K143" s="42">
        <f>VLOOKUP($A143,'Dados StatusInvest'!$A:$AY,column(K143)-$A$5,0)/VLOOKUP($A143,'Dados StatusInvest'!$A:$AY,2,0)*$E143</f>
        <v>1.084652174</v>
      </c>
      <c r="L143" s="43">
        <f>VLOOKUP($A143,'Dados StatusInvest'!$A:$AY,column(L143)-$A$5,0)/100</f>
        <v>0.4425</v>
      </c>
      <c r="M143" s="44">
        <f>VLOOKUP($A143,'Dados StatusInvest'!$A:$AY,column(M143)-$A$5,0)</f>
        <v>2.59</v>
      </c>
      <c r="N143" s="47">
        <f>VLOOKUP($A143,'Dados StatusInvest'!$A:$AY,column(N143)-$A$5,0)</f>
        <v>-0.85</v>
      </c>
      <c r="O143" s="41">
        <f>VLOOKUP($A143,'Dados StatusInvest'!$A:$AY,column(O143)-$A$5,0)/VLOOKUP($A143,'Dados StatusInvest'!$A:$AY,2,0)*$E143</f>
        <v>77.05326087</v>
      </c>
      <c r="P143" s="41">
        <f>VLOOKUP($A143,'Dados StatusInvest'!$A:$AY,column(P143)-$A$5,0)-VLOOKUP($A143,'Dados StatusInvest'!$A:$AY,column(P143)-$A$5-1,0)+O143</f>
        <v>96.98326087</v>
      </c>
      <c r="Q143" s="44">
        <f>VLOOKUP($A143,'Dados StatusInvest'!$A:$AY,column(Q143)-$A$5,0)</f>
        <v>19.88</v>
      </c>
      <c r="R143" s="44">
        <f>VLOOKUP($A143,'Dados StatusInvest'!$A:$AY,column(R143)-$A$5,0)</f>
        <v>0.98</v>
      </c>
      <c r="S143" s="41">
        <f>VLOOKUP($A143,'Dados StatusInvest'!$A:$AY,column(S143)-$A$5,0)/VLOOKUP($A143,'Dados StatusInvest'!$A:$AY,2,0)*$E143</f>
        <v>1.997478261</v>
      </c>
      <c r="T143" s="42">
        <f>VLOOKUP($A143,'Dados StatusInvest'!$A:$AY,column(T143)-$A$5,0)/VLOOKUP($A143,'Dados StatusInvest'!$A:$AY,2,0)*$E143</f>
        <v>5.659521739</v>
      </c>
      <c r="U143" s="47">
        <f>VLOOKUP($A143,'Dados StatusInvest'!$A:$AY,column(U143)-$A$5,0)</f>
        <v>-2.02</v>
      </c>
      <c r="V143" s="45">
        <f>VLOOKUP($A143,'Dados StatusInvest'!$A:$AY,column(V143)-$A$5,0)</f>
        <v>1.62</v>
      </c>
      <c r="W143" s="45">
        <f>VLOOKUP($A143,'Dados StatusInvest'!$A:$AY,column(W143)-$A$5,0)</f>
        <v>-1.62</v>
      </c>
      <c r="X143" s="48">
        <f>VLOOKUP($A143,'Dados StatusInvest'!$A:$AY,column(X143)-$A$5,0)</f>
        <v>-0.46</v>
      </c>
      <c r="Y143" s="45">
        <f>VLOOKUP($A143,'Dados StatusInvest'!$A:$AY,column(Y143)-$A$5,0)</f>
        <v>0.5</v>
      </c>
      <c r="Z143" s="44">
        <f>VLOOKUP($A143,'Dados StatusInvest'!$A:$AY,column(Z143)-$A$5,0)</f>
        <v>0.29</v>
      </c>
      <c r="AA143" s="44">
        <f>VLOOKUP($A143,'Dados StatusInvest'!$A:$AY,column(AA143)-$A$5,0)</f>
        <v>0.71</v>
      </c>
      <c r="AB143" s="44">
        <f>VLOOKUP($A143,'Dados StatusInvest'!$A:$AY,column(AB143)-$A$5,0)</f>
        <v>0.54</v>
      </c>
      <c r="AC143" s="44">
        <f>VLOOKUP($A143,'Dados StatusInvest'!$A:$AY,column(AC143)-$A$5,0)</f>
        <v>0</v>
      </c>
      <c r="AD143" s="45">
        <f>VLOOKUP($A143,'Dados StatusInvest'!$A:$AY,column(AD143)-$A$5,0)</f>
        <v>0</v>
      </c>
      <c r="AE143" s="46">
        <f>VLOOKUP($A143,'Dados StatusInvest'!$A:$AY,column(AE143)-$A$5,0)</f>
        <v>27439679.54</v>
      </c>
      <c r="AF143" s="18"/>
    </row>
    <row r="144">
      <c r="A144" s="10" t="s">
        <v>190</v>
      </c>
      <c r="B144" s="52" t="str">
        <f>VLOOKUP(LEFT($A144,4),Setor!$A:$E,3,0)</f>
        <v>Petróleo, Gás e Biocombustíveis</v>
      </c>
      <c r="C144" s="52" t="str">
        <f>VLOOKUP(LEFT($A144,4),Setor!$A:$E,4,0)</f>
        <v>Petróleo, Gás e Biocombustíveis</v>
      </c>
      <c r="D144" s="52" t="str">
        <f>VLOOKUP(LEFT($A144,4),Setor!$A:$E,5,0)</f>
        <v>Exploração, Refino e Distribuição</v>
      </c>
      <c r="E144" s="53">
        <f>IFERROR(__xludf.DUMMYFUNCTION("GOOGLEFINANCE(A144)"),14.73)</f>
        <v>14.73</v>
      </c>
      <c r="F144" s="53">
        <f>IFERROR(__xludf.DUMMYFUNCTION("GOOGLEFINANCE($A144,""high52"")"),18.98)</f>
        <v>18.98</v>
      </c>
      <c r="G144" s="54">
        <f t="shared" si="1"/>
        <v>-0.2239199157</v>
      </c>
      <c r="H144" s="55">
        <f>VLOOKUP($A144,'Dados StatusInvest'!$A:$AY,COLUMN(H144)-$A$5,0)*VLOOKUP($A144,'Dados StatusInvest'!$A:$AY,2,0)/$E144/100</f>
        <v>0.0132029871</v>
      </c>
      <c r="I144" s="56">
        <f>VLOOKUP($A144,'Dados StatusInvest'!$A:$AY,COLUMN(I144)-$A$5,0)/VLOOKUP($A144,'Dados StatusInvest'!$A:$AY,2,0)*$E144</f>
        <v>7.39453877</v>
      </c>
      <c r="J144" s="56">
        <f>VLOOKUP($A144,'Dados StatusInvest'!$A:$AY,COLUMN(J144)-$A$5,0)/VLOOKUP($A144,'Dados StatusInvest'!$A:$AY,2,0)*$E144</f>
        <v>1.181550802</v>
      </c>
      <c r="K144" s="57">
        <f>VLOOKUP($A144,'Dados StatusInvest'!$A:$AY,COLUMN(K144)-$A$5,0)/VLOOKUP($A144,'Dados StatusInvest'!$A:$AY,2,0)*$E144</f>
        <v>0.6990842246</v>
      </c>
      <c r="L144" s="58">
        <f>VLOOKUP($A144,'Dados StatusInvest'!$A:$AY,COLUMN(L144)-$A$5,0)/100</f>
        <v>0.4338</v>
      </c>
      <c r="M144" s="59">
        <f>VLOOKUP($A144,'Dados StatusInvest'!$A:$AY,COLUMN(M144)-$A$5,0)</f>
        <v>112</v>
      </c>
      <c r="N144" s="59">
        <f>VLOOKUP($A144,'Dados StatusInvest'!$A:$AY,COLUMN(N144)-$A$5,0)</f>
        <v>56.22</v>
      </c>
      <c r="O144" s="56">
        <f>VLOOKUP($A144,'Dados StatusInvest'!$A:$AY,COLUMN(O144)-$A$5,0)/VLOOKUP($A144,'Dados StatusInvest'!$A:$AY,2,0)*$E144</f>
        <v>3.71203877</v>
      </c>
      <c r="P144" s="56">
        <f>VLOOKUP($A144,'Dados StatusInvest'!$A:$AY,COLUMN(P144)-$A$5,0)-VLOOKUP($A144,'Dados StatusInvest'!$A:$AY,COLUMN(P144)-$A$5-1,0)+O144</f>
        <v>2.78203877</v>
      </c>
      <c r="Q144" s="59">
        <f>VLOOKUP($A144,'Dados StatusInvest'!$A:$AY,COLUMN(Q144)-$A$5,0)</f>
        <v>-0.99</v>
      </c>
      <c r="R144" s="59">
        <f>VLOOKUP($A144,'Dados StatusInvest'!$A:$AY,COLUMN(R144)-$A$5,0)</f>
        <v>-0.31</v>
      </c>
      <c r="S144" s="56">
        <f>VLOOKUP($A144,'Dados StatusInvest'!$A:$AY,COLUMN(S144)-$A$5,0)/VLOOKUP($A144,'Dados StatusInvest'!$A:$AY,2,0)*$E144</f>
        <v>4.155120321</v>
      </c>
      <c r="T144" s="57">
        <f>VLOOKUP($A144,'Dados StatusInvest'!$A:$AY,COLUMN(T144)-$A$5,0)/VLOOKUP($A144,'Dados StatusInvest'!$A:$AY,2,0)*$E144</f>
        <v>2.382794118</v>
      </c>
      <c r="U144" s="59">
        <f>VLOOKUP($A144,'Dados StatusInvest'!$A:$AY,COLUMN(U144)-$A$5,0)</f>
        <v>-1.23</v>
      </c>
      <c r="V144" s="60">
        <f>VLOOKUP($A144,'Dados StatusInvest'!$A:$AY,COLUMN(V144)-$A$5,0)</f>
        <v>3.15</v>
      </c>
      <c r="W144" s="60">
        <f>VLOOKUP($A144,'Dados StatusInvest'!$A:$AY,COLUMN(W144)-$A$5,0)</f>
        <v>15.91</v>
      </c>
      <c r="X144" s="60">
        <f>VLOOKUP($A144,'Dados StatusInvest'!$A:$AY,COLUMN(X144)-$A$5,0)</f>
        <v>9.41</v>
      </c>
      <c r="Y144" s="60">
        <f>VLOOKUP($A144,'Dados StatusInvest'!$A:$AY,COLUMN(Y144)-$A$5,0)</f>
        <v>19.43</v>
      </c>
      <c r="Z144" s="59">
        <f>VLOOKUP($A144,'Dados StatusInvest'!$A:$AY,COLUMN(Z144)-$A$5,0)</f>
        <v>0.59</v>
      </c>
      <c r="AA144" s="59">
        <f>VLOOKUP($A144,'Dados StatusInvest'!$A:$AY,COLUMN(AA144)-$A$5,0)</f>
        <v>0.41</v>
      </c>
      <c r="AB144" s="59">
        <f>VLOOKUP($A144,'Dados StatusInvest'!$A:$AY,COLUMN(AB144)-$A$5,0)</f>
        <v>0.17</v>
      </c>
      <c r="AC144" s="59">
        <f>VLOOKUP($A144,'Dados StatusInvest'!$A:$AY,COLUMN(AC144)-$A$5,0)</f>
        <v>13.76</v>
      </c>
      <c r="AD144" s="60">
        <f>VLOOKUP($A144,'Dados StatusInvest'!$A:$AY,COLUMN(AD144)-$A$5,0)</f>
        <v>41.41</v>
      </c>
      <c r="AE144" s="62">
        <f>VLOOKUP($A144,'Dados StatusInvest'!$A:$AY,COLUMN(AE144)-$A$5,0)</f>
        <v>29133528.21</v>
      </c>
      <c r="AF144" s="18"/>
    </row>
    <row r="145">
      <c r="A145" s="10" t="s">
        <v>191</v>
      </c>
      <c r="B145" s="39" t="str">
        <f>VLOOKUP(lEFT($A145,4),Setor!$A:$E,3,0)</f>
        <v>Consumo Cíclico</v>
      </c>
      <c r="C145" s="39" t="str">
        <f>VLOOKUP(lEFT($A145,4),Setor!$A:$E,4,0)</f>
        <v>Automóveis e Motocicletas</v>
      </c>
      <c r="D145" s="39" t="str">
        <f>VLOOKUP(lEFT($A145,4),Setor!$A:$E,5,0)</f>
        <v>Automóveis e Motocicletas</v>
      </c>
      <c r="E145" s="17">
        <f>IFERROR(__xludf.DUMMYFUNCTION("GOOGLEFINANCE(A145)"),37.0)</f>
        <v>37</v>
      </c>
      <c r="F145" s="17">
        <f>IFERROR(__xludf.DUMMYFUNCTION("GOOGLEFINANCE($A145,""high52"")"),41.44)</f>
        <v>41.44</v>
      </c>
      <c r="G145" s="16">
        <f t="shared" si="1"/>
        <v>-0.1071428571</v>
      </c>
      <c r="H145" s="40">
        <f>VLOOKUP($A145,'Dados StatusInvest'!$A:$AY,column(H145)-$A$5,0)*VLOOKUP($A145,'Dados StatusInvest'!$A:$AY,2,0)/$E145/100</f>
        <v>0.02507383784</v>
      </c>
      <c r="I145" s="41">
        <f>VLOOKUP($A145,'Dados StatusInvest'!$A:$AY,column(I145)-$A$5,0)/VLOOKUP($A145,'Dados StatusInvest'!$A:$AY,2,0)*$E145</f>
        <v>10.81629393</v>
      </c>
      <c r="J145" s="41">
        <f>VLOOKUP($A145,'Dados StatusInvest'!$A:$AY,column(J145)-$A$5,0)/VLOOKUP($A145,'Dados StatusInvest'!$A:$AY,2,0)*$E145</f>
        <v>3.024227902</v>
      </c>
      <c r="K145" s="42">
        <f>VLOOKUP($A145,'Dados StatusInvest'!$A:$AY,column(K145)-$A$5,0)/VLOOKUP($A145,'Dados StatusInvest'!$A:$AY,2,0)*$E145</f>
        <v>1.753461129</v>
      </c>
      <c r="L145" s="43">
        <f>VLOOKUP($A145,'Dados StatusInvest'!$A:$AY,column(L145)-$A$5,0)/100</f>
        <v>0.2941</v>
      </c>
      <c r="M145" s="44">
        <f>VLOOKUP($A145,'Dados StatusInvest'!$A:$AY,column(M145)-$A$5,0)</f>
        <v>18.17</v>
      </c>
      <c r="N145" s="44">
        <f>VLOOKUP($A145,'Dados StatusInvest'!$A:$AY,column(N145)-$A$5,0)</f>
        <v>13.75</v>
      </c>
      <c r="O145" s="41">
        <f>VLOOKUP($A145,'Dados StatusInvest'!$A:$AY,column(O145)-$A$5,0)/VLOOKUP($A145,'Dados StatusInvest'!$A:$AY,2,0)*$E145</f>
        <v>8.186102236</v>
      </c>
      <c r="P145" s="41">
        <f>VLOOKUP($A145,'Dados StatusInvest'!$A:$AY,column(P145)-$A$5,0)-VLOOKUP($A145,'Dados StatusInvest'!$A:$AY,column(P145)-$A$5-1,0)+O145</f>
        <v>8.126102236</v>
      </c>
      <c r="Q145" s="44">
        <f>VLOOKUP($A145,'Dados StatusInvest'!$A:$AY,column(Q145)-$A$5,0)</f>
        <v>-0.05</v>
      </c>
      <c r="R145" s="44">
        <f>VLOOKUP($A145,'Dados StatusInvest'!$A:$AY,column(R145)-$A$5,0)</f>
        <v>-0.02</v>
      </c>
      <c r="S145" s="41">
        <f>VLOOKUP($A145,'Dados StatusInvest'!$A:$AY,column(S145)-$A$5,0)/VLOOKUP($A145,'Dados StatusInvest'!$A:$AY,2,0)*$E145</f>
        <v>1.487486688</v>
      </c>
      <c r="T145" s="42">
        <f>VLOOKUP($A145,'Dados StatusInvest'!$A:$AY,column(T145)-$A$5,0)/VLOOKUP($A145,'Dados StatusInvest'!$A:$AY,2,0)*$E145</f>
        <v>6.245473908</v>
      </c>
      <c r="U145" s="44">
        <f>VLOOKUP($A145,'Dados StatusInvest'!$A:$AY,column(U145)-$A$5,0)</f>
        <v>-3.94</v>
      </c>
      <c r="V145" s="45">
        <f>VLOOKUP($A145,'Dados StatusInvest'!$A:$AY,column(V145)-$A$5,0)</f>
        <v>2.05</v>
      </c>
      <c r="W145" s="45">
        <f>VLOOKUP($A145,'Dados StatusInvest'!$A:$AY,column(W145)-$A$5,0)</f>
        <v>27.95</v>
      </c>
      <c r="X145" s="45">
        <f>VLOOKUP($A145,'Dados StatusInvest'!$A:$AY,column(X145)-$A$5,0)</f>
        <v>16.18</v>
      </c>
      <c r="Y145" s="45">
        <f>VLOOKUP($A145,'Dados StatusInvest'!$A:$AY,column(Y145)-$A$5,0)</f>
        <v>27.06</v>
      </c>
      <c r="Z145" s="44">
        <f>VLOOKUP($A145,'Dados StatusInvest'!$A:$AY,column(Z145)-$A$5,0)</f>
        <v>0.58</v>
      </c>
      <c r="AA145" s="44">
        <f>VLOOKUP($A145,'Dados StatusInvest'!$A:$AY,column(AA145)-$A$5,0)</f>
        <v>0.42</v>
      </c>
      <c r="AB145" s="44">
        <f>VLOOKUP($A145,'Dados StatusInvest'!$A:$AY,column(AB145)-$A$5,0)</f>
        <v>1.18</v>
      </c>
      <c r="AC145" s="44">
        <f>VLOOKUP($A145,'Dados StatusInvest'!$A:$AY,column(AC145)-$A$5,0)</f>
        <v>-0.25</v>
      </c>
      <c r="AD145" s="45">
        <f>VLOOKUP($A145,'Dados StatusInvest'!$A:$AY,column(AD145)-$A$5,0)</f>
        <v>16.89</v>
      </c>
      <c r="AE145" s="46">
        <f>VLOOKUP($A145,'Dados StatusInvest'!$A:$AY,column(AE145)-$A$5,0)</f>
        <v>26356025.46</v>
      </c>
      <c r="AF145" s="51"/>
    </row>
    <row r="146">
      <c r="A146" s="10" t="s">
        <v>192</v>
      </c>
      <c r="B146" s="39" t="str">
        <f>VLOOKUP(lEFT($A146,4),Setor!$A:$E,3,0)</f>
        <v>Tecnologia da Informação</v>
      </c>
      <c r="C146" s="39" t="str">
        <f>VLOOKUP(lEFT($A146,4),Setor!$A:$E,4,0)</f>
        <v>Programas e Serviços</v>
      </c>
      <c r="D146" s="39" t="str">
        <f>VLOOKUP(lEFT($A146,4),Setor!$A:$E,5,0)</f>
        <v>Programas e Serviços</v>
      </c>
      <c r="E146" s="17">
        <f>IFERROR(__xludf.DUMMYFUNCTION("GOOGLEFINANCE(A146)"),19.44)</f>
        <v>19.44</v>
      </c>
      <c r="F146" s="17">
        <f>IFERROR(__xludf.DUMMYFUNCTION("GOOGLEFINANCE($A146,""high52"")"),31.3)</f>
        <v>31.3</v>
      </c>
      <c r="G146" s="16">
        <f t="shared" si="1"/>
        <v>-0.378913738</v>
      </c>
      <c r="H146" s="40">
        <f>VLOOKUP($A146,'Dados StatusInvest'!$A:$AY,column(H146)-$A$5,0)*VLOOKUP($A146,'Dados StatusInvest'!$A:$AY,2,0)/$E146/100</f>
        <v>0.001024176955</v>
      </c>
      <c r="I146" s="41">
        <f>VLOOKUP($A146,'Dados StatusInvest'!$A:$AY,column(I146)-$A$5,0)/VLOOKUP($A146,'Dados StatusInvest'!$A:$AY,2,0)*$E146</f>
        <v>180.5937921</v>
      </c>
      <c r="J146" s="41">
        <f>VLOOKUP($A146,'Dados StatusInvest'!$A:$AY,column(J146)-$A$5,0)/VLOOKUP($A146,'Dados StatusInvest'!$A:$AY,2,0)*$E146</f>
        <v>3.886047212</v>
      </c>
      <c r="K146" s="42">
        <f>VLOOKUP($A146,'Dados StatusInvest'!$A:$AY,column(K146)-$A$5,0)/VLOOKUP($A146,'Dados StatusInvest'!$A:$AY,2,0)*$E146</f>
        <v>2.401928679</v>
      </c>
      <c r="L146" s="43">
        <f>VLOOKUP($A146,'Dados StatusInvest'!$A:$AY,column(L146)-$A$5,0)/100</f>
        <v>0.3801</v>
      </c>
      <c r="M146" s="44">
        <f>VLOOKUP($A146,'Dados StatusInvest'!$A:$AY,column(M146)-$A$5,0)</f>
        <v>7.19</v>
      </c>
      <c r="N146" s="44">
        <f>VLOOKUP($A146,'Dados StatusInvest'!$A:$AY,column(N146)-$A$5,0)</f>
        <v>3.56</v>
      </c>
      <c r="O146" s="41">
        <f>VLOOKUP($A146,'Dados StatusInvest'!$A:$AY,column(O146)-$A$5,0)/VLOOKUP($A146,'Dados StatusInvest'!$A:$AY,2,0)*$E146</f>
        <v>89.41814164</v>
      </c>
      <c r="P146" s="41">
        <f>VLOOKUP($A146,'Dados StatusInvest'!$A:$AY,column(P146)-$A$5,0)-VLOOKUP($A146,'Dados StatusInvest'!$A:$AY,column(P146)-$A$5-1,0)+O146</f>
        <v>91.00814164</v>
      </c>
      <c r="Q146" s="44">
        <f>VLOOKUP($A146,'Dados StatusInvest'!$A:$AY,column(Q146)-$A$5,0)</f>
        <v>0.82</v>
      </c>
      <c r="R146" s="44">
        <f>VLOOKUP($A146,'Dados StatusInvest'!$A:$AY,column(R146)-$A$5,0)</f>
        <v>0.04</v>
      </c>
      <c r="S146" s="41">
        <f>VLOOKUP($A146,'Dados StatusInvest'!$A:$AY,column(S146)-$A$5,0)/VLOOKUP($A146,'Dados StatusInvest'!$A:$AY,2,0)*$E146</f>
        <v>6.434434957</v>
      </c>
      <c r="T146" s="42">
        <f>VLOOKUP($A146,'Dados StatusInvest'!$A:$AY,column(T146)-$A$5,0)/VLOOKUP($A146,'Dados StatusInvest'!$A:$AY,2,0)*$E146</f>
        <v>16.618222</v>
      </c>
      <c r="U146" s="47">
        <f>VLOOKUP($A146,'Dados StatusInvest'!$A:$AY,column(U146)-$A$5,0)</f>
        <v>-3.37</v>
      </c>
      <c r="V146" s="45">
        <f>VLOOKUP($A146,'Dados StatusInvest'!$A:$AY,column(V146)-$A$5,0)</f>
        <v>2.16</v>
      </c>
      <c r="W146" s="45">
        <f>VLOOKUP($A146,'Dados StatusInvest'!$A:$AY,column(W146)-$A$5,0)</f>
        <v>2.15</v>
      </c>
      <c r="X146" s="48">
        <f>VLOOKUP($A146,'Dados StatusInvest'!$A:$AY,column(X146)-$A$5,0)</f>
        <v>1.33</v>
      </c>
      <c r="Y146" s="45">
        <f>VLOOKUP($A146,'Dados StatusInvest'!$A:$AY,column(Y146)-$A$5,0)</f>
        <v>2.65</v>
      </c>
      <c r="Z146" s="44">
        <f>VLOOKUP($A146,'Dados StatusInvest'!$A:$AY,column(Z146)-$A$5,0)</f>
        <v>0.62</v>
      </c>
      <c r="AA146" s="44">
        <f>VLOOKUP($A146,'Dados StatusInvest'!$A:$AY,column(AA146)-$A$5,0)</f>
        <v>0.38</v>
      </c>
      <c r="AB146" s="44">
        <f>VLOOKUP($A146,'Dados StatusInvest'!$A:$AY,column(AB146)-$A$5,0)</f>
        <v>0.37</v>
      </c>
      <c r="AC146" s="44">
        <f>VLOOKUP($A146,'Dados StatusInvest'!$A:$AY,column(AC146)-$A$5,0)</f>
        <v>22.77</v>
      </c>
      <c r="AD146" s="45">
        <f>VLOOKUP($A146,'Dados StatusInvest'!$A:$AY,column(AD146)-$A$5,0)</f>
        <v>-0.54</v>
      </c>
      <c r="AE146" s="46">
        <f>VLOOKUP($A146,'Dados StatusInvest'!$A:$AY,column(AE146)-$A$5,0)</f>
        <v>25938636.38</v>
      </c>
      <c r="AF146" s="18"/>
    </row>
    <row r="147">
      <c r="A147" s="10" t="s">
        <v>193</v>
      </c>
      <c r="B147" s="39" t="str">
        <f>VLOOKUP(lEFT($A147,4),Setor!$A:$E,3,0)</f>
        <v>#N/A</v>
      </c>
      <c r="C147" s="39" t="str">
        <f>VLOOKUP(lEFT($A147,4),Setor!$A:$E,4,0)</f>
        <v>#N/A</v>
      </c>
      <c r="D147" s="39" t="str">
        <f>VLOOKUP(lEFT($A147,4),Setor!$A:$E,5,0)</f>
        <v>#N/A</v>
      </c>
      <c r="E147" s="17">
        <f>IFERROR(__xludf.DUMMYFUNCTION("GOOGLEFINANCE(A147)"),8.26)</f>
        <v>8.26</v>
      </c>
      <c r="F147" s="17">
        <f>IFERROR(__xludf.DUMMYFUNCTION("GOOGLEFINANCE($A147,""high52"")"),13.9)</f>
        <v>13.9</v>
      </c>
      <c r="G147" s="16">
        <f t="shared" si="1"/>
        <v>-0.4057553957</v>
      </c>
      <c r="H147" s="40">
        <f>VLOOKUP($A147,'Dados StatusInvest'!$A:$AY,column(H147)-$A$5,0)*VLOOKUP($A147,'Dados StatusInvest'!$A:$AY,2,0)/$E147/100</f>
        <v>0</v>
      </c>
      <c r="I147" s="41">
        <f>VLOOKUP($A147,'Dados StatusInvest'!$A:$AY,column(I147)-$A$5,0)/VLOOKUP($A147,'Dados StatusInvest'!$A:$AY,2,0)*$E147</f>
        <v>55.59615385</v>
      </c>
      <c r="J147" s="41">
        <f>VLOOKUP($A147,'Dados StatusInvest'!$A:$AY,column(J147)-$A$5,0)/VLOOKUP($A147,'Dados StatusInvest'!$A:$AY,2,0)*$E147</f>
        <v>6.282109181</v>
      </c>
      <c r="K147" s="42">
        <f>VLOOKUP($A147,'Dados StatusInvest'!$A:$AY,column(K147)-$A$5,0)/VLOOKUP($A147,'Dados StatusInvest'!$A:$AY,2,0)*$E147</f>
        <v>2.572282878</v>
      </c>
      <c r="L147" s="43">
        <f>VLOOKUP($A147,'Dados StatusInvest'!$A:$AY,column(L147)-$A$5,0)/100</f>
        <v>0.1044</v>
      </c>
      <c r="M147" s="44">
        <f>VLOOKUP($A147,'Dados StatusInvest'!$A:$AY,column(M147)-$A$5,0)</f>
        <v>8.04</v>
      </c>
      <c r="N147" s="44">
        <f>VLOOKUP($A147,'Dados StatusInvest'!$A:$AY,column(N147)-$A$5,0)</f>
        <v>4.18</v>
      </c>
      <c r="O147" s="41">
        <f>VLOOKUP($A147,'Dados StatusInvest'!$A:$AY,column(O147)-$A$5,0)/VLOOKUP($A147,'Dados StatusInvest'!$A:$AY,2,0)*$E147</f>
        <v>28.88950372</v>
      </c>
      <c r="P147" s="41">
        <f>VLOOKUP($A147,'Dados StatusInvest'!$A:$AY,column(P147)-$A$5,0)-VLOOKUP($A147,'Dados StatusInvest'!$A:$AY,column(P147)-$A$5-1,0)+O147</f>
        <v>31.80950372</v>
      </c>
      <c r="Q147" s="44">
        <f>VLOOKUP($A147,'Dados StatusInvest'!$A:$AY,column(Q147)-$A$5,0)</f>
        <v>2.91</v>
      </c>
      <c r="R147" s="44">
        <f>VLOOKUP($A147,'Dados StatusInvest'!$A:$AY,column(R147)-$A$5,0)</f>
        <v>0.63</v>
      </c>
      <c r="S147" s="41">
        <f>VLOOKUP($A147,'Dados StatusInvest'!$A:$AY,column(S147)-$A$5,0)/VLOOKUP($A147,'Dados StatusInvest'!$A:$AY,2,0)*$E147</f>
        <v>2.326327543</v>
      </c>
      <c r="T147" s="42">
        <f>VLOOKUP($A147,'Dados StatusInvest'!$A:$AY,column(T147)-$A$5,0)/VLOOKUP($A147,'Dados StatusInvest'!$A:$AY,2,0)*$E147</f>
        <v>6.610049628</v>
      </c>
      <c r="U147" s="44">
        <f>VLOOKUP($A147,'Dados StatusInvest'!$A:$AY,column(U147)-$A$5,0)</f>
        <v>-6.53</v>
      </c>
      <c r="V147" s="45">
        <f>VLOOKUP($A147,'Dados StatusInvest'!$A:$AY,column(V147)-$A$5,0)</f>
        <v>2.73</v>
      </c>
      <c r="W147" s="45">
        <f>VLOOKUP($A147,'Dados StatusInvest'!$A:$AY,column(W147)-$A$5,0)</f>
        <v>11.3</v>
      </c>
      <c r="X147" s="45">
        <f>VLOOKUP($A147,'Dados StatusInvest'!$A:$AY,column(X147)-$A$5,0)</f>
        <v>4.63</v>
      </c>
      <c r="Y147" s="45">
        <f>VLOOKUP($A147,'Dados StatusInvest'!$A:$AY,column(Y147)-$A$5,0)</f>
        <v>10.16</v>
      </c>
      <c r="Z147" s="44">
        <f>VLOOKUP($A147,'Dados StatusInvest'!$A:$AY,column(Z147)-$A$5,0)</f>
        <v>0.41</v>
      </c>
      <c r="AA147" s="44">
        <f>VLOOKUP($A147,'Dados StatusInvest'!$A:$AY,column(AA147)-$A$5,0)</f>
        <v>0.59</v>
      </c>
      <c r="AB147" s="44">
        <f>VLOOKUP($A147,'Dados StatusInvest'!$A:$AY,column(AB147)-$A$5,0)</f>
        <v>1.11</v>
      </c>
      <c r="AC147" s="44">
        <f>VLOOKUP($A147,'Dados StatusInvest'!$A:$AY,column(AC147)-$A$5,0)</f>
        <v>0</v>
      </c>
      <c r="AD147" s="45">
        <f>VLOOKUP($A147,'Dados StatusInvest'!$A:$AY,column(AD147)-$A$5,0)</f>
        <v>0</v>
      </c>
      <c r="AE147" s="46">
        <f>VLOOKUP($A147,'Dados StatusInvest'!$A:$AY,column(AE147)-$A$5,0)</f>
        <v>27858884.75</v>
      </c>
      <c r="AF147" s="51"/>
    </row>
    <row r="148">
      <c r="A148" s="10" t="s">
        <v>194</v>
      </c>
      <c r="B148" s="39" t="str">
        <f>VLOOKUP(lEFT($A148,4),Setor!$A:$E,3,0)</f>
        <v>Materiais Básicos</v>
      </c>
      <c r="C148" s="39" t="str">
        <f>VLOOKUP(lEFT($A148,4),Setor!$A:$E,4,0)</f>
        <v>Químicos</v>
      </c>
      <c r="D148" s="39" t="str">
        <f>VLOOKUP(lEFT($A148,4),Setor!$A:$E,5,0)</f>
        <v>Químicos Diversos</v>
      </c>
      <c r="E148" s="17">
        <f>IFERROR(__xludf.DUMMYFUNCTION("GOOGLEFINANCE(A148)"),76.76)</f>
        <v>76.76</v>
      </c>
      <c r="F148" s="17">
        <f>IFERROR(__xludf.DUMMYFUNCTION("GOOGLEFINANCE($A148,""high52"")"),112.99)</f>
        <v>112.99</v>
      </c>
      <c r="G148" s="16">
        <f t="shared" si="1"/>
        <v>-0.3206478449</v>
      </c>
      <c r="H148" s="40">
        <f>VLOOKUP($A148,'Dados StatusInvest'!$A:$AY,column(H148)-$A$5,0)*VLOOKUP($A148,'Dados StatusInvest'!$A:$AY,2,0)/$E148/100</f>
        <v>0.1050776186</v>
      </c>
      <c r="I148" s="41">
        <f>VLOOKUP($A148,'Dados StatusInvest'!$A:$AY,column(I148)-$A$5,0)/VLOOKUP($A148,'Dados StatusInvest'!$A:$AY,2,0)*$E148</f>
        <v>7.495116571</v>
      </c>
      <c r="J148" s="41">
        <f>VLOOKUP($A148,'Dados StatusInvest'!$A:$AY,column(J148)-$A$5,0)/VLOOKUP($A148,'Dados StatusInvest'!$A:$AY,2,0)*$E148</f>
        <v>3.636911507</v>
      </c>
      <c r="K148" s="42">
        <f>VLOOKUP($A148,'Dados StatusInvest'!$A:$AY,column(K148)-$A$5,0)/VLOOKUP($A148,'Dados StatusInvest'!$A:$AY,2,0)*$E148</f>
        <v>1.472083229</v>
      </c>
      <c r="L148" s="43">
        <f>VLOOKUP($A148,'Dados StatusInvest'!$A:$AY,column(L148)-$A$5,0)/100</f>
        <v>0.4228</v>
      </c>
      <c r="M148" s="44">
        <f>VLOOKUP($A148,'Dados StatusInvest'!$A:$AY,column(M148)-$A$5,0)</f>
        <v>31.44</v>
      </c>
      <c r="N148" s="44">
        <f>VLOOKUP($A148,'Dados StatusInvest'!$A:$AY,column(N148)-$A$5,0)</f>
        <v>20.02</v>
      </c>
      <c r="O148" s="41">
        <f>VLOOKUP($A148,'Dados StatusInvest'!$A:$AY,column(O148)-$A$5,0)/VLOOKUP($A148,'Dados StatusInvest'!$A:$AY,2,0)*$E148</f>
        <v>4.77224367</v>
      </c>
      <c r="P148" s="41">
        <f>VLOOKUP($A148,'Dados StatusInvest'!$A:$AY,column(P148)-$A$5,0)-VLOOKUP($A148,'Dados StatusInvest'!$A:$AY,column(P148)-$A$5-1,0)+O148</f>
        <v>4.66224367</v>
      </c>
      <c r="Q148" s="44">
        <f>VLOOKUP($A148,'Dados StatusInvest'!$A:$AY,column(Q148)-$A$5,0)</f>
        <v>-0.21</v>
      </c>
      <c r="R148" s="44">
        <f>VLOOKUP($A148,'Dados StatusInvest'!$A:$AY,column(R148)-$A$5,0)</f>
        <v>-0.16</v>
      </c>
      <c r="S148" s="41">
        <f>VLOOKUP($A148,'Dados StatusInvest'!$A:$AY,column(S148)-$A$5,0)/VLOOKUP($A148,'Dados StatusInvest'!$A:$AY,2,0)*$E148</f>
        <v>1.500947606</v>
      </c>
      <c r="T148" s="42">
        <f>VLOOKUP($A148,'Dados StatusInvest'!$A:$AY,column(T148)-$A$5,0)/VLOOKUP($A148,'Dados StatusInvest'!$A:$AY,2,0)*$E148</f>
        <v>5.955683129</v>
      </c>
      <c r="U148" s="44">
        <f>VLOOKUP($A148,'Dados StatusInvest'!$A:$AY,column(U148)-$A$5,0)</f>
        <v>-2.82</v>
      </c>
      <c r="V148" s="45">
        <f>VLOOKUP($A148,'Dados StatusInvest'!$A:$AY,column(V148)-$A$5,0)</f>
        <v>2.17</v>
      </c>
      <c r="W148" s="45">
        <f>VLOOKUP($A148,'Dados StatusInvest'!$A:$AY,column(W148)-$A$5,0)</f>
        <v>48.58</v>
      </c>
      <c r="X148" s="45">
        <f>VLOOKUP($A148,'Dados StatusInvest'!$A:$AY,column(X148)-$A$5,0)</f>
        <v>19.62</v>
      </c>
      <c r="Y148" s="45">
        <f>VLOOKUP($A148,'Dados StatusInvest'!$A:$AY,column(Y148)-$A$5,0)</f>
        <v>36.14</v>
      </c>
      <c r="Z148" s="44">
        <f>VLOOKUP($A148,'Dados StatusInvest'!$A:$AY,column(Z148)-$A$5,0)</f>
        <v>0.4</v>
      </c>
      <c r="AA148" s="44">
        <f>VLOOKUP($A148,'Dados StatusInvest'!$A:$AY,column(AA148)-$A$5,0)</f>
        <v>0.59</v>
      </c>
      <c r="AB148" s="44">
        <f>VLOOKUP($A148,'Dados StatusInvest'!$A:$AY,column(AB148)-$A$5,0)</f>
        <v>0.98</v>
      </c>
      <c r="AC148" s="44">
        <f>VLOOKUP($A148,'Dados StatusInvest'!$A:$AY,column(AC148)-$A$5,0)</f>
        <v>35.12</v>
      </c>
      <c r="AD148" s="45">
        <f>VLOOKUP($A148,'Dados StatusInvest'!$A:$AY,column(AD148)-$A$5,0)</f>
        <v>61.42</v>
      </c>
      <c r="AE148" s="46">
        <f>VLOOKUP($A148,'Dados StatusInvest'!$A:$AY,column(AE148)-$A$5,0)</f>
        <v>24325842.13</v>
      </c>
      <c r="AF148" s="18"/>
    </row>
    <row r="149">
      <c r="A149" s="10" t="s">
        <v>195</v>
      </c>
      <c r="B149" s="39" t="str">
        <f>VLOOKUP(lEFT($A149,4),Setor!$A:$E,3,0)</f>
        <v>Financeiro</v>
      </c>
      <c r="C149" s="39" t="str">
        <f>VLOOKUP(lEFT($A149,4),Setor!$A:$E,4,0)</f>
        <v>Exploração de Imóveis</v>
      </c>
      <c r="D149" s="39" t="str">
        <f>VLOOKUP(lEFT($A149,4),Setor!$A:$E,5,0)</f>
        <v>Exploração de Imóveis</v>
      </c>
      <c r="E149" s="17">
        <f>IFERROR(__xludf.DUMMYFUNCTION("GOOGLEFINANCE(A149)"),7.86)</f>
        <v>7.86</v>
      </c>
      <c r="F149" s="17">
        <f>IFERROR(__xludf.DUMMYFUNCTION("GOOGLEFINANCE($A149,""high52"")"),11.15)</f>
        <v>11.15</v>
      </c>
      <c r="G149" s="16">
        <f t="shared" si="1"/>
        <v>-0.2950672646</v>
      </c>
      <c r="H149" s="40">
        <f>VLOOKUP($A149,'Dados StatusInvest'!$A:$AY,column(H149)-$A$5,0)*VLOOKUP($A149,'Dados StatusInvest'!$A:$AY,2,0)/$E149/100</f>
        <v>0.02500419847</v>
      </c>
      <c r="I149" s="41">
        <f>VLOOKUP($A149,'Dados StatusInvest'!$A:$AY,column(I149)-$A$5,0)/VLOOKUP($A149,'Dados StatusInvest'!$A:$AY,2,0)*$E149</f>
        <v>17.4867433</v>
      </c>
      <c r="J149" s="41">
        <f>VLOOKUP($A149,'Dados StatusInvest'!$A:$AY,column(J149)-$A$5,0)/VLOOKUP($A149,'Dados StatusInvest'!$A:$AY,2,0)*$E149</f>
        <v>0.511954023</v>
      </c>
      <c r="K149" s="42">
        <f>VLOOKUP($A149,'Dados StatusInvest'!$A:$AY,column(K149)-$A$5,0)/VLOOKUP($A149,'Dados StatusInvest'!$A:$AY,2,0)*$E149</f>
        <v>0.3312643678</v>
      </c>
      <c r="L149" s="43">
        <f>VLOOKUP($A149,'Dados StatusInvest'!$A:$AY,column(L149)-$A$5,0)/100</f>
        <v>1</v>
      </c>
      <c r="M149" s="44">
        <f>VLOOKUP($A149,'Dados StatusInvest'!$A:$AY,column(M149)-$A$5,0)</f>
        <v>123.18</v>
      </c>
      <c r="N149" s="44">
        <f>VLOOKUP($A149,'Dados StatusInvest'!$A:$AY,column(N149)-$A$5,0)</f>
        <v>65.97</v>
      </c>
      <c r="O149" s="41">
        <f>VLOOKUP($A149,'Dados StatusInvest'!$A:$AY,column(O149)-$A$5,0)/VLOOKUP($A149,'Dados StatusInvest'!$A:$AY,2,0)*$E149</f>
        <v>9.365747126</v>
      </c>
      <c r="P149" s="41">
        <f>VLOOKUP($A149,'Dados StatusInvest'!$A:$AY,column(P149)-$A$5,0)-VLOOKUP($A149,'Dados StatusInvest'!$A:$AY,column(P149)-$A$5-1,0)+O149</f>
        <v>14.13574713</v>
      </c>
      <c r="Q149" s="44">
        <f>VLOOKUP($A149,'Dados StatusInvest'!$A:$AY,column(Q149)-$A$5,0)</f>
        <v>4.82</v>
      </c>
      <c r="R149" s="44">
        <f>VLOOKUP($A149,'Dados StatusInvest'!$A:$AY,column(R149)-$A$5,0)</f>
        <v>0.26</v>
      </c>
      <c r="S149" s="41">
        <f>VLOOKUP($A149,'Dados StatusInvest'!$A:$AY,column(S149)-$A$5,0)/VLOOKUP($A149,'Dados StatusInvest'!$A:$AY,2,0)*$E149</f>
        <v>11.53402299</v>
      </c>
      <c r="T149" s="42">
        <f>VLOOKUP($A149,'Dados StatusInvest'!$A:$AY,column(T149)-$A$5,0)/VLOOKUP($A149,'Dados StatusInvest'!$A:$AY,2,0)*$E149</f>
        <v>12.39731801</v>
      </c>
      <c r="U149" s="47">
        <f>VLOOKUP($A149,'Dados StatusInvest'!$A:$AY,column(U149)-$A$5,0)</f>
        <v>-0.36</v>
      </c>
      <c r="V149" s="45">
        <f>VLOOKUP($A149,'Dados StatusInvest'!$A:$AY,column(V149)-$A$5,0)</f>
        <v>1.56</v>
      </c>
      <c r="W149" s="48">
        <f>VLOOKUP($A149,'Dados StatusInvest'!$A:$AY,column(W149)-$A$5,0)</f>
        <v>2.94</v>
      </c>
      <c r="X149" s="45">
        <f>VLOOKUP($A149,'Dados StatusInvest'!$A:$AY,column(X149)-$A$5,0)</f>
        <v>1.9</v>
      </c>
      <c r="Y149" s="45">
        <f>VLOOKUP($A149,'Dados StatusInvest'!$A:$AY,column(Y149)-$A$5,0)</f>
        <v>2.86</v>
      </c>
      <c r="Z149" s="44">
        <f>VLOOKUP($A149,'Dados StatusInvest'!$A:$AY,column(Z149)-$A$5,0)</f>
        <v>0.65</v>
      </c>
      <c r="AA149" s="44">
        <f>VLOOKUP($A149,'Dados StatusInvest'!$A:$AY,column(AA149)-$A$5,0)</f>
        <v>0.35</v>
      </c>
      <c r="AB149" s="44">
        <f>VLOOKUP($A149,'Dados StatusInvest'!$A:$AY,column(AB149)-$A$5,0)</f>
        <v>0.03</v>
      </c>
      <c r="AC149" s="44">
        <f>VLOOKUP($A149,'Dados StatusInvest'!$A:$AY,column(AC149)-$A$5,0)</f>
        <v>-15.19</v>
      </c>
      <c r="AD149" s="45">
        <f>VLOOKUP($A149,'Dados StatusInvest'!$A:$AY,column(AD149)-$A$5,0)</f>
        <v>0</v>
      </c>
      <c r="AE149" s="46">
        <f>VLOOKUP($A149,'Dados StatusInvest'!$A:$AY,column(AE149)-$A$5,0)</f>
        <v>29337518.58</v>
      </c>
      <c r="AF149" s="51"/>
    </row>
    <row r="150">
      <c r="A150" s="10" t="s">
        <v>196</v>
      </c>
      <c r="B150" s="39" t="str">
        <f>VLOOKUP(lEFT($A150,4),Setor!$A:$E,3,0)</f>
        <v>Consumo Cíclico</v>
      </c>
      <c r="C150" s="39" t="str">
        <f>VLOOKUP(lEFT($A150,4),Setor!$A:$E,4,0)</f>
        <v>Comércio</v>
      </c>
      <c r="D150" s="39" t="str">
        <f>VLOOKUP(lEFT($A150,4),Setor!$A:$E,5,0)</f>
        <v>Tecidos, Vestuário e Calçados</v>
      </c>
      <c r="E150" s="17">
        <f>IFERROR(__xludf.DUMMYFUNCTION("GOOGLEFINANCE(A150)"),7.42)</f>
        <v>7.42</v>
      </c>
      <c r="F150" s="17">
        <f>IFERROR(__xludf.DUMMYFUNCTION("GOOGLEFINANCE($A150,""high52"")"),15.58)</f>
        <v>15.58</v>
      </c>
      <c r="G150" s="16">
        <f t="shared" si="1"/>
        <v>-0.5237483954</v>
      </c>
      <c r="H150" s="40">
        <f>VLOOKUP($A150,'Dados StatusInvest'!$A:$AY,column(H150)-$A$5,0)*VLOOKUP($A150,'Dados StatusInvest'!$A:$AY,2,0)/$E150/100</f>
        <v>0</v>
      </c>
      <c r="I150" s="41">
        <f>VLOOKUP($A150,'Dados StatusInvest'!$A:$AY,column(I150)-$A$5,0)/VLOOKUP($A150,'Dados StatusInvest'!$A:$AY,2,0)*$E150</f>
        <v>193.7256568</v>
      </c>
      <c r="J150" s="41">
        <f>VLOOKUP($A150,'Dados StatusInvest'!$A:$AY,column(J150)-$A$5,0)/VLOOKUP($A150,'Dados StatusInvest'!$A:$AY,2,0)*$E150</f>
        <v>0.885227882</v>
      </c>
      <c r="K150" s="42">
        <f>VLOOKUP($A150,'Dados StatusInvest'!$A:$AY,column(K150)-$A$5,0)/VLOOKUP($A150,'Dados StatusInvest'!$A:$AY,2,0)*$E150</f>
        <v>0.328230563</v>
      </c>
      <c r="L150" s="43">
        <f>VLOOKUP($A150,'Dados StatusInvest'!$A:$AY,column(L150)-$A$5,0)/100</f>
        <v>0.4567</v>
      </c>
      <c r="M150" s="44">
        <f>VLOOKUP($A150,'Dados StatusInvest'!$A:$AY,column(M150)-$A$5,0)</f>
        <v>0.98</v>
      </c>
      <c r="N150" s="44">
        <f>VLOOKUP($A150,'Dados StatusInvest'!$A:$AY,column(N150)-$A$5,0)</f>
        <v>0.25</v>
      </c>
      <c r="O150" s="41">
        <f>VLOOKUP($A150,'Dados StatusInvest'!$A:$AY,column(O150)-$A$5,0)/VLOOKUP($A150,'Dados StatusInvest'!$A:$AY,2,0)*$E150</f>
        <v>48.85662198</v>
      </c>
      <c r="P150" s="41">
        <f>VLOOKUP($A150,'Dados StatusInvest'!$A:$AY,column(P150)-$A$5,0)-VLOOKUP($A150,'Dados StatusInvest'!$A:$AY,column(P150)-$A$5-1,0)+O150</f>
        <v>59.36662198</v>
      </c>
      <c r="Q150" s="44">
        <f>VLOOKUP($A150,'Dados StatusInvest'!$A:$AY,column(Q150)-$A$5,0)</f>
        <v>10.05</v>
      </c>
      <c r="R150" s="44">
        <f>VLOOKUP($A150,'Dados StatusInvest'!$A:$AY,column(R150)-$A$5,0)</f>
        <v>0.18</v>
      </c>
      <c r="S150" s="41">
        <f>VLOOKUP($A150,'Dados StatusInvest'!$A:$AY,column(S150)-$A$5,0)/VLOOKUP($A150,'Dados StatusInvest'!$A:$AY,2,0)*$E150</f>
        <v>0.4774262735</v>
      </c>
      <c r="T150" s="42">
        <f>VLOOKUP($A150,'Dados StatusInvest'!$A:$AY,column(T150)-$A$5,0)/VLOOKUP($A150,'Dados StatusInvest'!$A:$AY,2,0)*$E150</f>
        <v>1.740616622</v>
      </c>
      <c r="U150" s="44">
        <f>VLOOKUP($A150,'Dados StatusInvest'!$A:$AY,column(U150)-$A$5,0)</f>
        <v>-0.57</v>
      </c>
      <c r="V150" s="45">
        <f>VLOOKUP($A150,'Dados StatusInvest'!$A:$AY,column(V150)-$A$5,0)</f>
        <v>1.83</v>
      </c>
      <c r="W150" s="45">
        <f>VLOOKUP($A150,'Dados StatusInvest'!$A:$AY,column(W150)-$A$5,0)</f>
        <v>0.46</v>
      </c>
      <c r="X150" s="45">
        <f>VLOOKUP($A150,'Dados StatusInvest'!$A:$AY,column(X150)-$A$5,0)</f>
        <v>0.17</v>
      </c>
      <c r="Y150" s="45">
        <f>VLOOKUP($A150,'Dados StatusInvest'!$A:$AY,column(Y150)-$A$5,0)</f>
        <v>1.08</v>
      </c>
      <c r="Z150" s="44">
        <f>VLOOKUP($A150,'Dados StatusInvest'!$A:$AY,column(Z150)-$A$5,0)</f>
        <v>0.37</v>
      </c>
      <c r="AA150" s="44">
        <f>VLOOKUP($A150,'Dados StatusInvest'!$A:$AY,column(AA150)-$A$5,0)</f>
        <v>0.63</v>
      </c>
      <c r="AB150" s="44">
        <f>VLOOKUP($A150,'Dados StatusInvest'!$A:$AY,column(AB150)-$A$5,0)</f>
        <v>0.68</v>
      </c>
      <c r="AC150" s="44">
        <f>VLOOKUP($A150,'Dados StatusInvest'!$A:$AY,column(AC150)-$A$5,0)</f>
        <v>0</v>
      </c>
      <c r="AD150" s="45">
        <f>VLOOKUP($A150,'Dados StatusInvest'!$A:$AY,column(AD150)-$A$5,0)</f>
        <v>0</v>
      </c>
      <c r="AE150" s="46">
        <f>VLOOKUP($A150,'Dados StatusInvest'!$A:$AY,column(AE150)-$A$5,0)</f>
        <v>17761586.5</v>
      </c>
      <c r="AF150" s="49"/>
    </row>
    <row r="151">
      <c r="A151" s="10" t="s">
        <v>197</v>
      </c>
      <c r="B151" s="39" t="str">
        <f>VLOOKUP(lEFT($A151,4),Setor!$A:$E,3,0)</f>
        <v>#N/A</v>
      </c>
      <c r="C151" s="39" t="str">
        <f>VLOOKUP(lEFT($A151,4),Setor!$A:$E,4,0)</f>
        <v>#N/A</v>
      </c>
      <c r="D151" s="39" t="str">
        <f>VLOOKUP(lEFT($A151,4),Setor!$A:$E,5,0)</f>
        <v>#N/A</v>
      </c>
      <c r="E151" s="17">
        <f>IFERROR(__xludf.DUMMYFUNCTION("GOOGLEFINANCE(A151)"),7.91)</f>
        <v>7.91</v>
      </c>
      <c r="F151" s="17">
        <f>IFERROR(__xludf.DUMMYFUNCTION("GOOGLEFINANCE($A151,""high52"")"),13.41)</f>
        <v>13.41</v>
      </c>
      <c r="G151" s="16">
        <f t="shared" si="1"/>
        <v>-0.4101416853</v>
      </c>
      <c r="H151" s="40">
        <f>VLOOKUP($A151,'Dados StatusInvest'!$A:$AY,column(H151)-$A$5,0)*VLOOKUP($A151,'Dados StatusInvest'!$A:$AY,2,0)/$E151/100</f>
        <v>0</v>
      </c>
      <c r="I151" s="41">
        <f>VLOOKUP($A151,'Dados StatusInvest'!$A:$AY,column(I151)-$A$5,0)/VLOOKUP($A151,'Dados StatusInvest'!$A:$AY,2,0)*$E151</f>
        <v>13.03921739</v>
      </c>
      <c r="J151" s="41">
        <f>VLOOKUP($A151,'Dados StatusInvest'!$A:$AY,column(J151)-$A$5,0)/VLOOKUP($A151,'Dados StatusInvest'!$A:$AY,2,0)*$E151</f>
        <v>2.269826087</v>
      </c>
      <c r="K151" s="42">
        <f>VLOOKUP($A151,'Dados StatusInvest'!$A:$AY,column(K151)-$A$5,0)/VLOOKUP($A151,'Dados StatusInvest'!$A:$AY,2,0)*$E151</f>
        <v>2.26</v>
      </c>
      <c r="L151" s="43">
        <f>VLOOKUP($A151,'Dados StatusInvest'!$A:$AY,column(L151)-$A$5,0)/100</f>
        <v>0</v>
      </c>
      <c r="M151" s="44">
        <f>VLOOKUP($A151,'Dados StatusInvest'!$A:$AY,column(M151)-$A$5,0)</f>
        <v>0</v>
      </c>
      <c r="N151" s="44">
        <f>VLOOKUP($A151,'Dados StatusInvest'!$A:$AY,column(N151)-$A$5,0)</f>
        <v>0</v>
      </c>
      <c r="O151" s="41">
        <f>VLOOKUP($A151,'Dados StatusInvest'!$A:$AY,column(O151)-$A$5,0)/VLOOKUP($A151,'Dados StatusInvest'!$A:$AY,2,0)*$E151</f>
        <v>11.34913043</v>
      </c>
      <c r="P151" s="41">
        <f>VLOOKUP($A151,'Dados StatusInvest'!$A:$AY,column(P151)-$A$5,0)-VLOOKUP($A151,'Dados StatusInvest'!$A:$AY,column(P151)-$A$5-1,0)+O151</f>
        <v>11.19913043</v>
      </c>
      <c r="Q151" s="44">
        <f>VLOOKUP($A151,'Dados StatusInvest'!$A:$AY,column(Q151)-$A$5,0)</f>
        <v>-0.2</v>
      </c>
      <c r="R151" s="44">
        <f>VLOOKUP($A151,'Dados StatusInvest'!$A:$AY,column(R151)-$A$5,0)</f>
        <v>-0.04</v>
      </c>
      <c r="S151" s="41">
        <f>VLOOKUP($A151,'Dados StatusInvest'!$A:$AY,column(S151)-$A$5,0)/VLOOKUP($A151,'Dados StatusInvest'!$A:$AY,2,0)*$E151</f>
        <v>0</v>
      </c>
      <c r="T151" s="42">
        <f>VLOOKUP($A151,'Dados StatusInvest'!$A:$AY,column(T151)-$A$5,0)/VLOOKUP($A151,'Dados StatusInvest'!$A:$AY,2,0)*$E151</f>
        <v>48.65878261</v>
      </c>
      <c r="U151" s="44">
        <f>VLOOKUP($A151,'Dados StatusInvest'!$A:$AY,column(U151)-$A$5,0)</f>
        <v>-2.43</v>
      </c>
      <c r="V151" s="45">
        <f>VLOOKUP($A151,'Dados StatusInvest'!$A:$AY,column(V151)-$A$5,0)</f>
        <v>8.55</v>
      </c>
      <c r="W151" s="45">
        <f>VLOOKUP($A151,'Dados StatusInvest'!$A:$AY,column(W151)-$A$5,0)</f>
        <v>17.44</v>
      </c>
      <c r="X151" s="45">
        <f>VLOOKUP($A151,'Dados StatusInvest'!$A:$AY,column(X151)-$A$5,0)</f>
        <v>17.33</v>
      </c>
      <c r="Y151" s="45">
        <f>VLOOKUP($A151,'Dados StatusInvest'!$A:$AY,column(Y151)-$A$5,0)</f>
        <v>17.32</v>
      </c>
      <c r="Z151" s="44">
        <f>VLOOKUP($A151,'Dados StatusInvest'!$A:$AY,column(Z151)-$A$5,0)</f>
        <v>0.99</v>
      </c>
      <c r="AA151" s="44">
        <f>VLOOKUP($A151,'Dados StatusInvest'!$A:$AY,column(AA151)-$A$5,0)</f>
        <v>0.01</v>
      </c>
      <c r="AB151" s="44">
        <f>VLOOKUP($A151,'Dados StatusInvest'!$A:$AY,column(AB151)-$A$5,0)</f>
        <v>0</v>
      </c>
      <c r="AC151" s="44">
        <f>VLOOKUP($A151,'Dados StatusInvest'!$A:$AY,column(AC151)-$A$5,0)</f>
        <v>0</v>
      </c>
      <c r="AD151" s="45">
        <f>VLOOKUP($A151,'Dados StatusInvest'!$A:$AY,column(AD151)-$A$5,0)</f>
        <v>0</v>
      </c>
      <c r="AE151" s="46">
        <f>VLOOKUP($A151,'Dados StatusInvest'!$A:$AY,column(AE151)-$A$5,0)</f>
        <v>24833876.54</v>
      </c>
      <c r="AF151" s="50"/>
    </row>
    <row r="152">
      <c r="A152" s="10" t="s">
        <v>198</v>
      </c>
      <c r="B152" s="39" t="str">
        <f>VLOOKUP(lEFT($A152,4),Setor!$A:$E,3,0)</f>
        <v>Bens Industriais</v>
      </c>
      <c r="C152" s="39" t="str">
        <f>VLOOKUP(lEFT($A152,4),Setor!$A:$E,4,0)</f>
        <v>Material de Transporte</v>
      </c>
      <c r="D152" s="39" t="str">
        <f>VLOOKUP(lEFT($A152,4),Setor!$A:$E,5,0)</f>
        <v>Material Rodoviário</v>
      </c>
      <c r="E152" s="17">
        <f>IFERROR(__xludf.DUMMYFUNCTION("GOOGLEFINANCE(A152)"),5.08)</f>
        <v>5.08</v>
      </c>
      <c r="F152" s="17">
        <f>IFERROR(__xludf.DUMMYFUNCTION("GOOGLEFINANCE($A152,""high52"")"),15.79)</f>
        <v>15.79</v>
      </c>
      <c r="G152" s="16">
        <f t="shared" si="1"/>
        <v>-0.6782773908</v>
      </c>
      <c r="H152" s="40">
        <f>VLOOKUP($A152,'Dados StatusInvest'!$A:$AY,column(H152)-$A$5,0)*VLOOKUP($A152,'Dados StatusInvest'!$A:$AY,2,0)/$E152/100</f>
        <v>0</v>
      </c>
      <c r="I152" s="41">
        <f>VLOOKUP($A152,'Dados StatusInvest'!$A:$AY,column(I152)-$A$5,0)/VLOOKUP($A152,'Dados StatusInvest'!$A:$AY,2,0)*$E152</f>
        <v>537.5434068</v>
      </c>
      <c r="J152" s="41">
        <f>VLOOKUP($A152,'Dados StatusInvest'!$A:$AY,column(J152)-$A$5,0)/VLOOKUP($A152,'Dados StatusInvest'!$A:$AY,2,0)*$E152</f>
        <v>-8.571863727</v>
      </c>
      <c r="K152" s="42">
        <f>VLOOKUP($A152,'Dados StatusInvest'!$A:$AY,column(K152)-$A$5,0)/VLOOKUP($A152,'Dados StatusInvest'!$A:$AY,2,0)*$E152</f>
        <v>6.260921844</v>
      </c>
      <c r="L152" s="43">
        <f>VLOOKUP($A152,'Dados StatusInvest'!$A:$AY,column(L152)-$A$5,0)/100</f>
        <v>0.1782</v>
      </c>
      <c r="M152" s="47">
        <f>VLOOKUP($A152,'Dados StatusInvest'!$A:$AY,column(M152)-$A$5,0)</f>
        <v>4.28</v>
      </c>
      <c r="N152" s="47">
        <f>VLOOKUP($A152,'Dados StatusInvest'!$A:$AY,column(N152)-$A$5,0)</f>
        <v>1.59</v>
      </c>
      <c r="O152" s="41">
        <f>VLOOKUP($A152,'Dados StatusInvest'!$A:$AY,column(O152)-$A$5,0)/VLOOKUP($A152,'Dados StatusInvest'!$A:$AY,2,0)*$E152</f>
        <v>199.25002</v>
      </c>
      <c r="P152" s="41">
        <f>VLOOKUP($A152,'Dados StatusInvest'!$A:$AY,column(P152)-$A$5,0)-VLOOKUP($A152,'Dados StatusInvest'!$A:$AY,column(P152)-$A$5-1,0)+O152</f>
        <v>102.81002</v>
      </c>
      <c r="Q152" s="44">
        <f>VLOOKUP($A152,'Dados StatusInvest'!$A:$AY,column(Q152)-$A$5,0)</f>
        <v>-1.69</v>
      </c>
      <c r="R152" s="44">
        <f>VLOOKUP($A152,'Dados StatusInvest'!$A:$AY,column(R152)-$A$5,0)</f>
        <v>0</v>
      </c>
      <c r="S152" s="41">
        <f>VLOOKUP($A152,'Dados StatusInvest'!$A:$AY,column(S152)-$A$5,0)/VLOOKUP($A152,'Dados StatusInvest'!$A:$AY,2,0)*$E152</f>
        <v>8.520961924</v>
      </c>
      <c r="T152" s="42">
        <f>VLOOKUP($A152,'Dados StatusInvest'!$A:$AY,column(T152)-$A$5,0)/VLOOKUP($A152,'Dados StatusInvest'!$A:$AY,2,0)*$E152</f>
        <v>109.7442886</v>
      </c>
      <c r="U152" s="44">
        <f>VLOOKUP($A152,'Dados StatusInvest'!$A:$AY,column(U152)-$A$5,0)</f>
        <v>-12.58</v>
      </c>
      <c r="V152" s="45">
        <f>VLOOKUP($A152,'Dados StatusInvest'!$A:$AY,column(V152)-$A$5,0)</f>
        <v>1.13</v>
      </c>
      <c r="W152" s="45">
        <f>VLOOKUP($A152,'Dados StatusInvest'!$A:$AY,column(W152)-$A$5,0)</f>
        <v>-1.59</v>
      </c>
      <c r="X152" s="45">
        <f>VLOOKUP($A152,'Dados StatusInvest'!$A:$AY,column(X152)-$A$5,0)</f>
        <v>1.17</v>
      </c>
      <c r="Y152" s="48">
        <f>VLOOKUP($A152,'Dados StatusInvest'!$A:$AY,column(Y152)-$A$5,0)</f>
        <v>-4.29</v>
      </c>
      <c r="Z152" s="44">
        <f>VLOOKUP($A152,'Dados StatusInvest'!$A:$AY,column(Z152)-$A$5,0)</f>
        <v>-0.73</v>
      </c>
      <c r="AA152" s="44">
        <f>VLOOKUP($A152,'Dados StatusInvest'!$A:$AY,column(AA152)-$A$5,0)</f>
        <v>1.73</v>
      </c>
      <c r="AB152" s="44">
        <f>VLOOKUP($A152,'Dados StatusInvest'!$A:$AY,column(AB152)-$A$5,0)</f>
        <v>0.73</v>
      </c>
      <c r="AC152" s="44">
        <f>VLOOKUP($A152,'Dados StatusInvest'!$A:$AY,column(AC152)-$A$5,0)</f>
        <v>117.05</v>
      </c>
      <c r="AD152" s="45">
        <f>VLOOKUP($A152,'Dados StatusInvest'!$A:$AY,column(AD152)-$A$5,0)</f>
        <v>0</v>
      </c>
      <c r="AE152" s="46">
        <f>VLOOKUP($A152,'Dados StatusInvest'!$A:$AY,column(AE152)-$A$5,0)</f>
        <v>27364770.17</v>
      </c>
      <c r="AF152" s="18"/>
    </row>
    <row r="153">
      <c r="A153" s="10" t="s">
        <v>199</v>
      </c>
      <c r="B153" s="39" t="str">
        <f>VLOOKUP(lEFT($A153,4),Setor!$A:$E,3,0)</f>
        <v>Consumo Cíclico</v>
      </c>
      <c r="C153" s="39" t="str">
        <f>VLOOKUP(lEFT($A153,4),Setor!$A:$E,4,0)</f>
        <v>Automóveis e Motocicletas</v>
      </c>
      <c r="D153" s="39" t="str">
        <f>VLOOKUP(lEFT($A153,4),Setor!$A:$E,5,0)</f>
        <v>Automóveis e Motocicletas</v>
      </c>
      <c r="E153" s="17">
        <f>IFERROR(__xludf.DUMMYFUNCTION("GOOGLEFINANCE(A153)"),18.24)</f>
        <v>18.24</v>
      </c>
      <c r="F153" s="17">
        <f>IFERROR(__xludf.DUMMYFUNCTION("GOOGLEFINANCE($A153,""high52"")"),19.0)</f>
        <v>19</v>
      </c>
      <c r="G153" s="16">
        <f t="shared" si="1"/>
        <v>-0.04</v>
      </c>
      <c r="H153" s="40">
        <f>VLOOKUP($A153,'Dados StatusInvest'!$A:$AY,column(H153)-$A$5,0)*VLOOKUP($A153,'Dados StatusInvest'!$A:$AY,2,0)/$E153/100</f>
        <v>0</v>
      </c>
      <c r="I153" s="41">
        <f>VLOOKUP($A153,'Dados StatusInvest'!$A:$AY,column(I153)-$A$5,0)/VLOOKUP($A153,'Dados StatusInvest'!$A:$AY,2,0)*$E153</f>
        <v>23.81893805</v>
      </c>
      <c r="J153" s="41">
        <f>VLOOKUP($A153,'Dados StatusInvest'!$A:$AY,column(J153)-$A$5,0)/VLOOKUP($A153,'Dados StatusInvest'!$A:$AY,2,0)*$E153</f>
        <v>0.7768141593</v>
      </c>
      <c r="K153" s="42">
        <f>VLOOKUP($A153,'Dados StatusInvest'!$A:$AY,column(K153)-$A$5,0)/VLOOKUP($A153,'Dados StatusInvest'!$A:$AY,2,0)*$E153</f>
        <v>0.2118584071</v>
      </c>
      <c r="L153" s="43">
        <f>VLOOKUP($A153,'Dados StatusInvest'!$A:$AY,column(L153)-$A$5,0)/100</f>
        <v>0.1154</v>
      </c>
      <c r="M153" s="47">
        <f>VLOOKUP($A153,'Dados StatusInvest'!$A:$AY,column(M153)-$A$5,0)</f>
        <v>6.33</v>
      </c>
      <c r="N153" s="47">
        <f>VLOOKUP($A153,'Dados StatusInvest'!$A:$AY,column(N153)-$A$5,0)</f>
        <v>1.01</v>
      </c>
      <c r="O153" s="41">
        <f>VLOOKUP($A153,'Dados StatusInvest'!$A:$AY,column(O153)-$A$5,0)/VLOOKUP($A153,'Dados StatusInvest'!$A:$AY,2,0)*$E153</f>
        <v>3.793274336</v>
      </c>
      <c r="P153" s="41">
        <f>VLOOKUP($A153,'Dados StatusInvest'!$A:$AY,column(P153)-$A$5,0)-VLOOKUP($A153,'Dados StatusInvest'!$A:$AY,column(P153)-$A$5-1,0)+O153</f>
        <v>9.223274336</v>
      </c>
      <c r="Q153" s="44">
        <f>VLOOKUP($A153,'Dados StatusInvest'!$A:$AY,column(Q153)-$A$5,0)</f>
        <v>5.44</v>
      </c>
      <c r="R153" s="44">
        <f>VLOOKUP($A153,'Dados StatusInvest'!$A:$AY,column(R153)-$A$5,0)</f>
        <v>1.12</v>
      </c>
      <c r="S153" s="41">
        <f>VLOOKUP($A153,'Dados StatusInvest'!$A:$AY,column(S153)-$A$5,0)/VLOOKUP($A153,'Dados StatusInvest'!$A:$AY,2,0)*$E153</f>
        <v>0.2421238938</v>
      </c>
      <c r="T153" s="42">
        <f>VLOOKUP($A153,'Dados StatusInvest'!$A:$AY,column(T153)-$A$5,0)/VLOOKUP($A153,'Dados StatusInvest'!$A:$AY,2,0)*$E153</f>
        <v>1.967256637</v>
      </c>
      <c r="U153" s="44">
        <f>VLOOKUP($A153,'Dados StatusInvest'!$A:$AY,column(U153)-$A$5,0)</f>
        <v>-0.4</v>
      </c>
      <c r="V153" s="45">
        <f>VLOOKUP($A153,'Dados StatusInvest'!$A:$AY,column(V153)-$A$5,0)</f>
        <v>1.3</v>
      </c>
      <c r="W153" s="45">
        <f>VLOOKUP($A153,'Dados StatusInvest'!$A:$AY,column(W153)-$A$5,0)</f>
        <v>3.27</v>
      </c>
      <c r="X153" s="45">
        <f>VLOOKUP($A153,'Dados StatusInvest'!$A:$AY,column(X153)-$A$5,0)</f>
        <v>0.89</v>
      </c>
      <c r="Y153" s="48">
        <f>VLOOKUP($A153,'Dados StatusInvest'!$A:$AY,column(Y153)-$A$5,0)</f>
        <v>4.76</v>
      </c>
      <c r="Z153" s="44">
        <f>VLOOKUP($A153,'Dados StatusInvest'!$A:$AY,column(Z153)-$A$5,0)</f>
        <v>0.27</v>
      </c>
      <c r="AA153" s="44">
        <f>VLOOKUP($A153,'Dados StatusInvest'!$A:$AY,column(AA153)-$A$5,0)</f>
        <v>0.71</v>
      </c>
      <c r="AB153" s="44">
        <f>VLOOKUP($A153,'Dados StatusInvest'!$A:$AY,column(AB153)-$A$5,0)</f>
        <v>0.88</v>
      </c>
      <c r="AC153" s="44">
        <f>VLOOKUP($A153,'Dados StatusInvest'!$A:$AY,column(AC153)-$A$5,0)</f>
        <v>5.05</v>
      </c>
      <c r="AD153" s="45">
        <f>VLOOKUP($A153,'Dados StatusInvest'!$A:$AY,column(AD153)-$A$5,0)</f>
        <v>18.98</v>
      </c>
      <c r="AE153" s="46">
        <f>VLOOKUP($A153,'Dados StatusInvest'!$A:$AY,column(AE153)-$A$5,0)</f>
        <v>28903185.13</v>
      </c>
      <c r="AF153" s="50"/>
    </row>
    <row r="154">
      <c r="A154" s="10" t="s">
        <v>200</v>
      </c>
      <c r="B154" s="39" t="str">
        <f>VLOOKUP(lEFT($A154,4),Setor!$A:$E,3,0)</f>
        <v>Bens Industriais</v>
      </c>
      <c r="C154" s="39" t="str">
        <f>VLOOKUP(lEFT($A154,4),Setor!$A:$E,4,0)</f>
        <v>Material de Transporte</v>
      </c>
      <c r="D154" s="39" t="str">
        <f>VLOOKUP(lEFT($A154,4),Setor!$A:$E,5,0)</f>
        <v>Material Rodoviário</v>
      </c>
      <c r="E154" s="17">
        <f>IFERROR(__xludf.DUMMYFUNCTION("GOOGLEFINANCE(A154)"),20.15)</f>
        <v>20.15</v>
      </c>
      <c r="F154" s="17">
        <f>IFERROR(__xludf.DUMMYFUNCTION("GOOGLEFINANCE($A154,""high52"")"),26.78)</f>
        <v>26.78</v>
      </c>
      <c r="G154" s="16">
        <f t="shared" si="1"/>
        <v>-0.2475728155</v>
      </c>
      <c r="H154" s="40">
        <f>VLOOKUP($A154,'Dados StatusInvest'!$A:$AY,column(H154)-$A$5,0)*VLOOKUP($A154,'Dados StatusInvest'!$A:$AY,2,0)/$E154/100</f>
        <v>0.006786501241</v>
      </c>
      <c r="I154" s="41">
        <f>VLOOKUP($A154,'Dados StatusInvest'!$A:$AY,column(I154)-$A$5,0)/VLOOKUP($A154,'Dados StatusInvest'!$A:$AY,2,0)*$E154</f>
        <v>12.62506216</v>
      </c>
      <c r="J154" s="41">
        <f>VLOOKUP($A154,'Dados StatusInvest'!$A:$AY,column(J154)-$A$5,0)/VLOOKUP($A154,'Dados StatusInvest'!$A:$AY,2,0)*$E154</f>
        <v>1.16230731</v>
      </c>
      <c r="K154" s="42">
        <f>VLOOKUP($A154,'Dados StatusInvest'!$A:$AY,column(K154)-$A$5,0)/VLOOKUP($A154,'Dados StatusInvest'!$A:$AY,2,0)*$E154</f>
        <v>0.4709348583</v>
      </c>
      <c r="L154" s="43">
        <f>VLOOKUP($A154,'Dados StatusInvest'!$A:$AY,column(L154)-$A$5,0)/100</f>
        <v>0.1706</v>
      </c>
      <c r="M154" s="44">
        <f>VLOOKUP($A154,'Dados StatusInvest'!$A:$AY,column(M154)-$A$5,0)</f>
        <v>7.55</v>
      </c>
      <c r="N154" s="44">
        <f>VLOOKUP($A154,'Dados StatusInvest'!$A:$AY,column(N154)-$A$5,0)</f>
        <v>4.04</v>
      </c>
      <c r="O154" s="41">
        <f>VLOOKUP($A154,'Dados StatusInvest'!$A:$AY,column(O154)-$A$5,0)/VLOOKUP($A154,'Dados StatusInvest'!$A:$AY,2,0)*$E154</f>
        <v>6.763426156</v>
      </c>
      <c r="P154" s="41">
        <f>VLOOKUP($A154,'Dados StatusInvest'!$A:$AY,column(P154)-$A$5,0)-VLOOKUP($A154,'Dados StatusInvest'!$A:$AY,column(P154)-$A$5-1,0)+O154</f>
        <v>8.563426156</v>
      </c>
      <c r="Q154" s="44">
        <f>VLOOKUP($A154,'Dados StatusInvest'!$A:$AY,column(Q154)-$A$5,0)</f>
        <v>1.8</v>
      </c>
      <c r="R154" s="44">
        <f>VLOOKUP($A154,'Dados StatusInvest'!$A:$AY,column(R154)-$A$5,0)</f>
        <v>0.31</v>
      </c>
      <c r="S154" s="41">
        <f>VLOOKUP($A154,'Dados StatusInvest'!$A:$AY,column(S154)-$A$5,0)/VLOOKUP($A154,'Dados StatusInvest'!$A:$AY,2,0)*$E154</f>
        <v>0.5110144207</v>
      </c>
      <c r="T154" s="42">
        <f>VLOOKUP($A154,'Dados StatusInvest'!$A:$AY,column(T154)-$A$5,0)/VLOOKUP($A154,'Dados StatusInvest'!$A:$AY,2,0)*$E154</f>
        <v>1.482943809</v>
      </c>
      <c r="U154" s="44">
        <f>VLOOKUP($A154,'Dados StatusInvest'!$A:$AY,column(U154)-$A$5,0)</f>
        <v>-1.1</v>
      </c>
      <c r="V154" s="45">
        <f>VLOOKUP($A154,'Dados StatusInvest'!$A:$AY,column(V154)-$A$5,0)</f>
        <v>2.23</v>
      </c>
      <c r="W154" s="45">
        <f>VLOOKUP($A154,'Dados StatusInvest'!$A:$AY,column(W154)-$A$5,0)</f>
        <v>9.2</v>
      </c>
      <c r="X154" s="45">
        <f>VLOOKUP($A154,'Dados StatusInvest'!$A:$AY,column(X154)-$A$5,0)</f>
        <v>3.71</v>
      </c>
      <c r="Y154" s="48">
        <f>VLOOKUP($A154,'Dados StatusInvest'!$A:$AY,column(Y154)-$A$5,0)</f>
        <v>9.21</v>
      </c>
      <c r="Z154" s="44">
        <f>VLOOKUP($A154,'Dados StatusInvest'!$A:$AY,column(Z154)-$A$5,0)</f>
        <v>0.4</v>
      </c>
      <c r="AA154" s="44">
        <f>VLOOKUP($A154,'Dados StatusInvest'!$A:$AY,column(AA154)-$A$5,0)</f>
        <v>0.6</v>
      </c>
      <c r="AB154" s="44">
        <f>VLOOKUP($A154,'Dados StatusInvest'!$A:$AY,column(AB154)-$A$5,0)</f>
        <v>0.92</v>
      </c>
      <c r="AC154" s="44">
        <f>VLOOKUP($A154,'Dados StatusInvest'!$A:$AY,column(AC154)-$A$5,0)</f>
        <v>4.44</v>
      </c>
      <c r="AD154" s="45">
        <f>VLOOKUP($A154,'Dados StatusInvest'!$A:$AY,column(AD154)-$A$5,0)</f>
        <v>0.94</v>
      </c>
      <c r="AE154" s="46">
        <f>VLOOKUP($A154,'Dados StatusInvest'!$A:$AY,column(AE154)-$A$5,0)</f>
        <v>17619515.67</v>
      </c>
      <c r="AF154" s="18"/>
    </row>
    <row r="155">
      <c r="A155" s="10" t="s">
        <v>201</v>
      </c>
      <c r="B155" s="39" t="str">
        <f>VLOOKUP(lEFT($A155,4),Setor!$A:$E,3,0)</f>
        <v>#N/A</v>
      </c>
      <c r="C155" s="39" t="str">
        <f>VLOOKUP(lEFT($A155,4),Setor!$A:$E,4,0)</f>
        <v>#N/A</v>
      </c>
      <c r="D155" s="39" t="str">
        <f>VLOOKUP(lEFT($A155,4),Setor!$A:$E,5,0)</f>
        <v>#N/A</v>
      </c>
      <c r="E155" s="17">
        <f>IFERROR(__xludf.DUMMYFUNCTION("GOOGLEFINANCE(A155)"),14.05)</f>
        <v>14.05</v>
      </c>
      <c r="F155" s="17">
        <f>IFERROR(__xludf.DUMMYFUNCTION("GOOGLEFINANCE($A155,""high52"")"),15.27)</f>
        <v>15.27</v>
      </c>
      <c r="G155" s="16">
        <f t="shared" si="1"/>
        <v>-0.07989521938</v>
      </c>
      <c r="H155" s="40">
        <f>VLOOKUP($A155,'Dados StatusInvest'!$A:$AY,column(H155)-$A$5,0)*VLOOKUP($A155,'Dados StatusInvest'!$A:$AY,2,0)/$E155/100</f>
        <v>0</v>
      </c>
      <c r="I155" s="41">
        <f>VLOOKUP($A155,'Dados StatusInvest'!$A:$AY,column(I155)-$A$5,0)/VLOOKUP($A155,'Dados StatusInvest'!$A:$AY,2,0)*$E155</f>
        <v>20.74700348</v>
      </c>
      <c r="J155" s="41">
        <f>VLOOKUP($A155,'Dados StatusInvest'!$A:$AY,column(J155)-$A$5,0)/VLOOKUP($A155,'Dados StatusInvest'!$A:$AY,2,0)*$E155</f>
        <v>2.457526132</v>
      </c>
      <c r="K155" s="42">
        <f>VLOOKUP($A155,'Dados StatusInvest'!$A:$AY,column(K155)-$A$5,0)/VLOOKUP($A155,'Dados StatusInvest'!$A:$AY,2,0)*$E155</f>
        <v>0.7930662021</v>
      </c>
      <c r="L155" s="43">
        <f>VLOOKUP($A155,'Dados StatusInvest'!$A:$AY,column(L155)-$A$5,0)/100</f>
        <v>0.1494</v>
      </c>
      <c r="M155" s="44">
        <f>VLOOKUP($A155,'Dados StatusInvest'!$A:$AY,column(M155)-$A$5,0)</f>
        <v>16.21</v>
      </c>
      <c r="N155" s="44">
        <f>VLOOKUP($A155,'Dados StatusInvest'!$A:$AY,column(N155)-$A$5,0)</f>
        <v>13.38</v>
      </c>
      <c r="O155" s="41">
        <f>VLOOKUP($A155,'Dados StatusInvest'!$A:$AY,column(O155)-$A$5,0)/VLOOKUP($A155,'Dados StatusInvest'!$A:$AY,2,0)*$E155</f>
        <v>17.13414634</v>
      </c>
      <c r="P155" s="41">
        <f>VLOOKUP($A155,'Dados StatusInvest'!$A:$AY,column(P155)-$A$5,0)-VLOOKUP($A155,'Dados StatusInvest'!$A:$AY,column(P155)-$A$5-1,0)+O155</f>
        <v>21.63414634</v>
      </c>
      <c r="Q155" s="44">
        <f>VLOOKUP($A155,'Dados StatusInvest'!$A:$AY,column(Q155)-$A$5,0)</f>
        <v>4.37</v>
      </c>
      <c r="R155" s="44">
        <f>VLOOKUP($A155,'Dados StatusInvest'!$A:$AY,column(R155)-$A$5,0)</f>
        <v>0.63</v>
      </c>
      <c r="S155" s="41">
        <f>VLOOKUP($A155,'Dados StatusInvest'!$A:$AY,column(S155)-$A$5,0)/VLOOKUP($A155,'Dados StatusInvest'!$A:$AY,2,0)*$E155</f>
        <v>2.780627178</v>
      </c>
      <c r="T155" s="42">
        <f>VLOOKUP($A155,'Dados StatusInvest'!$A:$AY,column(T155)-$A$5,0)/VLOOKUP($A155,'Dados StatusInvest'!$A:$AY,2,0)*$E155</f>
        <v>6.021428571</v>
      </c>
      <c r="U155" s="44">
        <f>VLOOKUP($A155,'Dados StatusInvest'!$A:$AY,column(U155)-$A$5,0)</f>
        <v>-1.24</v>
      </c>
      <c r="V155" s="45">
        <f>VLOOKUP($A155,'Dados StatusInvest'!$A:$AY,column(V155)-$A$5,0)</f>
        <v>1.62</v>
      </c>
      <c r="W155" s="45">
        <f>VLOOKUP($A155,'Dados StatusInvest'!$A:$AY,column(W155)-$A$5,0)</f>
        <v>11.85</v>
      </c>
      <c r="X155" s="45">
        <f>VLOOKUP($A155,'Dados StatusInvest'!$A:$AY,column(X155)-$A$5,0)</f>
        <v>3.84</v>
      </c>
      <c r="Y155" s="45">
        <f>VLOOKUP($A155,'Dados StatusInvest'!$A:$AY,column(Y155)-$A$5,0)</f>
        <v>4.91</v>
      </c>
      <c r="Z155" s="44">
        <f>VLOOKUP($A155,'Dados StatusInvest'!$A:$AY,column(Z155)-$A$5,0)</f>
        <v>0.32</v>
      </c>
      <c r="AA155" s="44">
        <f>VLOOKUP($A155,'Dados StatusInvest'!$A:$AY,column(AA155)-$A$5,0)</f>
        <v>0.66</v>
      </c>
      <c r="AB155" s="44">
        <f>VLOOKUP($A155,'Dados StatusInvest'!$A:$AY,column(AB155)-$A$5,0)</f>
        <v>0.29</v>
      </c>
      <c r="AC155" s="44">
        <f>VLOOKUP($A155,'Dados StatusInvest'!$A:$AY,column(AC155)-$A$5,0)</f>
        <v>0</v>
      </c>
      <c r="AD155" s="45">
        <f>VLOOKUP($A155,'Dados StatusInvest'!$A:$AY,column(AD155)-$A$5,0)</f>
        <v>0</v>
      </c>
      <c r="AE155" s="46">
        <f>VLOOKUP($A155,'Dados StatusInvest'!$A:$AY,column(AE155)-$A$5,0)</f>
        <v>36762556.21</v>
      </c>
      <c r="AF155" s="18"/>
    </row>
    <row r="156">
      <c r="A156" s="10" t="s">
        <v>202</v>
      </c>
      <c r="B156" s="39" t="str">
        <f>VLOOKUP(lEFT($A156,4),Setor!$A:$E,3,0)</f>
        <v>#N/A</v>
      </c>
      <c r="C156" s="39" t="str">
        <f>VLOOKUP(lEFT($A156,4),Setor!$A:$E,4,0)</f>
        <v>#N/A</v>
      </c>
      <c r="D156" s="39" t="str">
        <f>VLOOKUP(lEFT($A156,4),Setor!$A:$E,5,0)</f>
        <v>#N/A</v>
      </c>
      <c r="E156" s="17">
        <f>IFERROR(__xludf.DUMMYFUNCTION("GOOGLEFINANCE(A156)"),16.73)</f>
        <v>16.73</v>
      </c>
      <c r="F156" s="17">
        <f>IFERROR(__xludf.DUMMYFUNCTION("GOOGLEFINANCE($A156,""high52"")"),20.49)</f>
        <v>20.49</v>
      </c>
      <c r="G156" s="16">
        <f t="shared" si="1"/>
        <v>-0.1835041484</v>
      </c>
      <c r="H156" s="40">
        <f>VLOOKUP($A156,'Dados StatusInvest'!$A:$AY,column(H156)-$A$5,0)*VLOOKUP($A156,'Dados StatusInvest'!$A:$AY,2,0)/$E156/100</f>
        <v>0</v>
      </c>
      <c r="I156" s="41">
        <f>VLOOKUP($A156,'Dados StatusInvest'!$A:$AY,column(I156)-$A$5,0)/VLOOKUP($A156,'Dados StatusInvest'!$A:$AY,2,0)*$E156</f>
        <v>95.88926303</v>
      </c>
      <c r="J156" s="41">
        <f>VLOOKUP($A156,'Dados StatusInvest'!$A:$AY,column(J156)-$A$5,0)/VLOOKUP($A156,'Dados StatusInvest'!$A:$AY,2,0)*$E156</f>
        <v>5.563301378</v>
      </c>
      <c r="K156" s="42">
        <f>VLOOKUP($A156,'Dados StatusInvest'!$A:$AY,column(K156)-$A$5,0)/VLOOKUP($A156,'Dados StatusInvest'!$A:$AY,2,0)*$E156</f>
        <v>2.165176753</v>
      </c>
      <c r="L156" s="43">
        <f>VLOOKUP($A156,'Dados StatusInvest'!$A:$AY,column(L156)-$A$5,0)/100</f>
        <v>0.1673</v>
      </c>
      <c r="M156" s="44">
        <f>VLOOKUP($A156,'Dados StatusInvest'!$A:$AY,column(M156)-$A$5,0)</f>
        <v>8.28</v>
      </c>
      <c r="N156" s="44">
        <f>VLOOKUP($A156,'Dados StatusInvest'!$A:$AY,column(N156)-$A$5,0)</f>
        <v>2.17</v>
      </c>
      <c r="O156" s="41">
        <f>VLOOKUP($A156,'Dados StatusInvest'!$A:$AY,column(O156)-$A$5,0)/VLOOKUP($A156,'Dados StatusInvest'!$A:$AY,2,0)*$E156</f>
        <v>25.19022768</v>
      </c>
      <c r="P156" s="41">
        <f>VLOOKUP($A156,'Dados StatusInvest'!$A:$AY,column(P156)-$A$5,0)-VLOOKUP($A156,'Dados StatusInvest'!$A:$AY,column(P156)-$A$5-1,0)+O156</f>
        <v>24.98022768</v>
      </c>
      <c r="Q156" s="44">
        <f>VLOOKUP($A156,'Dados StatusInvest'!$A:$AY,column(Q156)-$A$5,0)</f>
        <v>-0.18</v>
      </c>
      <c r="R156" s="44">
        <f>VLOOKUP($A156,'Dados StatusInvest'!$A:$AY,column(R156)-$A$5,0)</f>
        <v>-0.04</v>
      </c>
      <c r="S156" s="41">
        <f>VLOOKUP($A156,'Dados StatusInvest'!$A:$AY,column(S156)-$A$5,0)/VLOOKUP($A156,'Dados StatusInvest'!$A:$AY,2,0)*$E156</f>
        <v>2.084985021</v>
      </c>
      <c r="T156" s="42">
        <f>VLOOKUP($A156,'Dados StatusInvest'!$A:$AY,column(T156)-$A$5,0)/VLOOKUP($A156,'Dados StatusInvest'!$A:$AY,2,0)*$E156</f>
        <v>6.746129419</v>
      </c>
      <c r="U156" s="44">
        <f>VLOOKUP($A156,'Dados StatusInvest'!$A:$AY,column(U156)-$A$5,0)</f>
        <v>-4.78</v>
      </c>
      <c r="V156" s="45">
        <f>VLOOKUP($A156,'Dados StatusInvest'!$A:$AY,column(V156)-$A$5,0)</f>
        <v>2.4</v>
      </c>
      <c r="W156" s="45">
        <f>VLOOKUP($A156,'Dados StatusInvest'!$A:$AY,column(W156)-$A$5,0)</f>
        <v>5.8</v>
      </c>
      <c r="X156" s="45">
        <f>VLOOKUP($A156,'Dados StatusInvest'!$A:$AY,column(X156)-$A$5,0)</f>
        <v>2.25</v>
      </c>
      <c r="Y156" s="45">
        <f>VLOOKUP($A156,'Dados StatusInvest'!$A:$AY,column(Y156)-$A$5,0)</f>
        <v>10.1</v>
      </c>
      <c r="Z156" s="44">
        <f>VLOOKUP($A156,'Dados StatusInvest'!$A:$AY,column(Z156)-$A$5,0)</f>
        <v>0.39</v>
      </c>
      <c r="AA156" s="44">
        <f>VLOOKUP($A156,'Dados StatusInvest'!$A:$AY,column(AA156)-$A$5,0)</f>
        <v>0.61</v>
      </c>
      <c r="AB156" s="44">
        <f>VLOOKUP($A156,'Dados StatusInvest'!$A:$AY,column(AB156)-$A$5,0)</f>
        <v>1.04</v>
      </c>
      <c r="AC156" s="44">
        <f>VLOOKUP($A156,'Dados StatusInvest'!$A:$AY,column(AC156)-$A$5,0)</f>
        <v>0</v>
      </c>
      <c r="AD156" s="45">
        <f>VLOOKUP($A156,'Dados StatusInvest'!$A:$AY,column(AD156)-$A$5,0)</f>
        <v>0</v>
      </c>
      <c r="AE156" s="46">
        <f>VLOOKUP($A156,'Dados StatusInvest'!$A:$AY,column(AE156)-$A$5,0)</f>
        <v>20623648.25</v>
      </c>
      <c r="AF156" s="51"/>
    </row>
    <row r="157">
      <c r="A157" s="10" t="s">
        <v>203</v>
      </c>
      <c r="B157" s="39" t="str">
        <f>VLOOKUP(lEFT($A157,4),Setor!$A:$E,3,0)</f>
        <v>Consumo Cíclico</v>
      </c>
      <c r="C157" s="39" t="str">
        <f>VLOOKUP(lEFT($A157,4),Setor!$A:$E,4,0)</f>
        <v>Hoteis e Restaurantes</v>
      </c>
      <c r="D157" s="39" t="str">
        <f>VLOOKUP(lEFT($A157,4),Setor!$A:$E,5,0)</f>
        <v>Restaurante e Similares</v>
      </c>
      <c r="E157" s="17">
        <f>IFERROR(__xludf.DUMMYFUNCTION("GOOGLEFINANCE(A157)"),7.66)</f>
        <v>7.66</v>
      </c>
      <c r="F157" s="17">
        <f>IFERROR(__xludf.DUMMYFUNCTION("GOOGLEFINANCE($A157,""high52"")"),12.57)</f>
        <v>12.57</v>
      </c>
      <c r="G157" s="16">
        <f t="shared" si="1"/>
        <v>-0.3906125696</v>
      </c>
      <c r="H157" s="40">
        <f>VLOOKUP($A157,'Dados StatusInvest'!$A:$AY,column(H157)-$A$5,0)*VLOOKUP($A157,'Dados StatusInvest'!$A:$AY,2,0)/$E157/100</f>
        <v>0</v>
      </c>
      <c r="I157" s="41">
        <f>VLOOKUP($A157,'Dados StatusInvest'!$A:$AY,column(I157)-$A$5,0)/VLOOKUP($A157,'Dados StatusInvest'!$A:$AY,2,0)*$E157</f>
        <v>-4.55721519</v>
      </c>
      <c r="J157" s="41">
        <f>VLOOKUP($A157,'Dados StatusInvest'!$A:$AY,column(J157)-$A$5,0)/VLOOKUP($A157,'Dados StatusInvest'!$A:$AY,2,0)*$E157</f>
        <v>1.328379747</v>
      </c>
      <c r="K157" s="42">
        <f>VLOOKUP($A157,'Dados StatusInvest'!$A:$AY,column(K157)-$A$5,0)/VLOOKUP($A157,'Dados StatusInvest'!$A:$AY,2,0)*$E157</f>
        <v>0.5817721519</v>
      </c>
      <c r="L157" s="43">
        <f>VLOOKUP($A157,'Dados StatusInvest'!$A:$AY,column(L157)-$A$5,0)/100</f>
        <v>0.5985</v>
      </c>
      <c r="M157" s="44">
        <f>VLOOKUP($A157,'Dados StatusInvest'!$A:$AY,column(M157)-$A$5,0)</f>
        <v>-14.55</v>
      </c>
      <c r="N157" s="44">
        <f>VLOOKUP($A157,'Dados StatusInvest'!$A:$AY,column(N157)-$A$5,0)</f>
        <v>-19.07</v>
      </c>
      <c r="O157" s="41">
        <f>VLOOKUP($A157,'Dados StatusInvest'!$A:$AY,column(O157)-$A$5,0)/VLOOKUP($A157,'Dados StatusInvest'!$A:$AY,2,0)*$E157</f>
        <v>-5.972860759</v>
      </c>
      <c r="P157" s="41">
        <f>VLOOKUP($A157,'Dados StatusInvest'!$A:$AY,column(P157)-$A$5,0)-VLOOKUP($A157,'Dados StatusInvest'!$A:$AY,column(P157)-$A$5-1,0)+O157</f>
        <v>-6.852860759</v>
      </c>
      <c r="Q157" s="44">
        <f>VLOOKUP($A157,'Dados StatusInvest'!$A:$AY,column(Q157)-$A$5,0)</f>
        <v>-0.9</v>
      </c>
      <c r="R157" s="44">
        <f>VLOOKUP($A157,'Dados StatusInvest'!$A:$AY,column(R157)-$A$5,0)</f>
        <v>0.2</v>
      </c>
      <c r="S157" s="41">
        <f>VLOOKUP($A157,'Dados StatusInvest'!$A:$AY,column(S157)-$A$5,0)/VLOOKUP($A157,'Dados StatusInvest'!$A:$AY,2,0)*$E157</f>
        <v>0.8726582278</v>
      </c>
      <c r="T157" s="42">
        <f>VLOOKUP($A157,'Dados StatusInvest'!$A:$AY,column(T157)-$A$5,0)/VLOOKUP($A157,'Dados StatusInvest'!$A:$AY,2,0)*$E157</f>
        <v>11.74210127</v>
      </c>
      <c r="U157" s="44">
        <f>VLOOKUP($A157,'Dados StatusInvest'!$A:$AY,column(U157)-$A$5,0)</f>
        <v>-0.76</v>
      </c>
      <c r="V157" s="45">
        <f>VLOOKUP($A157,'Dados StatusInvest'!$A:$AY,column(V157)-$A$5,0)</f>
        <v>1.3</v>
      </c>
      <c r="W157" s="45">
        <f>VLOOKUP($A157,'Dados StatusInvest'!$A:$AY,column(W157)-$A$5,0)</f>
        <v>-29.24</v>
      </c>
      <c r="X157" s="45">
        <f>VLOOKUP($A157,'Dados StatusInvest'!$A:$AY,column(X157)-$A$5,0)</f>
        <v>-12.69</v>
      </c>
      <c r="Y157" s="45">
        <f>VLOOKUP($A157,'Dados StatusInvest'!$A:$AY,column(Y157)-$A$5,0)</f>
        <v>-16.88</v>
      </c>
      <c r="Z157" s="44">
        <f>VLOOKUP($A157,'Dados StatusInvest'!$A:$AY,column(Z157)-$A$5,0)</f>
        <v>0.43</v>
      </c>
      <c r="AA157" s="44">
        <f>VLOOKUP($A157,'Dados StatusInvest'!$A:$AY,column(AA157)-$A$5,0)</f>
        <v>0.57</v>
      </c>
      <c r="AB157" s="44">
        <f>VLOOKUP($A157,'Dados StatusInvest'!$A:$AY,column(AB157)-$A$5,0)</f>
        <v>0.67</v>
      </c>
      <c r="AC157" s="44">
        <f>VLOOKUP($A157,'Dados StatusInvest'!$A:$AY,column(AC157)-$A$5,0)</f>
        <v>18.7</v>
      </c>
      <c r="AD157" s="45">
        <f>VLOOKUP($A157,'Dados StatusInvest'!$A:$AY,column(AD157)-$A$5,0)</f>
        <v>0</v>
      </c>
      <c r="AE157" s="46">
        <f>VLOOKUP($A157,'Dados StatusInvest'!$A:$AY,column(AE157)-$A$5,0)</f>
        <v>25903438.63</v>
      </c>
      <c r="AF157" s="51"/>
    </row>
    <row r="158">
      <c r="A158" s="10" t="s">
        <v>204</v>
      </c>
      <c r="B158" s="52" t="str">
        <f>VLOOKUP(LEFT($A158,4),Setor!$A:$E,3,0)</f>
        <v>#N/A</v>
      </c>
      <c r="C158" s="52" t="str">
        <f>VLOOKUP(LEFT($A158,4),Setor!$A:$E,4,0)</f>
        <v>#N/A</v>
      </c>
      <c r="D158" s="52" t="str">
        <f>VLOOKUP(LEFT($A158,4),Setor!$A:$E,5,0)</f>
        <v>#N/A</v>
      </c>
      <c r="E158" s="53">
        <f>IFERROR(__xludf.DUMMYFUNCTION("GOOGLEFINANCE(A158)"),15.94)</f>
        <v>15.94</v>
      </c>
      <c r="F158" s="53">
        <f>IFERROR(__xludf.DUMMYFUNCTION("GOOGLEFINANCE($A158,""high52"")"),28.5)</f>
        <v>28.5</v>
      </c>
      <c r="G158" s="54">
        <f t="shared" si="1"/>
        <v>-0.4407017544</v>
      </c>
      <c r="H158" s="55">
        <f>VLOOKUP($A158,'Dados StatusInvest'!$A:$AY,COLUMN(H158)-$A$5,0)*VLOOKUP($A158,'Dados StatusInvest'!$A:$AY,2,0)/$E158/100</f>
        <v>0</v>
      </c>
      <c r="I158" s="56">
        <f>VLOOKUP($A158,'Dados StatusInvest'!$A:$AY,COLUMN(I158)-$A$5,0)/VLOOKUP($A158,'Dados StatusInvest'!$A:$AY,2,0)*$E158</f>
        <v>24.00376471</v>
      </c>
      <c r="J158" s="56">
        <f>VLOOKUP($A158,'Dados StatusInvest'!$A:$AY,COLUMN(J158)-$A$5,0)/VLOOKUP($A158,'Dados StatusInvest'!$A:$AY,2,0)*$E158</f>
        <v>1.431145511</v>
      </c>
      <c r="K158" s="57">
        <f>VLOOKUP($A158,'Dados StatusInvest'!$A:$AY,COLUMN(K158)-$A$5,0)/VLOOKUP($A158,'Dados StatusInvest'!$A:$AY,2,0)*$E158</f>
        <v>1.362055728</v>
      </c>
      <c r="L158" s="58">
        <f>VLOOKUP($A158,'Dados StatusInvest'!$A:$AY,COLUMN(L158)-$A$5,0)/100</f>
        <v>0.5475</v>
      </c>
      <c r="M158" s="59">
        <f>VLOOKUP($A158,'Dados StatusInvest'!$A:$AY,COLUMN(M158)-$A$5,0)</f>
        <v>35.92</v>
      </c>
      <c r="N158" s="59">
        <f>VLOOKUP($A158,'Dados StatusInvest'!$A:$AY,COLUMN(N158)-$A$5,0)</f>
        <v>26.01</v>
      </c>
      <c r="O158" s="56">
        <f>VLOOKUP($A158,'Dados StatusInvest'!$A:$AY,COLUMN(O158)-$A$5,0)/VLOOKUP($A158,'Dados StatusInvest'!$A:$AY,2,0)*$E158</f>
        <v>17.38101548</v>
      </c>
      <c r="P158" s="56">
        <f>VLOOKUP($A158,'Dados StatusInvest'!$A:$AY,COLUMN(P158)-$A$5,0)-VLOOKUP($A158,'Dados StatusInvest'!$A:$AY,COLUMN(P158)-$A$5-1,0)+O158</f>
        <v>9.11101548</v>
      </c>
      <c r="Q158" s="59">
        <f>VLOOKUP($A158,'Dados StatusInvest'!$A:$AY,COLUMN(Q158)-$A$5,0)</f>
        <v>-8.52</v>
      </c>
      <c r="R158" s="59">
        <f>VLOOKUP($A158,'Dados StatusInvest'!$A:$AY,COLUMN(R158)-$A$5,0)</f>
        <v>-0.7</v>
      </c>
      <c r="S158" s="56">
        <f>VLOOKUP($A158,'Dados StatusInvest'!$A:$AY,COLUMN(S158)-$A$5,0)/VLOOKUP($A158,'Dados StatusInvest'!$A:$AY,2,0)*$E158</f>
        <v>6.247690402</v>
      </c>
      <c r="T158" s="57">
        <f>VLOOKUP($A158,'Dados StatusInvest'!$A:$AY,COLUMN(T158)-$A$5,0)/VLOOKUP($A158,'Dados StatusInvest'!$A:$AY,2,0)*$E158</f>
        <v>1.865424149</v>
      </c>
      <c r="U158" s="59">
        <f>VLOOKUP($A158,'Dados StatusInvest'!$A:$AY,COLUMN(U158)-$A$5,0)</f>
        <v>-6.08</v>
      </c>
      <c r="V158" s="60">
        <f>VLOOKUP($A158,'Dados StatusInvest'!$A:$AY,COLUMN(V158)-$A$5,0)</f>
        <v>17.01</v>
      </c>
      <c r="W158" s="60">
        <f>VLOOKUP($A158,'Dados StatusInvest'!$A:$AY,COLUMN(W158)-$A$5,0)</f>
        <v>5.95</v>
      </c>
      <c r="X158" s="61">
        <f>VLOOKUP($A158,'Dados StatusInvest'!$A:$AY,COLUMN(X158)-$A$5,0)</f>
        <v>5.67</v>
      </c>
      <c r="Y158" s="60">
        <f>VLOOKUP($A158,'Dados StatusInvest'!$A:$AY,COLUMN(Y158)-$A$5,0)</f>
        <v>5.17</v>
      </c>
      <c r="Z158" s="59">
        <f>VLOOKUP($A158,'Dados StatusInvest'!$A:$AY,COLUMN(Z158)-$A$5,0)</f>
        <v>0.95</v>
      </c>
      <c r="AA158" s="59">
        <f>VLOOKUP($A158,'Dados StatusInvest'!$A:$AY,COLUMN(AA158)-$A$5,0)</f>
        <v>0.05</v>
      </c>
      <c r="AB158" s="59">
        <f>VLOOKUP($A158,'Dados StatusInvest'!$A:$AY,COLUMN(AB158)-$A$5,0)</f>
        <v>0.22</v>
      </c>
      <c r="AC158" s="59">
        <f>VLOOKUP($A158,'Dados StatusInvest'!$A:$AY,COLUMN(AC158)-$A$5,0)</f>
        <v>0</v>
      </c>
      <c r="AD158" s="60">
        <f>VLOOKUP($A158,'Dados StatusInvest'!$A:$AY,COLUMN(AD158)-$A$5,0)</f>
        <v>0</v>
      </c>
      <c r="AE158" s="62">
        <f>VLOOKUP($A158,'Dados StatusInvest'!$A:$AY,COLUMN(AE158)-$A$5,0)</f>
        <v>15084655.58</v>
      </c>
      <c r="AF158" s="18"/>
    </row>
    <row r="159">
      <c r="A159" s="10" t="s">
        <v>205</v>
      </c>
      <c r="B159" s="39" t="str">
        <f>VLOOKUP(lEFT($A159,4),Setor!$A:$E,3,0)</f>
        <v>Consumo Cíclico</v>
      </c>
      <c r="C159" s="39" t="str">
        <f>VLOOKUP(lEFT($A159,4),Setor!$A:$E,4,0)</f>
        <v>Construção Civil</v>
      </c>
      <c r="D159" s="39" t="str">
        <f>VLOOKUP(lEFT($A159,4),Setor!$A:$E,5,0)</f>
        <v>Incorporações</v>
      </c>
      <c r="E159" s="17">
        <f>IFERROR(__xludf.DUMMYFUNCTION("GOOGLEFINANCE(A159)"),12.4)</f>
        <v>12.4</v>
      </c>
      <c r="F159" s="17">
        <f>IFERROR(__xludf.DUMMYFUNCTION("GOOGLEFINANCE($A159,""high52"")"),15.45)</f>
        <v>15.45</v>
      </c>
      <c r="G159" s="16">
        <f t="shared" si="1"/>
        <v>-0.1974110032</v>
      </c>
      <c r="H159" s="40">
        <f>VLOOKUP($A159,'Dados StatusInvest'!$A:$AY,column(H159)-$A$5,0)*VLOOKUP($A159,'Dados StatusInvest'!$A:$AY,2,0)/$E159/100</f>
        <v>0.1209892742</v>
      </c>
      <c r="I159" s="41">
        <f>VLOOKUP($A159,'Dados StatusInvest'!$A:$AY,column(I159)-$A$5,0)/VLOOKUP($A159,'Dados StatusInvest'!$A:$AY,2,0)*$E159</f>
        <v>13.58397272</v>
      </c>
      <c r="J159" s="41">
        <f>VLOOKUP($A159,'Dados StatusInvest'!$A:$AY,column(J159)-$A$5,0)/VLOOKUP($A159,'Dados StatusInvest'!$A:$AY,2,0)*$E159</f>
        <v>1.585677749</v>
      </c>
      <c r="K159" s="42">
        <f>VLOOKUP($A159,'Dados StatusInvest'!$A:$AY,column(K159)-$A$5,0)/VLOOKUP($A159,'Dados StatusInvest'!$A:$AY,2,0)*$E159</f>
        <v>0.3382779199</v>
      </c>
      <c r="L159" s="43">
        <f>VLOOKUP($A159,'Dados StatusInvest'!$A:$AY,column(L159)-$A$5,0)/100</f>
        <v>0.3626</v>
      </c>
      <c r="M159" s="47">
        <f>VLOOKUP($A159,'Dados StatusInvest'!$A:$AY,column(M159)-$A$5,0)</f>
        <v>17.06</v>
      </c>
      <c r="N159" s="47">
        <f>VLOOKUP($A159,'Dados StatusInvest'!$A:$AY,column(N159)-$A$5,0)</f>
        <v>8.36</v>
      </c>
      <c r="O159" s="41">
        <f>VLOOKUP($A159,'Dados StatusInvest'!$A:$AY,column(O159)-$A$5,0)/VLOOKUP($A159,'Dados StatusInvest'!$A:$AY,2,0)*$E159</f>
        <v>6.659846547</v>
      </c>
      <c r="P159" s="41">
        <f>VLOOKUP($A159,'Dados StatusInvest'!$A:$AY,column(P159)-$A$5,0)-VLOOKUP($A159,'Dados StatusInvest'!$A:$AY,column(P159)-$A$5-1,0)+O159</f>
        <v>7.679846547</v>
      </c>
      <c r="Q159" s="44">
        <f>VLOOKUP($A159,'Dados StatusInvest'!$A:$AY,column(Q159)-$A$5,0)</f>
        <v>1.01</v>
      </c>
      <c r="R159" s="44">
        <f>VLOOKUP($A159,'Dados StatusInvest'!$A:$AY,column(R159)-$A$5,0)</f>
        <v>0.24</v>
      </c>
      <c r="S159" s="41">
        <f>VLOOKUP($A159,'Dados StatusInvest'!$A:$AY,column(S159)-$A$5,0)/VLOOKUP($A159,'Dados StatusInvest'!$A:$AY,2,0)*$E159</f>
        <v>1.131116795</v>
      </c>
      <c r="T159" s="42">
        <f>VLOOKUP($A159,'Dados StatusInvest'!$A:$AY,column(T159)-$A$5,0)/VLOOKUP($A159,'Dados StatusInvest'!$A:$AY,2,0)*$E159</f>
        <v>0.8456947997</v>
      </c>
      <c r="U159" s="44">
        <f>VLOOKUP($A159,'Dados StatusInvest'!$A:$AY,column(U159)-$A$5,0)</f>
        <v>-0.64</v>
      </c>
      <c r="V159" s="45">
        <f>VLOOKUP($A159,'Dados StatusInvest'!$A:$AY,column(V159)-$A$5,0)</f>
        <v>5.35</v>
      </c>
      <c r="W159" s="45">
        <f>VLOOKUP($A159,'Dados StatusInvest'!$A:$AY,column(W159)-$A$5,0)</f>
        <v>11.71</v>
      </c>
      <c r="X159" s="45">
        <f>VLOOKUP($A159,'Dados StatusInvest'!$A:$AY,column(X159)-$A$5,0)</f>
        <v>2.52</v>
      </c>
      <c r="Y159" s="45">
        <f>VLOOKUP($A159,'Dados StatusInvest'!$A:$AY,column(Y159)-$A$5,0)</f>
        <v>9.71</v>
      </c>
      <c r="Z159" s="44">
        <f>VLOOKUP($A159,'Dados StatusInvest'!$A:$AY,column(Z159)-$A$5,0)</f>
        <v>0.22</v>
      </c>
      <c r="AA159" s="44">
        <f>VLOOKUP($A159,'Dados StatusInvest'!$A:$AY,column(AA159)-$A$5,0)</f>
        <v>0.76</v>
      </c>
      <c r="AB159" s="44">
        <f>VLOOKUP($A159,'Dados StatusInvest'!$A:$AY,column(AB159)-$A$5,0)</f>
        <v>0.3</v>
      </c>
      <c r="AC159" s="44">
        <f>VLOOKUP($A159,'Dados StatusInvest'!$A:$AY,column(AC159)-$A$5,0)</f>
        <v>-0.89</v>
      </c>
      <c r="AD159" s="45">
        <f>VLOOKUP($A159,'Dados StatusInvest'!$A:$AY,column(AD159)-$A$5,0)</f>
        <v>2.06</v>
      </c>
      <c r="AE159" s="46">
        <f>VLOOKUP($A159,'Dados StatusInvest'!$A:$AY,column(AE159)-$A$5,0)</f>
        <v>16245135</v>
      </c>
      <c r="AF159" s="50"/>
    </row>
    <row r="160">
      <c r="A160" s="10" t="s">
        <v>206</v>
      </c>
      <c r="B160" s="39" t="str">
        <f>VLOOKUP(lEFT($A160,4),Setor!$A:$E,3,0)</f>
        <v>Utilidade Pública</v>
      </c>
      <c r="C160" s="39" t="str">
        <f>VLOOKUP(lEFT($A160,4),Setor!$A:$E,4,0)</f>
        <v>Energia Elétrica</v>
      </c>
      <c r="D160" s="39" t="str">
        <f>VLOOKUP(lEFT($A160,4),Setor!$A:$E,5,0)</f>
        <v>Energia Elétrica</v>
      </c>
      <c r="E160" s="17">
        <f>IFERROR(__xludf.DUMMYFUNCTION("GOOGLEFINANCE(A160)"),24.25)</f>
        <v>24.25</v>
      </c>
      <c r="F160" s="17">
        <f>IFERROR(__xludf.DUMMYFUNCTION("GOOGLEFINANCE($A160,""high52"")"),28.53)</f>
        <v>28.53</v>
      </c>
      <c r="G160" s="16">
        <f t="shared" si="1"/>
        <v>-0.1500175254</v>
      </c>
      <c r="H160" s="40">
        <f>VLOOKUP($A160,'Dados StatusInvest'!$A:$AY,column(H160)-$A$5,0)*VLOOKUP($A160,'Dados StatusInvest'!$A:$AY,2,0)/$E160/100</f>
        <v>0.03454845361</v>
      </c>
      <c r="I160" s="41">
        <f>VLOOKUP($A160,'Dados StatusInvest'!$A:$AY,column(I160)-$A$5,0)/VLOOKUP($A160,'Dados StatusInvest'!$A:$AY,2,0)*$E160</f>
        <v>5.29184322</v>
      </c>
      <c r="J160" s="41">
        <f>VLOOKUP($A160,'Dados StatusInvest'!$A:$AY,column(J160)-$A$5,0)/VLOOKUP($A160,'Dados StatusInvest'!$A:$AY,2,0)*$E160</f>
        <v>1.120021186</v>
      </c>
      <c r="K160" s="42">
        <f>VLOOKUP($A160,'Dados StatusInvest'!$A:$AY,column(K160)-$A$5,0)/VLOOKUP($A160,'Dados StatusInvest'!$A:$AY,2,0)*$E160</f>
        <v>0.2979872881</v>
      </c>
      <c r="L160" s="43">
        <f>VLOOKUP($A160,'Dados StatusInvest'!$A:$AY,column(L160)-$A$5,0)/100</f>
        <v>0.678</v>
      </c>
      <c r="M160" s="44">
        <f>VLOOKUP($A160,'Dados StatusInvest'!$A:$AY,column(M160)-$A$5,0)</f>
        <v>66.47</v>
      </c>
      <c r="N160" s="44">
        <f>VLOOKUP($A160,'Dados StatusInvest'!$A:$AY,column(N160)-$A$5,0)</f>
        <v>19.7</v>
      </c>
      <c r="O160" s="41">
        <f>VLOOKUP($A160,'Dados StatusInvest'!$A:$AY,column(O160)-$A$5,0)/VLOOKUP($A160,'Dados StatusInvest'!$A:$AY,2,0)*$E160</f>
        <v>1.572139831</v>
      </c>
      <c r="P160" s="41">
        <f>VLOOKUP($A160,'Dados StatusInvest'!$A:$AY,column(P160)-$A$5,0)-VLOOKUP($A160,'Dados StatusInvest'!$A:$AY,column(P160)-$A$5-1,0)+O160</f>
        <v>3.252139831</v>
      </c>
      <c r="Q160" s="44">
        <f>VLOOKUP($A160,'Dados StatusInvest'!$A:$AY,column(Q160)-$A$5,0)</f>
        <v>1.68</v>
      </c>
      <c r="R160" s="44">
        <f>VLOOKUP($A160,'Dados StatusInvest'!$A:$AY,column(R160)-$A$5,0)</f>
        <v>1.2</v>
      </c>
      <c r="S160" s="41">
        <f>VLOOKUP($A160,'Dados StatusInvest'!$A:$AY,column(S160)-$A$5,0)/VLOOKUP($A160,'Dados StatusInvest'!$A:$AY,2,0)*$E160</f>
        <v>1.037817797</v>
      </c>
      <c r="T160" s="42">
        <f>VLOOKUP($A160,'Dados StatusInvest'!$A:$AY,column(T160)-$A$5,0)/VLOOKUP($A160,'Dados StatusInvest'!$A:$AY,2,0)*$E160</f>
        <v>4.212923729</v>
      </c>
      <c r="U160" s="44">
        <f>VLOOKUP($A160,'Dados StatusInvest'!$A:$AY,column(U160)-$A$5,0)</f>
        <v>-0.34</v>
      </c>
      <c r="V160" s="45">
        <f>VLOOKUP($A160,'Dados StatusInvest'!$A:$AY,column(V160)-$A$5,0)</f>
        <v>1.76</v>
      </c>
      <c r="W160" s="45">
        <f>VLOOKUP($A160,'Dados StatusInvest'!$A:$AY,column(W160)-$A$5,0)</f>
        <v>21.13</v>
      </c>
      <c r="X160" s="45">
        <f>VLOOKUP($A160,'Dados StatusInvest'!$A:$AY,column(X160)-$A$5,0)</f>
        <v>5.59</v>
      </c>
      <c r="Y160" s="45">
        <f>VLOOKUP($A160,'Dados StatusInvest'!$A:$AY,column(Y160)-$A$5,0)</f>
        <v>18.28</v>
      </c>
      <c r="Z160" s="44">
        <f>VLOOKUP($A160,'Dados StatusInvest'!$A:$AY,column(Z160)-$A$5,0)</f>
        <v>0.26</v>
      </c>
      <c r="AA160" s="44">
        <f>VLOOKUP($A160,'Dados StatusInvest'!$A:$AY,column(AA160)-$A$5,0)</f>
        <v>0.59</v>
      </c>
      <c r="AB160" s="44">
        <f>VLOOKUP($A160,'Dados StatusInvest'!$A:$AY,column(AB160)-$A$5,0)</f>
        <v>0.28</v>
      </c>
      <c r="AC160" s="44">
        <f>VLOOKUP($A160,'Dados StatusInvest'!$A:$AY,column(AC160)-$A$5,0)</f>
        <v>32.68</v>
      </c>
      <c r="AD160" s="45">
        <f>VLOOKUP($A160,'Dados StatusInvest'!$A:$AY,column(AD160)-$A$5,0)</f>
        <v>45.13</v>
      </c>
      <c r="AE160" s="46">
        <f>VLOOKUP($A160,'Dados StatusInvest'!$A:$AY,column(AE160)-$A$5,0)</f>
        <v>21204546.67</v>
      </c>
      <c r="AF160" s="50"/>
    </row>
    <row r="161">
      <c r="A161" s="10" t="s">
        <v>207</v>
      </c>
      <c r="B161" s="39" t="str">
        <f>VLOOKUP(lEFT($A161,4),Setor!$A:$E,3,0)</f>
        <v>Financeiro</v>
      </c>
      <c r="C161" s="39" t="str">
        <f>VLOOKUP(lEFT($A161,4),Setor!$A:$E,4,0)</f>
        <v>Intermediários Financeiros</v>
      </c>
      <c r="D161" s="39" t="str">
        <f>VLOOKUP(lEFT($A161,4),Setor!$A:$E,5,0)</f>
        <v>Bancos</v>
      </c>
      <c r="E161" s="17">
        <f>IFERROR(__xludf.DUMMYFUNCTION("GOOGLEFINANCE(A161)"),12.16)</f>
        <v>12.16</v>
      </c>
      <c r="F161" s="17">
        <f>IFERROR(__xludf.DUMMYFUNCTION("GOOGLEFINANCE($A161,""high52"")"),14.9)</f>
        <v>14.9</v>
      </c>
      <c r="G161" s="16">
        <f t="shared" si="1"/>
        <v>-0.1838926174</v>
      </c>
      <c r="H161" s="40">
        <f>VLOOKUP($A161,'Dados StatusInvest'!$A:$AY,column(H161)-$A$5,0)*VLOOKUP($A161,'Dados StatusInvest'!$A:$AY,2,0)/$E161/100</f>
        <v>0.08324013158</v>
      </c>
      <c r="I161" s="41">
        <f>VLOOKUP($A161,'Dados StatusInvest'!$A:$AY,column(I161)-$A$5,0)/VLOOKUP($A161,'Dados StatusInvest'!$A:$AY,2,0)*$E161</f>
        <v>5.560298755</v>
      </c>
      <c r="J161" s="41">
        <f>VLOOKUP($A161,'Dados StatusInvest'!$A:$AY,column(J161)-$A$5,0)/VLOOKUP($A161,'Dados StatusInvest'!$A:$AY,2,0)*$E161</f>
        <v>0.5752033195</v>
      </c>
      <c r="K161" s="42">
        <f>VLOOKUP($A161,'Dados StatusInvest'!$A:$AY,column(K161)-$A$5,0)/VLOOKUP($A161,'Dados StatusInvest'!$A:$AY,2,0)*$E161</f>
        <v>0.05045643154</v>
      </c>
      <c r="L161" s="43">
        <f>VLOOKUP($A161,'Dados StatusInvest'!$A:$AY,column(L161)-$A$5,0)/100</f>
        <v>0.8568</v>
      </c>
      <c r="M161" s="44">
        <f>VLOOKUP($A161,'Dados StatusInvest'!$A:$AY,column(M161)-$A$5,0)</f>
        <v>17.04</v>
      </c>
      <c r="N161" s="44">
        <f>VLOOKUP($A161,'Dados StatusInvest'!$A:$AY,column(N161)-$A$5,0)</f>
        <v>13.76</v>
      </c>
      <c r="O161" s="41">
        <f>VLOOKUP($A161,'Dados StatusInvest'!$A:$AY,column(O161)-$A$5,0)/VLOOKUP($A161,'Dados StatusInvest'!$A:$AY,2,0)*$E161</f>
        <v>4.490622407</v>
      </c>
      <c r="P161" s="41">
        <f>VLOOKUP($A161,'Dados StatusInvest'!$A:$AY,column(P161)-$A$5,0)-VLOOKUP($A161,'Dados StatusInvest'!$A:$AY,column(P161)-$A$5-1,0)+O161</f>
        <v>4.660622407</v>
      </c>
      <c r="Q161" s="44">
        <f>VLOOKUP($A161,'Dados StatusInvest'!$A:$AY,column(Q161)-$A$5,0)</f>
        <v>0</v>
      </c>
      <c r="R161" s="44">
        <f>VLOOKUP($A161,'Dados StatusInvest'!$A:$AY,column(R161)-$A$5,0)</f>
        <v>0</v>
      </c>
      <c r="S161" s="41">
        <f>VLOOKUP($A161,'Dados StatusInvest'!$A:$AY,column(S161)-$A$5,0)/VLOOKUP($A161,'Dados StatusInvest'!$A:$AY,2,0)*$E161</f>
        <v>0.7669377593</v>
      </c>
      <c r="T161" s="42">
        <f>VLOOKUP($A161,'Dados StatusInvest'!$A:$AY,column(T161)-$A$5,0)/VLOOKUP($A161,'Dados StatusInvest'!$A:$AY,2,0)*$E161</f>
        <v>1.019219917</v>
      </c>
      <c r="U161" s="47">
        <f>VLOOKUP($A161,'Dados StatusInvest'!$A:$AY,column(U161)-$A$5,0)</f>
        <v>-0.06</v>
      </c>
      <c r="V161" s="45">
        <f>VLOOKUP($A161,'Dados StatusInvest'!$A:$AY,column(V161)-$A$5,0)</f>
        <v>2.07</v>
      </c>
      <c r="W161" s="45">
        <f>VLOOKUP($A161,'Dados StatusInvest'!$A:$AY,column(W161)-$A$5,0)</f>
        <v>10.34</v>
      </c>
      <c r="X161" s="45">
        <f>VLOOKUP($A161,'Dados StatusInvest'!$A:$AY,column(X161)-$A$5,0)</f>
        <v>0.91</v>
      </c>
      <c r="Y161" s="45">
        <f>VLOOKUP($A161,'Dados StatusInvest'!$A:$AY,column(Y161)-$A$5,0)</f>
        <v>0</v>
      </c>
      <c r="Z161" s="44">
        <f>VLOOKUP($A161,'Dados StatusInvest'!$A:$AY,column(Z161)-$A$5,0)</f>
        <v>0.09</v>
      </c>
      <c r="AA161" s="44">
        <f>VLOOKUP($A161,'Dados StatusInvest'!$A:$AY,column(AA161)-$A$5,0)</f>
        <v>0.91</v>
      </c>
      <c r="AB161" s="44">
        <f>VLOOKUP($A161,'Dados StatusInvest'!$A:$AY,column(AB161)-$A$5,0)</f>
        <v>0.07</v>
      </c>
      <c r="AC161" s="44">
        <f>VLOOKUP($A161,'Dados StatusInvest'!$A:$AY,column(AC161)-$A$5,0)</f>
        <v>-5.25</v>
      </c>
      <c r="AD161" s="45">
        <f>VLOOKUP($A161,'Dados StatusInvest'!$A:$AY,column(AD161)-$A$5,0)</f>
        <v>0.33</v>
      </c>
      <c r="AE161" s="46">
        <f>VLOOKUP($A161,'Dados StatusInvest'!$A:$AY,column(AE161)-$A$5,0)</f>
        <v>21119588.79</v>
      </c>
      <c r="AF161" s="50"/>
    </row>
    <row r="162">
      <c r="A162" s="10" t="s">
        <v>208</v>
      </c>
      <c r="B162" s="39" t="str">
        <f>VLOOKUP(lEFT($A162,4),Setor!$A:$E,3,0)</f>
        <v>#N/A</v>
      </c>
      <c r="C162" s="39" t="str">
        <f>VLOOKUP(lEFT($A162,4),Setor!$A:$E,4,0)</f>
        <v>#N/A</v>
      </c>
      <c r="D162" s="39" t="str">
        <f>VLOOKUP(lEFT($A162,4),Setor!$A:$E,5,0)</f>
        <v>#N/A</v>
      </c>
      <c r="E162" s="17">
        <f>IFERROR(__xludf.DUMMYFUNCTION("GOOGLEFINANCE(A162)"),8.14)</f>
        <v>8.14</v>
      </c>
      <c r="F162" s="17">
        <f>IFERROR(__xludf.DUMMYFUNCTION("GOOGLEFINANCE($A162,""high52"")"),13.28)</f>
        <v>13.28</v>
      </c>
      <c r="G162" s="16">
        <f t="shared" si="1"/>
        <v>-0.3870481928</v>
      </c>
      <c r="H162" s="40">
        <f>VLOOKUP($A162,'Dados StatusInvest'!$A:$AY,column(H162)-$A$5,0)*VLOOKUP($A162,'Dados StatusInvest'!$A:$AY,2,0)/$E162/100</f>
        <v>0</v>
      </c>
      <c r="I162" s="41">
        <f>VLOOKUP($A162,'Dados StatusInvest'!$A:$AY,column(I162)-$A$5,0)/VLOOKUP($A162,'Dados StatusInvest'!$A:$AY,2,0)*$E162</f>
        <v>13.94607345</v>
      </c>
      <c r="J162" s="41">
        <f>VLOOKUP($A162,'Dados StatusInvest'!$A:$AY,column(J162)-$A$5,0)/VLOOKUP($A162,'Dados StatusInvest'!$A:$AY,2,0)*$E162</f>
        <v>3.64460452</v>
      </c>
      <c r="K162" s="42">
        <f>VLOOKUP($A162,'Dados StatusInvest'!$A:$AY,column(K162)-$A$5,0)/VLOOKUP($A162,'Dados StatusInvest'!$A:$AY,2,0)*$E162</f>
        <v>1.25319209</v>
      </c>
      <c r="L162" s="43">
        <f>VLOOKUP($A162,'Dados StatusInvest'!$A:$AY,column(L162)-$A$5,0)/100</f>
        <v>0.3341</v>
      </c>
      <c r="M162" s="44">
        <f>VLOOKUP($A162,'Dados StatusInvest'!$A:$AY,column(M162)-$A$5,0)</f>
        <v>14.78</v>
      </c>
      <c r="N162" s="44">
        <f>VLOOKUP($A162,'Dados StatusInvest'!$A:$AY,column(N162)-$A$5,0)</f>
        <v>12.85</v>
      </c>
      <c r="O162" s="41">
        <f>VLOOKUP($A162,'Dados StatusInvest'!$A:$AY,column(O162)-$A$5,0)/VLOOKUP($A162,'Dados StatusInvest'!$A:$AY,2,0)*$E162</f>
        <v>12.12951977</v>
      </c>
      <c r="P162" s="41">
        <f>VLOOKUP($A162,'Dados StatusInvest'!$A:$AY,column(P162)-$A$5,0)-VLOOKUP($A162,'Dados StatusInvest'!$A:$AY,column(P162)-$A$5-1,0)+O162</f>
        <v>13.84951977</v>
      </c>
      <c r="Q162" s="44">
        <f>VLOOKUP($A162,'Dados StatusInvest'!$A:$AY,column(Q162)-$A$5,0)</f>
        <v>1.68</v>
      </c>
      <c r="R162" s="44">
        <f>VLOOKUP($A162,'Dados StatusInvest'!$A:$AY,column(R162)-$A$5,0)</f>
        <v>0.5</v>
      </c>
      <c r="S162" s="41">
        <f>VLOOKUP($A162,'Dados StatusInvest'!$A:$AY,column(S162)-$A$5,0)/VLOOKUP($A162,'Dados StatusInvest'!$A:$AY,2,0)*$E162</f>
        <v>1.793559322</v>
      </c>
      <c r="T162" s="42">
        <f>VLOOKUP($A162,'Dados StatusInvest'!$A:$AY,column(T162)-$A$5,0)/VLOOKUP($A162,'Dados StatusInvest'!$A:$AY,2,0)*$E162</f>
        <v>2.897288136</v>
      </c>
      <c r="U162" s="44">
        <f>VLOOKUP($A162,'Dados StatusInvest'!$A:$AY,column(U162)-$A$5,0)</f>
        <v>-11.67</v>
      </c>
      <c r="V162" s="45">
        <f>VLOOKUP($A162,'Dados StatusInvest'!$A:$AY,column(V162)-$A$5,0)</f>
        <v>1.91</v>
      </c>
      <c r="W162" s="48">
        <f>VLOOKUP($A162,'Dados StatusInvest'!$A:$AY,column(W162)-$A$5,0)</f>
        <v>26.17</v>
      </c>
      <c r="X162" s="45">
        <f>VLOOKUP($A162,'Dados StatusInvest'!$A:$AY,column(X162)-$A$5,0)</f>
        <v>8.97</v>
      </c>
      <c r="Y162" s="45">
        <f>VLOOKUP($A162,'Dados StatusInvest'!$A:$AY,column(Y162)-$A$5,0)</f>
        <v>16.47</v>
      </c>
      <c r="Z162" s="44">
        <f>VLOOKUP($A162,'Dados StatusInvest'!$A:$AY,column(Z162)-$A$5,0)</f>
        <v>0.34</v>
      </c>
      <c r="AA162" s="44">
        <f>VLOOKUP($A162,'Dados StatusInvest'!$A:$AY,column(AA162)-$A$5,0)</f>
        <v>0.66</v>
      </c>
      <c r="AB162" s="44">
        <f>VLOOKUP($A162,'Dados StatusInvest'!$A:$AY,column(AB162)-$A$5,0)</f>
        <v>0.7</v>
      </c>
      <c r="AC162" s="44">
        <f>VLOOKUP($A162,'Dados StatusInvest'!$A:$AY,column(AC162)-$A$5,0)</f>
        <v>0</v>
      </c>
      <c r="AD162" s="45">
        <f>VLOOKUP($A162,'Dados StatusInvest'!$A:$AY,column(AD162)-$A$5,0)</f>
        <v>0</v>
      </c>
      <c r="AE162" s="46">
        <f>VLOOKUP($A162,'Dados StatusInvest'!$A:$AY,column(AE162)-$A$5,0)</f>
        <v>15202737.88</v>
      </c>
      <c r="AF162" s="51"/>
    </row>
    <row r="163">
      <c r="A163" s="10" t="s">
        <v>209</v>
      </c>
      <c r="B163" s="39" t="str">
        <f>VLOOKUP(lEFT($A163,4),Setor!$A:$E,3,0)</f>
        <v>Bens Industriais</v>
      </c>
      <c r="C163" s="39" t="str">
        <f>VLOOKUP(lEFT($A163,4),Setor!$A:$E,4,0)</f>
        <v>Transporte</v>
      </c>
      <c r="D163" s="39" t="str">
        <f>VLOOKUP(lEFT($A163,4),Setor!$A:$E,5,0)</f>
        <v>Transporte Hidroviário</v>
      </c>
      <c r="E163" s="17">
        <f>IFERROR(__xludf.DUMMYFUNCTION("GOOGLEFINANCE(A163)"),4.14)</f>
        <v>4.14</v>
      </c>
      <c r="F163" s="17">
        <f>IFERROR(__xludf.DUMMYFUNCTION("GOOGLEFINANCE($A163,""high52"")"),7.73)</f>
        <v>7.73</v>
      </c>
      <c r="G163" s="16">
        <f t="shared" si="1"/>
        <v>-0.4644243208</v>
      </c>
      <c r="H163" s="40">
        <f>VLOOKUP($A163,'Dados StatusInvest'!$A:$AY,column(H163)-$A$5,0)*VLOOKUP($A163,'Dados StatusInvest'!$A:$AY,2,0)/$E163/100</f>
        <v>0</v>
      </c>
      <c r="I163" s="41">
        <f>VLOOKUP($A163,'Dados StatusInvest'!$A:$AY,column(I163)-$A$5,0)/VLOOKUP($A163,'Dados StatusInvest'!$A:$AY,2,0)*$E163</f>
        <v>-55.5957868</v>
      </c>
      <c r="J163" s="41">
        <f>VLOOKUP($A163,'Dados StatusInvest'!$A:$AY,column(J163)-$A$5,0)/VLOOKUP($A163,'Dados StatusInvest'!$A:$AY,2,0)*$E163</f>
        <v>2.122538071</v>
      </c>
      <c r="K163" s="42">
        <f>VLOOKUP($A163,'Dados StatusInvest'!$A:$AY,column(K163)-$A$5,0)/VLOOKUP($A163,'Dados StatusInvest'!$A:$AY,2,0)*$E163</f>
        <v>0.5358883249</v>
      </c>
      <c r="L163" s="43">
        <f>VLOOKUP($A163,'Dados StatusInvest'!$A:$AY,column(L163)-$A$5,0)/100</f>
        <v>0.3639</v>
      </c>
      <c r="M163" s="47">
        <f>VLOOKUP($A163,'Dados StatusInvest'!$A:$AY,column(M163)-$A$5,0)</f>
        <v>22.2</v>
      </c>
      <c r="N163" s="47">
        <f>VLOOKUP($A163,'Dados StatusInvest'!$A:$AY,column(N163)-$A$5,0)</f>
        <v>-3.8</v>
      </c>
      <c r="O163" s="41">
        <f>VLOOKUP($A163,'Dados StatusInvest'!$A:$AY,column(O163)-$A$5,0)/VLOOKUP($A163,'Dados StatusInvest'!$A:$AY,2,0)*$E163</f>
        <v>9.519898477</v>
      </c>
      <c r="P163" s="41">
        <f>VLOOKUP($A163,'Dados StatusInvest'!$A:$AY,column(P163)-$A$5,0)-VLOOKUP($A163,'Dados StatusInvest'!$A:$AY,column(P163)-$A$5-1,0)+O163</f>
        <v>20.48989848</v>
      </c>
      <c r="Q163" s="44">
        <f>VLOOKUP($A163,'Dados StatusInvest'!$A:$AY,column(Q163)-$A$5,0)</f>
        <v>10.97</v>
      </c>
      <c r="R163" s="44">
        <f>VLOOKUP($A163,'Dados StatusInvest'!$A:$AY,column(R163)-$A$5,0)</f>
        <v>2.44</v>
      </c>
      <c r="S163" s="41">
        <f>VLOOKUP($A163,'Dados StatusInvest'!$A:$AY,column(S163)-$A$5,0)/VLOOKUP($A163,'Dados StatusInvest'!$A:$AY,2,0)*$E163</f>
        <v>2.112030457</v>
      </c>
      <c r="T163" s="42">
        <f>VLOOKUP($A163,'Dados StatusInvest'!$A:$AY,column(T163)-$A$5,0)/VLOOKUP($A163,'Dados StatusInvest'!$A:$AY,2,0)*$E163</f>
        <v>6.073401015</v>
      </c>
      <c r="U163" s="47">
        <f>VLOOKUP($A163,'Dados StatusInvest'!$A:$AY,column(U163)-$A$5,0)</f>
        <v>-0.61</v>
      </c>
      <c r="V163" s="45">
        <f>VLOOKUP($A163,'Dados StatusInvest'!$A:$AY,column(V163)-$A$5,0)</f>
        <v>2.02</v>
      </c>
      <c r="W163" s="48">
        <f>VLOOKUP($A163,'Dados StatusInvest'!$A:$AY,column(W163)-$A$5,0)</f>
        <v>-3.81</v>
      </c>
      <c r="X163" s="48">
        <f>VLOOKUP($A163,'Dados StatusInvest'!$A:$AY,column(X163)-$A$5,0)</f>
        <v>-0.96</v>
      </c>
      <c r="Y163" s="48">
        <f>VLOOKUP($A163,'Dados StatusInvest'!$A:$AY,column(Y163)-$A$5,0)</f>
        <v>4.81</v>
      </c>
      <c r="Z163" s="44">
        <f>VLOOKUP($A163,'Dados StatusInvest'!$A:$AY,column(Z163)-$A$5,0)</f>
        <v>0.25</v>
      </c>
      <c r="AA163" s="44">
        <f>VLOOKUP($A163,'Dados StatusInvest'!$A:$AY,column(AA163)-$A$5,0)</f>
        <v>0.75</v>
      </c>
      <c r="AB163" s="44">
        <f>VLOOKUP($A163,'Dados StatusInvest'!$A:$AY,column(AB163)-$A$5,0)</f>
        <v>0.25</v>
      </c>
      <c r="AC163" s="44">
        <f>VLOOKUP($A163,'Dados StatusInvest'!$A:$AY,column(AC163)-$A$5,0)</f>
        <v>49.43</v>
      </c>
      <c r="AD163" s="45">
        <f>VLOOKUP($A163,'Dados StatusInvest'!$A:$AY,column(AD163)-$A$5,0)</f>
        <v>0</v>
      </c>
      <c r="AE163" s="46">
        <f>VLOOKUP($A163,'Dados StatusInvest'!$A:$AY,column(AE163)-$A$5,0)</f>
        <v>16041594.92</v>
      </c>
      <c r="AF163" s="50"/>
    </row>
    <row r="164">
      <c r="A164" s="10" t="s">
        <v>210</v>
      </c>
      <c r="B164" s="39" t="str">
        <f>VLOOKUP(lEFT($A164,4),Setor!$A:$E,3,0)</f>
        <v>Financeiro</v>
      </c>
      <c r="C164" s="39" t="str">
        <f>VLOOKUP(lEFT($A164,4),Setor!$A:$E,4,0)</f>
        <v>Intermediários Financeiros</v>
      </c>
      <c r="D164" s="39" t="str">
        <f>VLOOKUP(lEFT($A164,4),Setor!$A:$E,5,0)</f>
        <v>Bancos</v>
      </c>
      <c r="E164" s="17">
        <f>IFERROR(__xludf.DUMMYFUNCTION("GOOGLEFINANCE(A164)"),15.77)</f>
        <v>15.77</v>
      </c>
      <c r="F164" s="17">
        <f>IFERROR(__xludf.DUMMYFUNCTION("GOOGLEFINANCE($A164,""high52"")"),29.1)</f>
        <v>29.1</v>
      </c>
      <c r="G164" s="16">
        <f t="shared" si="1"/>
        <v>-0.4580756014</v>
      </c>
      <c r="H164" s="40">
        <f>VLOOKUP($A164,'Dados StatusInvest'!$A:$AY,column(H164)-$A$5,0)*VLOOKUP($A164,'Dados StatusInvest'!$A:$AY,2,0)/$E164/100</f>
        <v>0.001023272036</v>
      </c>
      <c r="I164" s="41">
        <f>VLOOKUP($A164,'Dados StatusInvest'!$A:$AY,column(I164)-$A$5,0)/VLOOKUP($A164,'Dados StatusInvest'!$A:$AY,2,0)*$E164</f>
        <v>1511.920532</v>
      </c>
      <c r="J164" s="41">
        <f>VLOOKUP($A164,'Dados StatusInvest'!$A:$AY,column(J164)-$A$5,0)/VLOOKUP($A164,'Dados StatusInvest'!$A:$AY,2,0)*$E164</f>
        <v>4.708425358</v>
      </c>
      <c r="K164" s="42">
        <f>VLOOKUP($A164,'Dados StatusInvest'!$A:$AY,column(K164)-$A$5,0)/VLOOKUP($A164,'Dados StatusInvest'!$A:$AY,2,0)*$E164</f>
        <v>1.354478528</v>
      </c>
      <c r="L164" s="43">
        <f>VLOOKUP($A164,'Dados StatusInvest'!$A:$AY,column(L164)-$A$5,0)/100</f>
        <v>0.5779</v>
      </c>
      <c r="M164" s="44">
        <f>VLOOKUP($A164,'Dados StatusInvest'!$A:$AY,column(M164)-$A$5,0)</f>
        <v>-7.78</v>
      </c>
      <c r="N164" s="44">
        <f>VLOOKUP($A164,'Dados StatusInvest'!$A:$AY,column(N164)-$A$5,0)</f>
        <v>2.08</v>
      </c>
      <c r="O164" s="41">
        <f>VLOOKUP($A164,'Dados StatusInvest'!$A:$AY,column(O164)-$A$5,0)/VLOOKUP($A164,'Dados StatusInvest'!$A:$AY,2,0)*$E164</f>
        <v>-404.9460804</v>
      </c>
      <c r="P164" s="41">
        <f>VLOOKUP($A164,'Dados StatusInvest'!$A:$AY,column(P164)-$A$5,0)-VLOOKUP($A164,'Dados StatusInvest'!$A:$AY,column(P164)-$A$5-1,0)+O164</f>
        <v>-417.0060804</v>
      </c>
      <c r="Q164" s="44">
        <f>VLOOKUP($A164,'Dados StatusInvest'!$A:$AY,column(Q164)-$A$5,0)</f>
        <v>0</v>
      </c>
      <c r="R164" s="44">
        <f>VLOOKUP($A164,'Dados StatusInvest'!$A:$AY,column(R164)-$A$5,0)</f>
        <v>0</v>
      </c>
      <c r="S164" s="41">
        <f>VLOOKUP($A164,'Dados StatusInvest'!$A:$AY,column(S164)-$A$5,0)/VLOOKUP($A164,'Dados StatusInvest'!$A:$AY,2,0)*$E164</f>
        <v>31.51850034</v>
      </c>
      <c r="T164" s="42">
        <f>VLOOKUP($A164,'Dados StatusInvest'!$A:$AY,column(T164)-$A$5,0)/VLOOKUP($A164,'Dados StatusInvest'!$A:$AY,2,0)*$E164</f>
        <v>27.64856169</v>
      </c>
      <c r="U164" s="44">
        <f>VLOOKUP($A164,'Dados StatusInvest'!$A:$AY,column(U164)-$A$5,0)</f>
        <v>-2.59</v>
      </c>
      <c r="V164" s="45">
        <f>VLOOKUP($A164,'Dados StatusInvest'!$A:$AY,column(V164)-$A$5,0)</f>
        <v>1.11</v>
      </c>
      <c r="W164" s="45">
        <f>VLOOKUP($A164,'Dados StatusInvest'!$A:$AY,column(W164)-$A$5,0)</f>
        <v>0.31</v>
      </c>
      <c r="X164" s="45">
        <f>VLOOKUP($A164,'Dados StatusInvest'!$A:$AY,column(X164)-$A$5,0)</f>
        <v>0.09</v>
      </c>
      <c r="Y164" s="45">
        <f>VLOOKUP($A164,'Dados StatusInvest'!$A:$AY,column(Y164)-$A$5,0)</f>
        <v>0</v>
      </c>
      <c r="Z164" s="44">
        <f>VLOOKUP($A164,'Dados StatusInvest'!$A:$AY,column(Z164)-$A$5,0)</f>
        <v>0.29</v>
      </c>
      <c r="AA164" s="44">
        <f>VLOOKUP($A164,'Dados StatusInvest'!$A:$AY,column(AA164)-$A$5,0)</f>
        <v>0.71</v>
      </c>
      <c r="AB164" s="44">
        <f>VLOOKUP($A164,'Dados StatusInvest'!$A:$AY,column(AB164)-$A$5,0)</f>
        <v>0.04</v>
      </c>
      <c r="AC164" s="44">
        <f>VLOOKUP($A164,'Dados StatusInvest'!$A:$AY,column(AC164)-$A$5,0)</f>
        <v>14.14</v>
      </c>
      <c r="AD164" s="45">
        <f>VLOOKUP($A164,'Dados StatusInvest'!$A:$AY,column(AD164)-$A$5,0)</f>
        <v>-3.95</v>
      </c>
      <c r="AE164" s="46">
        <f>VLOOKUP($A164,'Dados StatusInvest'!$A:$AY,column(AE164)-$A$5,0)</f>
        <v>26467698.13</v>
      </c>
      <c r="AF164" s="49"/>
    </row>
    <row r="165">
      <c r="A165" s="10" t="s">
        <v>211</v>
      </c>
      <c r="B165" s="39" t="str">
        <f>VLOOKUP(lEFT($A165,4),Setor!$A:$E,3,0)</f>
        <v>#N/A</v>
      </c>
      <c r="C165" s="39" t="str">
        <f>VLOOKUP(lEFT($A165,4),Setor!$A:$E,4,0)</f>
        <v>#N/A</v>
      </c>
      <c r="D165" s="39" t="str">
        <f>VLOOKUP(lEFT($A165,4),Setor!$A:$E,5,0)</f>
        <v>#N/A</v>
      </c>
      <c r="E165" s="17">
        <f>IFERROR(__xludf.DUMMYFUNCTION("GOOGLEFINANCE(A165)"),12.21)</f>
        <v>12.21</v>
      </c>
      <c r="F165" s="17">
        <f>IFERROR(__xludf.DUMMYFUNCTION("GOOGLEFINANCE($A165,""high52"")"),17.69)</f>
        <v>17.69</v>
      </c>
      <c r="G165" s="16">
        <f t="shared" si="1"/>
        <v>-0.3097795365</v>
      </c>
      <c r="H165" s="40">
        <f>VLOOKUP($A165,'Dados StatusInvest'!$A:$AY,column(H165)-$A$5,0)*VLOOKUP($A165,'Dados StatusInvest'!$A:$AY,2,0)/$E165/100</f>
        <v>0.01886904177</v>
      </c>
      <c r="I165" s="41">
        <f>VLOOKUP($A165,'Dados StatusInvest'!$A:$AY,column(I165)-$A$5,0)/VLOOKUP($A165,'Dados StatusInvest'!$A:$AY,2,0)*$E165</f>
        <v>259.0242822</v>
      </c>
      <c r="J165" s="41">
        <f>VLOOKUP($A165,'Dados StatusInvest'!$A:$AY,column(J165)-$A$5,0)/VLOOKUP($A165,'Dados StatusInvest'!$A:$AY,2,0)*$E165</f>
        <v>3.345479902</v>
      </c>
      <c r="K165" s="42">
        <f>VLOOKUP($A165,'Dados StatusInvest'!$A:$AY,column(K165)-$A$5,0)/VLOOKUP($A165,'Dados StatusInvest'!$A:$AY,2,0)*$E165</f>
        <v>0.5809515997</v>
      </c>
      <c r="L165" s="43">
        <f>VLOOKUP($A165,'Dados StatusInvest'!$A:$AY,column(L165)-$A$5,0)/100</f>
        <v>0.3259</v>
      </c>
      <c r="M165" s="44">
        <f>VLOOKUP($A165,'Dados StatusInvest'!$A:$AY,column(M165)-$A$5,0)</f>
        <v>24.35</v>
      </c>
      <c r="N165" s="44">
        <f>VLOOKUP($A165,'Dados StatusInvest'!$A:$AY,column(N165)-$A$5,0)</f>
        <v>4.13</v>
      </c>
      <c r="O165" s="41">
        <f>VLOOKUP($A165,'Dados StatusInvest'!$A:$AY,column(O165)-$A$5,0)/VLOOKUP($A165,'Dados StatusInvest'!$A:$AY,2,0)*$E165</f>
        <v>43.96200984</v>
      </c>
      <c r="P165" s="41">
        <f>VLOOKUP($A165,'Dados StatusInvest'!$A:$AY,column(P165)-$A$5,0)-VLOOKUP($A165,'Dados StatusInvest'!$A:$AY,column(P165)-$A$5-1,0)+O165</f>
        <v>78.88200984</v>
      </c>
      <c r="Q165" s="44">
        <f>VLOOKUP($A165,'Dados StatusInvest'!$A:$AY,column(Q165)-$A$5,0)</f>
        <v>34.74</v>
      </c>
      <c r="R165" s="44">
        <f>VLOOKUP($A165,'Dados StatusInvest'!$A:$AY,column(R165)-$A$5,0)</f>
        <v>2.64</v>
      </c>
      <c r="S165" s="41">
        <f>VLOOKUP($A165,'Dados StatusInvest'!$A:$AY,column(S165)-$A$5,0)/VLOOKUP($A165,'Dados StatusInvest'!$A:$AY,2,0)*$E165</f>
        <v>10.70753897</v>
      </c>
      <c r="T165" s="42">
        <f>VLOOKUP($A165,'Dados StatusInvest'!$A:$AY,column(T165)-$A$5,0)/VLOOKUP($A165,'Dados StatusInvest'!$A:$AY,2,0)*$E165</f>
        <v>15.81590648</v>
      </c>
      <c r="U165" s="44">
        <f>VLOOKUP($A165,'Dados StatusInvest'!$A:$AY,column(U165)-$A$5,0)</f>
        <v>-0.68</v>
      </c>
      <c r="V165" s="45">
        <f>VLOOKUP($A165,'Dados StatusInvest'!$A:$AY,column(V165)-$A$5,0)</f>
        <v>1.35</v>
      </c>
      <c r="W165" s="45">
        <f>VLOOKUP($A165,'Dados StatusInvest'!$A:$AY,column(W165)-$A$5,0)</f>
        <v>1.29</v>
      </c>
      <c r="X165" s="45">
        <f>VLOOKUP($A165,'Dados StatusInvest'!$A:$AY,column(X165)-$A$5,0)</f>
        <v>0.23</v>
      </c>
      <c r="Y165" s="45">
        <f>VLOOKUP($A165,'Dados StatusInvest'!$A:$AY,column(Y165)-$A$5,0)</f>
        <v>1.54</v>
      </c>
      <c r="Z165" s="44">
        <f>VLOOKUP($A165,'Dados StatusInvest'!$A:$AY,column(Z165)-$A$5,0)</f>
        <v>0.18</v>
      </c>
      <c r="AA165" s="44">
        <f>VLOOKUP($A165,'Dados StatusInvest'!$A:$AY,column(AA165)-$A$5,0)</f>
        <v>0.74</v>
      </c>
      <c r="AB165" s="44">
        <f>VLOOKUP($A165,'Dados StatusInvest'!$A:$AY,column(AB165)-$A$5,0)</f>
        <v>0.05</v>
      </c>
      <c r="AC165" s="44">
        <f>VLOOKUP($A165,'Dados StatusInvest'!$A:$AY,column(AC165)-$A$5,0)</f>
        <v>0</v>
      </c>
      <c r="AD165" s="45">
        <f>VLOOKUP($A165,'Dados StatusInvest'!$A:$AY,column(AD165)-$A$5,0)</f>
        <v>0</v>
      </c>
      <c r="AE165" s="46">
        <f>VLOOKUP($A165,'Dados StatusInvest'!$A:$AY,column(AE165)-$A$5,0)</f>
        <v>30108031.83</v>
      </c>
      <c r="AF165" s="50"/>
    </row>
    <row r="166">
      <c r="A166" s="10" t="s">
        <v>212</v>
      </c>
      <c r="B166" s="39" t="str">
        <f>VLOOKUP(lEFT($A166,4),Setor!$A:$E,3,0)</f>
        <v>#N/A</v>
      </c>
      <c r="C166" s="39" t="str">
        <f>VLOOKUP(lEFT($A166,4),Setor!$A:$E,4,0)</f>
        <v>#N/A</v>
      </c>
      <c r="D166" s="39" t="str">
        <f>VLOOKUP(lEFT($A166,4),Setor!$A:$E,5,0)</f>
        <v>#N/A</v>
      </c>
      <c r="E166" s="17">
        <f>IFERROR(__xludf.DUMMYFUNCTION("GOOGLEFINANCE(A166)"),12.78)</f>
        <v>12.78</v>
      </c>
      <c r="F166" s="17">
        <f>IFERROR(__xludf.DUMMYFUNCTION("GOOGLEFINANCE($A166,""high52"")"),45.99)</f>
        <v>45.99</v>
      </c>
      <c r="G166" s="16">
        <f t="shared" si="1"/>
        <v>-0.7221135029</v>
      </c>
      <c r="H166" s="40">
        <f>VLOOKUP($A166,'Dados StatusInvest'!$A:$AY,column(H166)-$A$5,0)*VLOOKUP($A166,'Dados StatusInvest'!$A:$AY,2,0)/$E166/100</f>
        <v>0.00009687010955</v>
      </c>
      <c r="I166" s="41">
        <f>VLOOKUP($A166,'Dados StatusInvest'!$A:$AY,column(I166)-$A$5,0)/VLOOKUP($A166,'Dados StatusInvest'!$A:$AY,2,0)*$E166</f>
        <v>39.26907916</v>
      </c>
      <c r="J166" s="41">
        <f>VLOOKUP($A166,'Dados StatusInvest'!$A:$AY,column(J166)-$A$5,0)/VLOOKUP($A166,'Dados StatusInvest'!$A:$AY,2,0)*$E166</f>
        <v>2.425928918</v>
      </c>
      <c r="K166" s="42">
        <f>VLOOKUP($A166,'Dados StatusInvest'!$A:$AY,column(K166)-$A$5,0)/VLOOKUP($A166,'Dados StatusInvest'!$A:$AY,2,0)*$E166</f>
        <v>2.260759289</v>
      </c>
      <c r="L166" s="43">
        <f>VLOOKUP($A166,'Dados StatusInvest'!$A:$AY,column(L166)-$A$5,0)/100</f>
        <v>0.9083</v>
      </c>
      <c r="M166" s="44">
        <f>VLOOKUP($A166,'Dados StatusInvest'!$A:$AY,column(M166)-$A$5,0)</f>
        <v>14.56</v>
      </c>
      <c r="N166" s="44">
        <f>VLOOKUP($A166,'Dados StatusInvest'!$A:$AY,column(N166)-$A$5,0)</f>
        <v>18.11</v>
      </c>
      <c r="O166" s="41">
        <f>VLOOKUP($A166,'Dados StatusInvest'!$A:$AY,column(O166)-$A$5,0)/VLOOKUP($A166,'Dados StatusInvest'!$A:$AY,2,0)*$E166</f>
        <v>48.8179483</v>
      </c>
      <c r="P166" s="41">
        <f>VLOOKUP($A166,'Dados StatusInvest'!$A:$AY,column(P166)-$A$5,0)-VLOOKUP($A166,'Dados StatusInvest'!$A:$AY,column(P166)-$A$5-1,0)+O166</f>
        <v>33.8879483</v>
      </c>
      <c r="Q166" s="44">
        <f>VLOOKUP($A166,'Dados StatusInvest'!$A:$AY,column(Q166)-$A$5,0)</f>
        <v>-16.27</v>
      </c>
      <c r="R166" s="44">
        <f>VLOOKUP($A166,'Dados StatusInvest'!$A:$AY,column(R166)-$A$5,0)</f>
        <v>-0.81</v>
      </c>
      <c r="S166" s="41">
        <f>VLOOKUP($A166,'Dados StatusInvest'!$A:$AY,column(S166)-$A$5,0)/VLOOKUP($A166,'Dados StatusInvest'!$A:$AY,2,0)*$E166</f>
        <v>7.112617124</v>
      </c>
      <c r="T166" s="42">
        <f>VLOOKUP($A166,'Dados StatusInvest'!$A:$AY,column(T166)-$A$5,0)/VLOOKUP($A166,'Dados StatusInvest'!$A:$AY,2,0)*$E166</f>
        <v>2.96273021</v>
      </c>
      <c r="U166" s="44">
        <f>VLOOKUP($A166,'Dados StatusInvest'!$A:$AY,column(U166)-$A$5,0)</f>
        <v>-12.62</v>
      </c>
      <c r="V166" s="45">
        <f>VLOOKUP($A166,'Dados StatusInvest'!$A:$AY,column(V166)-$A$5,0)</f>
        <v>13.23</v>
      </c>
      <c r="W166" s="48">
        <f>VLOOKUP($A166,'Dados StatusInvest'!$A:$AY,column(W166)-$A$5,0)</f>
        <v>6.17</v>
      </c>
      <c r="X166" s="45">
        <f>VLOOKUP($A166,'Dados StatusInvest'!$A:$AY,column(X166)-$A$5,0)</f>
        <v>5.76</v>
      </c>
      <c r="Y166" s="48">
        <f>VLOOKUP($A166,'Dados StatusInvest'!$A:$AY,column(Y166)-$A$5,0)</f>
        <v>3.7</v>
      </c>
      <c r="Z166" s="44">
        <f>VLOOKUP($A166,'Dados StatusInvest'!$A:$AY,column(Z166)-$A$5,0)</f>
        <v>0.93</v>
      </c>
      <c r="AA166" s="44">
        <f>VLOOKUP($A166,'Dados StatusInvest'!$A:$AY,column(AA166)-$A$5,0)</f>
        <v>0.07</v>
      </c>
      <c r="AB166" s="44">
        <f>VLOOKUP($A166,'Dados StatusInvest'!$A:$AY,column(AB166)-$A$5,0)</f>
        <v>0.32</v>
      </c>
      <c r="AC166" s="44">
        <f>VLOOKUP($A166,'Dados StatusInvest'!$A:$AY,column(AC166)-$A$5,0)</f>
        <v>0</v>
      </c>
      <c r="AD166" s="45">
        <f>VLOOKUP($A166,'Dados StatusInvest'!$A:$AY,column(AD166)-$A$5,0)</f>
        <v>0</v>
      </c>
      <c r="AE166" s="46">
        <f>VLOOKUP($A166,'Dados StatusInvest'!$A:$AY,column(AE166)-$A$5,0)</f>
        <v>23130116.46</v>
      </c>
      <c r="AF166" s="51"/>
    </row>
    <row r="167">
      <c r="A167" s="10" t="s">
        <v>213</v>
      </c>
      <c r="B167" s="39" t="str">
        <f>VLOOKUP(lEFT($A167,4),Setor!$A:$E,3,0)</f>
        <v>#N/A</v>
      </c>
      <c r="C167" s="39" t="str">
        <f>VLOOKUP(lEFT($A167,4),Setor!$A:$E,4,0)</f>
        <v>#N/A</v>
      </c>
      <c r="D167" s="39" t="str">
        <f>VLOOKUP(lEFT($A167,4),Setor!$A:$E,5,0)</f>
        <v>#N/A</v>
      </c>
      <c r="E167" s="17">
        <f>IFERROR(__xludf.DUMMYFUNCTION("GOOGLEFINANCE(A167)"),22.3)</f>
        <v>22.3</v>
      </c>
      <c r="F167" s="17">
        <f>IFERROR(__xludf.DUMMYFUNCTION("GOOGLEFINANCE($A167,""high52"")"),30.5)</f>
        <v>30.5</v>
      </c>
      <c r="G167" s="16">
        <f t="shared" si="1"/>
        <v>-0.268852459</v>
      </c>
      <c r="H167" s="40">
        <f>VLOOKUP($A167,'Dados StatusInvest'!$A:$AY,column(H167)-$A$5,0)*VLOOKUP($A167,'Dados StatusInvest'!$A:$AY,2,0)/$E167/100</f>
        <v>0</v>
      </c>
      <c r="I167" s="41">
        <f>VLOOKUP($A167,'Dados StatusInvest'!$A:$AY,column(I167)-$A$5,0)/VLOOKUP($A167,'Dados StatusInvest'!$A:$AY,2,0)*$E167</f>
        <v>213.3651568</v>
      </c>
      <c r="J167" s="41">
        <f>VLOOKUP($A167,'Dados StatusInvest'!$A:$AY,column(J167)-$A$5,0)/VLOOKUP($A167,'Dados StatusInvest'!$A:$AY,2,0)*$E167</f>
        <v>108.3045732</v>
      </c>
      <c r="K167" s="42">
        <f>VLOOKUP($A167,'Dados StatusInvest'!$A:$AY,column(K167)-$A$5,0)/VLOOKUP($A167,'Dados StatusInvest'!$A:$AY,2,0)*$E167</f>
        <v>15.68575784</v>
      </c>
      <c r="L167" s="43">
        <f>VLOOKUP($A167,'Dados StatusInvest'!$A:$AY,column(L167)-$A$5,0)/100</f>
        <v>0.4676</v>
      </c>
      <c r="M167" s="44">
        <f>VLOOKUP($A167,'Dados StatusInvest'!$A:$AY,column(M167)-$A$5,0)</f>
        <v>19.74</v>
      </c>
      <c r="N167" s="44">
        <f>VLOOKUP($A167,'Dados StatusInvest'!$A:$AY,column(N167)-$A$5,0)</f>
        <v>10.05</v>
      </c>
      <c r="O167" s="41">
        <f>VLOOKUP($A167,'Dados StatusInvest'!$A:$AY,column(O167)-$A$5,0)/VLOOKUP($A167,'Dados StatusInvest'!$A:$AY,2,0)*$E167</f>
        <v>108.6542247</v>
      </c>
      <c r="P167" s="41">
        <f>VLOOKUP($A167,'Dados StatusInvest'!$A:$AY,column(P167)-$A$5,0)-VLOOKUP($A167,'Dados StatusInvest'!$A:$AY,column(P167)-$A$5-1,0)+O167</f>
        <v>111.1542247</v>
      </c>
      <c r="Q167" s="44">
        <f>VLOOKUP($A167,'Dados StatusInvest'!$A:$AY,column(Q167)-$A$5,0)</f>
        <v>2.44</v>
      </c>
      <c r="R167" s="44">
        <f>VLOOKUP($A167,'Dados StatusInvest'!$A:$AY,column(R167)-$A$5,0)</f>
        <v>2.44</v>
      </c>
      <c r="S167" s="41">
        <f>VLOOKUP($A167,'Dados StatusInvest'!$A:$AY,column(S167)-$A$5,0)/VLOOKUP($A167,'Dados StatusInvest'!$A:$AY,2,0)*$E167</f>
        <v>21.45500871</v>
      </c>
      <c r="T167" s="42">
        <f>VLOOKUP($A167,'Dados StatusInvest'!$A:$AY,column(T167)-$A$5,0)/VLOOKUP($A167,'Dados StatusInvest'!$A:$AY,2,0)*$E167</f>
        <v>109.4895035</v>
      </c>
      <c r="U167" s="44">
        <f>VLOOKUP($A167,'Dados StatusInvest'!$A:$AY,column(U167)-$A$5,0)</f>
        <v>-39.71</v>
      </c>
      <c r="V167" s="45">
        <f>VLOOKUP($A167,'Dados StatusInvest'!$A:$AY,column(V167)-$A$5,0)</f>
        <v>1.32</v>
      </c>
      <c r="W167" s="48">
        <f>VLOOKUP($A167,'Dados StatusInvest'!$A:$AY,column(W167)-$A$5,0)</f>
        <v>50.76</v>
      </c>
      <c r="X167" s="48">
        <f>VLOOKUP($A167,'Dados StatusInvest'!$A:$AY,column(X167)-$A$5,0)</f>
        <v>7.35</v>
      </c>
      <c r="Y167" s="48">
        <f>VLOOKUP($A167,'Dados StatusInvest'!$A:$AY,column(Y167)-$A$5,0)</f>
        <v>17</v>
      </c>
      <c r="Z167" s="44">
        <f>VLOOKUP($A167,'Dados StatusInvest'!$A:$AY,column(Z167)-$A$5,0)</f>
        <v>0.14</v>
      </c>
      <c r="AA167" s="44">
        <f>VLOOKUP($A167,'Dados StatusInvest'!$A:$AY,column(AA167)-$A$5,0)</f>
        <v>0.86</v>
      </c>
      <c r="AB167" s="44">
        <f>VLOOKUP($A167,'Dados StatusInvest'!$A:$AY,column(AB167)-$A$5,0)</f>
        <v>0.73</v>
      </c>
      <c r="AC167" s="44">
        <f>VLOOKUP($A167,'Dados StatusInvest'!$A:$AY,column(AC167)-$A$5,0)</f>
        <v>0</v>
      </c>
      <c r="AD167" s="45">
        <f>VLOOKUP($A167,'Dados StatusInvest'!$A:$AY,column(AD167)-$A$5,0)</f>
        <v>0</v>
      </c>
      <c r="AE167" s="46">
        <f>VLOOKUP($A167,'Dados StatusInvest'!$A:$AY,column(AE167)-$A$5,0)</f>
        <v>16451825.5</v>
      </c>
      <c r="AF167" s="18"/>
    </row>
    <row r="168">
      <c r="A168" s="10" t="s">
        <v>214</v>
      </c>
      <c r="B168" s="39" t="str">
        <f>VLOOKUP(lEFT($A168,4),Setor!$A:$E,3,0)</f>
        <v>#N/A</v>
      </c>
      <c r="C168" s="39" t="str">
        <f>VLOOKUP(lEFT($A168,4),Setor!$A:$E,4,0)</f>
        <v>#N/A</v>
      </c>
      <c r="D168" s="39" t="str">
        <f>VLOOKUP(lEFT($A168,4),Setor!$A:$E,5,0)</f>
        <v>#N/A</v>
      </c>
      <c r="E168" s="17">
        <f>IFERROR(__xludf.DUMMYFUNCTION("GOOGLEFINANCE(A168)"),6.46)</f>
        <v>6.46</v>
      </c>
      <c r="F168" s="17">
        <f>IFERROR(__xludf.DUMMYFUNCTION("GOOGLEFINANCE($A168,""high52"")"),14.15)</f>
        <v>14.15</v>
      </c>
      <c r="G168" s="16">
        <f t="shared" si="1"/>
        <v>-0.5434628975</v>
      </c>
      <c r="H168" s="40">
        <f>VLOOKUP($A168,'Dados StatusInvest'!$A:$AY,column(H168)-$A$5,0)*VLOOKUP($A168,'Dados StatusInvest'!$A:$AY,2,0)/$E168/100</f>
        <v>0</v>
      </c>
      <c r="I168" s="41">
        <f>VLOOKUP($A168,'Dados StatusInvest'!$A:$AY,column(I168)-$A$5,0)/VLOOKUP($A168,'Dados StatusInvest'!$A:$AY,2,0)*$E168</f>
        <v>1105.911691</v>
      </c>
      <c r="J168" s="41">
        <f>VLOOKUP($A168,'Dados StatusInvest'!$A:$AY,column(J168)-$A$5,0)/VLOOKUP($A168,'Dados StatusInvest'!$A:$AY,2,0)*$E168</f>
        <v>37.46587849</v>
      </c>
      <c r="K168" s="42">
        <f>VLOOKUP($A168,'Dados StatusInvest'!$A:$AY,column(K168)-$A$5,0)/VLOOKUP($A168,'Dados StatusInvest'!$A:$AY,2,0)*$E168</f>
        <v>11.40311987</v>
      </c>
      <c r="L168" s="43">
        <f>VLOOKUP($A168,'Dados StatusInvest'!$A:$AY,column(L168)-$A$5,0)/100</f>
        <v>0.6737</v>
      </c>
      <c r="M168" s="44">
        <f>VLOOKUP($A168,'Dados StatusInvest'!$A:$AY,column(M168)-$A$5,0)</f>
        <v>1.7</v>
      </c>
      <c r="N168" s="44">
        <f>VLOOKUP($A168,'Dados StatusInvest'!$A:$AY,column(N168)-$A$5,0)</f>
        <v>5.33</v>
      </c>
      <c r="O168" s="41">
        <f>VLOOKUP($A168,'Dados StatusInvest'!$A:$AY,column(O168)-$A$5,0)/VLOOKUP($A168,'Dados StatusInvest'!$A:$AY,2,0)*$E168</f>
        <v>3475.129951</v>
      </c>
      <c r="P168" s="41">
        <f>VLOOKUP($A168,'Dados StatusInvest'!$A:$AY,column(P168)-$A$5,0)-VLOOKUP($A168,'Dados StatusInvest'!$A:$AY,column(P168)-$A$5-1,0)+O168</f>
        <v>3596.829951</v>
      </c>
      <c r="Q168" s="44">
        <f>VLOOKUP($A168,'Dados StatusInvest'!$A:$AY,column(Q168)-$A$5,0)</f>
        <v>62.91</v>
      </c>
      <c r="R168" s="44">
        <f>VLOOKUP($A168,'Dados StatusInvest'!$A:$AY,column(R168)-$A$5,0)</f>
        <v>0.68</v>
      </c>
      <c r="S168" s="41">
        <f>VLOOKUP($A168,'Dados StatusInvest'!$A:$AY,column(S168)-$A$5,0)/VLOOKUP($A168,'Dados StatusInvest'!$A:$AY,2,0)*$E168</f>
        <v>58.90374384</v>
      </c>
      <c r="T168" s="42">
        <f>VLOOKUP($A168,'Dados StatusInvest'!$A:$AY,column(T168)-$A$5,0)/VLOOKUP($A168,'Dados StatusInvest'!$A:$AY,2,0)*$E168</f>
        <v>69.05517241</v>
      </c>
      <c r="U168" s="44">
        <f>VLOOKUP($A168,'Dados StatusInvest'!$A:$AY,column(U168)-$A$5,0)</f>
        <v>-17.34</v>
      </c>
      <c r="V168" s="45">
        <f>VLOOKUP($A168,'Dados StatusInvest'!$A:$AY,column(V168)-$A$5,0)</f>
        <v>1.77</v>
      </c>
      <c r="W168" s="45">
        <f>VLOOKUP($A168,'Dados StatusInvest'!$A:$AY,column(W168)-$A$5,0)</f>
        <v>3.39</v>
      </c>
      <c r="X168" s="45">
        <f>VLOOKUP($A168,'Dados StatusInvest'!$A:$AY,column(X168)-$A$5,0)</f>
        <v>1.03</v>
      </c>
      <c r="Y168" s="48">
        <f>VLOOKUP($A168,'Dados StatusInvest'!$A:$AY,column(Y168)-$A$5,0)</f>
        <v>-0.66</v>
      </c>
      <c r="Z168" s="44">
        <f>VLOOKUP($A168,'Dados StatusInvest'!$A:$AY,column(Z168)-$A$5,0)</f>
        <v>0.3</v>
      </c>
      <c r="AA168" s="44">
        <f>VLOOKUP($A168,'Dados StatusInvest'!$A:$AY,column(AA168)-$A$5,0)</f>
        <v>0.7</v>
      </c>
      <c r="AB168" s="44">
        <f>VLOOKUP($A168,'Dados StatusInvest'!$A:$AY,column(AB168)-$A$5,0)</f>
        <v>0.19</v>
      </c>
      <c r="AC168" s="44">
        <f>VLOOKUP($A168,'Dados StatusInvest'!$A:$AY,column(AC168)-$A$5,0)</f>
        <v>0</v>
      </c>
      <c r="AD168" s="45">
        <f>VLOOKUP($A168,'Dados StatusInvest'!$A:$AY,column(AD168)-$A$5,0)</f>
        <v>0</v>
      </c>
      <c r="AE168" s="46">
        <f>VLOOKUP($A168,'Dados StatusInvest'!$A:$AY,column(AE168)-$A$5,0)</f>
        <v>9982766.25</v>
      </c>
      <c r="AF168" s="18"/>
    </row>
    <row r="169">
      <c r="A169" s="10" t="s">
        <v>215</v>
      </c>
      <c r="B169" s="52" t="str">
        <f>VLOOKUP(LEFT($A169,4),Setor!$A:$E,3,0)</f>
        <v>Saúde</v>
      </c>
      <c r="C169" s="52" t="str">
        <f>VLOOKUP(LEFT($A169,4),Setor!$A:$E,4,0)</f>
        <v>Análises e Diagnósticos</v>
      </c>
      <c r="D169" s="52" t="str">
        <f>VLOOKUP(LEFT($A169,4),Setor!$A:$E,5,0)</f>
        <v>Análises e Diagnósticos</v>
      </c>
      <c r="E169" s="53">
        <f>IFERROR(__xludf.DUMMYFUNCTION("GOOGLEFINANCE(A169)"),13.09)</f>
        <v>13.09</v>
      </c>
      <c r="F169" s="53">
        <f>IFERROR(__xludf.DUMMYFUNCTION("GOOGLEFINANCE($A169,""high52"")"),15.7)</f>
        <v>15.7</v>
      </c>
      <c r="G169" s="54">
        <f t="shared" si="1"/>
        <v>-0.1662420382</v>
      </c>
      <c r="H169" s="55">
        <f>VLOOKUP($A169,'Dados StatusInvest'!$A:$AY,COLUMN(H169)-$A$5,0)*VLOOKUP($A169,'Dados StatusInvest'!$A:$AY,2,0)/$E169/100</f>
        <v>0</v>
      </c>
      <c r="I169" s="56">
        <f>VLOOKUP($A169,'Dados StatusInvest'!$A:$AY,COLUMN(I169)-$A$5,0)/VLOOKUP($A169,'Dados StatusInvest'!$A:$AY,2,0)*$E169</f>
        <v>52.61710504</v>
      </c>
      <c r="J169" s="56">
        <f>VLOOKUP($A169,'Dados StatusInvest'!$A:$AY,COLUMN(J169)-$A$5,0)/VLOOKUP($A169,'Dados StatusInvest'!$A:$AY,2,0)*$E169</f>
        <v>1.274346712</v>
      </c>
      <c r="K169" s="57">
        <f>VLOOKUP($A169,'Dados StatusInvest'!$A:$AY,COLUMN(K169)-$A$5,0)/VLOOKUP($A169,'Dados StatusInvest'!$A:$AY,2,0)*$E169</f>
        <v>0.5924594364</v>
      </c>
      <c r="L169" s="58">
        <f>VLOOKUP($A169,'Dados StatusInvest'!$A:$AY,COLUMN(L169)-$A$5,0)/100</f>
        <v>0.2822</v>
      </c>
      <c r="M169" s="59">
        <f>VLOOKUP($A169,'Dados StatusInvest'!$A:$AY,COLUMN(M169)-$A$5,0)</f>
        <v>10.9</v>
      </c>
      <c r="N169" s="59">
        <f>VLOOKUP($A169,'Dados StatusInvest'!$A:$AY,COLUMN(N169)-$A$5,0)</f>
        <v>2.63</v>
      </c>
      <c r="O169" s="56">
        <f>VLOOKUP($A169,'Dados StatusInvest'!$A:$AY,COLUMN(O169)-$A$5,0)/VLOOKUP($A169,'Dados StatusInvest'!$A:$AY,2,0)*$E169</f>
        <v>12.67639624</v>
      </c>
      <c r="P169" s="56">
        <f>VLOOKUP($A169,'Dados StatusInvest'!$A:$AY,COLUMN(P169)-$A$5,0)-VLOOKUP($A169,'Dados StatusInvest'!$A:$AY,COLUMN(P169)-$A$5-1,0)+O169</f>
        <v>17.33639624</v>
      </c>
      <c r="Q169" s="59">
        <f>VLOOKUP($A169,'Dados StatusInvest'!$A:$AY,COLUMN(Q169)-$A$5,0)</f>
        <v>4.66</v>
      </c>
      <c r="R169" s="59">
        <f>VLOOKUP($A169,'Dados StatusInvest'!$A:$AY,COLUMN(R169)-$A$5,0)</f>
        <v>0.47</v>
      </c>
      <c r="S169" s="56">
        <f>VLOOKUP($A169,'Dados StatusInvest'!$A:$AY,COLUMN(S169)-$A$5,0)/VLOOKUP($A169,'Dados StatusInvest'!$A:$AY,2,0)*$E169</f>
        <v>1.386131512</v>
      </c>
      <c r="T169" s="57">
        <f>VLOOKUP($A169,'Dados StatusInvest'!$A:$AY,COLUMN(T169)-$A$5,0)/VLOOKUP($A169,'Dados StatusInvest'!$A:$AY,2,0)*$E169</f>
        <v>15.56044406</v>
      </c>
      <c r="U169" s="59">
        <f>VLOOKUP($A169,'Dados StatusInvest'!$A:$AY,COLUMN(U169)-$A$5,0)</f>
        <v>-0.68</v>
      </c>
      <c r="V169" s="60">
        <f>VLOOKUP($A169,'Dados StatusInvest'!$A:$AY,COLUMN(V169)-$A$5,0)</f>
        <v>1.2</v>
      </c>
      <c r="W169" s="60">
        <f>VLOOKUP($A169,'Dados StatusInvest'!$A:$AY,COLUMN(W169)-$A$5,0)</f>
        <v>2.43</v>
      </c>
      <c r="X169" s="60">
        <f>VLOOKUP($A169,'Dados StatusInvest'!$A:$AY,COLUMN(X169)-$A$5,0)</f>
        <v>1.12</v>
      </c>
      <c r="Y169" s="60">
        <f>VLOOKUP($A169,'Dados StatusInvest'!$A:$AY,COLUMN(Y169)-$A$5,0)</f>
        <v>5.1</v>
      </c>
      <c r="Z169" s="59">
        <f>VLOOKUP($A169,'Dados StatusInvest'!$A:$AY,COLUMN(Z169)-$A$5,0)</f>
        <v>0.46</v>
      </c>
      <c r="AA169" s="59">
        <f>VLOOKUP($A169,'Dados StatusInvest'!$A:$AY,COLUMN(AA169)-$A$5,0)</f>
        <v>0.53</v>
      </c>
      <c r="AB169" s="59">
        <f>VLOOKUP($A169,'Dados StatusInvest'!$A:$AY,COLUMN(AB169)-$A$5,0)</f>
        <v>0.43</v>
      </c>
      <c r="AC169" s="59">
        <f>VLOOKUP($A169,'Dados StatusInvest'!$A:$AY,COLUMN(AC169)-$A$5,0)</f>
        <v>5.83</v>
      </c>
      <c r="AD169" s="60">
        <f>VLOOKUP($A169,'Dados StatusInvest'!$A:$AY,COLUMN(AD169)-$A$5,0)</f>
        <v>0</v>
      </c>
      <c r="AE169" s="62">
        <f>VLOOKUP($A169,'Dados StatusInvest'!$A:$AY,COLUMN(AE169)-$A$5,0)</f>
        <v>10938296.63</v>
      </c>
      <c r="AF169" s="18"/>
    </row>
    <row r="170">
      <c r="A170" s="10" t="s">
        <v>216</v>
      </c>
      <c r="B170" s="52" t="str">
        <f>VLOOKUP(lEFT($A170,4),Setor!$A:$E,3,0)</f>
        <v>Consumo Cíclico</v>
      </c>
      <c r="C170" s="52" t="str">
        <f>VLOOKUP(lEFT($A170,4),Setor!$A:$E,4,0)</f>
        <v>Construção Civil</v>
      </c>
      <c r="D170" s="52" t="str">
        <f>VLOOKUP(lEFT($A170,4),Setor!$A:$E,5,0)</f>
        <v>Incorporações</v>
      </c>
      <c r="E170" s="53">
        <f>IFERROR(__xludf.DUMMYFUNCTION("GOOGLEFINANCE(A170)"),2.68)</f>
        <v>2.68</v>
      </c>
      <c r="F170" s="53">
        <f>IFERROR(__xludf.DUMMYFUNCTION("GOOGLEFINANCE($A170,""high52"")"),6.13)</f>
        <v>6.13</v>
      </c>
      <c r="G170" s="54">
        <f t="shared" si="1"/>
        <v>-0.5628058728</v>
      </c>
      <c r="H170" s="55">
        <f>VLOOKUP($A170,'Dados StatusInvest'!$A:$AY,column(H170)-$A$5,0)*VLOOKUP($A170,'Dados StatusInvest'!$A:$AY,2,0)/$E170/100</f>
        <v>0</v>
      </c>
      <c r="I170" s="56">
        <f>VLOOKUP($A170,'Dados StatusInvest'!$A:$AY,column(I170)-$A$5,0)/VLOOKUP($A170,'Dados StatusInvest'!$A:$AY,2,0)*$E170</f>
        <v>-628.4650951</v>
      </c>
      <c r="J170" s="56">
        <f>VLOOKUP($A170,'Dados StatusInvest'!$A:$AY,column(J170)-$A$5,0)/VLOOKUP($A170,'Dados StatusInvest'!$A:$AY,2,0)*$E170</f>
        <v>0.5502661597</v>
      </c>
      <c r="K170" s="57">
        <f>VLOOKUP($A170,'Dados StatusInvest'!$A:$AY,column(K170)-$A$5,0)/VLOOKUP($A170,'Dados StatusInvest'!$A:$AY,2,0)*$E170</f>
        <v>0.2241825095</v>
      </c>
      <c r="L170" s="58">
        <f>VLOOKUP($A170,'Dados StatusInvest'!$A:$AY,column(L170)-$A$5,0)/100</f>
        <v>0.2184</v>
      </c>
      <c r="M170" s="59">
        <f>VLOOKUP($A170,'Dados StatusInvest'!$A:$AY,column(M170)-$A$5,0)</f>
        <v>7.38</v>
      </c>
      <c r="N170" s="63">
        <f>VLOOKUP($A170,'Dados StatusInvest'!$A:$AY,column(N170)-$A$5,0)</f>
        <v>-0.12</v>
      </c>
      <c r="O170" s="56">
        <f>VLOOKUP($A170,'Dados StatusInvest'!$A:$AY,column(O170)-$A$5,0)/VLOOKUP($A170,'Dados StatusInvest'!$A:$AY,2,0)*$E170</f>
        <v>10.5773384</v>
      </c>
      <c r="P170" s="56">
        <f>VLOOKUP($A170,'Dados StatusInvest'!$A:$AY,column(P170)-$A$5,0)-VLOOKUP($A170,'Dados StatusInvest'!$A:$AY,column(P170)-$A$5-1,0)+O170</f>
        <v>19.5873384</v>
      </c>
      <c r="Q170" s="59">
        <f>VLOOKUP($A170,'Dados StatusInvest'!$A:$AY,column(Q170)-$A$5,0)</f>
        <v>8.89</v>
      </c>
      <c r="R170" s="59">
        <f>VLOOKUP($A170,'Dados StatusInvest'!$A:$AY,column(R170)-$A$5,0)</f>
        <v>0.47</v>
      </c>
      <c r="S170" s="56">
        <f>VLOOKUP($A170,'Dados StatusInvest'!$A:$AY,column(S170)-$A$5,0)/VLOOKUP($A170,'Dados StatusInvest'!$A:$AY,2,0)*$E170</f>
        <v>0.7846387833</v>
      </c>
      <c r="T170" s="57">
        <f>VLOOKUP($A170,'Dados StatusInvest'!$A:$AY,column(T170)-$A$5,0)/VLOOKUP($A170,'Dados StatusInvest'!$A:$AY,2,0)*$E170</f>
        <v>0.7540684411</v>
      </c>
      <c r="U170" s="59">
        <f>VLOOKUP($A170,'Dados StatusInvest'!$A:$AY,column(U170)-$A$5,0)</f>
        <v>-0.69</v>
      </c>
      <c r="V170" s="60">
        <f>VLOOKUP($A170,'Dados StatusInvest'!$A:$AY,column(V170)-$A$5,0)</f>
        <v>1.75</v>
      </c>
      <c r="W170" s="60">
        <f>VLOOKUP($A170,'Dados StatusInvest'!$A:$AY,column(W170)-$A$5,0)</f>
        <v>-0.09</v>
      </c>
      <c r="X170" s="60">
        <f>VLOOKUP($A170,'Dados StatusInvest'!$A:$AY,column(X170)-$A$5,0)</f>
        <v>-0.04</v>
      </c>
      <c r="Y170" s="60">
        <f>VLOOKUP($A170,'Dados StatusInvest'!$A:$AY,column(Y170)-$A$5,0)</f>
        <v>2.45</v>
      </c>
      <c r="Z170" s="59">
        <f>VLOOKUP($A170,'Dados StatusInvest'!$A:$AY,column(Z170)-$A$5,0)</f>
        <v>0.4</v>
      </c>
      <c r="AA170" s="59">
        <f>VLOOKUP($A170,'Dados StatusInvest'!$A:$AY,column(AA170)-$A$5,0)</f>
        <v>0.6</v>
      </c>
      <c r="AB170" s="59">
        <f>VLOOKUP($A170,'Dados StatusInvest'!$A:$AY,column(AB170)-$A$5,0)</f>
        <v>0.29</v>
      </c>
      <c r="AC170" s="59">
        <f>VLOOKUP($A170,'Dados StatusInvest'!$A:$AY,column(AC170)-$A$5,0)</f>
        <v>-9.34</v>
      </c>
      <c r="AD170" s="60">
        <f>VLOOKUP($A170,'Dados StatusInvest'!$A:$AY,column(AD170)-$A$5,0)</f>
        <v>0</v>
      </c>
      <c r="AE170" s="62">
        <f>VLOOKUP($A170,'Dados StatusInvest'!$A:$AY,column(AE170)-$A$5,0)</f>
        <v>15802243.08</v>
      </c>
      <c r="AF170" s="18"/>
    </row>
    <row r="171">
      <c r="A171" s="10" t="s">
        <v>217</v>
      </c>
      <c r="B171" s="39" t="str">
        <f>VLOOKUP(lEFT($A171,4),Setor!$A:$E,3,0)</f>
        <v>#N/A</v>
      </c>
      <c r="C171" s="39" t="str">
        <f>VLOOKUP(lEFT($A171,4),Setor!$A:$E,4,0)</f>
        <v>#N/A</v>
      </c>
      <c r="D171" s="39" t="str">
        <f>VLOOKUP(lEFT($A171,4),Setor!$A:$E,5,0)</f>
        <v>#N/A</v>
      </c>
      <c r="E171" s="17">
        <f>IFERROR(__xludf.DUMMYFUNCTION("GOOGLEFINANCE(A171)"),15.52)</f>
        <v>15.52</v>
      </c>
      <c r="F171" s="17">
        <f>IFERROR(__xludf.DUMMYFUNCTION("GOOGLEFINANCE($A171,""high52"")"),24.62)</f>
        <v>24.62</v>
      </c>
      <c r="G171" s="16">
        <f t="shared" si="1"/>
        <v>-0.3696181966</v>
      </c>
      <c r="H171" s="40">
        <f>VLOOKUP($A171,'Dados StatusInvest'!$A:$AY,column(H171)-$A$5,0)*VLOOKUP($A171,'Dados StatusInvest'!$A:$AY,2,0)/$E171/100</f>
        <v>0</v>
      </c>
      <c r="I171" s="41">
        <f>VLOOKUP($A171,'Dados StatusInvest'!$A:$AY,column(I171)-$A$5,0)/VLOOKUP($A171,'Dados StatusInvest'!$A:$AY,2,0)*$E171</f>
        <v>-173.3209052</v>
      </c>
      <c r="J171" s="41">
        <f>VLOOKUP($A171,'Dados StatusInvest'!$A:$AY,column(J171)-$A$5,0)/VLOOKUP($A171,'Dados StatusInvest'!$A:$AY,2,0)*$E171</f>
        <v>4.110189602</v>
      </c>
      <c r="K171" s="42">
        <f>VLOOKUP($A171,'Dados StatusInvest'!$A:$AY,column(K171)-$A$5,0)/VLOOKUP($A171,'Dados StatusInvest'!$A:$AY,2,0)*$E171</f>
        <v>2.790752294</v>
      </c>
      <c r="L171" s="43">
        <f>VLOOKUP($A171,'Dados StatusInvest'!$A:$AY,column(L171)-$A$5,0)/100</f>
        <v>0.4725</v>
      </c>
      <c r="M171" s="47">
        <f>VLOOKUP($A171,'Dados StatusInvest'!$A:$AY,column(M171)-$A$5,0)</f>
        <v>-2.63</v>
      </c>
      <c r="N171" s="47">
        <f>VLOOKUP($A171,'Dados StatusInvest'!$A:$AY,column(N171)-$A$5,0)</f>
        <v>-8.37</v>
      </c>
      <c r="O171" s="41">
        <f>VLOOKUP($A171,'Dados StatusInvest'!$A:$AY,column(O171)-$A$5,0)/VLOOKUP($A171,'Dados StatusInvest'!$A:$AY,2,0)*$E171</f>
        <v>-551.9329664</v>
      </c>
      <c r="P171" s="41">
        <f>VLOOKUP($A171,'Dados StatusInvest'!$A:$AY,column(P171)-$A$5,0)-VLOOKUP($A171,'Dados StatusInvest'!$A:$AY,column(P171)-$A$5-1,0)+O171</f>
        <v>-459.7629664</v>
      </c>
      <c r="Q171" s="44">
        <f>VLOOKUP($A171,'Dados StatusInvest'!$A:$AY,column(Q171)-$A$5,0)</f>
        <v>96.44</v>
      </c>
      <c r="R171" s="44">
        <f>VLOOKUP($A171,'Dados StatusInvest'!$A:$AY,column(R171)-$A$5,0)</f>
        <v>-0.72</v>
      </c>
      <c r="S171" s="41">
        <f>VLOOKUP($A171,'Dados StatusInvest'!$A:$AY,column(S171)-$A$5,0)/VLOOKUP($A171,'Dados StatusInvest'!$A:$AY,2,0)*$E171</f>
        <v>14.50431804</v>
      </c>
      <c r="T171" s="42">
        <f>VLOOKUP($A171,'Dados StatusInvest'!$A:$AY,column(T171)-$A$5,0)/VLOOKUP($A171,'Dados StatusInvest'!$A:$AY,2,0)*$E171</f>
        <v>5.420134557</v>
      </c>
      <c r="U171" s="44">
        <f>VLOOKUP($A171,'Dados StatusInvest'!$A:$AY,column(U171)-$A$5,0)</f>
        <v>-10.21</v>
      </c>
      <c r="V171" s="45">
        <f>VLOOKUP($A171,'Dados StatusInvest'!$A:$AY,column(V171)-$A$5,0)</f>
        <v>3.61</v>
      </c>
      <c r="W171" s="45">
        <f>VLOOKUP($A171,'Dados StatusInvest'!$A:$AY,column(W171)-$A$5,0)</f>
        <v>-2.37</v>
      </c>
      <c r="X171" s="45">
        <f>VLOOKUP($A171,'Dados StatusInvest'!$A:$AY,column(X171)-$A$5,0)</f>
        <v>-1.61</v>
      </c>
      <c r="Y171" s="45">
        <f>VLOOKUP($A171,'Dados StatusInvest'!$A:$AY,column(Y171)-$A$5,0)</f>
        <v>-0.68</v>
      </c>
      <c r="Z171" s="44">
        <f>VLOOKUP($A171,'Dados StatusInvest'!$A:$AY,column(Z171)-$A$5,0)</f>
        <v>0.68</v>
      </c>
      <c r="AA171" s="44">
        <f>VLOOKUP($A171,'Dados StatusInvest'!$A:$AY,column(AA171)-$A$5,0)</f>
        <v>0.32</v>
      </c>
      <c r="AB171" s="44">
        <f>VLOOKUP($A171,'Dados StatusInvest'!$A:$AY,column(AB171)-$A$5,0)</f>
        <v>0.19</v>
      </c>
      <c r="AC171" s="44">
        <f>VLOOKUP($A171,'Dados StatusInvest'!$A:$AY,column(AC171)-$A$5,0)</f>
        <v>0</v>
      </c>
      <c r="AD171" s="45">
        <f>VLOOKUP($A171,'Dados StatusInvest'!$A:$AY,column(AD171)-$A$5,0)</f>
        <v>0</v>
      </c>
      <c r="AE171" s="46">
        <f>VLOOKUP($A171,'Dados StatusInvest'!$A:$AY,column(AE171)-$A$5,0)</f>
        <v>21088137.54</v>
      </c>
      <c r="AF171" s="51"/>
    </row>
    <row r="172">
      <c r="A172" s="10" t="s">
        <v>218</v>
      </c>
      <c r="B172" s="39" t="str">
        <f>VLOOKUP(lEFT($A172,4),Setor!$A:$E,3,0)</f>
        <v>Consumo não Cíclico</v>
      </c>
      <c r="C172" s="39" t="str">
        <f>VLOOKUP(lEFT($A172,4),Setor!$A:$E,4,0)</f>
        <v>Agropecuária</v>
      </c>
      <c r="D172" s="39" t="str">
        <f>VLOOKUP(lEFT($A172,4),Setor!$A:$E,5,0)</f>
        <v>Agricultura</v>
      </c>
      <c r="E172" s="17">
        <f>IFERROR(__xludf.DUMMYFUNCTION("GOOGLEFINANCE(A172)"),32.15)</f>
        <v>32.15</v>
      </c>
      <c r="F172" s="17">
        <f>IFERROR(__xludf.DUMMYFUNCTION("GOOGLEFINANCE($A172,""high52"")"),36.48)</f>
        <v>36.48</v>
      </c>
      <c r="G172" s="16">
        <f t="shared" si="1"/>
        <v>-0.1186951754</v>
      </c>
      <c r="H172" s="40">
        <f>VLOOKUP($A172,'Dados StatusInvest'!$A:$AY,column(H172)-$A$5,0)*VLOOKUP($A172,'Dados StatusInvest'!$A:$AY,2,0)/$E172/100</f>
        <v>0.02203101089</v>
      </c>
      <c r="I172" s="41">
        <f>VLOOKUP($A172,'Dados StatusInvest'!$A:$AY,column(I172)-$A$5,0)/VLOOKUP($A172,'Dados StatusInvest'!$A:$AY,2,0)*$E172</f>
        <v>10.36325574</v>
      </c>
      <c r="J172" s="41">
        <f>VLOOKUP($A172,'Dados StatusInvest'!$A:$AY,column(J172)-$A$5,0)/VLOOKUP($A172,'Dados StatusInvest'!$A:$AY,2,0)*$E172</f>
        <v>1.507193663</v>
      </c>
      <c r="K172" s="42">
        <f>VLOOKUP($A172,'Dados StatusInvest'!$A:$AY,column(K172)-$A$5,0)/VLOOKUP($A172,'Dados StatusInvest'!$A:$AY,2,0)*$E172</f>
        <v>0.9562883931</v>
      </c>
      <c r="L172" s="43">
        <f>VLOOKUP($A172,'Dados StatusInvest'!$A:$AY,column(L172)-$A$5,0)/100</f>
        <v>0.4027</v>
      </c>
      <c r="M172" s="44">
        <f>VLOOKUP($A172,'Dados StatusInvest'!$A:$AY,column(M172)-$A$5,0)</f>
        <v>32.29</v>
      </c>
      <c r="N172" s="44">
        <f>VLOOKUP($A172,'Dados StatusInvest'!$A:$AY,column(N172)-$A$5,0)</f>
        <v>26.02</v>
      </c>
      <c r="O172" s="41">
        <f>VLOOKUP($A172,'Dados StatusInvest'!$A:$AY,column(O172)-$A$5,0)/VLOOKUP($A172,'Dados StatusInvest'!$A:$AY,2,0)*$E172</f>
        <v>8.346734562</v>
      </c>
      <c r="P172" s="41">
        <f>VLOOKUP($A172,'Dados StatusInvest'!$A:$AY,column(P172)-$A$5,0)-VLOOKUP($A172,'Dados StatusInvest'!$A:$AY,column(P172)-$A$5-1,0)+O172</f>
        <v>7.886734562</v>
      </c>
      <c r="Q172" s="44">
        <f>VLOOKUP($A172,'Dados StatusInvest'!$A:$AY,column(Q172)-$A$5,0)</f>
        <v>-0.5</v>
      </c>
      <c r="R172" s="44">
        <f>VLOOKUP($A172,'Dados StatusInvest'!$A:$AY,column(R172)-$A$5,0)</f>
        <v>-0.09</v>
      </c>
      <c r="S172" s="41">
        <f>VLOOKUP($A172,'Dados StatusInvest'!$A:$AY,column(S172)-$A$5,0)/VLOOKUP($A172,'Dados StatusInvest'!$A:$AY,2,0)*$E172</f>
        <v>2.692159715</v>
      </c>
      <c r="T172" s="42">
        <f>VLOOKUP($A172,'Dados StatusInvest'!$A:$AY,column(T172)-$A$5,0)/VLOOKUP($A172,'Dados StatusInvest'!$A:$AY,2,0)*$E172</f>
        <v>2.993598448</v>
      </c>
      <c r="U172" s="44">
        <f>VLOOKUP($A172,'Dados StatusInvest'!$A:$AY,column(U172)-$A$5,0)</f>
        <v>-1.9</v>
      </c>
      <c r="V172" s="45">
        <f>VLOOKUP($A172,'Dados StatusInvest'!$A:$AY,column(V172)-$A$5,0)</f>
        <v>2.66</v>
      </c>
      <c r="W172" s="45">
        <f>VLOOKUP($A172,'Dados StatusInvest'!$A:$AY,column(W172)-$A$5,0)</f>
        <v>14.55</v>
      </c>
      <c r="X172" s="45">
        <f>VLOOKUP($A172,'Dados StatusInvest'!$A:$AY,column(X172)-$A$5,0)</f>
        <v>9.27</v>
      </c>
      <c r="Y172" s="45">
        <f>VLOOKUP($A172,'Dados StatusInvest'!$A:$AY,column(Y172)-$A$5,0)</f>
        <v>12.3</v>
      </c>
      <c r="Z172" s="44">
        <f>VLOOKUP($A172,'Dados StatusInvest'!$A:$AY,column(Z172)-$A$5,0)</f>
        <v>0.64</v>
      </c>
      <c r="AA172" s="44">
        <f>VLOOKUP($A172,'Dados StatusInvest'!$A:$AY,column(AA172)-$A$5,0)</f>
        <v>0.36</v>
      </c>
      <c r="AB172" s="44">
        <f>VLOOKUP($A172,'Dados StatusInvest'!$A:$AY,column(AB172)-$A$5,0)</f>
        <v>0.36</v>
      </c>
      <c r="AC172" s="44">
        <f>VLOOKUP($A172,'Dados StatusInvest'!$A:$AY,column(AC172)-$A$5,0)</f>
        <v>55.29</v>
      </c>
      <c r="AD172" s="45">
        <f>VLOOKUP($A172,'Dados StatusInvest'!$A:$AY,column(AD172)-$A$5,0)</f>
        <v>108.88</v>
      </c>
      <c r="AE172" s="46">
        <f>VLOOKUP($A172,'Dados StatusInvest'!$A:$AY,column(AE172)-$A$5,0)</f>
        <v>23031667.46</v>
      </c>
      <c r="AF172" s="49"/>
    </row>
    <row r="173">
      <c r="A173" s="10" t="s">
        <v>219</v>
      </c>
      <c r="B173" s="39" t="str">
        <f>VLOOKUP(lEFT($A173,4),Setor!$A:$E,3,0)</f>
        <v>Utilidade Pública</v>
      </c>
      <c r="C173" s="39" t="str">
        <f>VLOOKUP(lEFT($A173,4),Setor!$A:$E,4,0)</f>
        <v>Água e Saneamento</v>
      </c>
      <c r="D173" s="39" t="str">
        <f>VLOOKUP(lEFT($A173,4),Setor!$A:$E,5,0)</f>
        <v>Água e Saneamento</v>
      </c>
      <c r="E173" s="17">
        <f>IFERROR(__xludf.DUMMYFUNCTION("GOOGLEFINANCE(A173)"),3.88)</f>
        <v>3.88</v>
      </c>
      <c r="F173" s="17">
        <f>IFERROR(__xludf.DUMMYFUNCTION("GOOGLEFINANCE($A173,""high52"")"),5.45)</f>
        <v>5.45</v>
      </c>
      <c r="G173" s="16">
        <f t="shared" si="1"/>
        <v>-0.2880733945</v>
      </c>
      <c r="H173" s="40">
        <f>VLOOKUP($A173,'Dados StatusInvest'!$A:$AY,column(H173)-$A$5,0)*VLOOKUP($A173,'Dados StatusInvest'!$A:$AY,2,0)/$E173/100</f>
        <v>0.05209407216</v>
      </c>
      <c r="I173" s="41">
        <f>VLOOKUP($A173,'Dados StatusInvest'!$A:$AY,column(I173)-$A$5,0)/VLOOKUP($A173,'Dados StatusInvest'!$A:$AY,2,0)*$E173</f>
        <v>5.68032</v>
      </c>
      <c r="J173" s="41">
        <f>VLOOKUP($A173,'Dados StatusInvest'!$A:$AY,column(J173)-$A$5,0)/VLOOKUP($A173,'Dados StatusInvest'!$A:$AY,2,0)*$E173</f>
        <v>0.80704</v>
      </c>
      <c r="K173" s="42">
        <f>VLOOKUP($A173,'Dados StatusInvest'!$A:$AY,column(K173)-$A$5,0)/VLOOKUP($A173,'Dados StatusInvest'!$A:$AY,2,0)*$E173</f>
        <v>0.4242133333</v>
      </c>
      <c r="L173" s="43">
        <f>VLOOKUP($A173,'Dados StatusInvest'!$A:$AY,column(L173)-$A$5,0)/100</f>
        <v>0.6003</v>
      </c>
      <c r="M173" s="44">
        <f>VLOOKUP($A173,'Dados StatusInvest'!$A:$AY,column(M173)-$A$5,0)</f>
        <v>33.99</v>
      </c>
      <c r="N173" s="44">
        <f>VLOOKUP($A173,'Dados StatusInvest'!$A:$AY,column(N173)-$A$5,0)</f>
        <v>21.09</v>
      </c>
      <c r="O173" s="41">
        <f>VLOOKUP($A173,'Dados StatusInvest'!$A:$AY,column(O173)-$A$5,0)/VLOOKUP($A173,'Dados StatusInvest'!$A:$AY,2,0)*$E173</f>
        <v>3.528213333</v>
      </c>
      <c r="P173" s="41">
        <f>VLOOKUP($A173,'Dados StatusInvest'!$A:$AY,column(P173)-$A$5,0)-VLOOKUP($A173,'Dados StatusInvest'!$A:$AY,column(P173)-$A$5-1,0)+O173</f>
        <v>5.328213333</v>
      </c>
      <c r="Q173" s="44">
        <f>VLOOKUP($A173,'Dados StatusInvest'!$A:$AY,column(Q173)-$A$5,0)</f>
        <v>1.83</v>
      </c>
      <c r="R173" s="44">
        <f>VLOOKUP($A173,'Dados StatusInvest'!$A:$AY,column(R173)-$A$5,0)</f>
        <v>0.42</v>
      </c>
      <c r="S173" s="41">
        <f>VLOOKUP($A173,'Dados StatusInvest'!$A:$AY,column(S173)-$A$5,0)/VLOOKUP($A173,'Dados StatusInvest'!$A:$AY,2,0)*$E173</f>
        <v>1.200213333</v>
      </c>
      <c r="T173" s="42">
        <f>VLOOKUP($A173,'Dados StatusInvest'!$A:$AY,column(T173)-$A$5,0)/VLOOKUP($A173,'Dados StatusInvest'!$A:$AY,2,0)*$E173</f>
        <v>7.739306667</v>
      </c>
      <c r="U173" s="47">
        <f>VLOOKUP($A173,'Dados StatusInvest'!$A:$AY,column(U173)-$A$5,0)</f>
        <v>-0.48</v>
      </c>
      <c r="V173" s="45">
        <f>VLOOKUP($A173,'Dados StatusInvest'!$A:$AY,column(V173)-$A$5,0)</f>
        <v>1.62</v>
      </c>
      <c r="W173" s="45">
        <f>VLOOKUP($A173,'Dados StatusInvest'!$A:$AY,column(W173)-$A$5,0)</f>
        <v>14.15</v>
      </c>
      <c r="X173" s="48">
        <f>VLOOKUP($A173,'Dados StatusInvest'!$A:$AY,column(X173)-$A$5,0)</f>
        <v>7.46</v>
      </c>
      <c r="Y173" s="45">
        <f>VLOOKUP($A173,'Dados StatusInvest'!$A:$AY,column(Y173)-$A$5,0)</f>
        <v>11.19</v>
      </c>
      <c r="Z173" s="44">
        <f>VLOOKUP($A173,'Dados StatusInvest'!$A:$AY,column(Z173)-$A$5,0)</f>
        <v>0.53</v>
      </c>
      <c r="AA173" s="44">
        <f>VLOOKUP($A173,'Dados StatusInvest'!$A:$AY,column(AA173)-$A$5,0)</f>
        <v>0.47</v>
      </c>
      <c r="AB173" s="44">
        <f>VLOOKUP($A173,'Dados StatusInvest'!$A:$AY,column(AB173)-$A$5,0)</f>
        <v>0.35</v>
      </c>
      <c r="AC173" s="44">
        <f>VLOOKUP($A173,'Dados StatusInvest'!$A:$AY,column(AC173)-$A$5,0)</f>
        <v>10.07</v>
      </c>
      <c r="AD173" s="45">
        <f>VLOOKUP($A173,'Dados StatusInvest'!$A:$AY,column(AD173)-$A$5,0)</f>
        <v>18.72</v>
      </c>
      <c r="AE173" s="46">
        <f>VLOOKUP($A173,'Dados StatusInvest'!$A:$AY,column(AE173)-$A$5,0)</f>
        <v>18024604.92</v>
      </c>
      <c r="AF173" s="18"/>
    </row>
    <row r="174">
      <c r="A174" s="10" t="s">
        <v>220</v>
      </c>
      <c r="B174" s="39" t="str">
        <f>VLOOKUP(lEFT($A174,4),Setor!$A:$E,3,0)</f>
        <v>#N/A</v>
      </c>
      <c r="C174" s="39" t="str">
        <f>VLOOKUP(lEFT($A174,4),Setor!$A:$E,4,0)</f>
        <v>#N/A</v>
      </c>
      <c r="D174" s="39" t="str">
        <f>VLOOKUP(lEFT($A174,4),Setor!$A:$E,5,0)</f>
        <v>#N/A</v>
      </c>
      <c r="E174" s="17">
        <f>IFERROR(__xludf.DUMMYFUNCTION("GOOGLEFINANCE(A174)"),19.46)</f>
        <v>19.46</v>
      </c>
      <c r="F174" s="17">
        <f>IFERROR(__xludf.DUMMYFUNCTION("GOOGLEFINANCE($A174,""high52"")"),22.47)</f>
        <v>22.47</v>
      </c>
      <c r="G174" s="16">
        <f t="shared" si="1"/>
        <v>-0.1339563863</v>
      </c>
      <c r="H174" s="40">
        <f>VLOOKUP($A174,'Dados StatusInvest'!$A:$AY,column(H174)-$A$5,0)*VLOOKUP($A174,'Dados StatusInvest'!$A:$AY,2,0)/$E174/100</f>
        <v>0</v>
      </c>
      <c r="I174" s="41">
        <f>VLOOKUP($A174,'Dados StatusInvest'!$A:$AY,column(I174)-$A$5,0)/VLOOKUP($A174,'Dados StatusInvest'!$A:$AY,2,0)*$E174</f>
        <v>38.69561845</v>
      </c>
      <c r="J174" s="41">
        <f>VLOOKUP($A174,'Dados StatusInvest'!$A:$AY,column(J174)-$A$5,0)/VLOOKUP($A174,'Dados StatusInvest'!$A:$AY,2,0)*$E174</f>
        <v>2.784371069</v>
      </c>
      <c r="K174" s="42">
        <f>VLOOKUP($A174,'Dados StatusInvest'!$A:$AY,column(K174)-$A$5,0)/VLOOKUP($A174,'Dados StatusInvest'!$A:$AY,2,0)*$E174</f>
        <v>1.4278826</v>
      </c>
      <c r="L174" s="43">
        <f>VLOOKUP($A174,'Dados StatusInvest'!$A:$AY,column(L174)-$A$5,0)/100</f>
        <v>0.0418</v>
      </c>
      <c r="M174" s="44">
        <f>VLOOKUP($A174,'Dados StatusInvest'!$A:$AY,column(M174)-$A$5,0)</f>
        <v>15.89</v>
      </c>
      <c r="N174" s="44">
        <f>VLOOKUP($A174,'Dados StatusInvest'!$A:$AY,column(N174)-$A$5,0)</f>
        <v>5.96</v>
      </c>
      <c r="O174" s="41">
        <f>VLOOKUP($A174,'Dados StatusInvest'!$A:$AY,column(O174)-$A$5,0)/VLOOKUP($A174,'Dados StatusInvest'!$A:$AY,2,0)*$E174</f>
        <v>14.51340671</v>
      </c>
      <c r="P174" s="41">
        <f>VLOOKUP($A174,'Dados StatusInvest'!$A:$AY,column(P174)-$A$5,0)-VLOOKUP($A174,'Dados StatusInvest'!$A:$AY,column(P174)-$A$5-1,0)+O174</f>
        <v>4.863406709</v>
      </c>
      <c r="Q174" s="44">
        <f>VLOOKUP($A174,'Dados StatusInvest'!$A:$AY,column(Q174)-$A$5,0)</f>
        <v>-9.83</v>
      </c>
      <c r="R174" s="44">
        <f>VLOOKUP($A174,'Dados StatusInvest'!$A:$AY,column(R174)-$A$5,0)</f>
        <v>-1.89</v>
      </c>
      <c r="S174" s="41">
        <f>VLOOKUP($A174,'Dados StatusInvest'!$A:$AY,column(S174)-$A$5,0)/VLOOKUP($A174,'Dados StatusInvest'!$A:$AY,2,0)*$E174</f>
        <v>2.305010482</v>
      </c>
      <c r="T174" s="42">
        <f>VLOOKUP($A174,'Dados StatusInvest'!$A:$AY,column(T174)-$A$5,0)/VLOOKUP($A174,'Dados StatusInvest'!$A:$AY,2,0)*$E174</f>
        <v>1.458480084</v>
      </c>
      <c r="U174" s="44">
        <f>VLOOKUP($A174,'Dados StatusInvest'!$A:$AY,column(U174)-$A$5,0)</f>
        <v>3.56</v>
      </c>
      <c r="V174" s="45">
        <f>VLOOKUP($A174,'Dados StatusInvest'!$A:$AY,column(V174)-$A$5,0)</f>
        <v>0</v>
      </c>
      <c r="W174" s="45">
        <f>VLOOKUP($A174,'Dados StatusInvest'!$A:$AY,column(W174)-$A$5,0)</f>
        <v>7.2</v>
      </c>
      <c r="X174" s="45">
        <f>VLOOKUP($A174,'Dados StatusInvest'!$A:$AY,column(X174)-$A$5,0)</f>
        <v>3.69</v>
      </c>
      <c r="Y174" s="45">
        <f>VLOOKUP($A174,'Dados StatusInvest'!$A:$AY,column(Y174)-$A$5,0)</f>
        <v>15.25</v>
      </c>
      <c r="Z174" s="44">
        <f>VLOOKUP($A174,'Dados StatusInvest'!$A:$AY,column(Z174)-$A$5,0)</f>
        <v>0.51</v>
      </c>
      <c r="AA174" s="44">
        <f>VLOOKUP($A174,'Dados StatusInvest'!$A:$AY,column(AA174)-$A$5,0)</f>
        <v>0.07</v>
      </c>
      <c r="AB174" s="44">
        <f>VLOOKUP($A174,'Dados StatusInvest'!$A:$AY,column(AB174)-$A$5,0)</f>
        <v>0.62</v>
      </c>
      <c r="AC174" s="44">
        <f>VLOOKUP($A174,'Dados StatusInvest'!$A:$AY,column(AC174)-$A$5,0)</f>
        <v>0</v>
      </c>
      <c r="AD174" s="45">
        <f>VLOOKUP($A174,'Dados StatusInvest'!$A:$AY,column(AD174)-$A$5,0)</f>
        <v>0</v>
      </c>
      <c r="AE174" s="46">
        <f>VLOOKUP($A174,'Dados StatusInvest'!$A:$AY,column(AE174)-$A$5,0)</f>
        <v>14418567.5</v>
      </c>
      <c r="AF174" s="50"/>
    </row>
    <row r="175">
      <c r="A175" s="10" t="s">
        <v>221</v>
      </c>
      <c r="B175" s="39" t="str">
        <f>VLOOKUP(lEFT($A175,4),Setor!$A:$E,3,0)</f>
        <v>#N/A</v>
      </c>
      <c r="C175" s="39" t="str">
        <f>VLOOKUP(lEFT($A175,4),Setor!$A:$E,4,0)</f>
        <v>#N/A</v>
      </c>
      <c r="D175" s="39" t="str">
        <f>VLOOKUP(lEFT($A175,4),Setor!$A:$E,5,0)</f>
        <v>#N/A</v>
      </c>
      <c r="E175" s="17">
        <f>IFERROR(__xludf.DUMMYFUNCTION("GOOGLEFINANCE(A175)"),25.17)</f>
        <v>25.17</v>
      </c>
      <c r="F175" s="17">
        <f>IFERROR(__xludf.DUMMYFUNCTION("GOOGLEFINANCE($A175,""high52"")"),31.83)</f>
        <v>31.83</v>
      </c>
      <c r="G175" s="16">
        <f t="shared" si="1"/>
        <v>-0.2092365693</v>
      </c>
      <c r="H175" s="40">
        <f>VLOOKUP($A175,'Dados StatusInvest'!$A:$AY,column(H175)-$A$5,0)*VLOOKUP($A175,'Dados StatusInvest'!$A:$AY,2,0)/$E175/100</f>
        <v>0</v>
      </c>
      <c r="I175" s="41">
        <f>VLOOKUP($A175,'Dados StatusInvest'!$A:$AY,column(I175)-$A$5,0)/VLOOKUP($A175,'Dados StatusInvest'!$A:$AY,2,0)*$E175</f>
        <v>-28.62678271</v>
      </c>
      <c r="J175" s="41">
        <f>VLOOKUP($A175,'Dados StatusInvest'!$A:$AY,column(J175)-$A$5,0)/VLOOKUP($A175,'Dados StatusInvest'!$A:$AY,2,0)*$E175</f>
        <v>4.775944912</v>
      </c>
      <c r="K175" s="42">
        <f>VLOOKUP($A175,'Dados StatusInvest'!$A:$AY,column(K175)-$A$5,0)/VLOOKUP($A175,'Dados StatusInvest'!$A:$AY,2,0)*$E175</f>
        <v>1.85838179</v>
      </c>
      <c r="L175" s="43">
        <f>VLOOKUP($A175,'Dados StatusInvest'!$A:$AY,column(L175)-$A$5,0)/100</f>
        <v>0.3732</v>
      </c>
      <c r="M175" s="47">
        <f>VLOOKUP($A175,'Dados StatusInvest'!$A:$AY,column(M175)-$A$5,0)</f>
        <v>15.56</v>
      </c>
      <c r="N175" s="47">
        <f>VLOOKUP($A175,'Dados StatusInvest'!$A:$AY,column(N175)-$A$5,0)</f>
        <v>-16.49</v>
      </c>
      <c r="O175" s="41">
        <f>VLOOKUP($A175,'Dados StatusInvest'!$A:$AY,column(O175)-$A$5,0)/VLOOKUP($A175,'Dados StatusInvest'!$A:$AY,2,0)*$E175</f>
        <v>30.34073068</v>
      </c>
      <c r="P175" s="41">
        <f>VLOOKUP($A175,'Dados StatusInvest'!$A:$AY,column(P175)-$A$5,0)-VLOOKUP($A175,'Dados StatusInvest'!$A:$AY,column(P175)-$A$5-1,0)+O175</f>
        <v>31.14073068</v>
      </c>
      <c r="Q175" s="44">
        <f>VLOOKUP($A175,'Dados StatusInvest'!$A:$AY,column(Q175)-$A$5,0)</f>
        <v>0.59</v>
      </c>
      <c r="R175" s="44">
        <f>VLOOKUP($A175,'Dados StatusInvest'!$A:$AY,column(R175)-$A$5,0)</f>
        <v>0.09</v>
      </c>
      <c r="S175" s="41">
        <f>VLOOKUP($A175,'Dados StatusInvest'!$A:$AY,column(S175)-$A$5,0)/VLOOKUP($A175,'Dados StatusInvest'!$A:$AY,2,0)*$E175</f>
        <v>4.718171385</v>
      </c>
      <c r="T175" s="42">
        <f>VLOOKUP($A175,'Dados StatusInvest'!$A:$AY,column(T175)-$A$5,0)/VLOOKUP($A175,'Dados StatusInvest'!$A:$AY,2,0)*$E175</f>
        <v>9.080072686</v>
      </c>
      <c r="U175" s="44">
        <f>VLOOKUP($A175,'Dados StatusInvest'!$A:$AY,column(U175)-$A$5,0)</f>
        <v>-3.56</v>
      </c>
      <c r="V175" s="45">
        <f>VLOOKUP($A175,'Dados StatusInvest'!$A:$AY,column(V175)-$A$5,0)</f>
        <v>1.81</v>
      </c>
      <c r="W175" s="45">
        <f>VLOOKUP($A175,'Dados StatusInvest'!$A:$AY,column(W175)-$A$5,0)</f>
        <v>-16.69</v>
      </c>
      <c r="X175" s="45">
        <f>VLOOKUP($A175,'Dados StatusInvest'!$A:$AY,column(X175)-$A$5,0)</f>
        <v>-6.5</v>
      </c>
      <c r="Y175" s="48">
        <f>VLOOKUP($A175,'Dados StatusInvest'!$A:$AY,column(Y175)-$A$5,0)</f>
        <v>5.45</v>
      </c>
      <c r="Z175" s="44">
        <f>VLOOKUP($A175,'Dados StatusInvest'!$A:$AY,column(Z175)-$A$5,0)</f>
        <v>0.39</v>
      </c>
      <c r="AA175" s="44">
        <f>VLOOKUP($A175,'Dados StatusInvest'!$A:$AY,column(AA175)-$A$5,0)</f>
        <v>0.6</v>
      </c>
      <c r="AB175" s="44">
        <f>VLOOKUP($A175,'Dados StatusInvest'!$A:$AY,column(AB175)-$A$5,0)</f>
        <v>0.39</v>
      </c>
      <c r="AC175" s="44">
        <f>VLOOKUP($A175,'Dados StatusInvest'!$A:$AY,column(AC175)-$A$5,0)</f>
        <v>0</v>
      </c>
      <c r="AD175" s="45">
        <f>VLOOKUP($A175,'Dados StatusInvest'!$A:$AY,column(AD175)-$A$5,0)</f>
        <v>0</v>
      </c>
      <c r="AE175" s="46">
        <f>VLOOKUP($A175,'Dados StatusInvest'!$A:$AY,column(AE175)-$A$5,0)</f>
        <v>18700907.96</v>
      </c>
      <c r="AF175" s="49"/>
    </row>
    <row r="176">
      <c r="A176" s="10" t="s">
        <v>222</v>
      </c>
      <c r="B176" s="39" t="str">
        <f>VLOOKUP(lEFT($A176,4),Setor!$A:$E,3,0)</f>
        <v>Bens Industriais</v>
      </c>
      <c r="C176" s="39" t="str">
        <f>VLOOKUP(lEFT($A176,4),Setor!$A:$E,4,0)</f>
        <v>Transporte</v>
      </c>
      <c r="D176" s="39" t="str">
        <f>VLOOKUP(lEFT($A176,4),Setor!$A:$E,5,0)</f>
        <v>Transporte Hidroviário</v>
      </c>
      <c r="E176" s="17">
        <f>IFERROR(__xludf.DUMMYFUNCTION("GOOGLEFINANCE(A176)"),22.2)</f>
        <v>22.2</v>
      </c>
      <c r="F176" s="17">
        <f>IFERROR(__xludf.DUMMYFUNCTION("GOOGLEFINANCE($A176,""high52"")"),22.85)</f>
        <v>22.85</v>
      </c>
      <c r="G176" s="16">
        <f t="shared" si="1"/>
        <v>-0.0284463895</v>
      </c>
      <c r="H176" s="40">
        <f>VLOOKUP($A176,'Dados StatusInvest'!$A:$AY,column(H176)-$A$5,0)*VLOOKUP($A176,'Dados StatusInvest'!$A:$AY,2,0)/$E176/100</f>
        <v>0</v>
      </c>
      <c r="I176" s="41">
        <f>VLOOKUP($A176,'Dados StatusInvest'!$A:$AY,column(I176)-$A$5,0)/VLOOKUP($A176,'Dados StatusInvest'!$A:$AY,2,0)*$E176</f>
        <v>14.80991957</v>
      </c>
      <c r="J176" s="41">
        <f>VLOOKUP($A176,'Dados StatusInvest'!$A:$AY,column(J176)-$A$5,0)/VLOOKUP($A176,'Dados StatusInvest'!$A:$AY,2,0)*$E176</f>
        <v>5.892225201</v>
      </c>
      <c r="K176" s="42">
        <f>VLOOKUP($A176,'Dados StatusInvest'!$A:$AY,column(K176)-$A$5,0)/VLOOKUP($A176,'Dados StatusInvest'!$A:$AY,2,0)*$E176</f>
        <v>1.081233244</v>
      </c>
      <c r="L176" s="43">
        <f>VLOOKUP($A176,'Dados StatusInvest'!$A:$AY,column(L176)-$A$5,0)/100</f>
        <v>0.215</v>
      </c>
      <c r="M176" s="44">
        <f>VLOOKUP($A176,'Dados StatusInvest'!$A:$AY,column(M176)-$A$5,0)</f>
        <v>18.59</v>
      </c>
      <c r="N176" s="44">
        <f>VLOOKUP($A176,'Dados StatusInvest'!$A:$AY,column(N176)-$A$5,0)</f>
        <v>12.49</v>
      </c>
      <c r="O176" s="41">
        <f>VLOOKUP($A176,'Dados StatusInvest'!$A:$AY,column(O176)-$A$5,0)/VLOOKUP($A176,'Dados StatusInvest'!$A:$AY,2,0)*$E176</f>
        <v>9.949329759</v>
      </c>
      <c r="P176" s="41">
        <f>VLOOKUP($A176,'Dados StatusInvest'!$A:$AY,column(P176)-$A$5,0)-VLOOKUP($A176,'Dados StatusInvest'!$A:$AY,column(P176)-$A$5-1,0)+O176</f>
        <v>13.35932976</v>
      </c>
      <c r="Q176" s="44">
        <f>VLOOKUP($A176,'Dados StatusInvest'!$A:$AY,column(Q176)-$A$5,0)</f>
        <v>3.36</v>
      </c>
      <c r="R176" s="44">
        <f>VLOOKUP($A176,'Dados StatusInvest'!$A:$AY,column(R176)-$A$5,0)</f>
        <v>1.99</v>
      </c>
      <c r="S176" s="41">
        <f>VLOOKUP($A176,'Dados StatusInvest'!$A:$AY,column(S176)-$A$5,0)/VLOOKUP($A176,'Dados StatusInvest'!$A:$AY,2,0)*$E176</f>
        <v>1.854959786</v>
      </c>
      <c r="T176" s="42">
        <f>VLOOKUP($A176,'Dados StatusInvest'!$A:$AY,column(T176)-$A$5,0)/VLOOKUP($A176,'Dados StatusInvest'!$A:$AY,2,0)*$E176</f>
        <v>4.523324397</v>
      </c>
      <c r="U176" s="44">
        <f>VLOOKUP($A176,'Dados StatusInvest'!$A:$AY,column(U176)-$A$5,0)</f>
        <v>-1.88</v>
      </c>
      <c r="V176" s="45">
        <f>VLOOKUP($A176,'Dados StatusInvest'!$A:$AY,column(V176)-$A$5,0)</f>
        <v>2.33</v>
      </c>
      <c r="W176" s="45">
        <f>VLOOKUP($A176,'Dados StatusInvest'!$A:$AY,column(W176)-$A$5,0)</f>
        <v>39.8</v>
      </c>
      <c r="X176" s="45">
        <f>VLOOKUP($A176,'Dados StatusInvest'!$A:$AY,column(X176)-$A$5,0)</f>
        <v>7.31</v>
      </c>
      <c r="Y176" s="45">
        <f>VLOOKUP($A176,'Dados StatusInvest'!$A:$AY,column(Y176)-$A$5,0)</f>
        <v>11.5</v>
      </c>
      <c r="Z176" s="44">
        <f>VLOOKUP($A176,'Dados StatusInvest'!$A:$AY,column(Z176)-$A$5,0)</f>
        <v>0.18</v>
      </c>
      <c r="AA176" s="44">
        <f>VLOOKUP($A176,'Dados StatusInvest'!$A:$AY,column(AA176)-$A$5,0)</f>
        <v>0.82</v>
      </c>
      <c r="AB176" s="44">
        <f>VLOOKUP($A176,'Dados StatusInvest'!$A:$AY,column(AB176)-$A$5,0)</f>
        <v>0.59</v>
      </c>
      <c r="AC176" s="44">
        <f>VLOOKUP($A176,'Dados StatusInvest'!$A:$AY,column(AC176)-$A$5,0)</f>
        <v>4.71</v>
      </c>
      <c r="AD176" s="45">
        <f>VLOOKUP($A176,'Dados StatusInvest'!$A:$AY,column(AD176)-$A$5,0)</f>
        <v>0</v>
      </c>
      <c r="AE176" s="46">
        <f>VLOOKUP($A176,'Dados StatusInvest'!$A:$AY,column(AE176)-$A$5,0)</f>
        <v>24679520.42</v>
      </c>
      <c r="AF176" s="49"/>
    </row>
    <row r="177">
      <c r="A177" s="10" t="s">
        <v>223</v>
      </c>
      <c r="B177" s="39" t="str">
        <f>VLOOKUP(lEFT($A177,4),Setor!$A:$E,3,0)</f>
        <v>Financeiro</v>
      </c>
      <c r="C177" s="39" t="str">
        <f>VLOOKUP(lEFT($A177,4),Setor!$A:$E,4,0)</f>
        <v>Intermediários Financeiros</v>
      </c>
      <c r="D177" s="39" t="str">
        <f>VLOOKUP(lEFT($A177,4),Setor!$A:$E,5,0)</f>
        <v>Bancos</v>
      </c>
      <c r="E177" s="17">
        <f>IFERROR(__xludf.DUMMYFUNCTION("GOOGLEFINANCE(A177)"),15.88)</f>
        <v>15.88</v>
      </c>
      <c r="F177" s="17">
        <f>IFERROR(__xludf.DUMMYFUNCTION("GOOGLEFINANCE($A177,""high52"")"),18.08)</f>
        <v>18.08</v>
      </c>
      <c r="G177" s="16">
        <f t="shared" si="1"/>
        <v>-0.1216814159</v>
      </c>
      <c r="H177" s="40">
        <f>VLOOKUP($A177,'Dados StatusInvest'!$A:$AY,column(H177)-$A$5,0)*VLOOKUP($A177,'Dados StatusInvest'!$A:$AY,2,0)/$E177/100</f>
        <v>0.04854200252</v>
      </c>
      <c r="I177" s="41">
        <f>VLOOKUP($A177,'Dados StatusInvest'!$A:$AY,column(I177)-$A$5,0)/VLOOKUP($A177,'Dados StatusInvest'!$A:$AY,2,0)*$E177</f>
        <v>8.160128949</v>
      </c>
      <c r="J177" s="41">
        <f>VLOOKUP($A177,'Dados StatusInvest'!$A:$AY,column(J177)-$A$5,0)/VLOOKUP($A177,'Dados StatusInvest'!$A:$AY,2,0)*$E177</f>
        <v>0.8088459059</v>
      </c>
      <c r="K177" s="42">
        <f>VLOOKUP($A177,'Dados StatusInvest'!$A:$AY,column(K177)-$A$5,0)/VLOOKUP($A177,'Dados StatusInvest'!$A:$AY,2,0)*$E177</f>
        <v>0.08190844616</v>
      </c>
      <c r="L177" s="43">
        <f>VLOOKUP($A177,'Dados StatusInvest'!$A:$AY,column(L177)-$A$5,0)/100</f>
        <v>0.6472</v>
      </c>
      <c r="M177" s="44">
        <f>VLOOKUP($A177,'Dados StatusInvest'!$A:$AY,column(M177)-$A$5,0)</f>
        <v>51.16</v>
      </c>
      <c r="N177" s="44">
        <f>VLOOKUP($A177,'Dados StatusInvest'!$A:$AY,column(N177)-$A$5,0)</f>
        <v>28.9</v>
      </c>
      <c r="O177" s="41">
        <f>VLOOKUP($A177,'Dados StatusInvest'!$A:$AY,column(O177)-$A$5,0)/VLOOKUP($A177,'Dados StatusInvest'!$A:$AY,2,0)*$E177</f>
        <v>4.607350097</v>
      </c>
      <c r="P177" s="41">
        <f>VLOOKUP($A177,'Dados StatusInvest'!$A:$AY,column(P177)-$A$5,0)-VLOOKUP($A177,'Dados StatusInvest'!$A:$AY,column(P177)-$A$5-1,0)+O177</f>
        <v>4.607350097</v>
      </c>
      <c r="Q177" s="44">
        <f>VLOOKUP($A177,'Dados StatusInvest'!$A:$AY,column(Q177)-$A$5,0)</f>
        <v>0</v>
      </c>
      <c r="R177" s="44">
        <f>VLOOKUP($A177,'Dados StatusInvest'!$A:$AY,column(R177)-$A$5,0)</f>
        <v>0</v>
      </c>
      <c r="S177" s="41">
        <f>VLOOKUP($A177,'Dados StatusInvest'!$A:$AY,column(S177)-$A$5,0)/VLOOKUP($A177,'Dados StatusInvest'!$A:$AY,2,0)*$E177</f>
        <v>2.354867827</v>
      </c>
      <c r="T177" s="42">
        <f>VLOOKUP($A177,'Dados StatusInvest'!$A:$AY,column(T177)-$A$5,0)/VLOOKUP($A177,'Dados StatusInvest'!$A:$AY,2,0)*$E177</f>
        <v>1.156956802</v>
      </c>
      <c r="U177" s="44">
        <f>VLOOKUP($A177,'Dados StatusInvest'!$A:$AY,column(U177)-$A$5,0)</f>
        <v>-0.09</v>
      </c>
      <c r="V177" s="45">
        <f>VLOOKUP($A177,'Dados StatusInvest'!$A:$AY,column(V177)-$A$5,0)</f>
        <v>2.41</v>
      </c>
      <c r="W177" s="45">
        <f>VLOOKUP($A177,'Dados StatusInvest'!$A:$AY,column(W177)-$A$5,0)</f>
        <v>9.87</v>
      </c>
      <c r="X177" s="45">
        <f>VLOOKUP($A177,'Dados StatusInvest'!$A:$AY,column(X177)-$A$5,0)</f>
        <v>1</v>
      </c>
      <c r="Y177" s="45">
        <f>VLOOKUP($A177,'Dados StatusInvest'!$A:$AY,column(Y177)-$A$5,0)</f>
        <v>0</v>
      </c>
      <c r="Z177" s="44">
        <f>VLOOKUP($A177,'Dados StatusInvest'!$A:$AY,column(Z177)-$A$5,0)</f>
        <v>0.1</v>
      </c>
      <c r="AA177" s="44">
        <f>VLOOKUP($A177,'Dados StatusInvest'!$A:$AY,column(AA177)-$A$5,0)</f>
        <v>0.9</v>
      </c>
      <c r="AB177" s="44">
        <f>VLOOKUP($A177,'Dados StatusInvest'!$A:$AY,column(AB177)-$A$5,0)</f>
        <v>0.03</v>
      </c>
      <c r="AC177" s="44">
        <f>VLOOKUP($A177,'Dados StatusInvest'!$A:$AY,column(AC177)-$A$5,0)</f>
        <v>1.17</v>
      </c>
      <c r="AD177" s="45">
        <f>VLOOKUP($A177,'Dados StatusInvest'!$A:$AY,column(AD177)-$A$5,0)</f>
        <v>2.52</v>
      </c>
      <c r="AE177" s="46">
        <f>VLOOKUP($A177,'Dados StatusInvest'!$A:$AY,column(AE177)-$A$5,0)</f>
        <v>17570990.42</v>
      </c>
      <c r="AF177" s="50"/>
    </row>
    <row r="178">
      <c r="A178" s="10" t="s">
        <v>224</v>
      </c>
      <c r="B178" s="39" t="str">
        <f>VLOOKUP(lEFT($A178,4),Setor!$A:$E,3,0)</f>
        <v>Consumo Cíclico</v>
      </c>
      <c r="C178" s="39" t="str">
        <f>VLOOKUP(lEFT($A178,4),Setor!$A:$E,4,0)</f>
        <v>Construção Civil</v>
      </c>
      <c r="D178" s="39" t="str">
        <f>VLOOKUP(lEFT($A178,4),Setor!$A:$E,5,0)</f>
        <v>Incorporações</v>
      </c>
      <c r="E178" s="17">
        <f>IFERROR(__xludf.DUMMYFUNCTION("GOOGLEFINANCE(A178)"),7.75)</f>
        <v>7.75</v>
      </c>
      <c r="F178" s="17">
        <f>IFERROR(__xludf.DUMMYFUNCTION("GOOGLEFINANCE($A178,""high52"")"),13.52)</f>
        <v>13.52</v>
      </c>
      <c r="G178" s="16">
        <f t="shared" si="1"/>
        <v>-0.4267751479</v>
      </c>
      <c r="H178" s="40">
        <f>VLOOKUP($A178,'Dados StatusInvest'!$A:$AY,column(H178)-$A$5,0)*VLOOKUP($A178,'Dados StatusInvest'!$A:$AY,2,0)/$E178/100</f>
        <v>0.09770864516</v>
      </c>
      <c r="I178" s="41">
        <f>VLOOKUP($A178,'Dados StatusInvest'!$A:$AY,column(I178)-$A$5,0)/VLOOKUP($A178,'Dados StatusInvest'!$A:$AY,2,0)*$E178</f>
        <v>18.38324538</v>
      </c>
      <c r="J178" s="41">
        <f>VLOOKUP($A178,'Dados StatusInvest'!$A:$AY,column(J178)-$A$5,0)/VLOOKUP($A178,'Dados StatusInvest'!$A:$AY,2,0)*$E178</f>
        <v>0.930408971</v>
      </c>
      <c r="K178" s="42">
        <f>VLOOKUP($A178,'Dados StatusInvest'!$A:$AY,column(K178)-$A$5,0)/VLOOKUP($A178,'Dados StatusInvest'!$A:$AY,2,0)*$E178</f>
        <v>0.2965039578</v>
      </c>
      <c r="L178" s="43">
        <f>VLOOKUP($A178,'Dados StatusInvest'!$A:$AY,column(L178)-$A$5,0)/100</f>
        <v>0.2894</v>
      </c>
      <c r="M178" s="44">
        <f>VLOOKUP($A178,'Dados StatusInvest'!$A:$AY,column(M178)-$A$5,0)</f>
        <v>16.62</v>
      </c>
      <c r="N178" s="44">
        <f>VLOOKUP($A178,'Dados StatusInvest'!$A:$AY,column(N178)-$A$5,0)</f>
        <v>4.26</v>
      </c>
      <c r="O178" s="41">
        <f>VLOOKUP($A178,'Dados StatusInvest'!$A:$AY,column(O178)-$A$5,0)/VLOOKUP($A178,'Dados StatusInvest'!$A:$AY,2,0)*$E178</f>
        <v>4.723614776</v>
      </c>
      <c r="P178" s="41">
        <f>VLOOKUP($A178,'Dados StatusInvest'!$A:$AY,column(P178)-$A$5,0)-VLOOKUP($A178,'Dados StatusInvest'!$A:$AY,column(P178)-$A$5-1,0)+O178</f>
        <v>2.223614776</v>
      </c>
      <c r="Q178" s="44">
        <f>VLOOKUP($A178,'Dados StatusInvest'!$A:$AY,column(Q178)-$A$5,0)</f>
        <v>-2.51</v>
      </c>
      <c r="R178" s="44">
        <f>VLOOKUP($A178,'Dados StatusInvest'!$A:$AY,column(R178)-$A$5,0)</f>
        <v>-0.5</v>
      </c>
      <c r="S178" s="41">
        <f>VLOOKUP($A178,'Dados StatusInvest'!$A:$AY,column(S178)-$A$5,0)/VLOOKUP($A178,'Dados StatusInvest'!$A:$AY,2,0)*$E178</f>
        <v>0.7872691293</v>
      </c>
      <c r="T178" s="42">
        <f>VLOOKUP($A178,'Dados StatusInvest'!$A:$AY,column(T178)-$A$5,0)/VLOOKUP($A178,'Dados StatusInvest'!$A:$AY,2,0)*$E178</f>
        <v>0.6850263852</v>
      </c>
      <c r="U178" s="44">
        <f>VLOOKUP($A178,'Dados StatusInvest'!$A:$AY,column(U178)-$A$5,0)</f>
        <v>-1.31</v>
      </c>
      <c r="V178" s="45">
        <f>VLOOKUP($A178,'Dados StatusInvest'!$A:$AY,column(V178)-$A$5,0)</f>
        <v>2.23</v>
      </c>
      <c r="W178" s="48">
        <f>VLOOKUP($A178,'Dados StatusInvest'!$A:$AY,column(W178)-$A$5,0)</f>
        <v>5.08</v>
      </c>
      <c r="X178" s="45">
        <f>VLOOKUP($A178,'Dados StatusInvest'!$A:$AY,column(X178)-$A$5,0)</f>
        <v>1.59</v>
      </c>
      <c r="Y178" s="45">
        <f>VLOOKUP($A178,'Dados StatusInvest'!$A:$AY,column(Y178)-$A$5,0)</f>
        <v>10.42</v>
      </c>
      <c r="Z178" s="44">
        <f>VLOOKUP($A178,'Dados StatusInvest'!$A:$AY,column(Z178)-$A$5,0)</f>
        <v>0.31</v>
      </c>
      <c r="AA178" s="44">
        <f>VLOOKUP($A178,'Dados StatusInvest'!$A:$AY,column(AA178)-$A$5,0)</f>
        <v>0.55</v>
      </c>
      <c r="AB178" s="44">
        <f>VLOOKUP($A178,'Dados StatusInvest'!$A:$AY,column(AB178)-$A$5,0)</f>
        <v>0.37</v>
      </c>
      <c r="AC178" s="44">
        <f>VLOOKUP($A178,'Dados StatusInvest'!$A:$AY,column(AC178)-$A$5,0)</f>
        <v>-5.4</v>
      </c>
      <c r="AD178" s="45">
        <f>VLOOKUP($A178,'Dados StatusInvest'!$A:$AY,column(AD178)-$A$5,0)</f>
        <v>-2.49</v>
      </c>
      <c r="AE178" s="46">
        <f>VLOOKUP($A178,'Dados StatusInvest'!$A:$AY,column(AE178)-$A$5,0)</f>
        <v>12951409.46</v>
      </c>
      <c r="AF178" s="49"/>
    </row>
    <row r="179">
      <c r="A179" s="10" t="s">
        <v>225</v>
      </c>
      <c r="B179" s="39" t="str">
        <f>VLOOKUP(lEFT($A179,4),Setor!$A:$E,3,0)</f>
        <v>Saúde</v>
      </c>
      <c r="C179" s="39" t="str">
        <f>VLOOKUP(lEFT($A179,4),Setor!$A:$E,4,0)</f>
        <v>Comércio e Distribuição</v>
      </c>
      <c r="D179" s="39" t="str">
        <f>VLOOKUP(lEFT($A179,4),Setor!$A:$E,5,0)</f>
        <v>Medicamentos e Outros Produtos</v>
      </c>
      <c r="E179" s="17">
        <f>IFERROR(__xludf.DUMMYFUNCTION("GOOGLEFINANCE(A179)"),11.57)</f>
        <v>11.57</v>
      </c>
      <c r="F179" s="17">
        <f>IFERROR(__xludf.DUMMYFUNCTION("GOOGLEFINANCE($A179,""high52"")"),13.75)</f>
        <v>13.75</v>
      </c>
      <c r="G179" s="16">
        <f t="shared" si="1"/>
        <v>-0.1585454545</v>
      </c>
      <c r="H179" s="40">
        <f>VLOOKUP($A179,'Dados StatusInvest'!$A:$AY,column(H179)-$A$5,0)*VLOOKUP($A179,'Dados StatusInvest'!$A:$AY,2,0)/$E179/100</f>
        <v>0</v>
      </c>
      <c r="I179" s="41">
        <f>VLOOKUP($A179,'Dados StatusInvest'!$A:$AY,column(I179)-$A$5,0)/VLOOKUP($A179,'Dados StatusInvest'!$A:$AY,2,0)*$E179</f>
        <v>26.8518449</v>
      </c>
      <c r="J179" s="41">
        <f>VLOOKUP($A179,'Dados StatusInvest'!$A:$AY,column(J179)-$A$5,0)/VLOOKUP($A179,'Dados StatusInvest'!$A:$AY,2,0)*$E179</f>
        <v>2.512342857</v>
      </c>
      <c r="K179" s="42">
        <f>VLOOKUP($A179,'Dados StatusInvest'!$A:$AY,column(K179)-$A$5,0)/VLOOKUP($A179,'Dados StatusInvest'!$A:$AY,2,0)*$E179</f>
        <v>0.8972653061</v>
      </c>
      <c r="L179" s="43">
        <f>VLOOKUP($A179,'Dados StatusInvest'!$A:$AY,column(L179)-$A$5,0)/100</f>
        <v>0.3182</v>
      </c>
      <c r="M179" s="47">
        <f>VLOOKUP($A179,'Dados StatusInvest'!$A:$AY,column(M179)-$A$5,0)</f>
        <v>5.54</v>
      </c>
      <c r="N179" s="47">
        <f>VLOOKUP($A179,'Dados StatusInvest'!$A:$AY,column(N179)-$A$5,0)</f>
        <v>2.63</v>
      </c>
      <c r="O179" s="41">
        <f>VLOOKUP($A179,'Dados StatusInvest'!$A:$AY,column(O179)-$A$5,0)/VLOOKUP($A179,'Dados StatusInvest'!$A:$AY,2,0)*$E179</f>
        <v>12.73172245</v>
      </c>
      <c r="P179" s="41">
        <f>VLOOKUP($A179,'Dados StatusInvest'!$A:$AY,column(P179)-$A$5,0)-VLOOKUP($A179,'Dados StatusInvest'!$A:$AY,column(P179)-$A$5-1,0)+O179</f>
        <v>13.79172245</v>
      </c>
      <c r="Q179" s="44">
        <f>VLOOKUP($A179,'Dados StatusInvest'!$A:$AY,column(Q179)-$A$5,0)</f>
        <v>1.02</v>
      </c>
      <c r="R179" s="44">
        <f>VLOOKUP($A179,'Dados StatusInvest'!$A:$AY,column(R179)-$A$5,0)</f>
        <v>0.2</v>
      </c>
      <c r="S179" s="41">
        <f>VLOOKUP($A179,'Dados StatusInvest'!$A:$AY,column(S179)-$A$5,0)/VLOOKUP($A179,'Dados StatusInvest'!$A:$AY,2,0)*$E179</f>
        <v>0.7083673469</v>
      </c>
      <c r="T179" s="42">
        <f>VLOOKUP($A179,'Dados StatusInvest'!$A:$AY,column(T179)-$A$5,0)/VLOOKUP($A179,'Dados StatusInvest'!$A:$AY,2,0)*$E179</f>
        <v>4.155755102</v>
      </c>
      <c r="U179" s="47">
        <f>VLOOKUP($A179,'Dados StatusInvest'!$A:$AY,column(U179)-$A$5,0)</f>
        <v>-2.12</v>
      </c>
      <c r="V179" s="45">
        <f>VLOOKUP($A179,'Dados StatusInvest'!$A:$AY,column(V179)-$A$5,0)</f>
        <v>1.65</v>
      </c>
      <c r="W179" s="45">
        <f>VLOOKUP($A179,'Dados StatusInvest'!$A:$AY,column(W179)-$A$5,0)</f>
        <v>9.36</v>
      </c>
      <c r="X179" s="45">
        <f>VLOOKUP($A179,'Dados StatusInvest'!$A:$AY,column(X179)-$A$5,0)</f>
        <v>3.36</v>
      </c>
      <c r="Y179" s="45">
        <f>VLOOKUP($A179,'Dados StatusInvest'!$A:$AY,column(Y179)-$A$5,0)</f>
        <v>13.98</v>
      </c>
      <c r="Z179" s="44">
        <f>VLOOKUP($A179,'Dados StatusInvest'!$A:$AY,column(Z179)-$A$5,0)</f>
        <v>0.36</v>
      </c>
      <c r="AA179" s="44">
        <f>VLOOKUP($A179,'Dados StatusInvest'!$A:$AY,column(AA179)-$A$5,0)</f>
        <v>0.64</v>
      </c>
      <c r="AB179" s="44">
        <f>VLOOKUP($A179,'Dados StatusInvest'!$A:$AY,column(AB179)-$A$5,0)</f>
        <v>1.28</v>
      </c>
      <c r="AC179" s="44">
        <f>VLOOKUP($A179,'Dados StatusInvest'!$A:$AY,column(AC179)-$A$5,0)</f>
        <v>8.17</v>
      </c>
      <c r="AD179" s="45">
        <f>VLOOKUP($A179,'Dados StatusInvest'!$A:$AY,column(AD179)-$A$5,0)</f>
        <v>43.95</v>
      </c>
      <c r="AE179" s="46">
        <f>VLOOKUP($A179,'Dados StatusInvest'!$A:$AY,column(AE179)-$A$5,0)</f>
        <v>16387676.54</v>
      </c>
      <c r="AF179" s="51"/>
    </row>
    <row r="180">
      <c r="A180" s="10" t="s">
        <v>226</v>
      </c>
      <c r="B180" s="52" t="str">
        <f>VLOOKUP(LEFT($A180,4),Setor!$A:$E,3,0)</f>
        <v>Utilidade Pública</v>
      </c>
      <c r="C180" s="52" t="str">
        <f>VLOOKUP(LEFT($A180,4),Setor!$A:$E,4,0)</f>
        <v>Energia Elétrica</v>
      </c>
      <c r="D180" s="52" t="str">
        <f>VLOOKUP(LEFT($A180,4),Setor!$A:$E,5,0)</f>
        <v>Energia Elétrica</v>
      </c>
      <c r="E180" s="53">
        <f>IFERROR(__xludf.DUMMYFUNCTION("GOOGLEFINANCE(A180)"),5.73)</f>
        <v>5.73</v>
      </c>
      <c r="F180" s="53">
        <f>IFERROR(__xludf.DUMMYFUNCTION("GOOGLEFINANCE($A180,""high52"")"),7.3)</f>
        <v>7.3</v>
      </c>
      <c r="G180" s="54">
        <f t="shared" si="1"/>
        <v>-0.2150684932</v>
      </c>
      <c r="H180" s="55">
        <f>VLOOKUP($A180,'Dados StatusInvest'!$A:$AY,COLUMN(H180)-$A$5,0)*VLOOKUP($A180,'Dados StatusInvest'!$A:$AY,2,0)/$E180/100</f>
        <v>0.23991274</v>
      </c>
      <c r="I180" s="56">
        <f>VLOOKUP($A180,'Dados StatusInvest'!$A:$AY,COLUMN(I180)-$A$5,0)/VLOOKUP($A180,'Dados StatusInvest'!$A:$AY,2,0)*$E180</f>
        <v>4.457745763</v>
      </c>
      <c r="J180" s="56">
        <f>VLOOKUP($A180,'Dados StatusInvest'!$A:$AY,COLUMN(J180)-$A$5,0)/VLOOKUP($A180,'Dados StatusInvest'!$A:$AY,2,0)*$E180</f>
        <v>0.7769491525</v>
      </c>
      <c r="K180" s="57">
        <f>VLOOKUP($A180,'Dados StatusInvest'!$A:$AY,COLUMN(K180)-$A$5,0)/VLOOKUP($A180,'Dados StatusInvest'!$A:$AY,2,0)*$E180</f>
        <v>0.3302033898</v>
      </c>
      <c r="L180" s="58">
        <f>VLOOKUP($A180,'Dados StatusInvest'!$A:$AY,COLUMN(L180)-$A$5,0)/100</f>
        <v>0.2481</v>
      </c>
      <c r="M180" s="63">
        <f>VLOOKUP($A180,'Dados StatusInvest'!$A:$AY,COLUMN(M180)-$A$5,0)</f>
        <v>20.66</v>
      </c>
      <c r="N180" s="63">
        <f>VLOOKUP($A180,'Dados StatusInvest'!$A:$AY,COLUMN(N180)-$A$5,0)</f>
        <v>17.4</v>
      </c>
      <c r="O180" s="56">
        <f>VLOOKUP($A180,'Dados StatusInvest'!$A:$AY,COLUMN(O180)-$A$5,0)/VLOOKUP($A180,'Dados StatusInvest'!$A:$AY,2,0)*$E180</f>
        <v>3.748779661</v>
      </c>
      <c r="P180" s="56">
        <f>VLOOKUP($A180,'Dados StatusInvest'!$A:$AY,COLUMN(P180)-$A$5,0)-VLOOKUP($A180,'Dados StatusInvest'!$A:$AY,COLUMN(P180)-$A$5-1,0)+O180</f>
        <v>6.038779661</v>
      </c>
      <c r="Q180" s="59">
        <f>VLOOKUP($A180,'Dados StatusInvest'!$A:$AY,COLUMN(Q180)-$A$5,0)</f>
        <v>1.95</v>
      </c>
      <c r="R180" s="59">
        <f>VLOOKUP($A180,'Dados StatusInvest'!$A:$AY,COLUMN(R180)-$A$5,0)</f>
        <v>0.4</v>
      </c>
      <c r="S180" s="56">
        <f>VLOOKUP($A180,'Dados StatusInvest'!$A:$AY,COLUMN(S180)-$A$5,0)/VLOOKUP($A180,'Dados StatusInvest'!$A:$AY,2,0)*$E180</f>
        <v>0.7769491525</v>
      </c>
      <c r="T180" s="57">
        <f>VLOOKUP($A180,'Dados StatusInvest'!$A:$AY,COLUMN(T180)-$A$5,0)/VLOOKUP($A180,'Dados StatusInvest'!$A:$AY,2,0)*$E180</f>
        <v>51.49230508</v>
      </c>
      <c r="U180" s="59">
        <f>VLOOKUP($A180,'Dados StatusInvest'!$A:$AY,COLUMN(U180)-$A$5,0)</f>
        <v>-0.43</v>
      </c>
      <c r="V180" s="60">
        <f>VLOOKUP($A180,'Dados StatusInvest'!$A:$AY,COLUMN(V180)-$A$5,0)</f>
        <v>1.03</v>
      </c>
      <c r="W180" s="60">
        <f>VLOOKUP($A180,'Dados StatusInvest'!$A:$AY,COLUMN(W180)-$A$5,0)</f>
        <v>17.45</v>
      </c>
      <c r="X180" s="60">
        <f>VLOOKUP($A180,'Dados StatusInvest'!$A:$AY,COLUMN(X180)-$A$5,0)</f>
        <v>7.43</v>
      </c>
      <c r="Y180" s="60">
        <f>VLOOKUP($A180,'Dados StatusInvest'!$A:$AY,COLUMN(Y180)-$A$5,0)</f>
        <v>11.29</v>
      </c>
      <c r="Z180" s="59">
        <f>VLOOKUP($A180,'Dados StatusInvest'!$A:$AY,COLUMN(Z180)-$A$5,0)</f>
        <v>0.43</v>
      </c>
      <c r="AA180" s="59">
        <f>VLOOKUP($A180,'Dados StatusInvest'!$A:$AY,COLUMN(AA180)-$A$5,0)</f>
        <v>0.57</v>
      </c>
      <c r="AB180" s="59">
        <f>VLOOKUP($A180,'Dados StatusInvest'!$A:$AY,COLUMN(AB180)-$A$5,0)</f>
        <v>0.43</v>
      </c>
      <c r="AC180" s="59">
        <f>VLOOKUP($A180,'Dados StatusInvest'!$A:$AY,COLUMN(AC180)-$A$5,0)</f>
        <v>4.51</v>
      </c>
      <c r="AD180" s="60">
        <f>VLOOKUP($A180,'Dados StatusInvest'!$A:$AY,COLUMN(AD180)-$A$5,0)</f>
        <v>24.16</v>
      </c>
      <c r="AE180" s="62">
        <f>VLOOKUP($A180,'Dados StatusInvest'!$A:$AY,COLUMN(AE180)-$A$5,0)</f>
        <v>21611539.46</v>
      </c>
      <c r="AF180" s="18"/>
    </row>
    <row r="181">
      <c r="A181" s="10" t="s">
        <v>227</v>
      </c>
      <c r="B181" s="39" t="str">
        <f>VLOOKUP(lEFT($A181,4),Setor!$A:$E,3,0)</f>
        <v>Utilidade Pública</v>
      </c>
      <c r="C181" s="39" t="str">
        <f>VLOOKUP(lEFT($A181,4),Setor!$A:$E,4,0)</f>
        <v>Energia Elétrica</v>
      </c>
      <c r="D181" s="39" t="str">
        <f>VLOOKUP(lEFT($A181,4),Setor!$A:$E,5,0)</f>
        <v>Energia Elétrica</v>
      </c>
      <c r="E181" s="17">
        <f>IFERROR(__xludf.DUMMYFUNCTION("GOOGLEFINANCE(A181)"),31.88)</f>
        <v>31.88</v>
      </c>
      <c r="F181" s="17">
        <f>IFERROR(__xludf.DUMMYFUNCTION("GOOGLEFINANCE($A181,""high52"")"),36.51)</f>
        <v>36.51</v>
      </c>
      <c r="G181" s="16">
        <f t="shared" si="1"/>
        <v>-0.1268145714</v>
      </c>
      <c r="H181" s="40">
        <f>VLOOKUP($A181,'Dados StatusInvest'!$A:$AY,column(H181)-$A$5,0)*VLOOKUP($A181,'Dados StatusInvest'!$A:$AY,2,0)/$E181/100</f>
        <v>0.09603011292</v>
      </c>
      <c r="I181" s="41">
        <f>VLOOKUP($A181,'Dados StatusInvest'!$A:$AY,column(I181)-$A$5,0)/VLOOKUP($A181,'Dados StatusInvest'!$A:$AY,2,0)*$E181</f>
        <v>4.958444653</v>
      </c>
      <c r="J181" s="41">
        <f>VLOOKUP($A181,'Dados StatusInvest'!$A:$AY,column(J181)-$A$5,0)/VLOOKUP($A181,'Dados StatusInvest'!$A:$AY,2,0)*$E181</f>
        <v>0.8697271872</v>
      </c>
      <c r="K181" s="42">
        <f>VLOOKUP($A181,'Dados StatusInvest'!$A:$AY,column(K181)-$A$5,0)/VLOOKUP($A181,'Dados StatusInvest'!$A:$AY,2,0)*$E181</f>
        <v>0.3698839762</v>
      </c>
      <c r="L181" s="43">
        <f>VLOOKUP($A181,'Dados StatusInvest'!$A:$AY,column(L181)-$A$5,0)/100</f>
        <v>0.2481</v>
      </c>
      <c r="M181" s="47">
        <f>VLOOKUP($A181,'Dados StatusInvest'!$A:$AY,column(M181)-$A$5,0)</f>
        <v>20.66</v>
      </c>
      <c r="N181" s="47">
        <f>VLOOKUP($A181,'Dados StatusInvest'!$A:$AY,column(N181)-$A$5,0)</f>
        <v>17.4</v>
      </c>
      <c r="O181" s="41">
        <f>VLOOKUP($A181,'Dados StatusInvest'!$A:$AY,column(O181)-$A$5,0)/VLOOKUP($A181,'Dados StatusInvest'!$A:$AY,2,0)*$E181</f>
        <v>4.178689244</v>
      </c>
      <c r="P181" s="41">
        <f>VLOOKUP($A181,'Dados StatusInvest'!$A:$AY,column(P181)-$A$5,0)-VLOOKUP($A181,'Dados StatusInvest'!$A:$AY,column(P181)-$A$5-1,0)+O181</f>
        <v>6.148689244</v>
      </c>
      <c r="Q181" s="44">
        <f>VLOOKUP($A181,'Dados StatusInvest'!$A:$AY,column(Q181)-$A$5,0)</f>
        <v>1.95</v>
      </c>
      <c r="R181" s="44">
        <f>VLOOKUP($A181,'Dados StatusInvest'!$A:$AY,column(R181)-$A$5,0)</f>
        <v>0.4</v>
      </c>
      <c r="S181" s="41">
        <f>VLOOKUP($A181,'Dados StatusInvest'!$A:$AY,column(S181)-$A$5,0)/VLOOKUP($A181,'Dados StatusInvest'!$A:$AY,2,0)*$E181</f>
        <v>0.859730323</v>
      </c>
      <c r="T181" s="42">
        <f>VLOOKUP($A181,'Dados StatusInvest'!$A:$AY,column(T181)-$A$5,0)/VLOOKUP($A181,'Dados StatusInvest'!$A:$AY,2,0)*$E181</f>
        <v>57.30202571</v>
      </c>
      <c r="U181" s="44">
        <f>VLOOKUP($A181,'Dados StatusInvest'!$A:$AY,column(U181)-$A$5,0)</f>
        <v>-0.47</v>
      </c>
      <c r="V181" s="45">
        <f>VLOOKUP($A181,'Dados StatusInvest'!$A:$AY,column(V181)-$A$5,0)</f>
        <v>1.03</v>
      </c>
      <c r="W181" s="45">
        <f>VLOOKUP($A181,'Dados StatusInvest'!$A:$AY,column(W181)-$A$5,0)</f>
        <v>17.45</v>
      </c>
      <c r="X181" s="45">
        <f>VLOOKUP($A181,'Dados StatusInvest'!$A:$AY,column(X181)-$A$5,0)</f>
        <v>7.43</v>
      </c>
      <c r="Y181" s="45">
        <f>VLOOKUP($A181,'Dados StatusInvest'!$A:$AY,column(Y181)-$A$5,0)</f>
        <v>11.29</v>
      </c>
      <c r="Z181" s="44">
        <f>VLOOKUP($A181,'Dados StatusInvest'!$A:$AY,column(Z181)-$A$5,0)</f>
        <v>0.43</v>
      </c>
      <c r="AA181" s="44">
        <f>VLOOKUP($A181,'Dados StatusInvest'!$A:$AY,column(AA181)-$A$5,0)</f>
        <v>0.57</v>
      </c>
      <c r="AB181" s="44">
        <f>VLOOKUP($A181,'Dados StatusInvest'!$A:$AY,column(AB181)-$A$5,0)</f>
        <v>0.43</v>
      </c>
      <c r="AC181" s="44">
        <f>VLOOKUP($A181,'Dados StatusInvest'!$A:$AY,column(AC181)-$A$5,0)</f>
        <v>4.51</v>
      </c>
      <c r="AD181" s="45">
        <f>VLOOKUP($A181,'Dados StatusInvest'!$A:$AY,column(AD181)-$A$5,0)</f>
        <v>24.16</v>
      </c>
      <c r="AE181" s="46">
        <f>VLOOKUP($A181,'Dados StatusInvest'!$A:$AY,column(AE181)-$A$5,0)</f>
        <v>19625830.25</v>
      </c>
      <c r="AF181" s="50"/>
    </row>
    <row r="182">
      <c r="A182" s="10" t="s">
        <v>228</v>
      </c>
      <c r="B182" s="39" t="str">
        <f>VLOOKUP(lEFT($A182,4),Setor!$A:$E,3,0)</f>
        <v>Saúde</v>
      </c>
      <c r="C182" s="39" t="str">
        <f>VLOOKUP(lEFT($A182,4),Setor!$A:$E,4,0)</f>
        <v>Comércio e Distribuição</v>
      </c>
      <c r="D182" s="39" t="str">
        <f>VLOOKUP(lEFT($A182,4),Setor!$A:$E,5,0)</f>
        <v>Medicamentos e Outros Produtos</v>
      </c>
      <c r="E182" s="17">
        <f>IFERROR(__xludf.DUMMYFUNCTION("GOOGLEFINANCE(A182)"),14.12)</f>
        <v>14.12</v>
      </c>
      <c r="F182" s="17">
        <f>IFERROR(__xludf.DUMMYFUNCTION("GOOGLEFINANCE($A182,""high52"")"),23.9)</f>
        <v>23.9</v>
      </c>
      <c r="G182" s="16">
        <f t="shared" si="1"/>
        <v>-0.4092050209</v>
      </c>
      <c r="H182" s="40">
        <f>VLOOKUP($A182,'Dados StatusInvest'!$A:$AY,column(H182)-$A$5,0)*VLOOKUP($A182,'Dados StatusInvest'!$A:$AY,2,0)/$E182/100</f>
        <v>0.01245679887</v>
      </c>
      <c r="I182" s="41">
        <f>VLOOKUP($A182,'Dados StatusInvest'!$A:$AY,column(I182)-$A$5,0)/VLOOKUP($A182,'Dados StatusInvest'!$A:$AY,2,0)*$E182</f>
        <v>26.94648951</v>
      </c>
      <c r="J182" s="41">
        <f>VLOOKUP($A182,'Dados StatusInvest'!$A:$AY,column(J182)-$A$5,0)/VLOOKUP($A182,'Dados StatusInvest'!$A:$AY,2,0)*$E182</f>
        <v>2.073566434</v>
      </c>
      <c r="K182" s="42">
        <f>VLOOKUP($A182,'Dados StatusInvest'!$A:$AY,column(K182)-$A$5,0)/VLOOKUP($A182,'Dados StatusInvest'!$A:$AY,2,0)*$E182</f>
        <v>0.9874125874</v>
      </c>
      <c r="L182" s="43">
        <f>VLOOKUP($A182,'Dados StatusInvest'!$A:$AY,column(L182)-$A$5,0)/100</f>
        <v>0.302</v>
      </c>
      <c r="M182" s="47">
        <f>VLOOKUP($A182,'Dados StatusInvest'!$A:$AY,column(M182)-$A$5,0)</f>
        <v>3.39</v>
      </c>
      <c r="N182" s="47">
        <f>VLOOKUP($A182,'Dados StatusInvest'!$A:$AY,column(N182)-$A$5,0)</f>
        <v>2.6</v>
      </c>
      <c r="O182" s="41">
        <f>VLOOKUP($A182,'Dados StatusInvest'!$A:$AY,column(O182)-$A$5,0)/VLOOKUP($A182,'Dados StatusInvest'!$A:$AY,2,0)*$E182</f>
        <v>20.66654545</v>
      </c>
      <c r="P182" s="41">
        <f>VLOOKUP($A182,'Dados StatusInvest'!$A:$AY,column(P182)-$A$5,0)-VLOOKUP($A182,'Dados StatusInvest'!$A:$AY,column(P182)-$A$5-1,0)+O182</f>
        <v>25.60654545</v>
      </c>
      <c r="Q182" s="44">
        <f>VLOOKUP($A182,'Dados StatusInvest'!$A:$AY,column(Q182)-$A$5,0)</f>
        <v>4.84</v>
      </c>
      <c r="R182" s="44">
        <f>VLOOKUP($A182,'Dados StatusInvest'!$A:$AY,column(R182)-$A$5,0)</f>
        <v>0.49</v>
      </c>
      <c r="S182" s="41">
        <f>VLOOKUP($A182,'Dados StatusInvest'!$A:$AY,column(S182)-$A$5,0)/VLOOKUP($A182,'Dados StatusInvest'!$A:$AY,2,0)*$E182</f>
        <v>0.7010629371</v>
      </c>
      <c r="T182" s="42">
        <f>VLOOKUP($A182,'Dados StatusInvest'!$A:$AY,column(T182)-$A$5,0)/VLOOKUP($A182,'Dados StatusInvest'!$A:$AY,2,0)*$E182</f>
        <v>3.258461538</v>
      </c>
      <c r="U182" s="44">
        <f>VLOOKUP($A182,'Dados StatusInvest'!$A:$AY,column(U182)-$A$5,0)</f>
        <v>-2.41</v>
      </c>
      <c r="V182" s="45">
        <f>VLOOKUP($A182,'Dados StatusInvest'!$A:$AY,column(V182)-$A$5,0)</f>
        <v>2.09</v>
      </c>
      <c r="W182" s="45">
        <f>VLOOKUP($A182,'Dados StatusInvest'!$A:$AY,column(W182)-$A$5,0)</f>
        <v>7.69</v>
      </c>
      <c r="X182" s="45">
        <f>VLOOKUP($A182,'Dados StatusInvest'!$A:$AY,column(X182)-$A$5,0)</f>
        <v>3.68</v>
      </c>
      <c r="Y182" s="45">
        <f>VLOOKUP($A182,'Dados StatusInvest'!$A:$AY,column(Y182)-$A$5,0)</f>
        <v>5.84</v>
      </c>
      <c r="Z182" s="44">
        <f>VLOOKUP($A182,'Dados StatusInvest'!$A:$AY,column(Z182)-$A$5,0)</f>
        <v>0.48</v>
      </c>
      <c r="AA182" s="44">
        <f>VLOOKUP($A182,'Dados StatusInvest'!$A:$AY,column(AA182)-$A$5,0)</f>
        <v>0.52</v>
      </c>
      <c r="AB182" s="44">
        <f>VLOOKUP($A182,'Dados StatusInvest'!$A:$AY,column(AB182)-$A$5,0)</f>
        <v>1.42</v>
      </c>
      <c r="AC182" s="44">
        <f>VLOOKUP($A182,'Dados StatusInvest'!$A:$AY,column(AC182)-$A$5,0)</f>
        <v>7.26</v>
      </c>
      <c r="AD182" s="45">
        <f>VLOOKUP($A182,'Dados StatusInvest'!$A:$AY,column(AD182)-$A$5,0)</f>
        <v>11.73</v>
      </c>
      <c r="AE182" s="46">
        <f>VLOOKUP($A182,'Dados StatusInvest'!$A:$AY,column(AE182)-$A$5,0)</f>
        <v>14371874.46</v>
      </c>
      <c r="AF182" s="49"/>
    </row>
    <row r="183">
      <c r="A183" s="10" t="s">
        <v>229</v>
      </c>
      <c r="B183" s="39" t="str">
        <f>VLOOKUP(lEFT($A183,4),Setor!$A:$E,3,0)</f>
        <v>#N/A</v>
      </c>
      <c r="C183" s="39" t="str">
        <f>VLOOKUP(lEFT($A183,4),Setor!$A:$E,4,0)</f>
        <v>#N/A</v>
      </c>
      <c r="D183" s="39" t="str">
        <f>VLOOKUP(lEFT($A183,4),Setor!$A:$E,5,0)</f>
        <v>#N/A</v>
      </c>
      <c r="E183" s="17">
        <f>IFERROR(__xludf.DUMMYFUNCTION("GOOGLEFINANCE(A183)"),21.72)</f>
        <v>21.72</v>
      </c>
      <c r="F183" s="17">
        <f>IFERROR(__xludf.DUMMYFUNCTION("GOOGLEFINANCE($A183,""high52"")"),26.2)</f>
        <v>26.2</v>
      </c>
      <c r="G183" s="16">
        <f t="shared" si="1"/>
        <v>-0.1709923664</v>
      </c>
      <c r="H183" s="40">
        <f>VLOOKUP($A183,'Dados StatusInvest'!$A:$AY,column(H183)-$A$5,0)*VLOOKUP($A183,'Dados StatusInvest'!$A:$AY,2,0)/$E183/100</f>
        <v>0</v>
      </c>
      <c r="I183" s="41">
        <f>VLOOKUP($A183,'Dados StatusInvest'!$A:$AY,column(I183)-$A$5,0)/VLOOKUP($A183,'Dados StatusInvest'!$A:$AY,2,0)*$E183</f>
        <v>302.1772026</v>
      </c>
      <c r="J183" s="41">
        <f>VLOOKUP($A183,'Dados StatusInvest'!$A:$AY,column(J183)-$A$5,0)/VLOOKUP($A183,'Dados StatusInvest'!$A:$AY,2,0)*$E183</f>
        <v>56.85688402</v>
      </c>
      <c r="K183" s="42">
        <f>VLOOKUP($A183,'Dados StatusInvest'!$A:$AY,column(K183)-$A$5,0)/VLOOKUP($A183,'Dados StatusInvest'!$A:$AY,2,0)*$E183</f>
        <v>8.88692882</v>
      </c>
      <c r="L183" s="43">
        <f>VLOOKUP($A183,'Dados StatusInvest'!$A:$AY,column(L183)-$A$5,0)/100</f>
        <v>0.4624</v>
      </c>
      <c r="M183" s="44">
        <f>VLOOKUP($A183,'Dados StatusInvest'!$A:$AY,column(M183)-$A$5,0)</f>
        <v>37.45</v>
      </c>
      <c r="N183" s="44">
        <f>VLOOKUP($A183,'Dados StatusInvest'!$A:$AY,column(N183)-$A$5,0)</f>
        <v>15.11</v>
      </c>
      <c r="O183" s="41">
        <f>VLOOKUP($A183,'Dados StatusInvest'!$A:$AY,column(O183)-$A$5,0)/VLOOKUP($A183,'Dados StatusInvest'!$A:$AY,2,0)*$E183</f>
        <v>121.9087705</v>
      </c>
      <c r="P183" s="41">
        <f>VLOOKUP($A183,'Dados StatusInvest'!$A:$AY,column(P183)-$A$5,0)-VLOOKUP($A183,'Dados StatusInvest'!$A:$AY,column(P183)-$A$5-1,0)+O183</f>
        <v>130.5887705</v>
      </c>
      <c r="Q183" s="44">
        <f>VLOOKUP($A183,'Dados StatusInvest'!$A:$AY,column(Q183)-$A$5,0)</f>
        <v>7.95</v>
      </c>
      <c r="R183" s="44">
        <f>VLOOKUP($A183,'Dados StatusInvest'!$A:$AY,column(R183)-$A$5,0)</f>
        <v>3.71</v>
      </c>
      <c r="S183" s="41">
        <f>VLOOKUP($A183,'Dados StatusInvest'!$A:$AY,column(S183)-$A$5,0)/VLOOKUP($A183,'Dados StatusInvest'!$A:$AY,2,0)*$E183</f>
        <v>45.66713788</v>
      </c>
      <c r="T183" s="42">
        <f>VLOOKUP($A183,'Dados StatusInvest'!$A:$AY,column(T183)-$A$5,0)/VLOOKUP($A183,'Dados StatusInvest'!$A:$AY,2,0)*$E183</f>
        <v>86.60971628</v>
      </c>
      <c r="U183" s="44">
        <f>VLOOKUP($A183,'Dados StatusInvest'!$A:$AY,column(U183)-$A$5,0)</f>
        <v>-11.33</v>
      </c>
      <c r="V183" s="45">
        <f>VLOOKUP($A183,'Dados StatusInvest'!$A:$AY,column(V183)-$A$5,0)</f>
        <v>1.6</v>
      </c>
      <c r="W183" s="45">
        <f>VLOOKUP($A183,'Dados StatusInvest'!$A:$AY,column(W183)-$A$5,0)</f>
        <v>18.82</v>
      </c>
      <c r="X183" s="45">
        <f>VLOOKUP($A183,'Dados StatusInvest'!$A:$AY,column(X183)-$A$5,0)</f>
        <v>2.94</v>
      </c>
      <c r="Y183" s="45">
        <f>VLOOKUP($A183,'Dados StatusInvest'!$A:$AY,column(Y183)-$A$5,0)</f>
        <v>6.24</v>
      </c>
      <c r="Z183" s="44">
        <f>VLOOKUP($A183,'Dados StatusInvest'!$A:$AY,column(Z183)-$A$5,0)</f>
        <v>0.16</v>
      </c>
      <c r="AA183" s="44">
        <f>VLOOKUP($A183,'Dados StatusInvest'!$A:$AY,column(AA183)-$A$5,0)</f>
        <v>0.84</v>
      </c>
      <c r="AB183" s="44">
        <f>VLOOKUP($A183,'Dados StatusInvest'!$A:$AY,column(AB183)-$A$5,0)</f>
        <v>0.19</v>
      </c>
      <c r="AC183" s="44">
        <f>VLOOKUP($A183,'Dados StatusInvest'!$A:$AY,column(AC183)-$A$5,0)</f>
        <v>0</v>
      </c>
      <c r="AD183" s="45">
        <f>VLOOKUP($A183,'Dados StatusInvest'!$A:$AY,column(AD183)-$A$5,0)</f>
        <v>0</v>
      </c>
      <c r="AE183" s="46">
        <f>VLOOKUP($A183,'Dados StatusInvest'!$A:$AY,column(AE183)-$A$5,0)</f>
        <v>12318283.58</v>
      </c>
      <c r="AF183" s="18"/>
    </row>
    <row r="184">
      <c r="A184" s="10" t="s">
        <v>230</v>
      </c>
      <c r="B184" s="39" t="str">
        <f>VLOOKUP(lEFT($A184,4),Setor!$A:$E,3,0)</f>
        <v>Consumo Cíclico</v>
      </c>
      <c r="C184" s="39" t="str">
        <f>VLOOKUP(lEFT($A184,4),Setor!$A:$E,4,0)</f>
        <v>Construção Civil</v>
      </c>
      <c r="D184" s="39" t="str">
        <f>VLOOKUP(lEFT($A184,4),Setor!$A:$E,5,0)</f>
        <v>Incorporações</v>
      </c>
      <c r="E184" s="17">
        <f>IFERROR(__xludf.DUMMYFUNCTION("GOOGLEFINANCE(A184)"),7.53)</f>
        <v>7.53</v>
      </c>
      <c r="F184" s="17">
        <f>IFERROR(__xludf.DUMMYFUNCTION("GOOGLEFINANCE($A184,""high52"")"),12.93)</f>
        <v>12.93</v>
      </c>
      <c r="G184" s="16">
        <f t="shared" si="1"/>
        <v>-0.4176334107</v>
      </c>
      <c r="H184" s="40">
        <f>VLOOKUP($A184,'Dados StatusInvest'!$A:$AY,column(H184)-$A$5,0)*VLOOKUP($A184,'Dados StatusInvest'!$A:$AY,2,0)/$E184/100</f>
        <v>0.03217211155</v>
      </c>
      <c r="I184" s="41">
        <f>VLOOKUP($A184,'Dados StatusInvest'!$A:$AY,column(I184)-$A$5,0)/VLOOKUP($A184,'Dados StatusInvest'!$A:$AY,2,0)*$E184</f>
        <v>8.062635229</v>
      </c>
      <c r="J184" s="41">
        <f>VLOOKUP($A184,'Dados StatusInvest'!$A:$AY,column(J184)-$A$5,0)/VLOOKUP($A184,'Dados StatusInvest'!$A:$AY,2,0)*$E184</f>
        <v>1.148821082</v>
      </c>
      <c r="K184" s="42">
        <f>VLOOKUP($A184,'Dados StatusInvest'!$A:$AY,column(K184)-$A$5,0)/VLOOKUP($A184,'Dados StatusInvest'!$A:$AY,2,0)*$E184</f>
        <v>0.626629681</v>
      </c>
      <c r="L184" s="43">
        <f>VLOOKUP($A184,'Dados StatusInvest'!$A:$AY,column(L184)-$A$5,0)/100</f>
        <v>0.3652</v>
      </c>
      <c r="M184" s="44">
        <f>VLOOKUP($A184,'Dados StatusInvest'!$A:$AY,column(M184)-$A$5,0)</f>
        <v>23.17</v>
      </c>
      <c r="N184" s="44">
        <f>VLOOKUP($A184,'Dados StatusInvest'!$A:$AY,column(N184)-$A$5,0)</f>
        <v>18.9</v>
      </c>
      <c r="O184" s="41">
        <f>VLOOKUP($A184,'Dados StatusInvest'!$A:$AY,column(O184)-$A$5,0)/VLOOKUP($A184,'Dados StatusInvest'!$A:$AY,2,0)*$E184</f>
        <v>6.57961165</v>
      </c>
      <c r="P184" s="41">
        <f>VLOOKUP($A184,'Dados StatusInvest'!$A:$AY,column(P184)-$A$5,0)-VLOOKUP($A184,'Dados StatusInvest'!$A:$AY,column(P184)-$A$5-1,0)+O184</f>
        <v>7.07961165</v>
      </c>
      <c r="Q184" s="44">
        <f>VLOOKUP($A184,'Dados StatusInvest'!$A:$AY,column(Q184)-$A$5,0)</f>
        <v>0.47</v>
      </c>
      <c r="R184" s="44">
        <f>VLOOKUP($A184,'Dados StatusInvest'!$A:$AY,column(R184)-$A$5,0)</f>
        <v>0.08</v>
      </c>
      <c r="S184" s="41">
        <f>VLOOKUP($A184,'Dados StatusInvest'!$A:$AY,column(S184)-$A$5,0)/VLOOKUP($A184,'Dados StatusInvest'!$A:$AY,2,0)*$E184</f>
        <v>1.52479889</v>
      </c>
      <c r="T184" s="42">
        <f>VLOOKUP($A184,'Dados StatusInvest'!$A:$AY,column(T184)-$A$5,0)/VLOOKUP($A184,'Dados StatusInvest'!$A:$AY,2,0)*$E184</f>
        <v>1.15926491</v>
      </c>
      <c r="U184" s="44">
        <f>VLOOKUP($A184,'Dados StatusInvest'!$A:$AY,column(U184)-$A$5,0)</f>
        <v>-2.83</v>
      </c>
      <c r="V184" s="45">
        <f>VLOOKUP($A184,'Dados StatusInvest'!$A:$AY,column(V184)-$A$5,0)</f>
        <v>3.2</v>
      </c>
      <c r="W184" s="45">
        <f>VLOOKUP($A184,'Dados StatusInvest'!$A:$AY,column(W184)-$A$5,0)</f>
        <v>14.18</v>
      </c>
      <c r="X184" s="45">
        <f>VLOOKUP($A184,'Dados StatusInvest'!$A:$AY,column(X184)-$A$5,0)</f>
        <v>7.78</v>
      </c>
      <c r="Y184" s="48">
        <f>VLOOKUP($A184,'Dados StatusInvest'!$A:$AY,column(Y184)-$A$5,0)</f>
        <v>10.94</v>
      </c>
      <c r="Z184" s="44">
        <f>VLOOKUP($A184,'Dados StatusInvest'!$A:$AY,column(Z184)-$A$5,0)</f>
        <v>0.55</v>
      </c>
      <c r="AA184" s="44">
        <f>VLOOKUP($A184,'Dados StatusInvest'!$A:$AY,column(AA184)-$A$5,0)</f>
        <v>0.42</v>
      </c>
      <c r="AB184" s="44">
        <f>VLOOKUP($A184,'Dados StatusInvest'!$A:$AY,column(AB184)-$A$5,0)</f>
        <v>0.41</v>
      </c>
      <c r="AC184" s="44">
        <f>VLOOKUP($A184,'Dados StatusInvest'!$A:$AY,column(AC184)-$A$5,0)</f>
        <v>18.29</v>
      </c>
      <c r="AD184" s="45">
        <f>VLOOKUP($A184,'Dados StatusInvest'!$A:$AY,column(AD184)-$A$5,0)</f>
        <v>55.55</v>
      </c>
      <c r="AE184" s="46">
        <f>VLOOKUP($A184,'Dados StatusInvest'!$A:$AY,column(AE184)-$A$5,0)</f>
        <v>12930315.79</v>
      </c>
      <c r="AF184" s="18"/>
    </row>
    <row r="185">
      <c r="A185" s="10" t="s">
        <v>231</v>
      </c>
      <c r="B185" s="39" t="str">
        <f>VLOOKUP(lEFT($A185,4),Setor!$A:$E,3,0)</f>
        <v>Tecnologia da Informação</v>
      </c>
      <c r="C185" s="39" t="str">
        <f>VLOOKUP(lEFT($A185,4),Setor!$A:$E,4,0)</f>
        <v>Programas e Serviços</v>
      </c>
      <c r="D185" s="39" t="str">
        <f>VLOOKUP(lEFT($A185,4),Setor!$A:$E,5,0)</f>
        <v>Programas e Serviços</v>
      </c>
      <c r="E185" s="17">
        <f>IFERROR(__xludf.DUMMYFUNCTION("GOOGLEFINANCE(A185)"),4.88)</f>
        <v>4.88</v>
      </c>
      <c r="F185" s="17">
        <f>IFERROR(__xludf.DUMMYFUNCTION("GOOGLEFINANCE($A185,""high52"")"),21.74)</f>
        <v>21.74</v>
      </c>
      <c r="G185" s="16">
        <f t="shared" si="1"/>
        <v>-0.7755289788</v>
      </c>
      <c r="H185" s="40">
        <f>VLOOKUP($A185,'Dados StatusInvest'!$A:$AY,column(H185)-$A$5,0)*VLOOKUP($A185,'Dados StatusInvest'!$A:$AY,2,0)/$E185/100</f>
        <v>0</v>
      </c>
      <c r="I185" s="41">
        <f>VLOOKUP($A185,'Dados StatusInvest'!$A:$AY,column(I185)-$A$5,0)/VLOOKUP($A185,'Dados StatusInvest'!$A:$AY,2,0)*$E185</f>
        <v>-10.86812227</v>
      </c>
      <c r="J185" s="41">
        <f>VLOOKUP($A185,'Dados StatusInvest'!$A:$AY,column(J185)-$A$5,0)/VLOOKUP($A185,'Dados StatusInvest'!$A:$AY,2,0)*$E185</f>
        <v>2.067074236</v>
      </c>
      <c r="K185" s="42">
        <f>VLOOKUP($A185,'Dados StatusInvest'!$A:$AY,column(K185)-$A$5,0)/VLOOKUP($A185,'Dados StatusInvest'!$A:$AY,2,0)*$E185</f>
        <v>1.928558952</v>
      </c>
      <c r="L185" s="43">
        <f>VLOOKUP($A185,'Dados StatusInvest'!$A:$AY,column(L185)-$A$5,0)/100</f>
        <v>0.2959</v>
      </c>
      <c r="M185" s="44">
        <f>VLOOKUP($A185,'Dados StatusInvest'!$A:$AY,column(M185)-$A$5,0)</f>
        <v>-92.62</v>
      </c>
      <c r="N185" s="44">
        <f>VLOOKUP($A185,'Dados StatusInvest'!$A:$AY,column(N185)-$A$5,0)</f>
        <v>-87.34</v>
      </c>
      <c r="O185" s="41">
        <f>VLOOKUP($A185,'Dados StatusInvest'!$A:$AY,column(O185)-$A$5,0)/VLOOKUP($A185,'Dados StatusInvest'!$A:$AY,2,0)*$E185</f>
        <v>-10.250131</v>
      </c>
      <c r="P185" s="41">
        <f>VLOOKUP($A185,'Dados StatusInvest'!$A:$AY,column(P185)-$A$5,0)-VLOOKUP($A185,'Dados StatusInvest'!$A:$AY,column(P185)-$A$5-1,0)+O185</f>
        <v>-5.590131004</v>
      </c>
      <c r="Q185" s="44">
        <f>VLOOKUP($A185,'Dados StatusInvest'!$A:$AY,column(Q185)-$A$5,0)</f>
        <v>4.76</v>
      </c>
      <c r="R185" s="44">
        <f>VLOOKUP($A185,'Dados StatusInvest'!$A:$AY,column(R185)-$A$5,0)</f>
        <v>-0.96</v>
      </c>
      <c r="S185" s="41">
        <f>VLOOKUP($A185,'Dados StatusInvest'!$A:$AY,column(S185)-$A$5,0)/VLOOKUP($A185,'Dados StatusInvest'!$A:$AY,2,0)*$E185</f>
        <v>9.493624454</v>
      </c>
      <c r="T185" s="42">
        <f>VLOOKUP($A185,'Dados StatusInvest'!$A:$AY,column(T185)-$A$5,0)/VLOOKUP($A185,'Dados StatusInvest'!$A:$AY,2,0)*$E185</f>
        <v>2.216244541</v>
      </c>
      <c r="U185" s="44">
        <f>VLOOKUP($A185,'Dados StatusInvest'!$A:$AY,column(U185)-$A$5,0)</f>
        <v>-26.64</v>
      </c>
      <c r="V185" s="45">
        <f>VLOOKUP($A185,'Dados StatusInvest'!$A:$AY,column(V185)-$A$5,0)</f>
        <v>14.57</v>
      </c>
      <c r="W185" s="45">
        <f>VLOOKUP($A185,'Dados StatusInvest'!$A:$AY,column(W185)-$A$5,0)</f>
        <v>-19.05</v>
      </c>
      <c r="X185" s="45">
        <f>VLOOKUP($A185,'Dados StatusInvest'!$A:$AY,column(X185)-$A$5,0)</f>
        <v>-17.69</v>
      </c>
      <c r="Y185" s="45">
        <f>VLOOKUP($A185,'Dados StatusInvest'!$A:$AY,column(Y185)-$A$5,0)</f>
        <v>-20.2</v>
      </c>
      <c r="Z185" s="44">
        <f>VLOOKUP($A185,'Dados StatusInvest'!$A:$AY,column(Z185)-$A$5,0)</f>
        <v>0.93</v>
      </c>
      <c r="AA185" s="44">
        <f>VLOOKUP($A185,'Dados StatusInvest'!$A:$AY,column(AA185)-$A$5,0)</f>
        <v>0.07</v>
      </c>
      <c r="AB185" s="44">
        <f>VLOOKUP($A185,'Dados StatusInvest'!$A:$AY,column(AB185)-$A$5,0)</f>
        <v>0.2</v>
      </c>
      <c r="AC185" s="44">
        <f>VLOOKUP($A185,'Dados StatusInvest'!$A:$AY,column(AC185)-$A$5,0)</f>
        <v>0</v>
      </c>
      <c r="AD185" s="45">
        <f>VLOOKUP($A185,'Dados StatusInvest'!$A:$AY,column(AD185)-$A$5,0)</f>
        <v>0</v>
      </c>
      <c r="AE185" s="46">
        <f>VLOOKUP($A185,'Dados StatusInvest'!$A:$AY,column(AE185)-$A$5,0)</f>
        <v>10429479.96</v>
      </c>
      <c r="AF185" s="51"/>
    </row>
    <row r="186">
      <c r="A186" s="10" t="s">
        <v>232</v>
      </c>
      <c r="B186" s="39" t="str">
        <f>VLOOKUP(lEFT($A186,4),Setor!$A:$E,3,0)</f>
        <v>Saúde</v>
      </c>
      <c r="C186" s="39" t="str">
        <f>VLOOKUP(lEFT($A186,4),Setor!$A:$E,4,0)</f>
        <v>Análises e Diagnósticos</v>
      </c>
      <c r="D186" s="39" t="str">
        <f>VLOOKUP(lEFT($A186,4),Setor!$A:$E,5,0)</f>
        <v>Análises e Diagnósticos</v>
      </c>
      <c r="E186" s="17">
        <f>IFERROR(__xludf.DUMMYFUNCTION("GOOGLEFINANCE(A186)"),14.47)</f>
        <v>14.47</v>
      </c>
      <c r="F186" s="17">
        <f>IFERROR(__xludf.DUMMYFUNCTION("GOOGLEFINANCE($A186,""high52"")"),16.48)</f>
        <v>16.48</v>
      </c>
      <c r="G186" s="16">
        <f t="shared" si="1"/>
        <v>-0.1219660194</v>
      </c>
      <c r="H186" s="40">
        <f>VLOOKUP($A186,'Dados StatusInvest'!$A:$AY,column(H186)-$A$5,0)*VLOOKUP($A186,'Dados StatusInvest'!$A:$AY,2,0)/$E186/100</f>
        <v>0.04200248791</v>
      </c>
      <c r="I186" s="41">
        <f>VLOOKUP($A186,'Dados StatusInvest'!$A:$AY,column(I186)-$A$5,0)/VLOOKUP($A186,'Dados StatusInvest'!$A:$AY,2,0)*$E186</f>
        <v>21.07608487</v>
      </c>
      <c r="J186" s="41">
        <f>VLOOKUP($A186,'Dados StatusInvest'!$A:$AY,column(J186)-$A$5,0)/VLOOKUP($A186,'Dados StatusInvest'!$A:$AY,2,0)*$E186</f>
        <v>7.071581109</v>
      </c>
      <c r="K186" s="42">
        <f>VLOOKUP($A186,'Dados StatusInvest'!$A:$AY,column(K186)-$A$5,0)/VLOOKUP($A186,'Dados StatusInvest'!$A:$AY,2,0)*$E186</f>
        <v>3.803203285</v>
      </c>
      <c r="L186" s="43">
        <f>VLOOKUP($A186,'Dados StatusInvest'!$A:$AY,column(L186)-$A$5,0)/100</f>
        <v>0.5928</v>
      </c>
      <c r="M186" s="44">
        <f>VLOOKUP($A186,'Dados StatusInvest'!$A:$AY,column(M186)-$A$5,0)</f>
        <v>28.91</v>
      </c>
      <c r="N186" s="44">
        <f>VLOOKUP($A186,'Dados StatusInvest'!$A:$AY,column(N186)-$A$5,0)</f>
        <v>20.46</v>
      </c>
      <c r="O186" s="41">
        <f>VLOOKUP($A186,'Dados StatusInvest'!$A:$AY,column(O186)-$A$5,0)/VLOOKUP($A186,'Dados StatusInvest'!$A:$AY,2,0)*$E186</f>
        <v>14.91568789</v>
      </c>
      <c r="P186" s="41">
        <f>VLOOKUP($A186,'Dados StatusInvest'!$A:$AY,column(P186)-$A$5,0)-VLOOKUP($A186,'Dados StatusInvest'!$A:$AY,column(P186)-$A$5-1,0)+O186</f>
        <v>14.06568789</v>
      </c>
      <c r="Q186" s="44">
        <f>VLOOKUP($A186,'Dados StatusInvest'!$A:$AY,column(Q186)-$A$5,0)</f>
        <v>-0.94</v>
      </c>
      <c r="R186" s="44">
        <f>VLOOKUP($A186,'Dados StatusInvest'!$A:$AY,column(R186)-$A$5,0)</f>
        <v>-0.44</v>
      </c>
      <c r="S186" s="41">
        <f>VLOOKUP($A186,'Dados StatusInvest'!$A:$AY,column(S186)-$A$5,0)/VLOOKUP($A186,'Dados StatusInvest'!$A:$AY,2,0)*$E186</f>
        <v>4.308316222</v>
      </c>
      <c r="T186" s="42">
        <f>VLOOKUP($A186,'Dados StatusInvest'!$A:$AY,column(T186)-$A$5,0)/VLOOKUP($A186,'Dados StatusInvest'!$A:$AY,2,0)*$E186</f>
        <v>-1162.354004</v>
      </c>
      <c r="U186" s="44">
        <f>VLOOKUP($A186,'Dados StatusInvest'!$A:$AY,column(U186)-$A$5,0)</f>
        <v>-6.03</v>
      </c>
      <c r="V186" s="45">
        <f>VLOOKUP($A186,'Dados StatusInvest'!$A:$AY,column(V186)-$A$5,0)</f>
        <v>0.99</v>
      </c>
      <c r="W186" s="48">
        <f>VLOOKUP($A186,'Dados StatusInvest'!$A:$AY,column(W186)-$A$5,0)</f>
        <v>33.56</v>
      </c>
      <c r="X186" s="45">
        <f>VLOOKUP($A186,'Dados StatusInvest'!$A:$AY,column(X186)-$A$5,0)</f>
        <v>18.06</v>
      </c>
      <c r="Y186" s="45">
        <f>VLOOKUP($A186,'Dados StatusInvest'!$A:$AY,column(Y186)-$A$5,0)</f>
        <v>32.3</v>
      </c>
      <c r="Z186" s="44">
        <f>VLOOKUP($A186,'Dados StatusInvest'!$A:$AY,column(Z186)-$A$5,0)</f>
        <v>0.54</v>
      </c>
      <c r="AA186" s="44">
        <f>VLOOKUP($A186,'Dados StatusInvest'!$A:$AY,column(AA186)-$A$5,0)</f>
        <v>0.46</v>
      </c>
      <c r="AB186" s="44">
        <f>VLOOKUP($A186,'Dados StatusInvest'!$A:$AY,column(AB186)-$A$5,0)</f>
        <v>0.88</v>
      </c>
      <c r="AC186" s="44">
        <f>VLOOKUP($A186,'Dados StatusInvest'!$A:$AY,column(AC186)-$A$5,0)</f>
        <v>7.15</v>
      </c>
      <c r="AD186" s="45">
        <f>VLOOKUP($A186,'Dados StatusInvest'!$A:$AY,column(AD186)-$A$5,0)</f>
        <v>10.55</v>
      </c>
      <c r="AE186" s="46">
        <f>VLOOKUP($A186,'Dados StatusInvest'!$A:$AY,column(AE186)-$A$5,0)</f>
        <v>17978875.63</v>
      </c>
      <c r="AF186" s="51"/>
    </row>
    <row r="187">
      <c r="A187" s="10" t="s">
        <v>233</v>
      </c>
      <c r="B187" s="39" t="str">
        <f>VLOOKUP(lEFT($A187,4),Setor!$A:$E,3,0)</f>
        <v>#N/A</v>
      </c>
      <c r="C187" s="39" t="str">
        <f>VLOOKUP(lEFT($A187,4),Setor!$A:$E,4,0)</f>
        <v>#N/A</v>
      </c>
      <c r="D187" s="39" t="str">
        <f>VLOOKUP(lEFT($A187,4),Setor!$A:$E,5,0)</f>
        <v>#N/A</v>
      </c>
      <c r="E187" s="17">
        <f>IFERROR(__xludf.DUMMYFUNCTION("GOOGLEFINANCE(A187)"),41.0)</f>
        <v>41</v>
      </c>
      <c r="F187" s="17">
        <f>IFERROR(__xludf.DUMMYFUNCTION("GOOGLEFINANCE($A187,""high52"")"),54.92)</f>
        <v>54.92</v>
      </c>
      <c r="G187" s="16">
        <f t="shared" si="1"/>
        <v>-0.2534595776</v>
      </c>
      <c r="H187" s="40">
        <f>VLOOKUP($A187,'Dados StatusInvest'!$A:$AY,column(H187)-$A$5,0)*VLOOKUP($A187,'Dados StatusInvest'!$A:$AY,2,0)/$E187/100</f>
        <v>0.003068341463</v>
      </c>
      <c r="I187" s="41">
        <f>VLOOKUP($A187,'Dados StatusInvest'!$A:$AY,column(I187)-$A$5,0)/VLOOKUP($A187,'Dados StatusInvest'!$A:$AY,2,0)*$E187</f>
        <v>21.96496081</v>
      </c>
      <c r="J187" s="41">
        <f>VLOOKUP($A187,'Dados StatusInvest'!$A:$AY,column(J187)-$A$5,0)/VLOOKUP($A187,'Dados StatusInvest'!$A:$AY,2,0)*$E187</f>
        <v>4.735131397</v>
      </c>
      <c r="K187" s="42">
        <f>VLOOKUP($A187,'Dados StatusInvest'!$A:$AY,column(K187)-$A$5,0)/VLOOKUP($A187,'Dados StatusInvest'!$A:$AY,2,0)*$E187</f>
        <v>3.175656985</v>
      </c>
      <c r="L187" s="43">
        <f>VLOOKUP($A187,'Dados StatusInvest'!$A:$AY,column(L187)-$A$5,0)/100</f>
        <v>0.5055</v>
      </c>
      <c r="M187" s="44">
        <f>VLOOKUP($A187,'Dados StatusInvest'!$A:$AY,column(M187)-$A$5,0)</f>
        <v>36.11</v>
      </c>
      <c r="N187" s="44">
        <f>VLOOKUP($A187,'Dados StatusInvest'!$A:$AY,column(N187)-$A$5,0)</f>
        <v>25.03</v>
      </c>
      <c r="O187" s="41">
        <f>VLOOKUP($A187,'Dados StatusInvest'!$A:$AY,column(O187)-$A$5,0)/VLOOKUP($A187,'Dados StatusInvest'!$A:$AY,2,0)*$E187</f>
        <v>15.22614108</v>
      </c>
      <c r="P187" s="41">
        <f>VLOOKUP($A187,'Dados StatusInvest'!$A:$AY,column(P187)-$A$5,0)-VLOOKUP($A187,'Dados StatusInvest'!$A:$AY,column(P187)-$A$5-1,0)+O187</f>
        <v>14.28614108</v>
      </c>
      <c r="Q187" s="44">
        <f>VLOOKUP($A187,'Dados StatusInvest'!$A:$AY,column(Q187)-$A$5,0)</f>
        <v>-1.05</v>
      </c>
      <c r="R187" s="44">
        <f>VLOOKUP($A187,'Dados StatusInvest'!$A:$AY,column(R187)-$A$5,0)</f>
        <v>-0.33</v>
      </c>
      <c r="S187" s="41">
        <f>VLOOKUP($A187,'Dados StatusInvest'!$A:$AY,column(S187)-$A$5,0)/VLOOKUP($A187,'Dados StatusInvest'!$A:$AY,2,0)*$E187</f>
        <v>5.500691563</v>
      </c>
      <c r="T187" s="42">
        <f>VLOOKUP($A187,'Dados StatusInvest'!$A:$AY,column(T187)-$A$5,0)/VLOOKUP($A187,'Dados StatusInvest'!$A:$AY,2,0)*$E187</f>
        <v>5.406177962</v>
      </c>
      <c r="U187" s="44">
        <f>VLOOKUP($A187,'Dados StatusInvest'!$A:$AY,column(U187)-$A$5,0)</f>
        <v>-14.21</v>
      </c>
      <c r="V187" s="45">
        <f>VLOOKUP($A187,'Dados StatusInvest'!$A:$AY,column(V187)-$A$5,0)</f>
        <v>4.34</v>
      </c>
      <c r="W187" s="45">
        <f>VLOOKUP($A187,'Dados StatusInvest'!$A:$AY,column(W187)-$A$5,0)</f>
        <v>21.54</v>
      </c>
      <c r="X187" s="45">
        <f>VLOOKUP($A187,'Dados StatusInvest'!$A:$AY,column(X187)-$A$5,0)</f>
        <v>14.47</v>
      </c>
      <c r="Y187" s="45">
        <f>VLOOKUP($A187,'Dados StatusInvest'!$A:$AY,column(Y187)-$A$5,0)</f>
        <v>16.38</v>
      </c>
      <c r="Z187" s="44">
        <f>VLOOKUP($A187,'Dados StatusInvest'!$A:$AY,column(Z187)-$A$5,0)</f>
        <v>0.67</v>
      </c>
      <c r="AA187" s="44">
        <f>VLOOKUP($A187,'Dados StatusInvest'!$A:$AY,column(AA187)-$A$5,0)</f>
        <v>0.33</v>
      </c>
      <c r="AB187" s="44">
        <f>VLOOKUP($A187,'Dados StatusInvest'!$A:$AY,column(AB187)-$A$5,0)</f>
        <v>0.58</v>
      </c>
      <c r="AC187" s="44">
        <f>VLOOKUP($A187,'Dados StatusInvest'!$A:$AY,column(AC187)-$A$5,0)</f>
        <v>0</v>
      </c>
      <c r="AD187" s="45">
        <f>VLOOKUP($A187,'Dados StatusInvest'!$A:$AY,column(AD187)-$A$5,0)</f>
        <v>0</v>
      </c>
      <c r="AE187" s="46">
        <f>VLOOKUP($A187,'Dados StatusInvest'!$A:$AY,column(AE187)-$A$5,0)</f>
        <v>14903444.5</v>
      </c>
      <c r="AF187" s="49"/>
    </row>
    <row r="188">
      <c r="A188" s="10" t="s">
        <v>234</v>
      </c>
      <c r="B188" s="39" t="str">
        <f>VLOOKUP(lEFT($A188,4),Setor!$A:$E,3,0)</f>
        <v>Consumo não Cíclico</v>
      </c>
      <c r="C188" s="39" t="str">
        <f>VLOOKUP(lEFT($A188,4),Setor!$A:$E,4,0)</f>
        <v>Alimentos Processados</v>
      </c>
      <c r="D188" s="39" t="str">
        <f>VLOOKUP(lEFT($A188,4),Setor!$A:$E,5,0)</f>
        <v>Alimentos Diversos</v>
      </c>
      <c r="E188" s="17">
        <f>IFERROR(__xludf.DUMMYFUNCTION("GOOGLEFINANCE(A188)"),9.53)</f>
        <v>9.53</v>
      </c>
      <c r="F188" s="17">
        <f>IFERROR(__xludf.DUMMYFUNCTION("GOOGLEFINANCE($A188,""high52"")"),15.26)</f>
        <v>15.26</v>
      </c>
      <c r="G188" s="16">
        <f t="shared" si="1"/>
        <v>-0.375491481</v>
      </c>
      <c r="H188" s="40">
        <f>VLOOKUP($A188,'Dados StatusInvest'!$A:$AY,column(H188)-$A$5,0)*VLOOKUP($A188,'Dados StatusInvest'!$A:$AY,2,0)/$E188/100</f>
        <v>0.06718551941</v>
      </c>
      <c r="I188" s="41">
        <f>VLOOKUP($A188,'Dados StatusInvest'!$A:$AY,column(I188)-$A$5,0)/VLOOKUP($A188,'Dados StatusInvest'!$A:$AY,2,0)*$E188</f>
        <v>7.646826347</v>
      </c>
      <c r="J188" s="41">
        <f>VLOOKUP($A188,'Dados StatusInvest'!$A:$AY,column(J188)-$A$5,0)/VLOOKUP($A188,'Dados StatusInvest'!$A:$AY,2,0)*$E188</f>
        <v>1.303003992</v>
      </c>
      <c r="K188" s="42">
        <f>VLOOKUP($A188,'Dados StatusInvest'!$A:$AY,column(K188)-$A$5,0)/VLOOKUP($A188,'Dados StatusInvest'!$A:$AY,2,0)*$E188</f>
        <v>0.5706586826</v>
      </c>
      <c r="L188" s="43">
        <f>VLOOKUP($A188,'Dados StatusInvest'!$A:$AY,column(L188)-$A$5,0)/100</f>
        <v>0.212</v>
      </c>
      <c r="M188" s="44">
        <f>VLOOKUP($A188,'Dados StatusInvest'!$A:$AY,column(M188)-$A$5,0)</f>
        <v>7.62</v>
      </c>
      <c r="N188" s="44">
        <f>VLOOKUP($A188,'Dados StatusInvest'!$A:$AY,column(N188)-$A$5,0)</f>
        <v>5.77</v>
      </c>
      <c r="O188" s="41">
        <f>VLOOKUP($A188,'Dados StatusInvest'!$A:$AY,column(O188)-$A$5,0)/VLOOKUP($A188,'Dados StatusInvest'!$A:$AY,2,0)*$E188</f>
        <v>5.782674651</v>
      </c>
      <c r="P188" s="41">
        <f>VLOOKUP($A188,'Dados StatusInvest'!$A:$AY,column(P188)-$A$5,0)-VLOOKUP($A188,'Dados StatusInvest'!$A:$AY,column(P188)-$A$5-1,0)+O188</f>
        <v>7.872674651</v>
      </c>
      <c r="Q188" s="44">
        <f>VLOOKUP($A188,'Dados StatusInvest'!$A:$AY,column(Q188)-$A$5,0)</f>
        <v>2.05</v>
      </c>
      <c r="R188" s="44">
        <f>VLOOKUP($A188,'Dados StatusInvest'!$A:$AY,column(R188)-$A$5,0)</f>
        <v>0.46</v>
      </c>
      <c r="S188" s="41">
        <f>VLOOKUP($A188,'Dados StatusInvest'!$A:$AY,column(S188)-$A$5,0)/VLOOKUP($A188,'Dados StatusInvest'!$A:$AY,2,0)*$E188</f>
        <v>0.43750499</v>
      </c>
      <c r="T188" s="42">
        <f>VLOOKUP($A188,'Dados StatusInvest'!$A:$AY,column(T188)-$A$5,0)/VLOOKUP($A188,'Dados StatusInvest'!$A:$AY,2,0)*$E188</f>
        <v>1.597844311</v>
      </c>
      <c r="U188" s="44">
        <f>VLOOKUP($A188,'Dados StatusInvest'!$A:$AY,column(U188)-$A$5,0)</f>
        <v>-1.57</v>
      </c>
      <c r="V188" s="45">
        <f>VLOOKUP($A188,'Dados StatusInvest'!$A:$AY,column(V188)-$A$5,0)</f>
        <v>2.38</v>
      </c>
      <c r="W188" s="45">
        <f>VLOOKUP($A188,'Dados StatusInvest'!$A:$AY,column(W188)-$A$5,0)</f>
        <v>17.03</v>
      </c>
      <c r="X188" s="45">
        <f>VLOOKUP($A188,'Dados StatusInvest'!$A:$AY,column(X188)-$A$5,0)</f>
        <v>7.48</v>
      </c>
      <c r="Y188" s="45">
        <f>VLOOKUP($A188,'Dados StatusInvest'!$A:$AY,column(Y188)-$A$5,0)</f>
        <v>10.93</v>
      </c>
      <c r="Z188" s="44">
        <f>VLOOKUP($A188,'Dados StatusInvest'!$A:$AY,column(Z188)-$A$5,0)</f>
        <v>0.44</v>
      </c>
      <c r="AA188" s="44">
        <f>VLOOKUP($A188,'Dados StatusInvest'!$A:$AY,column(AA188)-$A$5,0)</f>
        <v>0.56</v>
      </c>
      <c r="AB188" s="44">
        <f>VLOOKUP($A188,'Dados StatusInvest'!$A:$AY,column(AB188)-$A$5,0)</f>
        <v>1.3</v>
      </c>
      <c r="AC188" s="44">
        <f>VLOOKUP($A188,'Dados StatusInvest'!$A:$AY,column(AC188)-$A$5,0)</f>
        <v>12.04</v>
      </c>
      <c r="AD188" s="45">
        <f>VLOOKUP($A188,'Dados StatusInvest'!$A:$AY,column(AD188)-$A$5,0)</f>
        <v>33.02</v>
      </c>
      <c r="AE188" s="46">
        <f>VLOOKUP($A188,'Dados StatusInvest'!$A:$AY,column(AE188)-$A$5,0)</f>
        <v>14790043.54</v>
      </c>
      <c r="AF188" s="50"/>
    </row>
    <row r="189">
      <c r="A189" s="10" t="s">
        <v>235</v>
      </c>
      <c r="B189" s="39" t="str">
        <f>VLOOKUP(lEFT($A189,4),Setor!$A:$E,3,0)</f>
        <v>Financeiro</v>
      </c>
      <c r="C189" s="39" t="str">
        <f>VLOOKUP(lEFT($A189,4),Setor!$A:$E,4,0)</f>
        <v>Exploração de Imóveis</v>
      </c>
      <c r="D189" s="39" t="str">
        <f>VLOOKUP(lEFT($A189,4),Setor!$A:$E,5,0)</f>
        <v>Exploração de Imóveis</v>
      </c>
      <c r="E189" s="17">
        <f>IFERROR(__xludf.DUMMYFUNCTION("GOOGLEFINANCE(A189)"),25.77)</f>
        <v>25.77</v>
      </c>
      <c r="F189" s="17">
        <f>IFERROR(__xludf.DUMMYFUNCTION("GOOGLEFINANCE($A189,""high52"")"),38.23)</f>
        <v>38.23</v>
      </c>
      <c r="G189" s="16">
        <f t="shared" si="1"/>
        <v>-0.3259220507</v>
      </c>
      <c r="H189" s="40">
        <f>VLOOKUP($A189,'Dados StatusInvest'!$A:$AY,column(H189)-$A$5,0)*VLOOKUP($A189,'Dados StatusInvest'!$A:$AY,2,0)/$E189/100</f>
        <v>0.01260143578</v>
      </c>
      <c r="I189" s="41">
        <f>VLOOKUP($A189,'Dados StatusInvest'!$A:$AY,column(I189)-$A$5,0)/VLOOKUP($A189,'Dados StatusInvest'!$A:$AY,2,0)*$E189</f>
        <v>9.151020727</v>
      </c>
      <c r="J189" s="41">
        <f>VLOOKUP($A189,'Dados StatusInvest'!$A:$AY,column(J189)-$A$5,0)/VLOOKUP($A189,'Dados StatusInvest'!$A:$AY,2,0)*$E189</f>
        <v>0.8062573328</v>
      </c>
      <c r="K189" s="42">
        <f>VLOOKUP($A189,'Dados StatusInvest'!$A:$AY,column(K189)-$A$5,0)/VLOOKUP($A189,'Dados StatusInvest'!$A:$AY,2,0)*$E189</f>
        <v>0.564380133</v>
      </c>
      <c r="L189" s="43">
        <f>VLOOKUP($A189,'Dados StatusInvest'!$A:$AY,column(L189)-$A$5,0)/100</f>
        <v>0.9873</v>
      </c>
      <c r="M189" s="44">
        <f>VLOOKUP($A189,'Dados StatusInvest'!$A:$AY,column(M189)-$A$5,0)</f>
        <v>285.54</v>
      </c>
      <c r="N189" s="44">
        <f>VLOOKUP($A189,'Dados StatusInvest'!$A:$AY,column(N189)-$A$5,0)</f>
        <v>196.79</v>
      </c>
      <c r="O189" s="41">
        <f>VLOOKUP($A189,'Dados StatusInvest'!$A:$AY,column(O189)-$A$5,0)/VLOOKUP($A189,'Dados StatusInvest'!$A:$AY,2,0)*$E189</f>
        <v>6.308963629</v>
      </c>
      <c r="P189" s="41">
        <f>VLOOKUP($A189,'Dados StatusInvest'!$A:$AY,column(P189)-$A$5,0)-VLOOKUP($A189,'Dados StatusInvest'!$A:$AY,column(P189)-$A$5-1,0)+O189</f>
        <v>7.688963629</v>
      </c>
      <c r="Q189" s="44">
        <f>VLOOKUP($A189,'Dados StatusInvest'!$A:$AY,column(Q189)-$A$5,0)</f>
        <v>1.36</v>
      </c>
      <c r="R189" s="44">
        <f>VLOOKUP($A189,'Dados StatusInvest'!$A:$AY,column(R189)-$A$5,0)</f>
        <v>0.18</v>
      </c>
      <c r="S189" s="41">
        <f>VLOOKUP($A189,'Dados StatusInvest'!$A:$AY,column(S189)-$A$5,0)/VLOOKUP($A189,'Dados StatusInvest'!$A:$AY,2,0)*$E189</f>
        <v>18.00977317</v>
      </c>
      <c r="T189" s="42">
        <f>VLOOKUP($A189,'Dados StatusInvest'!$A:$AY,column(T189)-$A$5,0)/VLOOKUP($A189,'Dados StatusInvest'!$A:$AY,2,0)*$E189</f>
        <v>4.847622214</v>
      </c>
      <c r="U189" s="44">
        <f>VLOOKUP($A189,'Dados StatusInvest'!$A:$AY,column(U189)-$A$5,0)</f>
        <v>-0.69</v>
      </c>
      <c r="V189" s="45">
        <f>VLOOKUP($A189,'Dados StatusInvest'!$A:$AY,column(V189)-$A$5,0)</f>
        <v>2.47</v>
      </c>
      <c r="W189" s="48">
        <f>VLOOKUP($A189,'Dados StatusInvest'!$A:$AY,column(W189)-$A$5,0)</f>
        <v>8.86</v>
      </c>
      <c r="X189" s="45">
        <f>VLOOKUP($A189,'Dados StatusInvest'!$A:$AY,column(X189)-$A$5,0)</f>
        <v>6.16</v>
      </c>
      <c r="Y189" s="45">
        <f>VLOOKUP($A189,'Dados StatusInvest'!$A:$AY,column(Y189)-$A$5,0)</f>
        <v>7.25</v>
      </c>
      <c r="Z189" s="44">
        <f>VLOOKUP($A189,'Dados StatusInvest'!$A:$AY,column(Z189)-$A$5,0)</f>
        <v>0.69</v>
      </c>
      <c r="AA189" s="44">
        <f>VLOOKUP($A189,'Dados StatusInvest'!$A:$AY,column(AA189)-$A$5,0)</f>
        <v>0.3</v>
      </c>
      <c r="AB189" s="44">
        <f>VLOOKUP($A189,'Dados StatusInvest'!$A:$AY,column(AB189)-$A$5,0)</f>
        <v>0.03</v>
      </c>
      <c r="AC189" s="44">
        <f>VLOOKUP($A189,'Dados StatusInvest'!$A:$AY,column(AC189)-$A$5,0)</f>
        <v>8.78</v>
      </c>
      <c r="AD189" s="45">
        <f>VLOOKUP($A189,'Dados StatusInvest'!$A:$AY,column(AD189)-$A$5,0)</f>
        <v>75.67</v>
      </c>
      <c r="AE189" s="46">
        <f>VLOOKUP($A189,'Dados StatusInvest'!$A:$AY,column(AE189)-$A$5,0)</f>
        <v>12660653.38</v>
      </c>
      <c r="AF189" s="49"/>
    </row>
    <row r="190">
      <c r="A190" s="10" t="s">
        <v>236</v>
      </c>
      <c r="B190" s="52" t="str">
        <f>VLOOKUP(LEFT($A190,4),Setor!$A:$E,3,0)</f>
        <v>Financeiro</v>
      </c>
      <c r="C190" s="52" t="str">
        <f>VLOOKUP(LEFT($A190,4),Setor!$A:$E,4,0)</f>
        <v>Serviços Financeiros Diversos</v>
      </c>
      <c r="D190" s="52" t="str">
        <f>VLOOKUP(LEFT($A190,4),Setor!$A:$E,5,0)</f>
        <v>Serviços Financeiros Diversos</v>
      </c>
      <c r="E190" s="53">
        <f>IFERROR(__xludf.DUMMYFUNCTION("GOOGLEFINANCE(A190)"),11.99)</f>
        <v>11.99</v>
      </c>
      <c r="F190" s="53">
        <f>IFERROR(__xludf.DUMMYFUNCTION("GOOGLEFINANCE($A190,""high52"")"),15.05)</f>
        <v>15.05</v>
      </c>
      <c r="G190" s="54">
        <f t="shared" si="1"/>
        <v>-0.2033222591</v>
      </c>
      <c r="H190" s="55">
        <f>VLOOKUP($A190,'Dados StatusInvest'!$A:$AY,COLUMN(H190)-$A$5,0)*VLOOKUP($A190,'Dados StatusInvest'!$A:$AY,2,0)/$E190/100</f>
        <v>0.001731192661</v>
      </c>
      <c r="I190" s="56">
        <f>VLOOKUP($A190,'Dados StatusInvest'!$A:$AY,COLUMN(I190)-$A$5,0)/VLOOKUP($A190,'Dados StatusInvest'!$A:$AY,2,0)*$E190</f>
        <v>98.67936937</v>
      </c>
      <c r="J190" s="56">
        <f>VLOOKUP($A190,'Dados StatusInvest'!$A:$AY,COLUMN(J190)-$A$5,0)/VLOOKUP($A190,'Dados StatusInvest'!$A:$AY,2,0)*$E190</f>
        <v>3.378018018</v>
      </c>
      <c r="K190" s="57">
        <f>VLOOKUP($A190,'Dados StatusInvest'!$A:$AY,COLUMN(K190)-$A$5,0)/VLOOKUP($A190,'Dados StatusInvest'!$A:$AY,2,0)*$E190</f>
        <v>2.582612613</v>
      </c>
      <c r="L190" s="58">
        <f>VLOOKUP($A190,'Dados StatusInvest'!$A:$AY,COLUMN(L190)-$A$5,0)/100</f>
        <v>0.4742</v>
      </c>
      <c r="M190" s="63">
        <f>VLOOKUP($A190,'Dados StatusInvest'!$A:$AY,COLUMN(M190)-$A$5,0)</f>
        <v>13.88</v>
      </c>
      <c r="N190" s="63">
        <f>VLOOKUP($A190,'Dados StatusInvest'!$A:$AY,COLUMN(N190)-$A$5,0)</f>
        <v>9.59</v>
      </c>
      <c r="O190" s="56">
        <f>VLOOKUP($A190,'Dados StatusInvest'!$A:$AY,COLUMN(O190)-$A$5,0)/VLOOKUP($A190,'Dados StatusInvest'!$A:$AY,2,0)*$E190</f>
        <v>68.14954955</v>
      </c>
      <c r="P190" s="56">
        <f>VLOOKUP($A190,'Dados StatusInvest'!$A:$AY,COLUMN(P190)-$A$5,0)-VLOOKUP($A190,'Dados StatusInvest'!$A:$AY,COLUMN(P190)-$A$5-1,0)+O190</f>
        <v>55.33954955</v>
      </c>
      <c r="Q190" s="59">
        <f>VLOOKUP($A190,'Dados StatusInvest'!$A:$AY,COLUMN(Q190)-$A$5,0)</f>
        <v>-12.93</v>
      </c>
      <c r="R190" s="59">
        <f>VLOOKUP($A190,'Dados StatusInvest'!$A:$AY,COLUMN(R190)-$A$5,0)</f>
        <v>-0.64</v>
      </c>
      <c r="S190" s="56">
        <f>VLOOKUP($A190,'Dados StatusInvest'!$A:$AY,COLUMN(S190)-$A$5,0)/VLOOKUP($A190,'Dados StatusInvest'!$A:$AY,2,0)*$E190</f>
        <v>9.466306306</v>
      </c>
      <c r="T190" s="57">
        <f>VLOOKUP($A190,'Dados StatusInvest'!$A:$AY,COLUMN(T190)-$A$5,0)/VLOOKUP($A190,'Dados StatusInvest'!$A:$AY,2,0)*$E190</f>
        <v>4.89027027</v>
      </c>
      <c r="U190" s="63">
        <f>VLOOKUP($A190,'Dados StatusInvest'!$A:$AY,COLUMN(U190)-$A$5,0)</f>
        <v>-6.57</v>
      </c>
      <c r="V190" s="60">
        <f>VLOOKUP($A190,'Dados StatusInvest'!$A:$AY,COLUMN(V190)-$A$5,0)</f>
        <v>8.24</v>
      </c>
      <c r="W190" s="60">
        <f>VLOOKUP($A190,'Dados StatusInvest'!$A:$AY,COLUMN(W190)-$A$5,0)</f>
        <v>3.42</v>
      </c>
      <c r="X190" s="61">
        <f>VLOOKUP($A190,'Dados StatusInvest'!$A:$AY,COLUMN(X190)-$A$5,0)</f>
        <v>2.61</v>
      </c>
      <c r="Y190" s="60">
        <f>VLOOKUP($A190,'Dados StatusInvest'!$A:$AY,COLUMN(Y190)-$A$5,0)</f>
        <v>3.38</v>
      </c>
      <c r="Z190" s="59">
        <f>VLOOKUP($A190,'Dados StatusInvest'!$A:$AY,COLUMN(Z190)-$A$5,0)</f>
        <v>0.76</v>
      </c>
      <c r="AA190" s="59">
        <f>VLOOKUP($A190,'Dados StatusInvest'!$A:$AY,COLUMN(AA190)-$A$5,0)</f>
        <v>0.24</v>
      </c>
      <c r="AB190" s="59">
        <f>VLOOKUP($A190,'Dados StatusInvest'!$A:$AY,COLUMN(AB190)-$A$5,0)</f>
        <v>0.27</v>
      </c>
      <c r="AC190" s="59">
        <f>VLOOKUP($A190,'Dados StatusInvest'!$A:$AY,COLUMN(AC190)-$A$5,0)</f>
        <v>0</v>
      </c>
      <c r="AD190" s="60">
        <f>VLOOKUP($A190,'Dados StatusInvest'!$A:$AY,COLUMN(AD190)-$A$5,0)</f>
        <v>0</v>
      </c>
      <c r="AE190" s="62">
        <f>VLOOKUP($A190,'Dados StatusInvest'!$A:$AY,COLUMN(AE190)-$A$5,0)</f>
        <v>14462116.63</v>
      </c>
      <c r="AF190" s="18"/>
    </row>
    <row r="191">
      <c r="A191" s="10" t="s">
        <v>237</v>
      </c>
      <c r="B191" s="39" t="str">
        <f>VLOOKUP(lEFT($A191,4),Setor!$A:$E,3,0)</f>
        <v>Bens Industriais</v>
      </c>
      <c r="C191" s="39" t="str">
        <f>VLOOKUP(lEFT($A191,4),Setor!$A:$E,4,0)</f>
        <v>Máquinas e Equipamentos</v>
      </c>
      <c r="D191" s="39" t="str">
        <f>VLOOKUP(lEFT($A191,4),Setor!$A:$E,5,0)</f>
        <v>Máq. e Equip. Industriais</v>
      </c>
      <c r="E191" s="17">
        <f>IFERROR(__xludf.DUMMYFUNCTION("GOOGLEFINANCE(A191)"),18.49)</f>
        <v>18.49</v>
      </c>
      <c r="F191" s="17">
        <f>IFERROR(__xludf.DUMMYFUNCTION("GOOGLEFINANCE($A191,""high52"")"),38.75)</f>
        <v>38.75</v>
      </c>
      <c r="G191" s="16">
        <f t="shared" si="1"/>
        <v>-0.5228387097</v>
      </c>
      <c r="H191" s="40">
        <f>VLOOKUP($A191,'Dados StatusInvest'!$A:$AY,column(H191)-$A$5,0)*VLOOKUP($A191,'Dados StatusInvest'!$A:$AY,2,0)/$E191/100</f>
        <v>0.08790265008</v>
      </c>
      <c r="I191" s="41">
        <f>VLOOKUP($A191,'Dados StatusInvest'!$A:$AY,column(I191)-$A$5,0)/VLOOKUP($A191,'Dados StatusInvest'!$A:$AY,2,0)*$E191</f>
        <v>7.320655286</v>
      </c>
      <c r="J191" s="41">
        <f>VLOOKUP($A191,'Dados StatusInvest'!$A:$AY,column(J191)-$A$5,0)/VLOOKUP($A191,'Dados StatusInvest'!$A:$AY,2,0)*$E191</f>
        <v>1.598529736</v>
      </c>
      <c r="K191" s="42">
        <f>VLOOKUP($A191,'Dados StatusInvest'!$A:$AY,column(K191)-$A$5,0)/VLOOKUP($A191,'Dados StatusInvest'!$A:$AY,2,0)*$E191</f>
        <v>0.7636288546</v>
      </c>
      <c r="L191" s="43">
        <f>VLOOKUP($A191,'Dados StatusInvest'!$A:$AY,column(L191)-$A$5,0)/100</f>
        <v>0.3255</v>
      </c>
      <c r="M191" s="44">
        <f>VLOOKUP($A191,'Dados StatusInvest'!$A:$AY,column(M191)-$A$5,0)</f>
        <v>14.62</v>
      </c>
      <c r="N191" s="44">
        <f>VLOOKUP($A191,'Dados StatusInvest'!$A:$AY,column(N191)-$A$5,0)</f>
        <v>15.68</v>
      </c>
      <c r="O191" s="41">
        <f>VLOOKUP($A191,'Dados StatusInvest'!$A:$AY,column(O191)-$A$5,0)/VLOOKUP($A191,'Dados StatusInvest'!$A:$AY,2,0)*$E191</f>
        <v>7.850104626</v>
      </c>
      <c r="P191" s="41">
        <f>VLOOKUP($A191,'Dados StatusInvest'!$A:$AY,column(P191)-$A$5,0)-VLOOKUP($A191,'Dados StatusInvest'!$A:$AY,column(P191)-$A$5-1,0)+O191</f>
        <v>9.880104626</v>
      </c>
      <c r="Q191" s="44">
        <f>VLOOKUP($A191,'Dados StatusInvest'!$A:$AY,column(Q191)-$A$5,0)</f>
        <v>1.99</v>
      </c>
      <c r="R191" s="44">
        <f>VLOOKUP($A191,'Dados StatusInvest'!$A:$AY,column(R191)-$A$5,0)</f>
        <v>0.41</v>
      </c>
      <c r="S191" s="41">
        <f>VLOOKUP($A191,'Dados StatusInvest'!$A:$AY,column(S191)-$A$5,0)/VLOOKUP($A191,'Dados StatusInvest'!$A:$AY,2,0)*$E191</f>
        <v>1.150534141</v>
      </c>
      <c r="T191" s="42">
        <f>VLOOKUP($A191,'Dados StatusInvest'!$A:$AY,column(T191)-$A$5,0)/VLOOKUP($A191,'Dados StatusInvest'!$A:$AY,2,0)*$E191</f>
        <v>2.443612335</v>
      </c>
      <c r="U191" s="47">
        <f>VLOOKUP($A191,'Dados StatusInvest'!$A:$AY,column(U191)-$A$5,0)</f>
        <v>-1.92</v>
      </c>
      <c r="V191" s="45">
        <f>VLOOKUP($A191,'Dados StatusInvest'!$A:$AY,column(V191)-$A$5,0)</f>
        <v>2.03</v>
      </c>
      <c r="W191" s="45">
        <f>VLOOKUP($A191,'Dados StatusInvest'!$A:$AY,column(W191)-$A$5,0)</f>
        <v>21.82</v>
      </c>
      <c r="X191" s="48">
        <f>VLOOKUP($A191,'Dados StatusInvest'!$A:$AY,column(X191)-$A$5,0)</f>
        <v>10.38</v>
      </c>
      <c r="Y191" s="45">
        <f>VLOOKUP($A191,'Dados StatusInvest'!$A:$AY,column(Y191)-$A$5,0)</f>
        <v>11</v>
      </c>
      <c r="Z191" s="44">
        <f>VLOOKUP($A191,'Dados StatusInvest'!$A:$AY,column(Z191)-$A$5,0)</f>
        <v>0.48</v>
      </c>
      <c r="AA191" s="44">
        <f>VLOOKUP($A191,'Dados StatusInvest'!$A:$AY,column(AA191)-$A$5,0)</f>
        <v>0.52</v>
      </c>
      <c r="AB191" s="44">
        <f>VLOOKUP($A191,'Dados StatusInvest'!$A:$AY,column(AB191)-$A$5,0)</f>
        <v>0.66</v>
      </c>
      <c r="AC191" s="44">
        <f>VLOOKUP($A191,'Dados StatusInvest'!$A:$AY,column(AC191)-$A$5,0)</f>
        <v>9.91</v>
      </c>
      <c r="AD191" s="45">
        <f>VLOOKUP($A191,'Dados StatusInvest'!$A:$AY,column(AD191)-$A$5,0)</f>
        <v>97.05</v>
      </c>
      <c r="AE191" s="46">
        <f>VLOOKUP($A191,'Dados StatusInvest'!$A:$AY,column(AE191)-$A$5,0)</f>
        <v>10374740.88</v>
      </c>
      <c r="AF191" s="18"/>
    </row>
    <row r="192">
      <c r="A192" s="10" t="s">
        <v>238</v>
      </c>
      <c r="B192" s="52" t="str">
        <f>VLOOKUP(LEFT($A192,4),Setor!$A:$E,3,0)</f>
        <v>Consumo Cíclico</v>
      </c>
      <c r="C192" s="52" t="str">
        <f>VLOOKUP(LEFT($A192,4),Setor!$A:$E,4,0)</f>
        <v>Hoteis e Restaurantes</v>
      </c>
      <c r="D192" s="52" t="str">
        <f>VLOOKUP(LEFT($A192,4),Setor!$A:$E,5,0)</f>
        <v>Restaurante e Similares</v>
      </c>
      <c r="E192" s="53">
        <f>IFERROR(__xludf.DUMMYFUNCTION("GOOGLEFINANCE(A192)"),3.32)</f>
        <v>3.32</v>
      </c>
      <c r="F192" s="53">
        <f>IFERROR(__xludf.DUMMYFUNCTION("GOOGLEFINANCE($A192,""high52"")"),5.07)</f>
        <v>5.07</v>
      </c>
      <c r="G192" s="54">
        <f t="shared" si="1"/>
        <v>-0.3451676529</v>
      </c>
      <c r="H192" s="55">
        <f>VLOOKUP($A192,'Dados StatusInvest'!$A:$AY,COLUMN(H192)-$A$5,0)*VLOOKUP($A192,'Dados StatusInvest'!$A:$AY,2,0)/$E192/100</f>
        <v>0</v>
      </c>
      <c r="I192" s="56">
        <f>VLOOKUP($A192,'Dados StatusInvest'!$A:$AY,COLUMN(I192)-$A$5,0)/VLOOKUP($A192,'Dados StatusInvest'!$A:$AY,2,0)*$E192</f>
        <v>-12.04773006</v>
      </c>
      <c r="J192" s="56">
        <f>VLOOKUP($A192,'Dados StatusInvest'!$A:$AY,COLUMN(J192)-$A$5,0)/VLOOKUP($A192,'Dados StatusInvest'!$A:$AY,2,0)*$E192</f>
        <v>0.8147239264</v>
      </c>
      <c r="K192" s="57">
        <f>VLOOKUP($A192,'Dados StatusInvest'!$A:$AY,COLUMN(K192)-$A$5,0)/VLOOKUP($A192,'Dados StatusInvest'!$A:$AY,2,0)*$E192</f>
        <v>0.3462576687</v>
      </c>
      <c r="L192" s="58">
        <f>VLOOKUP($A192,'Dados StatusInvest'!$A:$AY,COLUMN(L192)-$A$5,0)/100</f>
        <v>0.2925</v>
      </c>
      <c r="M192" s="59">
        <f>VLOOKUP($A192,'Dados StatusInvest'!$A:$AY,COLUMN(M192)-$A$5,0)</f>
        <v>-4.11</v>
      </c>
      <c r="N192" s="63">
        <f>VLOOKUP($A192,'Dados StatusInvest'!$A:$AY,COLUMN(N192)-$A$5,0)</f>
        <v>-5.62</v>
      </c>
      <c r="O192" s="56">
        <f>VLOOKUP($A192,'Dados StatusInvest'!$A:$AY,COLUMN(O192)-$A$5,0)/VLOOKUP($A192,'Dados StatusInvest'!$A:$AY,2,0)*$E192</f>
        <v>-16.48797546</v>
      </c>
      <c r="P192" s="56">
        <f>VLOOKUP($A192,'Dados StatusInvest'!$A:$AY,COLUMN(P192)-$A$5,0)-VLOOKUP($A192,'Dados StatusInvest'!$A:$AY,COLUMN(P192)-$A$5-1,0)+O192</f>
        <v>-19.40797546</v>
      </c>
      <c r="Q192" s="59">
        <f>VLOOKUP($A192,'Dados StatusInvest'!$A:$AY,COLUMN(Q192)-$A$5,0)</f>
        <v>-2.67</v>
      </c>
      <c r="R192" s="59">
        <f>VLOOKUP($A192,'Dados StatusInvest'!$A:$AY,COLUMN(R192)-$A$5,0)</f>
        <v>0.13</v>
      </c>
      <c r="S192" s="56">
        <f>VLOOKUP($A192,'Dados StatusInvest'!$A:$AY,COLUMN(S192)-$A$5,0)/VLOOKUP($A192,'Dados StatusInvest'!$A:$AY,2,0)*$E192</f>
        <v>0.6823312883</v>
      </c>
      <c r="T192" s="57">
        <f>VLOOKUP($A192,'Dados StatusInvest'!$A:$AY,COLUMN(T192)-$A$5,0)/VLOOKUP($A192,'Dados StatusInvest'!$A:$AY,2,0)*$E192</f>
        <v>2.912638037</v>
      </c>
      <c r="U192" s="59">
        <f>VLOOKUP($A192,'Dados StatusInvest'!$A:$AY,COLUMN(U192)-$A$5,0)</f>
        <v>-0.47</v>
      </c>
      <c r="V192" s="60">
        <f>VLOOKUP($A192,'Dados StatusInvest'!$A:$AY,COLUMN(V192)-$A$5,0)</f>
        <v>1.82</v>
      </c>
      <c r="W192" s="60">
        <f>VLOOKUP($A192,'Dados StatusInvest'!$A:$AY,COLUMN(W192)-$A$5,0)</f>
        <v>-6.79</v>
      </c>
      <c r="X192" s="60">
        <f>VLOOKUP($A192,'Dados StatusInvest'!$A:$AY,COLUMN(X192)-$A$5,0)</f>
        <v>-2.9</v>
      </c>
      <c r="Y192" s="60">
        <f>VLOOKUP($A192,'Dados StatusInvest'!$A:$AY,COLUMN(Y192)-$A$5,0)</f>
        <v>-4.18</v>
      </c>
      <c r="Z192" s="59">
        <f>VLOOKUP($A192,'Dados StatusInvest'!$A:$AY,COLUMN(Z192)-$A$5,0)</f>
        <v>0.43</v>
      </c>
      <c r="AA192" s="59">
        <f>VLOOKUP($A192,'Dados StatusInvest'!$A:$AY,COLUMN(AA192)-$A$5,0)</f>
        <v>0.57</v>
      </c>
      <c r="AB192" s="59">
        <f>VLOOKUP($A192,'Dados StatusInvest'!$A:$AY,COLUMN(AB192)-$A$5,0)</f>
        <v>0.52</v>
      </c>
      <c r="AC192" s="59">
        <f>VLOOKUP($A192,'Dados StatusInvest'!$A:$AY,COLUMN(AC192)-$A$5,0)</f>
        <v>-6.51</v>
      </c>
      <c r="AD192" s="60">
        <f>VLOOKUP($A192,'Dados StatusInvest'!$A:$AY,COLUMN(AD192)-$A$5,0)</f>
        <v>0</v>
      </c>
      <c r="AE192" s="62">
        <f>VLOOKUP($A192,'Dados StatusInvest'!$A:$AY,COLUMN(AE192)-$A$5,0)</f>
        <v>11116985.04</v>
      </c>
      <c r="AF192" s="18"/>
    </row>
    <row r="193">
      <c r="A193" s="10" t="s">
        <v>239</v>
      </c>
      <c r="B193" s="39" t="str">
        <f>VLOOKUP(lEFT($A193,4),Setor!$A:$E,3,0)</f>
        <v>Bens Industriais</v>
      </c>
      <c r="C193" s="39" t="str">
        <f>VLOOKUP(lEFT($A193,4),Setor!$A:$E,4,0)</f>
        <v>Material de Transporte</v>
      </c>
      <c r="D193" s="39" t="str">
        <f>VLOOKUP(lEFT($A193,4),Setor!$A:$E,5,0)</f>
        <v>Material Rodoviário</v>
      </c>
      <c r="E193" s="17">
        <f>IFERROR(__xludf.DUMMYFUNCTION("GOOGLEFINANCE(A193)"),2.81)</f>
        <v>2.81</v>
      </c>
      <c r="F193" s="17">
        <f>IFERROR(__xludf.DUMMYFUNCTION("GOOGLEFINANCE($A193,""high52"")"),3.69)</f>
        <v>3.69</v>
      </c>
      <c r="G193" s="16">
        <f t="shared" si="1"/>
        <v>-0.2384823848</v>
      </c>
      <c r="H193" s="40">
        <f>VLOOKUP($A193,'Dados StatusInvest'!$A:$AY,column(H193)-$A$5,0)*VLOOKUP($A193,'Dados StatusInvest'!$A:$AY,2,0)/$E193/100</f>
        <v>0.03201103203</v>
      </c>
      <c r="I193" s="41">
        <f>VLOOKUP($A193,'Dados StatusInvest'!$A:$AY,column(I193)-$A$5,0)/VLOOKUP($A193,'Dados StatusInvest'!$A:$AY,2,0)*$E193</f>
        <v>9.70552901</v>
      </c>
      <c r="J193" s="41">
        <f>VLOOKUP($A193,'Dados StatusInvest'!$A:$AY,column(J193)-$A$5,0)/VLOOKUP($A193,'Dados StatusInvest'!$A:$AY,2,0)*$E193</f>
        <v>0.9878156997</v>
      </c>
      <c r="K193" s="42">
        <f>VLOOKUP($A193,'Dados StatusInvest'!$A:$AY,column(K193)-$A$5,0)/VLOOKUP($A193,'Dados StatusInvest'!$A:$AY,2,0)*$E193</f>
        <v>0.4315699659</v>
      </c>
      <c r="L193" s="43">
        <f>VLOOKUP($A193,'Dados StatusInvest'!$A:$AY,column(L193)-$A$5,0)/100</f>
        <v>0.1349</v>
      </c>
      <c r="M193" s="44">
        <f>VLOOKUP($A193,'Dados StatusInvest'!$A:$AY,column(M193)-$A$5,0)</f>
        <v>5.27</v>
      </c>
      <c r="N193" s="44">
        <f>VLOOKUP($A193,'Dados StatusInvest'!$A:$AY,column(N193)-$A$5,0)</f>
        <v>7.77</v>
      </c>
      <c r="O193" s="41">
        <f>VLOOKUP($A193,'Dados StatusInvest'!$A:$AY,column(O193)-$A$5,0)/VLOOKUP($A193,'Dados StatusInvest'!$A:$AY,2,0)*$E193</f>
        <v>14.29935154</v>
      </c>
      <c r="P193" s="41">
        <f>VLOOKUP($A193,'Dados StatusInvest'!$A:$AY,column(P193)-$A$5,0)-VLOOKUP($A193,'Dados StatusInvest'!$A:$AY,column(P193)-$A$5-1,0)+O193</f>
        <v>19.42935154</v>
      </c>
      <c r="Q193" s="44">
        <f>VLOOKUP($A193,'Dados StatusInvest'!$A:$AY,column(Q193)-$A$5,0)</f>
        <v>5.81</v>
      </c>
      <c r="R193" s="44">
        <f>VLOOKUP($A193,'Dados StatusInvest'!$A:$AY,column(R193)-$A$5,0)</f>
        <v>0.4</v>
      </c>
      <c r="S193" s="41">
        <f>VLOOKUP($A193,'Dados StatusInvest'!$A:$AY,column(S193)-$A$5,0)/VLOOKUP($A193,'Dados StatusInvest'!$A:$AY,2,0)*$E193</f>
        <v>0.7576450512</v>
      </c>
      <c r="T193" s="42">
        <f>VLOOKUP($A193,'Dados StatusInvest'!$A:$AY,column(T193)-$A$5,0)/VLOOKUP($A193,'Dados StatusInvest'!$A:$AY,2,0)*$E193</f>
        <v>1.860546075</v>
      </c>
      <c r="U193" s="47">
        <f>VLOOKUP($A193,'Dados StatusInvest'!$A:$AY,column(U193)-$A$5,0)</f>
        <v>-0.91</v>
      </c>
      <c r="V193" s="45">
        <f>VLOOKUP($A193,'Dados StatusInvest'!$A:$AY,column(V193)-$A$5,0)</f>
        <v>1.84</v>
      </c>
      <c r="W193" s="45">
        <f>VLOOKUP($A193,'Dados StatusInvest'!$A:$AY,column(W193)-$A$5,0)</f>
        <v>10.22</v>
      </c>
      <c r="X193" s="45">
        <f>VLOOKUP($A193,'Dados StatusInvest'!$A:$AY,column(X193)-$A$5,0)</f>
        <v>4.43</v>
      </c>
      <c r="Y193" s="45">
        <f>VLOOKUP($A193,'Dados StatusInvest'!$A:$AY,column(Y193)-$A$5,0)</f>
        <v>2.3</v>
      </c>
      <c r="Z193" s="44">
        <f>VLOOKUP($A193,'Dados StatusInvest'!$A:$AY,column(Z193)-$A$5,0)</f>
        <v>0.43</v>
      </c>
      <c r="AA193" s="44">
        <f>VLOOKUP($A193,'Dados StatusInvest'!$A:$AY,column(AA193)-$A$5,0)</f>
        <v>0.56</v>
      </c>
      <c r="AB193" s="44">
        <f>VLOOKUP($A193,'Dados StatusInvest'!$A:$AY,column(AB193)-$A$5,0)</f>
        <v>0.57</v>
      </c>
      <c r="AC193" s="44">
        <f>VLOOKUP($A193,'Dados StatusInvest'!$A:$AY,column(AC193)-$A$5,0)</f>
        <v>5.56</v>
      </c>
      <c r="AD193" s="45">
        <f>VLOOKUP($A193,'Dados StatusInvest'!$A:$AY,column(AD193)-$A$5,0)</f>
        <v>25.82</v>
      </c>
      <c r="AE193" s="46">
        <f>VLOOKUP($A193,'Dados StatusInvest'!$A:$AY,column(AE193)-$A$5,0)</f>
        <v>11164113.42</v>
      </c>
      <c r="AF193" s="18"/>
    </row>
    <row r="194">
      <c r="A194" s="10" t="s">
        <v>240</v>
      </c>
      <c r="B194" s="39" t="str">
        <f>VLOOKUP(lEFT($A194,4),Setor!$A:$E,3,0)</f>
        <v>#N/A</v>
      </c>
      <c r="C194" s="39" t="str">
        <f>VLOOKUP(lEFT($A194,4),Setor!$A:$E,4,0)</f>
        <v>#N/A</v>
      </c>
      <c r="D194" s="39" t="str">
        <f>VLOOKUP(lEFT($A194,4),Setor!$A:$E,5,0)</f>
        <v>#N/A</v>
      </c>
      <c r="E194" s="17">
        <f>IFERROR(__xludf.DUMMYFUNCTION("GOOGLEFINANCE(A194)"),20.06)</f>
        <v>20.06</v>
      </c>
      <c r="F194" s="17">
        <f>IFERROR(__xludf.DUMMYFUNCTION("GOOGLEFINANCE($A194,""high52"")"),39.6)</f>
        <v>39.6</v>
      </c>
      <c r="G194" s="16">
        <f t="shared" si="1"/>
        <v>-0.4934343434</v>
      </c>
      <c r="H194" s="40">
        <f>VLOOKUP($A194,'Dados StatusInvest'!$A:$AY,column(H194)-$A$5,0)*VLOOKUP($A194,'Dados StatusInvest'!$A:$AY,2,0)/$E194/100</f>
        <v>0.02316026919</v>
      </c>
      <c r="I194" s="41">
        <f>VLOOKUP($A194,'Dados StatusInvest'!$A:$AY,column(I194)-$A$5,0)/VLOOKUP($A194,'Dados StatusInvest'!$A:$AY,2,0)*$E194</f>
        <v>5.357450683</v>
      </c>
      <c r="J194" s="41">
        <f>VLOOKUP($A194,'Dados StatusInvest'!$A:$AY,column(J194)-$A$5,0)/VLOOKUP($A194,'Dados StatusInvest'!$A:$AY,2,0)*$E194</f>
        <v>1.268335862</v>
      </c>
      <c r="K194" s="42">
        <f>VLOOKUP($A194,'Dados StatusInvest'!$A:$AY,column(K194)-$A$5,0)/VLOOKUP($A194,'Dados StatusInvest'!$A:$AY,2,0)*$E194</f>
        <v>0.4768942843</v>
      </c>
      <c r="L194" s="43">
        <f>VLOOKUP($A194,'Dados StatusInvest'!$A:$AY,column(L194)-$A$5,0)/100</f>
        <v>0.159</v>
      </c>
      <c r="M194" s="44">
        <f>VLOOKUP($A194,'Dados StatusInvest'!$A:$AY,column(M194)-$A$5,0)</f>
        <v>8.87</v>
      </c>
      <c r="N194" s="44">
        <f>VLOOKUP($A194,'Dados StatusInvest'!$A:$AY,column(N194)-$A$5,0)</f>
        <v>6.1</v>
      </c>
      <c r="O194" s="41">
        <f>VLOOKUP($A194,'Dados StatusInvest'!$A:$AY,column(O194)-$A$5,0)/VLOOKUP($A194,'Dados StatusInvest'!$A:$AY,2,0)*$E194</f>
        <v>3.693394031</v>
      </c>
      <c r="P194" s="41">
        <f>VLOOKUP($A194,'Dados StatusInvest'!$A:$AY,column(P194)-$A$5,0)-VLOOKUP($A194,'Dados StatusInvest'!$A:$AY,column(P194)-$A$5-1,0)+O194</f>
        <v>4.153394031</v>
      </c>
      <c r="Q194" s="44">
        <f>VLOOKUP($A194,'Dados StatusInvest'!$A:$AY,column(Q194)-$A$5,0)</f>
        <v>0.46</v>
      </c>
      <c r="R194" s="44">
        <f>VLOOKUP($A194,'Dados StatusInvest'!$A:$AY,column(R194)-$A$5,0)</f>
        <v>0.16</v>
      </c>
      <c r="S194" s="41">
        <f>VLOOKUP($A194,'Dados StatusInvest'!$A:$AY,column(S194)-$A$5,0)/VLOOKUP($A194,'Dados StatusInvest'!$A:$AY,2,0)*$E194</f>
        <v>0.3246939808</v>
      </c>
      <c r="T194" s="42">
        <f>VLOOKUP($A194,'Dados StatusInvest'!$A:$AY,column(T194)-$A$5,0)/VLOOKUP($A194,'Dados StatusInvest'!$A:$AY,2,0)*$E194</f>
        <v>1.998897319</v>
      </c>
      <c r="U194" s="44">
        <f>VLOOKUP($A194,'Dados StatusInvest'!$A:$AY,column(U194)-$A$5,0)</f>
        <v>-1.63</v>
      </c>
      <c r="V194" s="45">
        <f>VLOOKUP($A194,'Dados StatusInvest'!$A:$AY,column(V194)-$A$5,0)</f>
        <v>1.5</v>
      </c>
      <c r="W194" s="45">
        <f>VLOOKUP($A194,'Dados StatusInvest'!$A:$AY,column(W194)-$A$5,0)</f>
        <v>23.64</v>
      </c>
      <c r="X194" s="45">
        <f>VLOOKUP($A194,'Dados StatusInvest'!$A:$AY,column(X194)-$A$5,0)</f>
        <v>8.84</v>
      </c>
      <c r="Y194" s="45">
        <f>VLOOKUP($A194,'Dados StatusInvest'!$A:$AY,column(Y194)-$A$5,0)</f>
        <v>21.45</v>
      </c>
      <c r="Z194" s="44">
        <f>VLOOKUP($A194,'Dados StatusInvest'!$A:$AY,column(Z194)-$A$5,0)</f>
        <v>0.37</v>
      </c>
      <c r="AA194" s="44">
        <f>VLOOKUP($A194,'Dados StatusInvest'!$A:$AY,column(AA194)-$A$5,0)</f>
        <v>0.63</v>
      </c>
      <c r="AB194" s="44">
        <f>VLOOKUP($A194,'Dados StatusInvest'!$A:$AY,column(AB194)-$A$5,0)</f>
        <v>1.45</v>
      </c>
      <c r="AC194" s="44">
        <f>VLOOKUP($A194,'Dados StatusInvest'!$A:$AY,column(AC194)-$A$5,0)</f>
        <v>0</v>
      </c>
      <c r="AD194" s="45">
        <f>VLOOKUP($A194,'Dados StatusInvest'!$A:$AY,column(AD194)-$A$5,0)</f>
        <v>0</v>
      </c>
      <c r="AE194" s="46">
        <f>VLOOKUP($A194,'Dados StatusInvest'!$A:$AY,column(AE194)-$A$5,0)</f>
        <v>11596233.96</v>
      </c>
      <c r="AF194" s="49"/>
    </row>
    <row r="195">
      <c r="A195" s="10" t="s">
        <v>241</v>
      </c>
      <c r="B195" s="39" t="str">
        <f>VLOOKUP(lEFT($A195,4),Setor!$A:$E,3,0)</f>
        <v>Consumo Cíclico</v>
      </c>
      <c r="C195" s="39" t="str">
        <f>VLOOKUP(lEFT($A195,4),Setor!$A:$E,4,0)</f>
        <v>Tecidos, Vestuário e Calçados</v>
      </c>
      <c r="D195" s="39" t="str">
        <f>VLOOKUP(lEFT($A195,4),Setor!$A:$E,5,0)</f>
        <v>Acessórios</v>
      </c>
      <c r="E195" s="17">
        <f>IFERROR(__xludf.DUMMYFUNCTION("GOOGLEFINANCE(A195)"),3.67)</f>
        <v>3.67</v>
      </c>
      <c r="F195" s="17">
        <f>IFERROR(__xludf.DUMMYFUNCTION("GOOGLEFINANCE($A195,""high52"")"),4.2)</f>
        <v>4.2</v>
      </c>
      <c r="G195" s="16">
        <f t="shared" si="1"/>
        <v>-0.1261904762</v>
      </c>
      <c r="H195" s="40">
        <f>VLOOKUP($A195,'Dados StatusInvest'!$A:$AY,column(H195)-$A$5,0)*VLOOKUP($A195,'Dados StatusInvest'!$A:$AY,2,0)/$E195/100</f>
        <v>0</v>
      </c>
      <c r="I195" s="41">
        <f>VLOOKUP($A195,'Dados StatusInvest'!$A:$AY,column(I195)-$A$5,0)/VLOOKUP($A195,'Dados StatusInvest'!$A:$AY,2,0)*$E195</f>
        <v>28.43461318</v>
      </c>
      <c r="J195" s="41">
        <f>VLOOKUP($A195,'Dados StatusInvest'!$A:$AY,column(J195)-$A$5,0)/VLOOKUP($A195,'Dados StatusInvest'!$A:$AY,2,0)*$E195</f>
        <v>0.8938395415</v>
      </c>
      <c r="K195" s="42">
        <f>VLOOKUP($A195,'Dados StatusInvest'!$A:$AY,column(K195)-$A$5,0)/VLOOKUP($A195,'Dados StatusInvest'!$A:$AY,2,0)*$E195</f>
        <v>0.4626934097</v>
      </c>
      <c r="L195" s="43">
        <f>VLOOKUP($A195,'Dados StatusInvest'!$A:$AY,column(L195)-$A$5,0)/100</f>
        <v>0.5092</v>
      </c>
      <c r="M195" s="44">
        <f>VLOOKUP($A195,'Dados StatusInvest'!$A:$AY,column(M195)-$A$5,0)</f>
        <v>12.17</v>
      </c>
      <c r="N195" s="44">
        <f>VLOOKUP($A195,'Dados StatusInvest'!$A:$AY,column(N195)-$A$5,0)</f>
        <v>3.31</v>
      </c>
      <c r="O195" s="41">
        <f>VLOOKUP($A195,'Dados StatusInvest'!$A:$AY,column(O195)-$A$5,0)/VLOOKUP($A195,'Dados StatusInvest'!$A:$AY,2,0)*$E195</f>
        <v>7.750114613</v>
      </c>
      <c r="P195" s="41">
        <f>VLOOKUP($A195,'Dados StatusInvest'!$A:$AY,column(P195)-$A$5,0)-VLOOKUP($A195,'Dados StatusInvest'!$A:$AY,column(P195)-$A$5-1,0)+O195</f>
        <v>8.520114613</v>
      </c>
      <c r="Q195" s="44">
        <f>VLOOKUP($A195,'Dados StatusInvest'!$A:$AY,column(Q195)-$A$5,0)</f>
        <v>0.67</v>
      </c>
      <c r="R195" s="44">
        <f>VLOOKUP($A195,'Dados StatusInvest'!$A:$AY,column(R195)-$A$5,0)</f>
        <v>0.08</v>
      </c>
      <c r="S195" s="41">
        <f>VLOOKUP($A195,'Dados StatusInvest'!$A:$AY,column(S195)-$A$5,0)/VLOOKUP($A195,'Dados StatusInvest'!$A:$AY,2,0)*$E195</f>
        <v>0.9464183381</v>
      </c>
      <c r="T195" s="42">
        <f>VLOOKUP($A195,'Dados StatusInvest'!$A:$AY,column(T195)-$A$5,0)/VLOOKUP($A195,'Dados StatusInvest'!$A:$AY,2,0)*$E195</f>
        <v>1.030544413</v>
      </c>
      <c r="U195" s="44">
        <f>VLOOKUP($A195,'Dados StatusInvest'!$A:$AY,column(U195)-$A$5,0)</f>
        <v>-1.1</v>
      </c>
      <c r="V195" s="45">
        <f>VLOOKUP($A195,'Dados StatusInvest'!$A:$AY,column(V195)-$A$5,0)</f>
        <v>3.88</v>
      </c>
      <c r="W195" s="45">
        <f>VLOOKUP($A195,'Dados StatusInvest'!$A:$AY,column(W195)-$A$5,0)</f>
        <v>3.15</v>
      </c>
      <c r="X195" s="45">
        <f>VLOOKUP($A195,'Dados StatusInvest'!$A:$AY,column(X195)-$A$5,0)</f>
        <v>1.62</v>
      </c>
      <c r="Y195" s="45">
        <f>VLOOKUP($A195,'Dados StatusInvest'!$A:$AY,column(Y195)-$A$5,0)</f>
        <v>4.88</v>
      </c>
      <c r="Z195" s="44">
        <f>VLOOKUP($A195,'Dados StatusInvest'!$A:$AY,column(Z195)-$A$5,0)</f>
        <v>0.51</v>
      </c>
      <c r="AA195" s="44">
        <f>VLOOKUP($A195,'Dados StatusInvest'!$A:$AY,column(AA195)-$A$5,0)</f>
        <v>0.49</v>
      </c>
      <c r="AB195" s="44">
        <f>VLOOKUP($A195,'Dados StatusInvest'!$A:$AY,column(AB195)-$A$5,0)</f>
        <v>0.49</v>
      </c>
      <c r="AC195" s="44">
        <f>VLOOKUP($A195,'Dados StatusInvest'!$A:$AY,column(AC195)-$A$5,0)</f>
        <v>-9.24</v>
      </c>
      <c r="AD195" s="45">
        <f>VLOOKUP($A195,'Dados StatusInvest'!$A:$AY,column(AD195)-$A$5,0)</f>
        <v>-14.42</v>
      </c>
      <c r="AE195" s="46">
        <f>VLOOKUP($A195,'Dados StatusInvest'!$A:$AY,column(AE195)-$A$5,0)</f>
        <v>16358945.33</v>
      </c>
      <c r="AF195" s="18"/>
    </row>
    <row r="196">
      <c r="A196" s="10" t="s">
        <v>242</v>
      </c>
      <c r="B196" s="39" t="str">
        <f>VLOOKUP(lEFT($A196,4),Setor!$A:$E,3,0)</f>
        <v>Materiais Básicos</v>
      </c>
      <c r="C196" s="39" t="str">
        <f>VLOOKUP(lEFT($A196,4),Setor!$A:$E,4,0)</f>
        <v>Madeira e Papel</v>
      </c>
      <c r="D196" s="39" t="str">
        <f>VLOOKUP(lEFT($A196,4),Setor!$A:$E,5,0)</f>
        <v>Papel e Celulose</v>
      </c>
      <c r="E196" s="17">
        <f>IFERROR(__xludf.DUMMYFUNCTION("GOOGLEFINANCE(A196)"),6.81)</f>
        <v>6.81</v>
      </c>
      <c r="F196" s="17">
        <f>IFERROR(__xludf.DUMMYFUNCTION("GOOGLEFINANCE($A196,""high52"")"),9.84)</f>
        <v>9.84</v>
      </c>
      <c r="G196" s="16">
        <f t="shared" si="1"/>
        <v>-0.3079268293</v>
      </c>
      <c r="H196" s="40">
        <f>VLOOKUP($A196,'Dados StatusInvest'!$A:$AY,column(H196)-$A$5,0)*VLOOKUP($A196,'Dados StatusInvest'!$A:$AY,2,0)/$E196/100</f>
        <v>0.04039236417</v>
      </c>
      <c r="I196" s="41">
        <f>VLOOKUP($A196,'Dados StatusInvest'!$A:$AY,column(I196)-$A$5,0)/VLOOKUP($A196,'Dados StatusInvest'!$A:$AY,2,0)*$E196</f>
        <v>9.527345277</v>
      </c>
      <c r="J196" s="41">
        <f>VLOOKUP($A196,'Dados StatusInvest'!$A:$AY,column(J196)-$A$5,0)/VLOOKUP($A196,'Dados StatusInvest'!$A:$AY,2,0)*$E196</f>
        <v>2.007508143</v>
      </c>
      <c r="K196" s="42">
        <f>VLOOKUP($A196,'Dados StatusInvest'!$A:$AY,column(K196)-$A$5,0)/VLOOKUP($A196,'Dados StatusInvest'!$A:$AY,2,0)*$E196</f>
        <v>0.8872964169</v>
      </c>
      <c r="L196" s="43">
        <f>VLOOKUP($A196,'Dados StatusInvest'!$A:$AY,column(L196)-$A$5,0)/100</f>
        <v>0.3455</v>
      </c>
      <c r="M196" s="47">
        <f>VLOOKUP($A196,'Dados StatusInvest'!$A:$AY,column(M196)-$A$5,0)</f>
        <v>21.71</v>
      </c>
      <c r="N196" s="47">
        <f>VLOOKUP($A196,'Dados StatusInvest'!$A:$AY,column(N196)-$A$5,0)</f>
        <v>14.02</v>
      </c>
      <c r="O196" s="41">
        <f>VLOOKUP($A196,'Dados StatusInvest'!$A:$AY,column(O196)-$A$5,0)/VLOOKUP($A196,'Dados StatusInvest'!$A:$AY,2,0)*$E196</f>
        <v>6.155618893</v>
      </c>
      <c r="P196" s="41">
        <f>VLOOKUP($A196,'Dados StatusInvest'!$A:$AY,column(P196)-$A$5,0)-VLOOKUP($A196,'Dados StatusInvest'!$A:$AY,column(P196)-$A$5-1,0)+O196</f>
        <v>7.065618893</v>
      </c>
      <c r="Q196" s="44">
        <f>VLOOKUP($A196,'Dados StatusInvest'!$A:$AY,column(Q196)-$A$5,0)</f>
        <v>0.91</v>
      </c>
      <c r="R196" s="44">
        <f>VLOOKUP($A196,'Dados StatusInvest'!$A:$AY,column(R196)-$A$5,0)</f>
        <v>0.3</v>
      </c>
      <c r="S196" s="41">
        <f>VLOOKUP($A196,'Dados StatusInvest'!$A:$AY,column(S196)-$A$5,0)/VLOOKUP($A196,'Dados StatusInvest'!$A:$AY,2,0)*$E196</f>
        <v>1.330944625</v>
      </c>
      <c r="T196" s="42">
        <f>VLOOKUP($A196,'Dados StatusInvest'!$A:$AY,column(T196)-$A$5,0)/VLOOKUP($A196,'Dados StatusInvest'!$A:$AY,2,0)*$E196</f>
        <v>3.105537459</v>
      </c>
      <c r="U196" s="44">
        <f>VLOOKUP($A196,'Dados StatusInvest'!$A:$AY,column(U196)-$A$5,0)</f>
        <v>-1.39</v>
      </c>
      <c r="V196" s="45">
        <f>VLOOKUP($A196,'Dados StatusInvest'!$A:$AY,column(V196)-$A$5,0)</f>
        <v>3.04</v>
      </c>
      <c r="W196" s="45">
        <f>VLOOKUP($A196,'Dados StatusInvest'!$A:$AY,column(W196)-$A$5,0)</f>
        <v>21.06</v>
      </c>
      <c r="X196" s="45">
        <f>VLOOKUP($A196,'Dados StatusInvest'!$A:$AY,column(X196)-$A$5,0)</f>
        <v>9.31</v>
      </c>
      <c r="Y196" s="45">
        <f>VLOOKUP($A196,'Dados StatusInvest'!$A:$AY,column(Y196)-$A$5,0)</f>
        <v>15.01</v>
      </c>
      <c r="Z196" s="44">
        <f>VLOOKUP($A196,'Dados StatusInvest'!$A:$AY,column(Z196)-$A$5,0)</f>
        <v>0.44</v>
      </c>
      <c r="AA196" s="44">
        <f>VLOOKUP($A196,'Dados StatusInvest'!$A:$AY,column(AA196)-$A$5,0)</f>
        <v>0.56</v>
      </c>
      <c r="AB196" s="44">
        <f>VLOOKUP($A196,'Dados StatusInvest'!$A:$AY,column(AB196)-$A$5,0)</f>
        <v>0.66</v>
      </c>
      <c r="AC196" s="44">
        <f>VLOOKUP($A196,'Dados StatusInvest'!$A:$AY,column(AC196)-$A$5,0)</f>
        <v>6.3</v>
      </c>
      <c r="AD196" s="45">
        <f>VLOOKUP($A196,'Dados StatusInvest'!$A:$AY,column(AD196)-$A$5,0)</f>
        <v>226.57</v>
      </c>
      <c r="AE196" s="46">
        <f>VLOOKUP($A196,'Dados StatusInvest'!$A:$AY,column(AE196)-$A$5,0)</f>
        <v>11052346.08</v>
      </c>
      <c r="AF196" s="18"/>
    </row>
    <row r="197">
      <c r="A197" s="10" t="s">
        <v>243</v>
      </c>
      <c r="B197" s="39" t="str">
        <f>VLOOKUP(lEFT($A197,4),Setor!$A:$E,3,0)</f>
        <v>#N/A</v>
      </c>
      <c r="C197" s="39" t="str">
        <f>VLOOKUP(lEFT($A197,4),Setor!$A:$E,4,0)</f>
        <v>#N/A</v>
      </c>
      <c r="D197" s="39" t="str">
        <f>VLOOKUP(lEFT($A197,4),Setor!$A:$E,5,0)</f>
        <v>#N/A</v>
      </c>
      <c r="E197" s="17">
        <f>IFERROR(__xludf.DUMMYFUNCTION("GOOGLEFINANCE(A197)"),9.06)</f>
        <v>9.06</v>
      </c>
      <c r="F197" s="17">
        <f>IFERROR(__xludf.DUMMYFUNCTION("GOOGLEFINANCE($A197,""high52"")"),12.95)</f>
        <v>12.95</v>
      </c>
      <c r="G197" s="16">
        <f t="shared" si="1"/>
        <v>-0.3003861004</v>
      </c>
      <c r="H197" s="40">
        <f>VLOOKUP($A197,'Dados StatusInvest'!$A:$AY,column(H197)-$A$5,0)*VLOOKUP($A197,'Dados StatusInvest'!$A:$AY,2,0)/$E197/100</f>
        <v>0</v>
      </c>
      <c r="I197" s="41">
        <f>VLOOKUP($A197,'Dados StatusInvest'!$A:$AY,column(I197)-$A$5,0)/VLOOKUP($A197,'Dados StatusInvest'!$A:$AY,2,0)*$E197</f>
        <v>21.94990909</v>
      </c>
      <c r="J197" s="41">
        <f>VLOOKUP($A197,'Dados StatusInvest'!$A:$AY,column(J197)-$A$5,0)/VLOOKUP($A197,'Dados StatusInvest'!$A:$AY,2,0)*$E197</f>
        <v>5.2095</v>
      </c>
      <c r="K197" s="42">
        <f>VLOOKUP($A197,'Dados StatusInvest'!$A:$AY,column(K197)-$A$5,0)/VLOOKUP($A197,'Dados StatusInvest'!$A:$AY,2,0)*$E197</f>
        <v>1.194272727</v>
      </c>
      <c r="L197" s="43">
        <f>VLOOKUP($A197,'Dados StatusInvest'!$A:$AY,column(L197)-$A$5,0)/100</f>
        <v>0.1436</v>
      </c>
      <c r="M197" s="44">
        <f>VLOOKUP($A197,'Dados StatusInvest'!$A:$AY,column(M197)-$A$5,0)</f>
        <v>7.94</v>
      </c>
      <c r="N197" s="44">
        <f>VLOOKUP($A197,'Dados StatusInvest'!$A:$AY,column(N197)-$A$5,0)</f>
        <v>6.3</v>
      </c>
      <c r="O197" s="41">
        <f>VLOOKUP($A197,'Dados StatusInvest'!$A:$AY,column(O197)-$A$5,0)/VLOOKUP($A197,'Dados StatusInvest'!$A:$AY,2,0)*$E197</f>
        <v>17.40961364</v>
      </c>
      <c r="P197" s="41">
        <f>VLOOKUP($A197,'Dados StatusInvest'!$A:$AY,column(P197)-$A$5,0)-VLOOKUP($A197,'Dados StatusInvest'!$A:$AY,column(P197)-$A$5-1,0)+O197</f>
        <v>20.60961364</v>
      </c>
      <c r="Q197" s="44">
        <f>VLOOKUP($A197,'Dados StatusInvest'!$A:$AY,column(Q197)-$A$5,0)</f>
        <v>3.1</v>
      </c>
      <c r="R197" s="44">
        <f>VLOOKUP($A197,'Dados StatusInvest'!$A:$AY,column(R197)-$A$5,0)</f>
        <v>0.93</v>
      </c>
      <c r="S197" s="41">
        <f>VLOOKUP($A197,'Dados StatusInvest'!$A:$AY,column(S197)-$A$5,0)/VLOOKUP($A197,'Dados StatusInvest'!$A:$AY,2,0)*$E197</f>
        <v>1.379590909</v>
      </c>
      <c r="T197" s="42">
        <f>VLOOKUP($A197,'Dados StatusInvest'!$A:$AY,column(T197)-$A$5,0)/VLOOKUP($A197,'Dados StatusInvest'!$A:$AY,2,0)*$E197</f>
        <v>9.646840909</v>
      </c>
      <c r="U197" s="44">
        <f>VLOOKUP($A197,'Dados StatusInvest'!$A:$AY,column(U197)-$A$5,0)</f>
        <v>-6.66</v>
      </c>
      <c r="V197" s="45">
        <f>VLOOKUP($A197,'Dados StatusInvest'!$A:$AY,column(V197)-$A$5,0)</f>
        <v>1.18</v>
      </c>
      <c r="W197" s="45">
        <f>VLOOKUP($A197,'Dados StatusInvest'!$A:$AY,column(W197)-$A$5,0)</f>
        <v>23.75</v>
      </c>
      <c r="X197" s="45">
        <f>VLOOKUP($A197,'Dados StatusInvest'!$A:$AY,column(X197)-$A$5,0)</f>
        <v>5.45</v>
      </c>
      <c r="Y197" s="48">
        <f>VLOOKUP($A197,'Dados StatusInvest'!$A:$AY,column(Y197)-$A$5,0)</f>
        <v>13.2</v>
      </c>
      <c r="Z197" s="44">
        <f>VLOOKUP($A197,'Dados StatusInvest'!$A:$AY,column(Z197)-$A$5,0)</f>
        <v>0.23</v>
      </c>
      <c r="AA197" s="44">
        <f>VLOOKUP($A197,'Dados StatusInvest'!$A:$AY,column(AA197)-$A$5,0)</f>
        <v>0.77</v>
      </c>
      <c r="AB197" s="44">
        <f>VLOOKUP($A197,'Dados StatusInvest'!$A:$AY,column(AB197)-$A$5,0)</f>
        <v>0.87</v>
      </c>
      <c r="AC197" s="44">
        <f>VLOOKUP($A197,'Dados StatusInvest'!$A:$AY,column(AC197)-$A$5,0)</f>
        <v>0</v>
      </c>
      <c r="AD197" s="45">
        <f>VLOOKUP($A197,'Dados StatusInvest'!$A:$AY,column(AD197)-$A$5,0)</f>
        <v>0</v>
      </c>
      <c r="AE197" s="46">
        <f>VLOOKUP($A197,'Dados StatusInvest'!$A:$AY,column(AE197)-$A$5,0)</f>
        <v>10959564.08</v>
      </c>
      <c r="AF197" s="18"/>
    </row>
    <row r="198">
      <c r="A198" s="10" t="s">
        <v>244</v>
      </c>
      <c r="B198" s="39" t="str">
        <f>VLOOKUP(lEFT($A198,4),Setor!$A:$E,3,0)</f>
        <v>Petróleo, Gás e Biocombustíveis</v>
      </c>
      <c r="C198" s="39" t="str">
        <f>VLOOKUP(lEFT($A198,4),Setor!$A:$E,4,0)</f>
        <v>Petróleo, Gás e Biocombustíveis</v>
      </c>
      <c r="D198" s="39" t="str">
        <f>VLOOKUP(lEFT($A198,4),Setor!$A:$E,5,0)</f>
        <v>Equipamentos e Serviços</v>
      </c>
      <c r="E198" s="17">
        <f>IFERROR(__xludf.DUMMYFUNCTION("GOOGLEFINANCE(A198)"),5.2)</f>
        <v>5.2</v>
      </c>
      <c r="F198" s="17">
        <f>IFERROR(__xludf.DUMMYFUNCTION("GOOGLEFINANCE($A198,""high52"")"),11.86)</f>
        <v>11.86</v>
      </c>
      <c r="G198" s="16">
        <f t="shared" si="1"/>
        <v>-0.5615514334</v>
      </c>
      <c r="H198" s="40">
        <f>VLOOKUP($A198,'Dados StatusInvest'!$A:$AY,column(H198)-$A$5,0)*VLOOKUP($A198,'Dados StatusInvest'!$A:$AY,2,0)/$E198/100</f>
        <v>0</v>
      </c>
      <c r="I198" s="41">
        <f>VLOOKUP($A198,'Dados StatusInvest'!$A:$AY,column(I198)-$A$5,0)/VLOOKUP($A198,'Dados StatusInvest'!$A:$AY,2,0)*$E198</f>
        <v>1.989565217</v>
      </c>
      <c r="J198" s="41">
        <f>VLOOKUP($A198,'Dados StatusInvest'!$A:$AY,column(J198)-$A$5,0)/VLOOKUP($A198,'Dados StatusInvest'!$A:$AY,2,0)*$E198</f>
        <v>1.257043478</v>
      </c>
      <c r="K198" s="42">
        <f>VLOOKUP($A198,'Dados StatusInvest'!$A:$AY,column(K198)-$A$5,0)/VLOOKUP($A198,'Dados StatusInvest'!$A:$AY,2,0)*$E198</f>
        <v>0.3074782609</v>
      </c>
      <c r="L198" s="43">
        <f>VLOOKUP($A198,'Dados StatusInvest'!$A:$AY,column(L198)-$A$5,0)/100</f>
        <v>0.2449</v>
      </c>
      <c r="M198" s="47">
        <f>VLOOKUP($A198,'Dados StatusInvest'!$A:$AY,column(M198)-$A$5,0)</f>
        <v>3.88</v>
      </c>
      <c r="N198" s="47">
        <f>VLOOKUP($A198,'Dados StatusInvest'!$A:$AY,column(N198)-$A$5,0)</f>
        <v>102.37</v>
      </c>
      <c r="O198" s="41">
        <f>VLOOKUP($A198,'Dados StatusInvest'!$A:$AY,column(O198)-$A$5,0)/VLOOKUP($A198,'Dados StatusInvest'!$A:$AY,2,0)*$E198</f>
        <v>52.60591304</v>
      </c>
      <c r="P198" s="41">
        <f>VLOOKUP($A198,'Dados StatusInvest'!$A:$AY,column(P198)-$A$5,0)-VLOOKUP($A198,'Dados StatusInvest'!$A:$AY,column(P198)-$A$5-1,0)+O198</f>
        <v>91.69591304</v>
      </c>
      <c r="Q198" s="44">
        <f>VLOOKUP($A198,'Dados StatusInvest'!$A:$AY,column(Q198)-$A$5,0)</f>
        <v>39.29</v>
      </c>
      <c r="R198" s="44">
        <f>VLOOKUP($A198,'Dados StatusInvest'!$A:$AY,column(R198)-$A$5,0)</f>
        <v>0.94</v>
      </c>
      <c r="S198" s="41">
        <f>VLOOKUP($A198,'Dados StatusInvest'!$A:$AY,column(S198)-$A$5,0)/VLOOKUP($A198,'Dados StatusInvest'!$A:$AY,2,0)*$E198</f>
        <v>2.043826087</v>
      </c>
      <c r="T198" s="42">
        <f>VLOOKUP($A198,'Dados StatusInvest'!$A:$AY,column(T198)-$A$5,0)/VLOOKUP($A198,'Dados StatusInvest'!$A:$AY,2,0)*$E198</f>
        <v>1.320347826</v>
      </c>
      <c r="U198" s="44">
        <f>VLOOKUP($A198,'Dados StatusInvest'!$A:$AY,column(U198)-$A$5,0)</f>
        <v>-0.56</v>
      </c>
      <c r="V198" s="45">
        <f>VLOOKUP($A198,'Dados StatusInvest'!$A:$AY,column(V198)-$A$5,0)</f>
        <v>2.4</v>
      </c>
      <c r="W198" s="45">
        <f>VLOOKUP($A198,'Dados StatusInvest'!$A:$AY,column(W198)-$A$5,0)</f>
        <v>62.83</v>
      </c>
      <c r="X198" s="45">
        <f>VLOOKUP($A198,'Dados StatusInvest'!$A:$AY,column(X198)-$A$5,0)</f>
        <v>15.31</v>
      </c>
      <c r="Y198" s="45">
        <f>VLOOKUP($A198,'Dados StatusInvest'!$A:$AY,column(Y198)-$A$5,0)</f>
        <v>-0.16</v>
      </c>
      <c r="Z198" s="44">
        <f>VLOOKUP($A198,'Dados StatusInvest'!$A:$AY,column(Z198)-$A$5,0)</f>
        <v>0.24</v>
      </c>
      <c r="AA198" s="44">
        <f>VLOOKUP($A198,'Dados StatusInvest'!$A:$AY,column(AA198)-$A$5,0)</f>
        <v>0.76</v>
      </c>
      <c r="AB198" s="44">
        <f>VLOOKUP($A198,'Dados StatusInvest'!$A:$AY,column(AB198)-$A$5,0)</f>
        <v>0.15</v>
      </c>
      <c r="AC198" s="44">
        <f>VLOOKUP($A198,'Dados StatusInvest'!$A:$AY,column(AC198)-$A$5,0)</f>
        <v>-27.27</v>
      </c>
      <c r="AD198" s="45">
        <f>VLOOKUP($A198,'Dados StatusInvest'!$A:$AY,column(AD198)-$A$5,0)</f>
        <v>0</v>
      </c>
      <c r="AE198" s="46">
        <f>VLOOKUP($A198,'Dados StatusInvest'!$A:$AY,column(AE198)-$A$5,0)</f>
        <v>12377541.75</v>
      </c>
      <c r="AF198" s="51"/>
    </row>
    <row r="199">
      <c r="A199" s="10" t="s">
        <v>245</v>
      </c>
      <c r="B199" s="39" t="str">
        <f>VLOOKUP(lEFT($A199,4),Setor!$A:$E,3,0)</f>
        <v>#N/A</v>
      </c>
      <c r="C199" s="39" t="str">
        <f>VLOOKUP(lEFT($A199,4),Setor!$A:$E,4,0)</f>
        <v>#N/A</v>
      </c>
      <c r="D199" s="39" t="str">
        <f>VLOOKUP(lEFT($A199,4),Setor!$A:$E,5,0)</f>
        <v>#N/A</v>
      </c>
      <c r="E199" s="17">
        <f>IFERROR(__xludf.DUMMYFUNCTION("GOOGLEFINANCE(A199)"),18.54)</f>
        <v>18.54</v>
      </c>
      <c r="F199" s="17">
        <f>IFERROR(__xludf.DUMMYFUNCTION("GOOGLEFINANCE($A199,""high52"")"),21.62)</f>
        <v>21.62</v>
      </c>
      <c r="G199" s="16">
        <f t="shared" si="1"/>
        <v>-0.1424606846</v>
      </c>
      <c r="H199" s="40">
        <f>VLOOKUP($A199,'Dados StatusInvest'!$A:$AY,column(H199)-$A$5,0)*VLOOKUP($A199,'Dados StatusInvest'!$A:$AY,2,0)/$E199/100</f>
        <v>0</v>
      </c>
      <c r="I199" s="41">
        <f>VLOOKUP($A199,'Dados StatusInvest'!$A:$AY,column(I199)-$A$5,0)/VLOOKUP($A199,'Dados StatusInvest'!$A:$AY,2,0)*$E199</f>
        <v>68.99172833</v>
      </c>
      <c r="J199" s="41">
        <f>VLOOKUP($A199,'Dados StatusInvest'!$A:$AY,column(J199)-$A$5,0)/VLOOKUP($A199,'Dados StatusInvest'!$A:$AY,2,0)*$E199</f>
        <v>2.424389255</v>
      </c>
      <c r="K199" s="42">
        <f>VLOOKUP($A199,'Dados StatusInvest'!$A:$AY,column(K199)-$A$5,0)/VLOOKUP($A199,'Dados StatusInvest'!$A:$AY,2,0)*$E199</f>
        <v>1.400131779</v>
      </c>
      <c r="L199" s="43">
        <f>VLOOKUP($A199,'Dados StatusInvest'!$A:$AY,column(L199)-$A$5,0)/100</f>
        <v>0.3661</v>
      </c>
      <c r="M199" s="47">
        <f>VLOOKUP($A199,'Dados StatusInvest'!$A:$AY,column(M199)-$A$5,0)</f>
        <v>29.31</v>
      </c>
      <c r="N199" s="47">
        <f>VLOOKUP($A199,'Dados StatusInvest'!$A:$AY,column(N199)-$A$5,0)</f>
        <v>9.78</v>
      </c>
      <c r="O199" s="41">
        <f>VLOOKUP($A199,'Dados StatusInvest'!$A:$AY,column(O199)-$A$5,0)/VLOOKUP($A199,'Dados StatusInvest'!$A:$AY,2,0)*$E199</f>
        <v>23.01290421</v>
      </c>
      <c r="P199" s="41">
        <f>VLOOKUP($A199,'Dados StatusInvest'!$A:$AY,column(P199)-$A$5,0)-VLOOKUP($A199,'Dados StatusInvest'!$A:$AY,column(P199)-$A$5-1,0)+O199</f>
        <v>21.41290421</v>
      </c>
      <c r="Q199" s="44">
        <f>VLOOKUP($A199,'Dados StatusInvest'!$A:$AY,column(Q199)-$A$5,0)</f>
        <v>-2.04</v>
      </c>
      <c r="R199" s="44">
        <f>VLOOKUP($A199,'Dados StatusInvest'!$A:$AY,column(R199)-$A$5,0)</f>
        <v>-0.21</v>
      </c>
      <c r="S199" s="41">
        <f>VLOOKUP($A199,'Dados StatusInvest'!$A:$AY,column(S199)-$A$5,0)/VLOOKUP($A199,'Dados StatusInvest'!$A:$AY,2,0)*$E199</f>
        <v>6.74694374</v>
      </c>
      <c r="T199" s="42">
        <f>VLOOKUP($A199,'Dados StatusInvest'!$A:$AY,column(T199)-$A$5,0)/VLOOKUP($A199,'Dados StatusInvest'!$A:$AY,2,0)*$E199</f>
        <v>5.882432843</v>
      </c>
      <c r="U199" s="44">
        <f>VLOOKUP($A199,'Dados StatusInvest'!$A:$AY,column(U199)-$A$5,0)</f>
        <v>-2.58</v>
      </c>
      <c r="V199" s="45">
        <f>VLOOKUP($A199,'Dados StatusInvest'!$A:$AY,column(V199)-$A$5,0)</f>
        <v>2.31</v>
      </c>
      <c r="W199" s="45">
        <f>VLOOKUP($A199,'Dados StatusInvest'!$A:$AY,column(W199)-$A$5,0)</f>
        <v>3.52</v>
      </c>
      <c r="X199" s="45">
        <f>VLOOKUP($A199,'Dados StatusInvest'!$A:$AY,column(X199)-$A$5,0)</f>
        <v>2.03</v>
      </c>
      <c r="Y199" s="45">
        <f>VLOOKUP($A199,'Dados StatusInvest'!$A:$AY,column(Y199)-$A$5,0)</f>
        <v>6.79</v>
      </c>
      <c r="Z199" s="44">
        <f>VLOOKUP($A199,'Dados StatusInvest'!$A:$AY,column(Z199)-$A$5,0)</f>
        <v>0.58</v>
      </c>
      <c r="AA199" s="44">
        <f>VLOOKUP($A199,'Dados StatusInvest'!$A:$AY,column(AA199)-$A$5,0)</f>
        <v>0.42</v>
      </c>
      <c r="AB199" s="44">
        <f>VLOOKUP($A199,'Dados StatusInvest'!$A:$AY,column(AB199)-$A$5,0)</f>
        <v>0.21</v>
      </c>
      <c r="AC199" s="44">
        <f>VLOOKUP($A199,'Dados StatusInvest'!$A:$AY,column(AC199)-$A$5,0)</f>
        <v>0</v>
      </c>
      <c r="AD199" s="45">
        <f>VLOOKUP($A199,'Dados StatusInvest'!$A:$AY,column(AD199)-$A$5,0)</f>
        <v>0</v>
      </c>
      <c r="AE199" s="46">
        <f>VLOOKUP($A199,'Dados StatusInvest'!$A:$AY,column(AE199)-$A$5,0)</f>
        <v>14692803.21</v>
      </c>
      <c r="AF199" s="18"/>
    </row>
    <row r="200">
      <c r="A200" s="10" t="s">
        <v>246</v>
      </c>
      <c r="B200" s="39" t="str">
        <f>VLOOKUP(lEFT($A200,4),Setor!$A:$E,3,0)</f>
        <v>Saúde</v>
      </c>
      <c r="C200" s="39" t="str">
        <f>VLOOKUP(lEFT($A200,4),Setor!$A:$E,4,0)</f>
        <v>Análises e Diagnósticos</v>
      </c>
      <c r="D200" s="39" t="str">
        <f>VLOOKUP(lEFT($A200,4),Setor!$A:$E,5,0)</f>
        <v>Análises e Diagnósticos</v>
      </c>
      <c r="E200" s="17">
        <f>IFERROR(__xludf.DUMMYFUNCTION("GOOGLEFINANCE(A200)"),21.65)</f>
        <v>21.65</v>
      </c>
      <c r="F200" s="17">
        <f>IFERROR(__xludf.DUMMYFUNCTION("GOOGLEFINANCE($A200,""high52"")"),26.39)</f>
        <v>26.39</v>
      </c>
      <c r="G200" s="16">
        <f t="shared" si="1"/>
        <v>-0.17961349</v>
      </c>
      <c r="H200" s="40">
        <f>VLOOKUP($A200,'Dados StatusInvest'!$A:$AY,column(H200)-$A$5,0)*VLOOKUP($A200,'Dados StatusInvest'!$A:$AY,2,0)/$E200/100</f>
        <v>0.01246475751</v>
      </c>
      <c r="I200" s="41">
        <f>VLOOKUP($A200,'Dados StatusInvest'!$A:$AY,column(I200)-$A$5,0)/VLOOKUP($A200,'Dados StatusInvest'!$A:$AY,2,0)*$E200</f>
        <v>12.6308113</v>
      </c>
      <c r="J200" s="41">
        <f>VLOOKUP($A200,'Dados StatusInvest'!$A:$AY,column(J200)-$A$5,0)/VLOOKUP($A200,'Dados StatusInvest'!$A:$AY,2,0)*$E200</f>
        <v>3.473473108</v>
      </c>
      <c r="K200" s="42">
        <f>VLOOKUP($A200,'Dados StatusInvest'!$A:$AY,column(K200)-$A$5,0)/VLOOKUP($A200,'Dados StatusInvest'!$A:$AY,2,0)*$E200</f>
        <v>1.371627165</v>
      </c>
      <c r="L200" s="43">
        <f>VLOOKUP($A200,'Dados StatusInvest'!$A:$AY,column(L200)-$A$5,0)/100</f>
        <v>0.3093</v>
      </c>
      <c r="M200" s="47">
        <f>VLOOKUP($A200,'Dados StatusInvest'!$A:$AY,column(M200)-$A$5,0)</f>
        <v>18.99</v>
      </c>
      <c r="N200" s="47">
        <f>VLOOKUP($A200,'Dados StatusInvest'!$A:$AY,column(N200)-$A$5,0)</f>
        <v>11.66</v>
      </c>
      <c r="O200" s="41">
        <f>VLOOKUP($A200,'Dados StatusInvest'!$A:$AY,column(O200)-$A$5,0)/VLOOKUP($A200,'Dados StatusInvest'!$A:$AY,2,0)*$E200</f>
        <v>7.746239745</v>
      </c>
      <c r="P200" s="41">
        <f>VLOOKUP($A200,'Dados StatusInvest'!$A:$AY,column(P200)-$A$5,0)-VLOOKUP($A200,'Dados StatusInvest'!$A:$AY,column(P200)-$A$5-1,0)+O200</f>
        <v>8.106239745</v>
      </c>
      <c r="Q200" s="44">
        <f>VLOOKUP($A200,'Dados StatusInvest'!$A:$AY,column(Q200)-$A$5,0)</f>
        <v>0.33</v>
      </c>
      <c r="R200" s="44">
        <f>VLOOKUP($A200,'Dados StatusInvest'!$A:$AY,column(R200)-$A$5,0)</f>
        <v>0.15</v>
      </c>
      <c r="S200" s="41">
        <f>VLOOKUP($A200,'Dados StatusInvest'!$A:$AY,column(S200)-$A$5,0)/VLOOKUP($A200,'Dados StatusInvest'!$A:$AY,2,0)*$E200</f>
        <v>1.470305378</v>
      </c>
      <c r="T200" s="42">
        <f>VLOOKUP($A200,'Dados StatusInvest'!$A:$AY,column(T200)-$A$5,0)/VLOOKUP($A200,'Dados StatusInvest'!$A:$AY,2,0)*$E200</f>
        <v>12.88737466</v>
      </c>
      <c r="U200" s="44">
        <f>VLOOKUP($A200,'Dados StatusInvest'!$A:$AY,column(U200)-$A$5,0)</f>
        <v>-2.25</v>
      </c>
      <c r="V200" s="45">
        <f>VLOOKUP($A200,'Dados StatusInvest'!$A:$AY,column(V200)-$A$5,0)</f>
        <v>1.39</v>
      </c>
      <c r="W200" s="45">
        <f>VLOOKUP($A200,'Dados StatusInvest'!$A:$AY,column(W200)-$A$5,0)</f>
        <v>27.47</v>
      </c>
      <c r="X200" s="45">
        <f>VLOOKUP($A200,'Dados StatusInvest'!$A:$AY,column(X200)-$A$5,0)</f>
        <v>10.86</v>
      </c>
      <c r="Y200" s="45">
        <f>VLOOKUP($A200,'Dados StatusInvest'!$A:$AY,column(Y200)-$A$5,0)</f>
        <v>24.97</v>
      </c>
      <c r="Z200" s="44">
        <f>VLOOKUP($A200,'Dados StatusInvest'!$A:$AY,column(Z200)-$A$5,0)</f>
        <v>0.4</v>
      </c>
      <c r="AA200" s="44">
        <f>VLOOKUP($A200,'Dados StatusInvest'!$A:$AY,column(AA200)-$A$5,0)</f>
        <v>0.6</v>
      </c>
      <c r="AB200" s="44">
        <f>VLOOKUP($A200,'Dados StatusInvest'!$A:$AY,column(AB200)-$A$5,0)</f>
        <v>0.93</v>
      </c>
      <c r="AC200" s="44">
        <f>VLOOKUP($A200,'Dados StatusInvest'!$A:$AY,column(AC200)-$A$5,0)</f>
        <v>14.12</v>
      </c>
      <c r="AD200" s="45">
        <f>VLOOKUP($A200,'Dados StatusInvest'!$A:$AY,column(AD200)-$A$5,0)</f>
        <v>21.91</v>
      </c>
      <c r="AE200" s="46">
        <f>VLOOKUP($A200,'Dados StatusInvest'!$A:$AY,column(AE200)-$A$5,0)</f>
        <v>9977698.67</v>
      </c>
      <c r="AF200" s="49"/>
    </row>
    <row r="201">
      <c r="A201" s="10" t="s">
        <v>247</v>
      </c>
      <c r="B201" s="39" t="str">
        <f>VLOOKUP(lEFT($A201,4),Setor!$A:$E,3,0)</f>
        <v>Consumo Cíclico</v>
      </c>
      <c r="C201" s="39" t="str">
        <f>VLOOKUP(lEFT($A201,4),Setor!$A:$E,4,0)</f>
        <v>Comércio</v>
      </c>
      <c r="D201" s="39" t="str">
        <f>VLOOKUP(lEFT($A201,4),Setor!$A:$E,5,0)</f>
        <v>Tecidos, Vestuário e Calçados</v>
      </c>
      <c r="E201" s="17">
        <f>IFERROR(__xludf.DUMMYFUNCTION("GOOGLEFINANCE(A201)"),13.78)</f>
        <v>13.78</v>
      </c>
      <c r="F201" s="17">
        <f>IFERROR(__xludf.DUMMYFUNCTION("GOOGLEFINANCE($A201,""high52"")"),23.19)</f>
        <v>23.19</v>
      </c>
      <c r="G201" s="16">
        <f t="shared" si="1"/>
        <v>-0.4057783527</v>
      </c>
      <c r="H201" s="40">
        <f>VLOOKUP($A201,'Dados StatusInvest'!$A:$AY,column(H201)-$A$5,0)*VLOOKUP($A201,'Dados StatusInvest'!$A:$AY,2,0)/$E201/100</f>
        <v>0.03380159652</v>
      </c>
      <c r="I201" s="41">
        <f>VLOOKUP($A201,'Dados StatusInvest'!$A:$AY,column(I201)-$A$5,0)/VLOOKUP($A201,'Dados StatusInvest'!$A:$AY,2,0)*$E201</f>
        <v>26.68746725</v>
      </c>
      <c r="J201" s="41">
        <f>VLOOKUP($A201,'Dados StatusInvest'!$A:$AY,column(J201)-$A$5,0)/VLOOKUP($A201,'Dados StatusInvest'!$A:$AY,2,0)*$E201</f>
        <v>1.384017467</v>
      </c>
      <c r="K201" s="42">
        <f>VLOOKUP($A201,'Dados StatusInvest'!$A:$AY,column(K201)-$A$5,0)/VLOOKUP($A201,'Dados StatusInvest'!$A:$AY,2,0)*$E201</f>
        <v>0.5315429403</v>
      </c>
      <c r="L201" s="43">
        <f>VLOOKUP($A201,'Dados StatusInvest'!$A:$AY,column(L201)-$A$5,0)/100</f>
        <v>0.4708</v>
      </c>
      <c r="M201" s="47">
        <f>VLOOKUP($A201,'Dados StatusInvest'!$A:$AY,column(M201)-$A$5,0)</f>
        <v>5.82</v>
      </c>
      <c r="N201" s="47">
        <f>VLOOKUP($A201,'Dados StatusInvest'!$A:$AY,column(N201)-$A$5,0)</f>
        <v>3.88</v>
      </c>
      <c r="O201" s="41">
        <f>VLOOKUP($A201,'Dados StatusInvest'!$A:$AY,column(O201)-$A$5,0)/VLOOKUP($A201,'Dados StatusInvest'!$A:$AY,2,0)*$E201</f>
        <v>17.78161572</v>
      </c>
      <c r="P201" s="41">
        <f>VLOOKUP($A201,'Dados StatusInvest'!$A:$AY,column(P201)-$A$5,0)-VLOOKUP($A201,'Dados StatusInvest'!$A:$AY,column(P201)-$A$5-1,0)+O201</f>
        <v>21.78161572</v>
      </c>
      <c r="Q201" s="44">
        <f>VLOOKUP($A201,'Dados StatusInvest'!$A:$AY,column(Q201)-$A$5,0)</f>
        <v>3.92</v>
      </c>
      <c r="R201" s="44">
        <f>VLOOKUP($A201,'Dados StatusInvest'!$A:$AY,column(R201)-$A$5,0)</f>
        <v>0.31</v>
      </c>
      <c r="S201" s="41">
        <f>VLOOKUP($A201,'Dados StatusInvest'!$A:$AY,column(S201)-$A$5,0)/VLOOKUP($A201,'Dados StatusInvest'!$A:$AY,2,0)*$E201</f>
        <v>1.032998544</v>
      </c>
      <c r="T201" s="42">
        <f>VLOOKUP($A201,'Dados StatusInvest'!$A:$AY,column(T201)-$A$5,0)/VLOOKUP($A201,'Dados StatusInvest'!$A:$AY,2,0)*$E201</f>
        <v>2.065997089</v>
      </c>
      <c r="U201" s="44">
        <f>VLOOKUP($A201,'Dados StatusInvest'!$A:$AY,column(U201)-$A$5,0)</f>
        <v>-1.31</v>
      </c>
      <c r="V201" s="45">
        <f>VLOOKUP($A201,'Dados StatusInvest'!$A:$AY,column(V201)-$A$5,0)</f>
        <v>1.76</v>
      </c>
      <c r="W201" s="48">
        <f>VLOOKUP($A201,'Dados StatusInvest'!$A:$AY,column(W201)-$A$5,0)</f>
        <v>5.19</v>
      </c>
      <c r="X201" s="48">
        <f>VLOOKUP($A201,'Dados StatusInvest'!$A:$AY,column(X201)-$A$5,0)</f>
        <v>1.99</v>
      </c>
      <c r="Y201" s="48">
        <f>VLOOKUP($A201,'Dados StatusInvest'!$A:$AY,column(Y201)-$A$5,0)</f>
        <v>3.99</v>
      </c>
      <c r="Z201" s="44">
        <f>VLOOKUP($A201,'Dados StatusInvest'!$A:$AY,column(Z201)-$A$5,0)</f>
        <v>0.38</v>
      </c>
      <c r="AA201" s="44">
        <f>VLOOKUP($A201,'Dados StatusInvest'!$A:$AY,column(AA201)-$A$5,0)</f>
        <v>0.62</v>
      </c>
      <c r="AB201" s="44">
        <f>VLOOKUP($A201,'Dados StatusInvest'!$A:$AY,column(AB201)-$A$5,0)</f>
        <v>0.51</v>
      </c>
      <c r="AC201" s="44">
        <f>VLOOKUP($A201,'Dados StatusInvest'!$A:$AY,column(AC201)-$A$5,0)</f>
        <v>2.55</v>
      </c>
      <c r="AD201" s="45">
        <f>VLOOKUP($A201,'Dados StatusInvest'!$A:$AY,column(AD201)-$A$5,0)</f>
        <v>-5.94</v>
      </c>
      <c r="AE201" s="46">
        <f>VLOOKUP($A201,'Dados StatusInvest'!$A:$AY,column(AE201)-$A$5,0)</f>
        <v>9579874</v>
      </c>
      <c r="AF201" s="49"/>
    </row>
    <row r="202">
      <c r="A202" s="10" t="s">
        <v>248</v>
      </c>
      <c r="B202" s="39" t="str">
        <f>VLOOKUP(lEFT($A202,4),Setor!$A:$E,3,0)</f>
        <v>Saúde</v>
      </c>
      <c r="C202" s="39" t="str">
        <f>VLOOKUP(lEFT($A202,4),Setor!$A:$E,4,0)</f>
        <v>Análises e Diagnósticos</v>
      </c>
      <c r="D202" s="39" t="str">
        <f>VLOOKUP(lEFT($A202,4),Setor!$A:$E,5,0)</f>
        <v>Análises e Diagnósticos</v>
      </c>
      <c r="E202" s="17">
        <f>IFERROR(__xludf.DUMMYFUNCTION("GOOGLEFINANCE(A202)"),43.15)</f>
        <v>43.15</v>
      </c>
      <c r="F202" s="17">
        <f>IFERROR(__xludf.DUMMYFUNCTION("GOOGLEFINANCE($A202,""high52"")"),242.0)</f>
        <v>242</v>
      </c>
      <c r="G202" s="16">
        <f t="shared" si="1"/>
        <v>-0.8216942149</v>
      </c>
      <c r="H202" s="40">
        <f>VLOOKUP($A202,'Dados StatusInvest'!$A:$AY,column(H202)-$A$5,0)*VLOOKUP($A202,'Dados StatusInvest'!$A:$AY,2,0)/$E202/100</f>
        <v>0.006611494786</v>
      </c>
      <c r="I202" s="41">
        <f>VLOOKUP($A202,'Dados StatusInvest'!$A:$AY,column(I202)-$A$5,0)/VLOOKUP($A202,'Dados StatusInvest'!$A:$AY,2,0)*$E202</f>
        <v>-391.4610968</v>
      </c>
      <c r="J202" s="41">
        <f>VLOOKUP($A202,'Dados StatusInvest'!$A:$AY,column(J202)-$A$5,0)/VLOOKUP($A202,'Dados StatusInvest'!$A:$AY,2,0)*$E202</f>
        <v>3.252970878</v>
      </c>
      <c r="K202" s="42">
        <f>VLOOKUP($A202,'Dados StatusInvest'!$A:$AY,column(K202)-$A$5,0)/VLOOKUP($A202,'Dados StatusInvest'!$A:$AY,2,0)*$E202</f>
        <v>1.327536402</v>
      </c>
      <c r="L202" s="43">
        <f>VLOOKUP($A202,'Dados StatusInvest'!$A:$AY,column(L202)-$A$5,0)/100</f>
        <v>0.2993</v>
      </c>
      <c r="M202" s="44">
        <f>VLOOKUP($A202,'Dados StatusInvest'!$A:$AY,column(M202)-$A$5,0)</f>
        <v>1.04</v>
      </c>
      <c r="N202" s="44">
        <f>VLOOKUP($A202,'Dados StatusInvest'!$A:$AY,column(N202)-$A$5,0)</f>
        <v>-0.65</v>
      </c>
      <c r="O202" s="41">
        <f>VLOOKUP($A202,'Dados StatusInvest'!$A:$AY,column(O202)-$A$5,0)/VLOOKUP($A202,'Dados StatusInvest'!$A:$AY,2,0)*$E202</f>
        <v>246.0198567</v>
      </c>
      <c r="P202" s="41">
        <f>VLOOKUP($A202,'Dados StatusInvest'!$A:$AY,column(P202)-$A$5,0)-VLOOKUP($A202,'Dados StatusInvest'!$A:$AY,column(P202)-$A$5-1,0)+O202</f>
        <v>261.8298567</v>
      </c>
      <c r="Q202" s="44">
        <f>VLOOKUP($A202,'Dados StatusInvest'!$A:$AY,column(Q202)-$A$5,0)</f>
        <v>14.95</v>
      </c>
      <c r="R202" s="44">
        <f>VLOOKUP($A202,'Dados StatusInvest'!$A:$AY,column(R202)-$A$5,0)</f>
        <v>0.2</v>
      </c>
      <c r="S202" s="41">
        <f>VLOOKUP($A202,'Dados StatusInvest'!$A:$AY,column(S202)-$A$5,0)/VLOOKUP($A202,'Dados StatusInvest'!$A:$AY,2,0)*$E202</f>
        <v>2.543600282</v>
      </c>
      <c r="T202" s="42">
        <f>VLOOKUP($A202,'Dados StatusInvest'!$A:$AY,column(T202)-$A$5,0)/VLOOKUP($A202,'Dados StatusInvest'!$A:$AY,2,0)*$E202</f>
        <v>8.218565054</v>
      </c>
      <c r="U202" s="44">
        <f>VLOOKUP($A202,'Dados StatusInvest'!$A:$AY,column(U202)-$A$5,0)</f>
        <v>-2.29</v>
      </c>
      <c r="V202" s="45">
        <f>VLOOKUP($A202,'Dados StatusInvest'!$A:$AY,column(V202)-$A$5,0)</f>
        <v>1.61</v>
      </c>
      <c r="W202" s="45">
        <f>VLOOKUP($A202,'Dados StatusInvest'!$A:$AY,column(W202)-$A$5,0)</f>
        <v>-0.83</v>
      </c>
      <c r="X202" s="45">
        <f>VLOOKUP($A202,'Dados StatusInvest'!$A:$AY,column(X202)-$A$5,0)</f>
        <v>-0.34</v>
      </c>
      <c r="Y202" s="45">
        <f>VLOOKUP($A202,'Dados StatusInvest'!$A:$AY,column(Y202)-$A$5,0)</f>
        <v>-0.74</v>
      </c>
      <c r="Z202" s="44">
        <f>VLOOKUP($A202,'Dados StatusInvest'!$A:$AY,column(Z202)-$A$5,0)</f>
        <v>0.41</v>
      </c>
      <c r="AA202" s="44">
        <f>VLOOKUP($A202,'Dados StatusInvest'!$A:$AY,column(AA202)-$A$5,0)</f>
        <v>0.59</v>
      </c>
      <c r="AB202" s="44">
        <f>VLOOKUP($A202,'Dados StatusInvest'!$A:$AY,column(AB202)-$A$5,0)</f>
        <v>0.52</v>
      </c>
      <c r="AC202" s="44">
        <f>VLOOKUP($A202,'Dados StatusInvest'!$A:$AY,column(AC202)-$A$5,0)</f>
        <v>20.3</v>
      </c>
      <c r="AD202" s="45">
        <f>VLOOKUP($A202,'Dados StatusInvest'!$A:$AY,column(AD202)-$A$5,0)</f>
        <v>0</v>
      </c>
      <c r="AE202" s="46">
        <f>VLOOKUP($A202,'Dados StatusInvest'!$A:$AY,column(AE202)-$A$5,0)</f>
        <v>8366700.96</v>
      </c>
      <c r="AF202" s="51"/>
    </row>
    <row r="203">
      <c r="A203" s="10" t="s">
        <v>249</v>
      </c>
      <c r="B203" s="52" t="str">
        <f>VLOOKUP(lEFT($A203,4),Setor!$A:$E,3,0)</f>
        <v>Materiais Básicos</v>
      </c>
      <c r="C203" s="52" t="str">
        <f>VLOOKUP(lEFT($A203,4),Setor!$A:$E,4,0)</f>
        <v>Mineração</v>
      </c>
      <c r="D203" s="52" t="str">
        <f>VLOOKUP(lEFT($A203,4),Setor!$A:$E,5,0)</f>
        <v>Minerais Metálicos</v>
      </c>
      <c r="E203" s="53">
        <f>IFERROR(__xludf.DUMMYFUNCTION("GOOGLEFINANCE(A203)"),48.5)</f>
        <v>48.5</v>
      </c>
      <c r="F203" s="53">
        <f>IFERROR(__xludf.DUMMYFUNCTION("GOOGLEFINANCE($A203,""high52"")"),61.97)</f>
        <v>61.97</v>
      </c>
      <c r="G203" s="54">
        <f t="shared" si="1"/>
        <v>-0.2173632403</v>
      </c>
      <c r="H203" s="55">
        <f>VLOOKUP($A203,'Dados StatusInvest'!$A:$AY,column(H203)-$A$5,0)*VLOOKUP($A203,'Dados StatusInvest'!$A:$AY,2,0)/$E203/100</f>
        <v>0.1354516289</v>
      </c>
      <c r="I203" s="56">
        <f>VLOOKUP($A203,'Dados StatusInvest'!$A:$AY,column(I203)-$A$5,0)/VLOOKUP($A203,'Dados StatusInvest'!$A:$AY,2,0)*$E203</f>
        <v>3.760722586</v>
      </c>
      <c r="J203" s="56">
        <f>VLOOKUP($A203,'Dados StatusInvest'!$A:$AY,column(J203)-$A$5,0)/VLOOKUP($A203,'Dados StatusInvest'!$A:$AY,2,0)*$E203</f>
        <v>1.42436087</v>
      </c>
      <c r="K203" s="57">
        <f>VLOOKUP($A203,'Dados StatusInvest'!$A:$AY,column(K203)-$A$5,0)/VLOOKUP($A203,'Dados StatusInvest'!$A:$AY,2,0)*$E203</f>
        <v>1.41411367</v>
      </c>
      <c r="L203" s="58">
        <f>VLOOKUP($A203,'Dados StatusInvest'!$A:$AY,column(L203)-$A$5,0)/100</f>
        <v>0</v>
      </c>
      <c r="M203" s="59">
        <f>VLOOKUP($A203,'Dados StatusInvest'!$A:$AY,column(M203)-$A$5,0)</f>
        <v>0</v>
      </c>
      <c r="N203" s="63">
        <f>VLOOKUP($A203,'Dados StatusInvest'!$A:$AY,column(N203)-$A$5,0)</f>
        <v>0</v>
      </c>
      <c r="O203" s="56">
        <f>VLOOKUP($A203,'Dados StatusInvest'!$A:$AY,column(O203)-$A$5,0)/VLOOKUP($A203,'Dados StatusInvest'!$A:$AY,2,0)*$E203</f>
        <v>3.760722586</v>
      </c>
      <c r="P203" s="56">
        <f>VLOOKUP($A203,'Dados StatusInvest'!$A:$AY,column(P203)-$A$5,0)-VLOOKUP($A203,'Dados StatusInvest'!$A:$AY,column(P203)-$A$5-1,0)+O203</f>
        <v>3.780722586</v>
      </c>
      <c r="Q203" s="59">
        <f>VLOOKUP($A203,'Dados StatusInvest'!$A:$AY,column(Q203)-$A$5,0)</f>
        <v>-0.15</v>
      </c>
      <c r="R203" s="59">
        <f>VLOOKUP($A203,'Dados StatusInvest'!$A:$AY,column(R203)-$A$5,0)</f>
        <v>-0.06</v>
      </c>
      <c r="S203" s="56">
        <f>VLOOKUP($A203,'Dados StatusInvest'!$A:$AY,column(S203)-$A$5,0)/VLOOKUP($A203,'Dados StatusInvest'!$A:$AY,2,0)*$E203</f>
        <v>0</v>
      </c>
      <c r="T203" s="57">
        <f>VLOOKUP($A203,'Dados StatusInvest'!$A:$AY,column(T203)-$A$5,0)/VLOOKUP($A203,'Dados StatusInvest'!$A:$AY,2,0)*$E203</f>
        <v>26.05863089</v>
      </c>
      <c r="U203" s="59">
        <f>VLOOKUP($A203,'Dados StatusInvest'!$A:$AY,column(U203)-$A$5,0)</f>
        <v>-1.47</v>
      </c>
      <c r="V203" s="60">
        <f>VLOOKUP($A203,'Dados StatusInvest'!$A:$AY,column(V203)-$A$5,0)</f>
        <v>16.3</v>
      </c>
      <c r="W203" s="60">
        <f>VLOOKUP($A203,'Dados StatusInvest'!$A:$AY,column(W203)-$A$5,0)</f>
        <v>37.74</v>
      </c>
      <c r="X203" s="60">
        <f>VLOOKUP($A203,'Dados StatusInvest'!$A:$AY,column(X203)-$A$5,0)</f>
        <v>37.58</v>
      </c>
      <c r="Y203" s="60">
        <f>VLOOKUP($A203,'Dados StatusInvest'!$A:$AY,column(Y203)-$A$5,0)</f>
        <v>37.65</v>
      </c>
      <c r="Z203" s="59">
        <f>VLOOKUP($A203,'Dados StatusInvest'!$A:$AY,column(Z203)-$A$5,0)</f>
        <v>1</v>
      </c>
      <c r="AA203" s="59">
        <f>VLOOKUP($A203,'Dados StatusInvest'!$A:$AY,column(AA203)-$A$5,0)</f>
        <v>0</v>
      </c>
      <c r="AB203" s="59">
        <f>VLOOKUP($A203,'Dados StatusInvest'!$A:$AY,column(AB203)-$A$5,0)</f>
        <v>0</v>
      </c>
      <c r="AC203" s="59">
        <f>VLOOKUP($A203,'Dados StatusInvest'!$A:$AY,column(AC203)-$A$5,0)</f>
        <v>0</v>
      </c>
      <c r="AD203" s="60">
        <f>VLOOKUP($A203,'Dados StatusInvest'!$A:$AY,column(AD203)-$A$5,0)</f>
        <v>0</v>
      </c>
      <c r="AE203" s="62">
        <f>VLOOKUP($A203,'Dados StatusInvest'!$A:$AY,column(AE203)-$A$5,0)</f>
        <v>17111829.33</v>
      </c>
      <c r="AF203" s="18"/>
    </row>
    <row r="204">
      <c r="A204" s="10" t="s">
        <v>250</v>
      </c>
      <c r="B204" s="39" t="str">
        <f>VLOOKUP(lEFT($A204,4),Setor!$A:$E,3,0)</f>
        <v>Bens Industriais</v>
      </c>
      <c r="C204" s="39" t="str">
        <f>VLOOKUP(lEFT($A204,4),Setor!$A:$E,4,0)</f>
        <v>Transporte</v>
      </c>
      <c r="D204" s="39" t="str">
        <f>VLOOKUP(lEFT($A204,4),Setor!$A:$E,5,0)</f>
        <v>Exploração de Rodovias</v>
      </c>
      <c r="E204" s="17">
        <f>IFERROR(__xludf.DUMMYFUNCTION("GOOGLEFINANCE(A204)"),2.59)</f>
        <v>2.59</v>
      </c>
      <c r="F204" s="17">
        <f>IFERROR(__xludf.DUMMYFUNCTION("GOOGLEFINANCE($A204,""high52"")"),4.96)</f>
        <v>4.96</v>
      </c>
      <c r="G204" s="16">
        <f t="shared" si="1"/>
        <v>-0.4778225806</v>
      </c>
      <c r="H204" s="40">
        <f>VLOOKUP($A204,'Dados StatusInvest'!$A:$AY,column(H204)-$A$5,0)*VLOOKUP($A204,'Dados StatusInvest'!$A:$AY,2,0)/$E204/100</f>
        <v>0.01595675676</v>
      </c>
      <c r="I204" s="41">
        <f>VLOOKUP($A204,'Dados StatusInvest'!$A:$AY,column(I204)-$A$5,0)/VLOOKUP($A204,'Dados StatusInvest'!$A:$AY,2,0)*$E204</f>
        <v>3.042222222</v>
      </c>
      <c r="J204" s="41">
        <f>VLOOKUP($A204,'Dados StatusInvest'!$A:$AY,column(J204)-$A$5,0)/VLOOKUP($A204,'Dados StatusInvest'!$A:$AY,2,0)*$E204</f>
        <v>0.5344444444</v>
      </c>
      <c r="K204" s="42">
        <f>VLOOKUP($A204,'Dados StatusInvest'!$A:$AY,column(K204)-$A$5,0)/VLOOKUP($A204,'Dados StatusInvest'!$A:$AY,2,0)*$E204</f>
        <v>0.1438888889</v>
      </c>
      <c r="L204" s="43">
        <f>VLOOKUP($A204,'Dados StatusInvest'!$A:$AY,column(L204)-$A$5,0)/100</f>
        <v>0.0241</v>
      </c>
      <c r="M204" s="44">
        <f>VLOOKUP($A204,'Dados StatusInvest'!$A:$AY,column(M204)-$A$5,0)</f>
        <v>17.91</v>
      </c>
      <c r="N204" s="44">
        <f>VLOOKUP($A204,'Dados StatusInvest'!$A:$AY,column(N204)-$A$5,0)</f>
        <v>14.89</v>
      </c>
      <c r="O204" s="41">
        <f>VLOOKUP($A204,'Dados StatusInvest'!$A:$AY,column(O204)-$A$5,0)/VLOOKUP($A204,'Dados StatusInvest'!$A:$AY,2,0)*$E204</f>
        <v>2.528333333</v>
      </c>
      <c r="P204" s="41">
        <f>VLOOKUP($A204,'Dados StatusInvest'!$A:$AY,column(P204)-$A$5,0)-VLOOKUP($A204,'Dados StatusInvest'!$A:$AY,column(P204)-$A$5-1,0)+O204</f>
        <v>11.93833333</v>
      </c>
      <c r="Q204" s="44">
        <f>VLOOKUP($A204,'Dados StatusInvest'!$A:$AY,column(Q204)-$A$5,0)</f>
        <v>9.39</v>
      </c>
      <c r="R204" s="44">
        <f>VLOOKUP($A204,'Dados StatusInvest'!$A:$AY,column(R204)-$A$5,0)</f>
        <v>2</v>
      </c>
      <c r="S204" s="41">
        <f>VLOOKUP($A204,'Dados StatusInvest'!$A:$AY,column(S204)-$A$5,0)/VLOOKUP($A204,'Dados StatusInvest'!$A:$AY,2,0)*$E204</f>
        <v>0.4522222222</v>
      </c>
      <c r="T204" s="42">
        <f>VLOOKUP($A204,'Dados StatusInvest'!$A:$AY,column(T204)-$A$5,0)/VLOOKUP($A204,'Dados StatusInvest'!$A:$AY,2,0)*$E204</f>
        <v>-1.048333333</v>
      </c>
      <c r="U204" s="44">
        <f>VLOOKUP($A204,'Dados StatusInvest'!$A:$AY,column(U204)-$A$5,0)</f>
        <v>-0.15</v>
      </c>
      <c r="V204" s="45">
        <f>VLOOKUP($A204,'Dados StatusInvest'!$A:$AY,column(V204)-$A$5,0)</f>
        <v>0.31</v>
      </c>
      <c r="W204" s="45">
        <f>VLOOKUP($A204,'Dados StatusInvest'!$A:$AY,column(W204)-$A$5,0)</f>
        <v>17.68</v>
      </c>
      <c r="X204" s="45">
        <f>VLOOKUP($A204,'Dados StatusInvest'!$A:$AY,column(X204)-$A$5,0)</f>
        <v>4.65</v>
      </c>
      <c r="Y204" s="45">
        <f>VLOOKUP($A204,'Dados StatusInvest'!$A:$AY,column(Y204)-$A$5,0)</f>
        <v>6.37</v>
      </c>
      <c r="Z204" s="44">
        <f>VLOOKUP($A204,'Dados StatusInvest'!$A:$AY,column(Z204)-$A$5,0)</f>
        <v>0.26</v>
      </c>
      <c r="AA204" s="44">
        <f>VLOOKUP($A204,'Dados StatusInvest'!$A:$AY,column(AA204)-$A$5,0)</f>
        <v>0.74</v>
      </c>
      <c r="AB204" s="44">
        <f>VLOOKUP($A204,'Dados StatusInvest'!$A:$AY,column(AB204)-$A$5,0)</f>
        <v>0.31</v>
      </c>
      <c r="AC204" s="44">
        <f>VLOOKUP($A204,'Dados StatusInvest'!$A:$AY,column(AC204)-$A$5,0)</f>
        <v>-16.95</v>
      </c>
      <c r="AD204" s="45">
        <f>VLOOKUP($A204,'Dados StatusInvest'!$A:$AY,column(AD204)-$A$5,0)</f>
        <v>17.13</v>
      </c>
      <c r="AE204" s="46">
        <f>VLOOKUP($A204,'Dados StatusInvest'!$A:$AY,column(AE204)-$A$5,0)</f>
        <v>13004360.33</v>
      </c>
      <c r="AF204" s="18"/>
    </row>
    <row r="205">
      <c r="A205" s="10" t="s">
        <v>251</v>
      </c>
      <c r="B205" s="39" t="str">
        <f>VLOOKUP(lEFT($A205,4),Setor!$A:$E,3,0)</f>
        <v>Consumo Cíclico</v>
      </c>
      <c r="C205" s="39" t="str">
        <f>VLOOKUP(lEFT($A205,4),Setor!$A:$E,4,0)</f>
        <v>Diversos</v>
      </c>
      <c r="D205" s="39" t="str">
        <f>VLOOKUP(lEFT($A205,4),Setor!$A:$E,5,0)</f>
        <v>Serviços Educacionais</v>
      </c>
      <c r="E205" s="17">
        <f>IFERROR(__xludf.DUMMYFUNCTION("GOOGLEFINANCE(A205)"),12.88)</f>
        <v>12.88</v>
      </c>
      <c r="F205" s="17">
        <f>IFERROR(__xludf.DUMMYFUNCTION("GOOGLEFINANCE($A205,""high52"")"),19.5)</f>
        <v>19.5</v>
      </c>
      <c r="G205" s="16">
        <f t="shared" si="1"/>
        <v>-0.3394871795</v>
      </c>
      <c r="H205" s="40">
        <f>VLOOKUP($A205,'Dados StatusInvest'!$A:$AY,column(H205)-$A$5,0)*VLOOKUP($A205,'Dados StatusInvest'!$A:$AY,2,0)/$E205/100</f>
        <v>0.02818493789</v>
      </c>
      <c r="I205" s="41">
        <f>VLOOKUP($A205,'Dados StatusInvest'!$A:$AY,column(I205)-$A$5,0)/VLOOKUP($A205,'Dados StatusInvest'!$A:$AY,2,0)*$E205</f>
        <v>11.18228471</v>
      </c>
      <c r="J205" s="41">
        <f>VLOOKUP($A205,'Dados StatusInvest'!$A:$AY,column(J205)-$A$5,0)/VLOOKUP($A205,'Dados StatusInvest'!$A:$AY,2,0)*$E205</f>
        <v>1.143128295</v>
      </c>
      <c r="K205" s="42">
        <f>VLOOKUP($A205,'Dados StatusInvest'!$A:$AY,column(K205)-$A$5,0)/VLOOKUP($A205,'Dados StatusInvest'!$A:$AY,2,0)*$E205</f>
        <v>0.509314587</v>
      </c>
      <c r="L205" s="43">
        <f>VLOOKUP($A205,'Dados StatusInvest'!$A:$AY,column(L205)-$A$5,0)/100</f>
        <v>0.5324</v>
      </c>
      <c r="M205" s="44">
        <f>VLOOKUP($A205,'Dados StatusInvest'!$A:$AY,column(M205)-$A$5,0)</f>
        <v>22.09</v>
      </c>
      <c r="N205" s="44">
        <f>VLOOKUP($A205,'Dados StatusInvest'!$A:$AY,column(N205)-$A$5,0)</f>
        <v>11.56</v>
      </c>
      <c r="O205" s="41">
        <f>VLOOKUP($A205,'Dados StatusInvest'!$A:$AY,column(O205)-$A$5,0)/VLOOKUP($A205,'Dados StatusInvest'!$A:$AY,2,0)*$E205</f>
        <v>5.851458699</v>
      </c>
      <c r="P205" s="41">
        <f>VLOOKUP($A205,'Dados StatusInvest'!$A:$AY,column(P205)-$A$5,0)-VLOOKUP($A205,'Dados StatusInvest'!$A:$AY,column(P205)-$A$5-1,0)+O205</f>
        <v>6.191458699</v>
      </c>
      <c r="Q205" s="44">
        <f>VLOOKUP($A205,'Dados StatusInvest'!$A:$AY,column(Q205)-$A$5,0)</f>
        <v>0.32</v>
      </c>
      <c r="R205" s="44">
        <f>VLOOKUP($A205,'Dados StatusInvest'!$A:$AY,column(R205)-$A$5,0)</f>
        <v>0.06</v>
      </c>
      <c r="S205" s="41">
        <f>VLOOKUP($A205,'Dados StatusInvest'!$A:$AY,column(S205)-$A$5,0)/VLOOKUP($A205,'Dados StatusInvest'!$A:$AY,2,0)*$E205</f>
        <v>1.29026362</v>
      </c>
      <c r="T205" s="42">
        <f>VLOOKUP($A205,'Dados StatusInvest'!$A:$AY,column(T205)-$A$5,0)/VLOOKUP($A205,'Dados StatusInvest'!$A:$AY,2,0)*$E205</f>
        <v>4.730966608</v>
      </c>
      <c r="U205" s="47">
        <f>VLOOKUP($A205,'Dados StatusInvest'!$A:$AY,column(U205)-$A$5,0)</f>
        <v>-0.63</v>
      </c>
      <c r="V205" s="45">
        <f>VLOOKUP($A205,'Dados StatusInvest'!$A:$AY,column(V205)-$A$5,0)</f>
        <v>1.63</v>
      </c>
      <c r="W205" s="45">
        <f>VLOOKUP($A205,'Dados StatusInvest'!$A:$AY,column(W205)-$A$5,0)</f>
        <v>10.18</v>
      </c>
      <c r="X205" s="48">
        <f>VLOOKUP($A205,'Dados StatusInvest'!$A:$AY,column(X205)-$A$5,0)</f>
        <v>4.58</v>
      </c>
      <c r="Y205" s="45">
        <f>VLOOKUP($A205,'Dados StatusInvest'!$A:$AY,column(Y205)-$A$5,0)</f>
        <v>12.61</v>
      </c>
      <c r="Z205" s="44">
        <f>VLOOKUP($A205,'Dados StatusInvest'!$A:$AY,column(Z205)-$A$5,0)</f>
        <v>0.45</v>
      </c>
      <c r="AA205" s="44">
        <f>VLOOKUP($A205,'Dados StatusInvest'!$A:$AY,column(AA205)-$A$5,0)</f>
        <v>0.55</v>
      </c>
      <c r="AB205" s="44">
        <f>VLOOKUP($A205,'Dados StatusInvest'!$A:$AY,column(AB205)-$A$5,0)</f>
        <v>0.4</v>
      </c>
      <c r="AC205" s="44">
        <f>VLOOKUP($A205,'Dados StatusInvest'!$A:$AY,column(AC205)-$A$5,0)</f>
        <v>4.15</v>
      </c>
      <c r="AD205" s="45">
        <f>VLOOKUP($A205,'Dados StatusInvest'!$A:$AY,column(AD205)-$A$5,0)</f>
        <v>-1.5</v>
      </c>
      <c r="AE205" s="46">
        <f>VLOOKUP($A205,'Dados StatusInvest'!$A:$AY,column(AE205)-$A$5,0)</f>
        <v>8941506.46</v>
      </c>
      <c r="AF205" s="18"/>
    </row>
    <row r="206">
      <c r="A206" s="10" t="s">
        <v>252</v>
      </c>
      <c r="B206" s="39" t="str">
        <f>VLOOKUP(lEFT($A206,4),Setor!$A:$E,3,0)</f>
        <v>#N/A</v>
      </c>
      <c r="C206" s="39" t="str">
        <f>VLOOKUP(lEFT($A206,4),Setor!$A:$E,4,0)</f>
        <v>#N/A</v>
      </c>
      <c r="D206" s="39" t="str">
        <f>VLOOKUP(lEFT($A206,4),Setor!$A:$E,5,0)</f>
        <v>#N/A</v>
      </c>
      <c r="E206" s="17">
        <f>IFERROR(__xludf.DUMMYFUNCTION("GOOGLEFINANCE(A206)"),4.69)</f>
        <v>4.69</v>
      </c>
      <c r="F206" s="17">
        <f>IFERROR(__xludf.DUMMYFUNCTION("GOOGLEFINANCE($A206,""high52"")"),12.38)</f>
        <v>12.38</v>
      </c>
      <c r="G206" s="16">
        <f t="shared" si="1"/>
        <v>-0.6211631664</v>
      </c>
      <c r="H206" s="40">
        <f>VLOOKUP($A206,'Dados StatusInvest'!$A:$AY,column(H206)-$A$5,0)*VLOOKUP($A206,'Dados StatusInvest'!$A:$AY,2,0)/$E206/100</f>
        <v>0.002665458422</v>
      </c>
      <c r="I206" s="41">
        <f>VLOOKUP($A206,'Dados StatusInvest'!$A:$AY,column(I206)-$A$5,0)/VLOOKUP($A206,'Dados StatusInvest'!$A:$AY,2,0)*$E206</f>
        <v>48.4599568</v>
      </c>
      <c r="J206" s="41">
        <f>VLOOKUP($A206,'Dados StatusInvest'!$A:$AY,column(J206)-$A$5,0)/VLOOKUP($A206,'Dados StatusInvest'!$A:$AY,2,0)*$E206</f>
        <v>2.390583153</v>
      </c>
      <c r="K206" s="42">
        <f>VLOOKUP($A206,'Dados StatusInvest'!$A:$AY,column(K206)-$A$5,0)/VLOOKUP($A206,'Dados StatusInvest'!$A:$AY,2,0)*$E206</f>
        <v>1.671382289</v>
      </c>
      <c r="L206" s="43">
        <f>VLOOKUP($A206,'Dados StatusInvest'!$A:$AY,column(L206)-$A$5,0)/100</f>
        <v>0.6571</v>
      </c>
      <c r="M206" s="47">
        <f>VLOOKUP($A206,'Dados StatusInvest'!$A:$AY,column(M206)-$A$5,0)</f>
        <v>16.95</v>
      </c>
      <c r="N206" s="47">
        <f>VLOOKUP($A206,'Dados StatusInvest'!$A:$AY,column(N206)-$A$5,0)</f>
        <v>10.1</v>
      </c>
      <c r="O206" s="41">
        <f>VLOOKUP($A206,'Dados StatusInvest'!$A:$AY,column(O206)-$A$5,0)/VLOOKUP($A206,'Dados StatusInvest'!$A:$AY,2,0)*$E206</f>
        <v>28.87946004</v>
      </c>
      <c r="P206" s="41">
        <f>VLOOKUP($A206,'Dados StatusInvest'!$A:$AY,column(P206)-$A$5,0)-VLOOKUP($A206,'Dados StatusInvest'!$A:$AY,column(P206)-$A$5-1,0)+O206</f>
        <v>23.38946004</v>
      </c>
      <c r="Q206" s="44">
        <f>VLOOKUP($A206,'Dados StatusInvest'!$A:$AY,column(Q206)-$A$5,0)</f>
        <v>-5.98</v>
      </c>
      <c r="R206" s="44">
        <f>VLOOKUP($A206,'Dados StatusInvest'!$A:$AY,column(R206)-$A$5,0)</f>
        <v>-0.49</v>
      </c>
      <c r="S206" s="41">
        <f>VLOOKUP($A206,'Dados StatusInvest'!$A:$AY,column(S206)-$A$5,0)/VLOOKUP($A206,'Dados StatusInvest'!$A:$AY,2,0)*$E206</f>
        <v>4.892591793</v>
      </c>
      <c r="T206" s="42">
        <f>VLOOKUP($A206,'Dados StatusInvest'!$A:$AY,column(T206)-$A$5,0)/VLOOKUP($A206,'Dados StatusInvest'!$A:$AY,2,0)*$E206</f>
        <v>3.514967603</v>
      </c>
      <c r="U206" s="44">
        <f>VLOOKUP($A206,'Dados StatusInvest'!$A:$AY,column(U206)-$A$5,0)</f>
        <v>-4.14</v>
      </c>
      <c r="V206" s="45">
        <f>VLOOKUP($A206,'Dados StatusInvest'!$A:$AY,column(V206)-$A$5,0)</f>
        <v>4.71</v>
      </c>
      <c r="W206" s="45">
        <f>VLOOKUP($A206,'Dados StatusInvest'!$A:$AY,column(W206)-$A$5,0)</f>
        <v>4.93</v>
      </c>
      <c r="X206" s="45">
        <f>VLOOKUP($A206,'Dados StatusInvest'!$A:$AY,column(X206)-$A$5,0)</f>
        <v>3.44</v>
      </c>
      <c r="Y206" s="45">
        <f>VLOOKUP($A206,'Dados StatusInvest'!$A:$AY,column(Y206)-$A$5,0)</f>
        <v>4.7</v>
      </c>
      <c r="Z206" s="44">
        <f>VLOOKUP($A206,'Dados StatusInvest'!$A:$AY,column(Z206)-$A$5,0)</f>
        <v>0.7</v>
      </c>
      <c r="AA206" s="44">
        <f>VLOOKUP($A206,'Dados StatusInvest'!$A:$AY,column(AA206)-$A$5,0)</f>
        <v>0.3</v>
      </c>
      <c r="AB206" s="44">
        <f>VLOOKUP($A206,'Dados StatusInvest'!$A:$AY,column(AB206)-$A$5,0)</f>
        <v>0.34</v>
      </c>
      <c r="AC206" s="44">
        <f>VLOOKUP($A206,'Dados StatusInvest'!$A:$AY,column(AC206)-$A$5,0)</f>
        <v>0</v>
      </c>
      <c r="AD206" s="45">
        <f>VLOOKUP($A206,'Dados StatusInvest'!$A:$AY,column(AD206)-$A$5,0)</f>
        <v>0</v>
      </c>
      <c r="AE206" s="46">
        <f>VLOOKUP($A206,'Dados StatusInvest'!$A:$AY,column(AE206)-$A$5,0)</f>
        <v>9106304.92</v>
      </c>
      <c r="AF206" s="18"/>
    </row>
    <row r="207">
      <c r="A207" s="10" t="s">
        <v>253</v>
      </c>
      <c r="B207" s="39" t="str">
        <f>VLOOKUP(lEFT($A207,4),Setor!$A:$E,3,0)</f>
        <v>Bens Industriais</v>
      </c>
      <c r="C207" s="39" t="str">
        <f>VLOOKUP(lEFT($A207,4),Setor!$A:$E,4,0)</f>
        <v>Máquinas e Equipamentos</v>
      </c>
      <c r="D207" s="39" t="str">
        <f>VLOOKUP(lEFT($A207,4),Setor!$A:$E,5,0)</f>
        <v>Máq. e Equip. Industriais</v>
      </c>
      <c r="E207" s="17">
        <f>IFERROR(__xludf.DUMMYFUNCTION("GOOGLEFINANCE(A207)"),44.98)</f>
        <v>44.98</v>
      </c>
      <c r="F207" s="17">
        <f>IFERROR(__xludf.DUMMYFUNCTION("GOOGLEFINANCE($A207,""high52"")"),60.0)</f>
        <v>60</v>
      </c>
      <c r="G207" s="16">
        <f t="shared" si="1"/>
        <v>-0.2503333333</v>
      </c>
      <c r="H207" s="40">
        <f>VLOOKUP($A207,'Dados StatusInvest'!$A:$AY,column(H207)-$A$5,0)*VLOOKUP($A207,'Dados StatusInvest'!$A:$AY,2,0)/$E207/100</f>
        <v>0.04396831925</v>
      </c>
      <c r="I207" s="41">
        <f>VLOOKUP($A207,'Dados StatusInvest'!$A:$AY,column(I207)-$A$5,0)/VLOOKUP($A207,'Dados StatusInvest'!$A:$AY,2,0)*$E207</f>
        <v>18.77078801</v>
      </c>
      <c r="J207" s="41">
        <f>VLOOKUP($A207,'Dados StatusInvest'!$A:$AY,column(J207)-$A$5,0)/VLOOKUP($A207,'Dados StatusInvest'!$A:$AY,2,0)*$E207</f>
        <v>2.096736959</v>
      </c>
      <c r="K207" s="42">
        <f>VLOOKUP($A207,'Dados StatusInvest'!$A:$AY,column(K207)-$A$5,0)/VLOOKUP($A207,'Dados StatusInvest'!$A:$AY,2,0)*$E207</f>
        <v>1.198135405</v>
      </c>
      <c r="L207" s="43">
        <f>VLOOKUP($A207,'Dados StatusInvest'!$A:$AY,column(L207)-$A$5,0)/100</f>
        <v>0.2236</v>
      </c>
      <c r="M207" s="44">
        <f>VLOOKUP($A207,'Dados StatusInvest'!$A:$AY,column(M207)-$A$5,0)</f>
        <v>10.16</v>
      </c>
      <c r="N207" s="44">
        <f>VLOOKUP($A207,'Dados StatusInvest'!$A:$AY,column(N207)-$A$5,0)</f>
        <v>7.83</v>
      </c>
      <c r="O207" s="41">
        <f>VLOOKUP($A207,'Dados StatusInvest'!$A:$AY,column(O207)-$A$5,0)/VLOOKUP($A207,'Dados StatusInvest'!$A:$AY,2,0)*$E207</f>
        <v>14.47746948</v>
      </c>
      <c r="P207" s="41">
        <f>VLOOKUP($A207,'Dados StatusInvest'!$A:$AY,column(P207)-$A$5,0)-VLOOKUP($A207,'Dados StatusInvest'!$A:$AY,column(P207)-$A$5-1,0)+O207</f>
        <v>10.47746948</v>
      </c>
      <c r="Q207" s="44">
        <f>VLOOKUP($A207,'Dados StatusInvest'!$A:$AY,column(Q207)-$A$5,0)</f>
        <v>-4.06</v>
      </c>
      <c r="R207" s="44">
        <f>VLOOKUP($A207,'Dados StatusInvest'!$A:$AY,column(R207)-$A$5,0)</f>
        <v>-0.59</v>
      </c>
      <c r="S207" s="41">
        <f>VLOOKUP($A207,'Dados StatusInvest'!$A:$AY,column(S207)-$A$5,0)/VLOOKUP($A207,'Dados StatusInvest'!$A:$AY,2,0)*$E207</f>
        <v>1.467715871</v>
      </c>
      <c r="T207" s="42">
        <f>VLOOKUP($A207,'Dados StatusInvest'!$A:$AY,column(T207)-$A$5,0)/VLOOKUP($A207,'Dados StatusInvest'!$A:$AY,2,0)*$E207</f>
        <v>4.802526082</v>
      </c>
      <c r="U207" s="44">
        <f>VLOOKUP($A207,'Dados StatusInvest'!$A:$AY,column(U207)-$A$5,0)</f>
        <v>-3.44</v>
      </c>
      <c r="V207" s="45">
        <f>VLOOKUP($A207,'Dados StatusInvest'!$A:$AY,column(V207)-$A$5,0)</f>
        <v>1.62</v>
      </c>
      <c r="W207" s="45">
        <f>VLOOKUP($A207,'Dados StatusInvest'!$A:$AY,column(W207)-$A$5,0)</f>
        <v>11.19</v>
      </c>
      <c r="X207" s="48">
        <f>VLOOKUP($A207,'Dados StatusInvest'!$A:$AY,column(X207)-$A$5,0)</f>
        <v>6.36</v>
      </c>
      <c r="Y207" s="45">
        <f>VLOOKUP($A207,'Dados StatusInvest'!$A:$AY,column(Y207)-$A$5,0)</f>
        <v>11.17</v>
      </c>
      <c r="Z207" s="44">
        <f>VLOOKUP($A207,'Dados StatusInvest'!$A:$AY,column(Z207)-$A$5,0)</f>
        <v>0.57</v>
      </c>
      <c r="AA207" s="44">
        <f>VLOOKUP($A207,'Dados StatusInvest'!$A:$AY,column(AA207)-$A$5,0)</f>
        <v>0.43</v>
      </c>
      <c r="AB207" s="44">
        <f>VLOOKUP($A207,'Dados StatusInvest'!$A:$AY,column(AB207)-$A$5,0)</f>
        <v>0.81</v>
      </c>
      <c r="AC207" s="44">
        <f>VLOOKUP($A207,'Dados StatusInvest'!$A:$AY,column(AC207)-$A$5,0)</f>
        <v>-1</v>
      </c>
      <c r="AD207" s="45">
        <f>VLOOKUP($A207,'Dados StatusInvest'!$A:$AY,column(AD207)-$A$5,0)</f>
        <v>63.44</v>
      </c>
      <c r="AE207" s="46">
        <f>VLOOKUP($A207,'Dados StatusInvest'!$A:$AY,column(AE207)-$A$5,0)</f>
        <v>10375612.92</v>
      </c>
      <c r="AF207" s="49"/>
    </row>
    <row r="208">
      <c r="A208" s="10" t="s">
        <v>254</v>
      </c>
      <c r="B208" s="39" t="str">
        <f>VLOOKUP(lEFT($A208,4),Setor!$A:$E,3,0)</f>
        <v>Bens Industriais</v>
      </c>
      <c r="C208" s="39" t="str">
        <f>VLOOKUP(lEFT($A208,4),Setor!$A:$E,4,0)</f>
        <v>Construção e Engenharia</v>
      </c>
      <c r="D208" s="39" t="str">
        <f>VLOOKUP(lEFT($A208,4),Setor!$A:$E,5,0)</f>
        <v>Serviços Diversos</v>
      </c>
      <c r="E208" s="17">
        <f>IFERROR(__xludf.DUMMYFUNCTION("GOOGLEFINANCE(A208)"),5.93)</f>
        <v>5.93</v>
      </c>
      <c r="F208" s="17">
        <f>IFERROR(__xludf.DUMMYFUNCTION("GOOGLEFINANCE($A208,""high52"")"),9.43)</f>
        <v>9.43</v>
      </c>
      <c r="G208" s="16">
        <f t="shared" si="1"/>
        <v>-0.3711558855</v>
      </c>
      <c r="H208" s="40">
        <f>VLOOKUP($A208,'Dados StatusInvest'!$A:$AY,column(H208)-$A$5,0)*VLOOKUP($A208,'Dados StatusInvest'!$A:$AY,2,0)/$E208/100</f>
        <v>0.01765531197</v>
      </c>
      <c r="I208" s="41">
        <f>VLOOKUP($A208,'Dados StatusInvest'!$A:$AY,column(I208)-$A$5,0)/VLOOKUP($A208,'Dados StatusInvest'!$A:$AY,2,0)*$E208</f>
        <v>41.39536028</v>
      </c>
      <c r="J208" s="41">
        <f>VLOOKUP($A208,'Dados StatusInvest'!$A:$AY,column(J208)-$A$5,0)/VLOOKUP($A208,'Dados StatusInvest'!$A:$AY,2,0)*$E208</f>
        <v>1.35483304</v>
      </c>
      <c r="K208" s="42">
        <f>VLOOKUP($A208,'Dados StatusInvest'!$A:$AY,column(K208)-$A$5,0)/VLOOKUP($A208,'Dados StatusInvest'!$A:$AY,2,0)*$E208</f>
        <v>1.010913884</v>
      </c>
      <c r="L208" s="43">
        <f>VLOOKUP($A208,'Dados StatusInvest'!$A:$AY,column(L208)-$A$5,0)/100</f>
        <v>0.4602</v>
      </c>
      <c r="M208" s="44">
        <f>VLOOKUP($A208,'Dados StatusInvest'!$A:$AY,column(M208)-$A$5,0)</f>
        <v>11.96</v>
      </c>
      <c r="N208" s="44">
        <f>VLOOKUP($A208,'Dados StatusInvest'!$A:$AY,column(N208)-$A$5,0)</f>
        <v>5.94</v>
      </c>
      <c r="O208" s="41">
        <f>VLOOKUP($A208,'Dados StatusInvest'!$A:$AY,column(O208)-$A$5,0)/VLOOKUP($A208,'Dados StatusInvest'!$A:$AY,2,0)*$E208</f>
        <v>20.56219684</v>
      </c>
      <c r="P208" s="41">
        <f>VLOOKUP($A208,'Dados StatusInvest'!$A:$AY,column(P208)-$A$5,0)-VLOOKUP($A208,'Dados StatusInvest'!$A:$AY,column(P208)-$A$5-1,0)+O208</f>
        <v>19.02219684</v>
      </c>
      <c r="Q208" s="44">
        <f>VLOOKUP($A208,'Dados StatusInvest'!$A:$AY,column(Q208)-$A$5,0)</f>
        <v>-1.64</v>
      </c>
      <c r="R208" s="44">
        <f>VLOOKUP($A208,'Dados StatusInvest'!$A:$AY,column(R208)-$A$5,0)</f>
        <v>-0.11</v>
      </c>
      <c r="S208" s="41">
        <f>VLOOKUP($A208,'Dados StatusInvest'!$A:$AY,column(S208)-$A$5,0)/VLOOKUP($A208,'Dados StatusInvest'!$A:$AY,2,0)*$E208</f>
        <v>2.459543058</v>
      </c>
      <c r="T208" s="42">
        <f>VLOOKUP($A208,'Dados StatusInvest'!$A:$AY,column(T208)-$A$5,0)/VLOOKUP($A208,'Dados StatusInvest'!$A:$AY,2,0)*$E208</f>
        <v>3.626783831</v>
      </c>
      <c r="U208" s="44">
        <f>VLOOKUP($A208,'Dados StatusInvest'!$A:$AY,column(U208)-$A$5,0)</f>
        <v>-1.59</v>
      </c>
      <c r="V208" s="45">
        <f>VLOOKUP($A208,'Dados StatusInvest'!$A:$AY,column(V208)-$A$5,0)</f>
        <v>3.38</v>
      </c>
      <c r="W208" s="48">
        <f>VLOOKUP($A208,'Dados StatusInvest'!$A:$AY,column(W208)-$A$5,0)</f>
        <v>3.27</v>
      </c>
      <c r="X208" s="45">
        <f>VLOOKUP($A208,'Dados StatusInvest'!$A:$AY,column(X208)-$A$5,0)</f>
        <v>2.43</v>
      </c>
      <c r="Y208" s="45">
        <f>VLOOKUP($A208,'Dados StatusInvest'!$A:$AY,column(Y208)-$A$5,0)</f>
        <v>3.47</v>
      </c>
      <c r="Z208" s="44">
        <f>VLOOKUP($A208,'Dados StatusInvest'!$A:$AY,column(Z208)-$A$5,0)</f>
        <v>0.74</v>
      </c>
      <c r="AA208" s="44">
        <f>VLOOKUP($A208,'Dados StatusInvest'!$A:$AY,column(AA208)-$A$5,0)</f>
        <v>0.26</v>
      </c>
      <c r="AB208" s="44">
        <f>VLOOKUP($A208,'Dados StatusInvest'!$A:$AY,column(AB208)-$A$5,0)</f>
        <v>0.41</v>
      </c>
      <c r="AC208" s="44">
        <f>VLOOKUP($A208,'Dados StatusInvest'!$A:$AY,column(AC208)-$A$5,0)</f>
        <v>-2.55</v>
      </c>
      <c r="AD208" s="45">
        <f>VLOOKUP($A208,'Dados StatusInvest'!$A:$AY,column(AD208)-$A$5,0)</f>
        <v>0</v>
      </c>
      <c r="AE208" s="46">
        <f>VLOOKUP($A208,'Dados StatusInvest'!$A:$AY,column(AE208)-$A$5,0)</f>
        <v>7762342.08</v>
      </c>
      <c r="AF208" s="49"/>
    </row>
    <row r="209">
      <c r="A209" s="10" t="s">
        <v>255</v>
      </c>
      <c r="B209" s="39" t="str">
        <f>VLOOKUP(lEFT($A209,4),Setor!$A:$E,3,0)</f>
        <v>Bens Industriais</v>
      </c>
      <c r="C209" s="39" t="str">
        <f>VLOOKUP(lEFT($A209,4),Setor!$A:$E,4,0)</f>
        <v>Transporte</v>
      </c>
      <c r="D209" s="39" t="str">
        <f>VLOOKUP(lEFT($A209,4),Setor!$A:$E,5,0)</f>
        <v>Transporte Rodoviário</v>
      </c>
      <c r="E209" s="17">
        <f>IFERROR(__xludf.DUMMYFUNCTION("GOOGLEFINANCE(A209)"),17.4)</f>
        <v>17.4</v>
      </c>
      <c r="F209" s="17">
        <f>IFERROR(__xludf.DUMMYFUNCTION("GOOGLEFINANCE($A209,""high52"")"),30.4)</f>
        <v>30.4</v>
      </c>
      <c r="G209" s="16">
        <f t="shared" si="1"/>
        <v>-0.4276315789</v>
      </c>
      <c r="H209" s="40">
        <f>VLOOKUP($A209,'Dados StatusInvest'!$A:$AY,column(H209)-$A$5,0)*VLOOKUP($A209,'Dados StatusInvest'!$A:$AY,2,0)/$E209/100</f>
        <v>0.04973172414</v>
      </c>
      <c r="I209" s="41">
        <f>VLOOKUP($A209,'Dados StatusInvest'!$A:$AY,column(I209)-$A$5,0)/VLOOKUP($A209,'Dados StatusInvest'!$A:$AY,2,0)*$E209</f>
        <v>11.14347048</v>
      </c>
      <c r="J209" s="41">
        <f>VLOOKUP($A209,'Dados StatusInvest'!$A:$AY,column(J209)-$A$5,0)/VLOOKUP($A209,'Dados StatusInvest'!$A:$AY,2,0)*$E209</f>
        <v>1.753488372</v>
      </c>
      <c r="K209" s="42">
        <f>VLOOKUP($A209,'Dados StatusInvest'!$A:$AY,column(K209)-$A$5,0)/VLOOKUP($A209,'Dados StatusInvest'!$A:$AY,2,0)*$E209</f>
        <v>1.120572451</v>
      </c>
      <c r="L209" s="43">
        <f>VLOOKUP($A209,'Dados StatusInvest'!$A:$AY,column(L209)-$A$5,0)/100</f>
        <v>0.202</v>
      </c>
      <c r="M209" s="44">
        <f>VLOOKUP($A209,'Dados StatusInvest'!$A:$AY,column(M209)-$A$5,0)</f>
        <v>13.65</v>
      </c>
      <c r="N209" s="44">
        <f>VLOOKUP($A209,'Dados StatusInvest'!$A:$AY,column(N209)-$A$5,0)</f>
        <v>9.61</v>
      </c>
      <c r="O209" s="41">
        <f>VLOOKUP($A209,'Dados StatusInvest'!$A:$AY,column(O209)-$A$5,0)/VLOOKUP($A209,'Dados StatusInvest'!$A:$AY,2,0)*$E209</f>
        <v>7.844007156</v>
      </c>
      <c r="P209" s="41">
        <f>VLOOKUP($A209,'Dados StatusInvest'!$A:$AY,column(P209)-$A$5,0)-VLOOKUP($A209,'Dados StatusInvest'!$A:$AY,column(P209)-$A$5-1,0)+O209</f>
        <v>7.834007156</v>
      </c>
      <c r="Q209" s="44">
        <f>VLOOKUP($A209,'Dados StatusInvest'!$A:$AY,column(Q209)-$A$5,0)</f>
        <v>-0.07</v>
      </c>
      <c r="R209" s="44">
        <f>VLOOKUP($A209,'Dados StatusInvest'!$A:$AY,column(R209)-$A$5,0)</f>
        <v>-0.02</v>
      </c>
      <c r="S209" s="41">
        <f>VLOOKUP($A209,'Dados StatusInvest'!$A:$AY,column(S209)-$A$5,0)/VLOOKUP($A209,'Dados StatusInvest'!$A:$AY,2,0)*$E209</f>
        <v>1.068694097</v>
      </c>
      <c r="T209" s="42">
        <f>VLOOKUP($A209,'Dados StatusInvest'!$A:$AY,column(T209)-$A$5,0)/VLOOKUP($A209,'Dados StatusInvest'!$A:$AY,2,0)*$E209</f>
        <v>4.06726297</v>
      </c>
      <c r="U209" s="44">
        <f>VLOOKUP($A209,'Dados StatusInvest'!$A:$AY,column(U209)-$A$5,0)</f>
        <v>-2.09</v>
      </c>
      <c r="V209" s="45">
        <f>VLOOKUP($A209,'Dados StatusInvest'!$A:$AY,column(V209)-$A$5,0)</f>
        <v>2.31</v>
      </c>
      <c r="W209" s="45">
        <f>VLOOKUP($A209,'Dados StatusInvest'!$A:$AY,column(W209)-$A$5,0)</f>
        <v>15.71</v>
      </c>
      <c r="X209" s="45">
        <f>VLOOKUP($A209,'Dados StatusInvest'!$A:$AY,column(X209)-$A$5,0)</f>
        <v>10.03</v>
      </c>
      <c r="Y209" s="45">
        <f>VLOOKUP($A209,'Dados StatusInvest'!$A:$AY,column(Y209)-$A$5,0)</f>
        <v>12.22</v>
      </c>
      <c r="Z209" s="44">
        <f>VLOOKUP($A209,'Dados StatusInvest'!$A:$AY,column(Z209)-$A$5,0)</f>
        <v>0.64</v>
      </c>
      <c r="AA209" s="44">
        <f>VLOOKUP($A209,'Dados StatusInvest'!$A:$AY,column(AA209)-$A$5,0)</f>
        <v>0.36</v>
      </c>
      <c r="AB209" s="44">
        <f>VLOOKUP($A209,'Dados StatusInvest'!$A:$AY,column(AB209)-$A$5,0)</f>
        <v>1.04</v>
      </c>
      <c r="AC209" s="44">
        <f>VLOOKUP($A209,'Dados StatusInvest'!$A:$AY,column(AC209)-$A$5,0)</f>
        <v>-2.05</v>
      </c>
      <c r="AD209" s="45">
        <f>VLOOKUP($A209,'Dados StatusInvest'!$A:$AY,column(AD209)-$A$5,0)</f>
        <v>59.7</v>
      </c>
      <c r="AE209" s="46">
        <f>VLOOKUP($A209,'Dados StatusInvest'!$A:$AY,column(AE209)-$A$5,0)</f>
        <v>8129190.33</v>
      </c>
      <c r="AF209" s="18"/>
    </row>
    <row r="210">
      <c r="A210" s="10" t="s">
        <v>256</v>
      </c>
      <c r="B210" s="39" t="str">
        <f>VLOOKUP(lEFT($A210,4),Setor!$A:$E,3,0)</f>
        <v>#N/A</v>
      </c>
      <c r="C210" s="39" t="str">
        <f>VLOOKUP(lEFT($A210,4),Setor!$A:$E,4,0)</f>
        <v>#N/A</v>
      </c>
      <c r="D210" s="39" t="str">
        <f>VLOOKUP(lEFT($A210,4),Setor!$A:$E,5,0)</f>
        <v>#N/A</v>
      </c>
      <c r="E210" s="17">
        <f>IFERROR(__xludf.DUMMYFUNCTION("GOOGLEFINANCE(A210)"),16.33)</f>
        <v>16.33</v>
      </c>
      <c r="F210" s="17">
        <f>IFERROR(__xludf.DUMMYFUNCTION("GOOGLEFINANCE($A210,""high52"")"),21.79)</f>
        <v>21.79</v>
      </c>
      <c r="G210" s="16">
        <f t="shared" si="1"/>
        <v>-0.2505736576</v>
      </c>
      <c r="H210" s="40">
        <f>VLOOKUP($A210,'Dados StatusInvest'!$A:$AY,column(H210)-$A$5,0)*VLOOKUP($A210,'Dados StatusInvest'!$A:$AY,2,0)/$E210/100</f>
        <v>0</v>
      </c>
      <c r="I210" s="41">
        <f>VLOOKUP($A210,'Dados StatusInvest'!$A:$AY,column(I210)-$A$5,0)/VLOOKUP($A210,'Dados StatusInvest'!$A:$AY,2,0)*$E210</f>
        <v>57.09763466</v>
      </c>
      <c r="J210" s="41">
        <f>VLOOKUP($A210,'Dados StatusInvest'!$A:$AY,column(J210)-$A$5,0)/VLOOKUP($A210,'Dados StatusInvest'!$A:$AY,2,0)*$E210</f>
        <v>3.900843091</v>
      </c>
      <c r="K210" s="42">
        <f>VLOOKUP($A210,'Dados StatusInvest'!$A:$AY,column(K210)-$A$5,0)/VLOOKUP($A210,'Dados StatusInvest'!$A:$AY,2,0)*$E210</f>
        <v>2.371100703</v>
      </c>
      <c r="L210" s="43">
        <f>VLOOKUP($A210,'Dados StatusInvest'!$A:$AY,column(L210)-$A$5,0)/100</f>
        <v>0.3796</v>
      </c>
      <c r="M210" s="47">
        <f>VLOOKUP($A210,'Dados StatusInvest'!$A:$AY,column(M210)-$A$5,0)</f>
        <v>22.05</v>
      </c>
      <c r="N210" s="47">
        <f>VLOOKUP($A210,'Dados StatusInvest'!$A:$AY,column(N210)-$A$5,0)</f>
        <v>12.54</v>
      </c>
      <c r="O210" s="41">
        <f>VLOOKUP($A210,'Dados StatusInvest'!$A:$AY,column(O210)-$A$5,0)/VLOOKUP($A210,'Dados StatusInvest'!$A:$AY,2,0)*$E210</f>
        <v>32.4687822</v>
      </c>
      <c r="P210" s="41">
        <f>VLOOKUP($A210,'Dados StatusInvest'!$A:$AY,column(P210)-$A$5,0)-VLOOKUP($A210,'Dados StatusInvest'!$A:$AY,column(P210)-$A$5-1,0)+O210</f>
        <v>26.1287822</v>
      </c>
      <c r="Q210" s="44">
        <f>VLOOKUP($A210,'Dados StatusInvest'!$A:$AY,column(Q210)-$A$5,0)</f>
        <v>-6.18</v>
      </c>
      <c r="R210" s="44">
        <f>VLOOKUP($A210,'Dados StatusInvest'!$A:$AY,column(R210)-$A$5,0)</f>
        <v>-0.74</v>
      </c>
      <c r="S210" s="41">
        <f>VLOOKUP($A210,'Dados StatusInvest'!$A:$AY,column(S210)-$A$5,0)/VLOOKUP($A210,'Dados StatusInvest'!$A:$AY,2,0)*$E210</f>
        <v>7.161106557</v>
      </c>
      <c r="T210" s="42">
        <f>VLOOKUP($A210,'Dados StatusInvest'!$A:$AY,column(T210)-$A$5,0)/VLOOKUP($A210,'Dados StatusInvest'!$A:$AY,2,0)*$E210</f>
        <v>3.814795082</v>
      </c>
      <c r="U210" s="44">
        <f>VLOOKUP($A210,'Dados StatusInvest'!$A:$AY,column(U210)-$A$5,0)</f>
        <v>-8.95</v>
      </c>
      <c r="V210" s="45">
        <f>VLOOKUP($A210,'Dados StatusInvest'!$A:$AY,column(V210)-$A$5,0)</f>
        <v>7.08</v>
      </c>
      <c r="W210" s="45">
        <f>VLOOKUP($A210,'Dados StatusInvest'!$A:$AY,column(W210)-$A$5,0)</f>
        <v>6.84</v>
      </c>
      <c r="X210" s="45">
        <f>VLOOKUP($A210,'Dados StatusInvest'!$A:$AY,column(X210)-$A$5,0)</f>
        <v>4.15</v>
      </c>
      <c r="Y210" s="45">
        <f>VLOOKUP($A210,'Dados StatusInvest'!$A:$AY,column(Y210)-$A$5,0)</f>
        <v>7.22</v>
      </c>
      <c r="Z210" s="44">
        <f>VLOOKUP($A210,'Dados StatusInvest'!$A:$AY,column(Z210)-$A$5,0)</f>
        <v>0.61</v>
      </c>
      <c r="AA210" s="44">
        <f>VLOOKUP($A210,'Dados StatusInvest'!$A:$AY,column(AA210)-$A$5,0)</f>
        <v>0.39</v>
      </c>
      <c r="AB210" s="44">
        <f>VLOOKUP($A210,'Dados StatusInvest'!$A:$AY,column(AB210)-$A$5,0)</f>
        <v>0.33</v>
      </c>
      <c r="AC210" s="44">
        <f>VLOOKUP($A210,'Dados StatusInvest'!$A:$AY,column(AC210)-$A$5,0)</f>
        <v>0</v>
      </c>
      <c r="AD210" s="45">
        <f>VLOOKUP($A210,'Dados StatusInvest'!$A:$AY,column(AD210)-$A$5,0)</f>
        <v>0</v>
      </c>
      <c r="AE210" s="46">
        <f>VLOOKUP($A210,'Dados StatusInvest'!$A:$AY,column(AE210)-$A$5,0)</f>
        <v>9909248.58</v>
      </c>
      <c r="AF210" s="50"/>
    </row>
    <row r="211">
      <c r="A211" s="10" t="s">
        <v>257</v>
      </c>
      <c r="B211" s="39" t="str">
        <f>VLOOKUP(lEFT($A211,4),Setor!$A:$E,3,0)</f>
        <v>#N/A</v>
      </c>
      <c r="C211" s="39" t="str">
        <f>VLOOKUP(lEFT($A211,4),Setor!$A:$E,4,0)</f>
        <v>#N/A</v>
      </c>
      <c r="D211" s="39" t="str">
        <f>VLOOKUP(lEFT($A211,4),Setor!$A:$E,5,0)</f>
        <v>#N/A</v>
      </c>
      <c r="E211" s="17">
        <f>IFERROR(__xludf.DUMMYFUNCTION("GOOGLEFINANCE(A211)"),3.97)</f>
        <v>3.97</v>
      </c>
      <c r="F211" s="17">
        <f>IFERROR(__xludf.DUMMYFUNCTION("GOOGLEFINANCE($A211,""high52"")"),11.48)</f>
        <v>11.48</v>
      </c>
      <c r="G211" s="16">
        <f t="shared" si="1"/>
        <v>-0.6541811847</v>
      </c>
      <c r="H211" s="40">
        <f>VLOOKUP($A211,'Dados StatusInvest'!$A:$AY,column(H211)-$A$5,0)*VLOOKUP($A211,'Dados StatusInvest'!$A:$AY,2,0)/$E211/100</f>
        <v>0</v>
      </c>
      <c r="I211" s="41">
        <f>VLOOKUP($A211,'Dados StatusInvest'!$A:$AY,column(I211)-$A$5,0)/VLOOKUP($A211,'Dados StatusInvest'!$A:$AY,2,0)*$E211</f>
        <v>-26.29466844</v>
      </c>
      <c r="J211" s="41">
        <f>VLOOKUP($A211,'Dados StatusInvest'!$A:$AY,column(J211)-$A$5,0)/VLOOKUP($A211,'Dados StatusInvest'!$A:$AY,2,0)*$E211</f>
        <v>0.9056233422</v>
      </c>
      <c r="K211" s="42">
        <f>VLOOKUP($A211,'Dados StatusInvest'!$A:$AY,column(K211)-$A$5,0)/VLOOKUP($A211,'Dados StatusInvest'!$A:$AY,2,0)*$E211</f>
        <v>0.4001591512</v>
      </c>
      <c r="L211" s="43">
        <f>VLOOKUP($A211,'Dados StatusInvest'!$A:$AY,column(L211)-$A$5,0)/100</f>
        <v>0.1366</v>
      </c>
      <c r="M211" s="44">
        <f>VLOOKUP($A211,'Dados StatusInvest'!$A:$AY,column(M211)-$A$5,0)</f>
        <v>3.36</v>
      </c>
      <c r="N211" s="44">
        <f>VLOOKUP($A211,'Dados StatusInvest'!$A:$AY,column(N211)-$A$5,0)</f>
        <v>-4.54</v>
      </c>
      <c r="O211" s="41">
        <f>VLOOKUP($A211,'Dados StatusInvest'!$A:$AY,column(O211)-$A$5,0)/VLOOKUP($A211,'Dados StatusInvest'!$A:$AY,2,0)*$E211</f>
        <v>35.52992042</v>
      </c>
      <c r="P211" s="41">
        <f>VLOOKUP($A211,'Dados StatusInvest'!$A:$AY,column(P211)-$A$5,0)-VLOOKUP($A211,'Dados StatusInvest'!$A:$AY,column(P211)-$A$5-1,0)+O211</f>
        <v>53.19992042</v>
      </c>
      <c r="Q211" s="44">
        <f>VLOOKUP($A211,'Dados StatusInvest'!$A:$AY,column(Q211)-$A$5,0)</f>
        <v>17.58</v>
      </c>
      <c r="R211" s="44">
        <f>VLOOKUP($A211,'Dados StatusInvest'!$A:$AY,column(R211)-$A$5,0)</f>
        <v>0.45</v>
      </c>
      <c r="S211" s="41">
        <f>VLOOKUP($A211,'Dados StatusInvest'!$A:$AY,column(S211)-$A$5,0)/VLOOKUP($A211,'Dados StatusInvest'!$A:$AY,2,0)*$E211</f>
        <v>1.18994695</v>
      </c>
      <c r="T211" s="42">
        <f>VLOOKUP($A211,'Dados StatusInvest'!$A:$AY,column(T211)-$A$5,0)/VLOOKUP($A211,'Dados StatusInvest'!$A:$AY,2,0)*$E211</f>
        <v>2.232466844</v>
      </c>
      <c r="U211" s="44">
        <f>VLOOKUP($A211,'Dados StatusInvest'!$A:$AY,column(U211)-$A$5,0)</f>
        <v>-0.57</v>
      </c>
      <c r="V211" s="45">
        <f>VLOOKUP($A211,'Dados StatusInvest'!$A:$AY,column(V211)-$A$5,0)</f>
        <v>2.06</v>
      </c>
      <c r="W211" s="45">
        <f>VLOOKUP($A211,'Dados StatusInvest'!$A:$AY,column(W211)-$A$5,0)</f>
        <v>-3.43</v>
      </c>
      <c r="X211" s="45">
        <f>VLOOKUP($A211,'Dados StatusInvest'!$A:$AY,column(X211)-$A$5,0)</f>
        <v>-1.51</v>
      </c>
      <c r="Y211" s="48">
        <f>VLOOKUP($A211,'Dados StatusInvest'!$A:$AY,column(Y211)-$A$5,0)</f>
        <v>1.09</v>
      </c>
      <c r="Z211" s="44">
        <f>VLOOKUP($A211,'Dados StatusInvest'!$A:$AY,column(Z211)-$A$5,0)</f>
        <v>0.44</v>
      </c>
      <c r="AA211" s="44">
        <f>VLOOKUP($A211,'Dados StatusInvest'!$A:$AY,column(AA211)-$A$5,0)</f>
        <v>0.56</v>
      </c>
      <c r="AB211" s="44">
        <f>VLOOKUP($A211,'Dados StatusInvest'!$A:$AY,column(AB211)-$A$5,0)</f>
        <v>0.33</v>
      </c>
      <c r="AC211" s="44">
        <f>VLOOKUP($A211,'Dados StatusInvest'!$A:$AY,column(AC211)-$A$5,0)</f>
        <v>0</v>
      </c>
      <c r="AD211" s="45">
        <f>VLOOKUP($A211,'Dados StatusInvest'!$A:$AY,column(AD211)-$A$5,0)</f>
        <v>0</v>
      </c>
      <c r="AE211" s="46">
        <f>VLOOKUP($A211,'Dados StatusInvest'!$A:$AY,column(AE211)-$A$5,0)</f>
        <v>9659331.04</v>
      </c>
      <c r="AF211" s="51"/>
    </row>
    <row r="212">
      <c r="A212" s="10" t="s">
        <v>258</v>
      </c>
      <c r="B212" s="39" t="str">
        <f>VLOOKUP(lEFT($A212,4),Setor!$A:$E,3,0)</f>
        <v>#N/A</v>
      </c>
      <c r="C212" s="39" t="str">
        <f>VLOOKUP(lEFT($A212,4),Setor!$A:$E,4,0)</f>
        <v>#N/A</v>
      </c>
      <c r="D212" s="39" t="str">
        <f>VLOOKUP(lEFT($A212,4),Setor!$A:$E,5,0)</f>
        <v>#N/A</v>
      </c>
      <c r="E212" s="17">
        <f>IFERROR(__xludf.DUMMYFUNCTION("GOOGLEFINANCE(A212)"),18.36)</f>
        <v>18.36</v>
      </c>
      <c r="F212" s="17">
        <f>IFERROR(__xludf.DUMMYFUNCTION("GOOGLEFINANCE($A212,""high52"")"),27.3)</f>
        <v>27.3</v>
      </c>
      <c r="G212" s="16">
        <f t="shared" si="1"/>
        <v>-0.3274725275</v>
      </c>
      <c r="H212" s="40">
        <f>VLOOKUP($A212,'Dados StatusInvest'!$A:$AY,column(H212)-$A$5,0)*VLOOKUP($A212,'Dados StatusInvest'!$A:$AY,2,0)/$E212/100</f>
        <v>0</v>
      </c>
      <c r="I212" s="41">
        <f>VLOOKUP($A212,'Dados StatusInvest'!$A:$AY,column(I212)-$A$5,0)/VLOOKUP($A212,'Dados StatusInvest'!$A:$AY,2,0)*$E212</f>
        <v>21.57252336</v>
      </c>
      <c r="J212" s="41">
        <f>VLOOKUP($A212,'Dados StatusInvest'!$A:$AY,column(J212)-$A$5,0)/VLOOKUP($A212,'Dados StatusInvest'!$A:$AY,2,0)*$E212</f>
        <v>7.120934579</v>
      </c>
      <c r="K212" s="42">
        <f>VLOOKUP($A212,'Dados StatusInvest'!$A:$AY,column(K212)-$A$5,0)/VLOOKUP($A212,'Dados StatusInvest'!$A:$AY,2,0)*$E212</f>
        <v>1.086728972</v>
      </c>
      <c r="L212" s="43">
        <f>VLOOKUP($A212,'Dados StatusInvest'!$A:$AY,column(L212)-$A$5,0)/100</f>
        <v>0.2974</v>
      </c>
      <c r="M212" s="44">
        <f>VLOOKUP($A212,'Dados StatusInvest'!$A:$AY,column(M212)-$A$5,0)</f>
        <v>13.95</v>
      </c>
      <c r="N212" s="47">
        <f>VLOOKUP($A212,'Dados StatusInvest'!$A:$AY,column(N212)-$A$5,0)</f>
        <v>6.75</v>
      </c>
      <c r="O212" s="41">
        <f>VLOOKUP($A212,'Dados StatusInvest'!$A:$AY,column(O212)-$A$5,0)/VLOOKUP($A212,'Dados StatusInvest'!$A:$AY,2,0)*$E212</f>
        <v>10.43831776</v>
      </c>
      <c r="P212" s="41">
        <f>VLOOKUP($A212,'Dados StatusInvest'!$A:$AY,column(P212)-$A$5,0)-VLOOKUP($A212,'Dados StatusInvest'!$A:$AY,column(P212)-$A$5-1,0)+O212</f>
        <v>16.27831776</v>
      </c>
      <c r="Q212" s="44">
        <f>VLOOKUP($A212,'Dados StatusInvest'!$A:$AY,column(Q212)-$A$5,0)</f>
        <v>5.73</v>
      </c>
      <c r="R212" s="44">
        <f>VLOOKUP($A212,'Dados StatusInvest'!$A:$AY,column(R212)-$A$5,0)</f>
        <v>3.91</v>
      </c>
      <c r="S212" s="41">
        <f>VLOOKUP($A212,'Dados StatusInvest'!$A:$AY,column(S212)-$A$5,0)/VLOOKUP($A212,'Dados StatusInvest'!$A:$AY,2,0)*$E212</f>
        <v>1.458504673</v>
      </c>
      <c r="T212" s="42">
        <f>VLOOKUP($A212,'Dados StatusInvest'!$A:$AY,column(T212)-$A$5,0)/VLOOKUP($A212,'Dados StatusInvest'!$A:$AY,2,0)*$E212</f>
        <v>181.9031776</v>
      </c>
      <c r="U212" s="44">
        <f>VLOOKUP($A212,'Dados StatusInvest'!$A:$AY,column(U212)-$A$5,0)</f>
        <v>-2.29</v>
      </c>
      <c r="V212" s="45">
        <f>VLOOKUP($A212,'Dados StatusInvest'!$A:$AY,column(V212)-$A$5,0)</f>
        <v>1.01</v>
      </c>
      <c r="W212" s="45">
        <f>VLOOKUP($A212,'Dados StatusInvest'!$A:$AY,column(W212)-$A$5,0)</f>
        <v>33</v>
      </c>
      <c r="X212" s="45">
        <f>VLOOKUP($A212,'Dados StatusInvest'!$A:$AY,column(X212)-$A$5,0)</f>
        <v>5.04</v>
      </c>
      <c r="Y212" s="45">
        <f>VLOOKUP($A212,'Dados StatusInvest'!$A:$AY,column(Y212)-$A$5,0)</f>
        <v>11.59</v>
      </c>
      <c r="Z212" s="44">
        <f>VLOOKUP($A212,'Dados StatusInvest'!$A:$AY,column(Z212)-$A$5,0)</f>
        <v>0.15</v>
      </c>
      <c r="AA212" s="44">
        <f>VLOOKUP($A212,'Dados StatusInvest'!$A:$AY,column(AA212)-$A$5,0)</f>
        <v>0.85</v>
      </c>
      <c r="AB212" s="44">
        <f>VLOOKUP($A212,'Dados StatusInvest'!$A:$AY,column(AB212)-$A$5,0)</f>
        <v>0.75</v>
      </c>
      <c r="AC212" s="44">
        <f>VLOOKUP($A212,'Dados StatusInvest'!$A:$AY,column(AC212)-$A$5,0)</f>
        <v>0</v>
      </c>
      <c r="AD212" s="45">
        <f>VLOOKUP($A212,'Dados StatusInvest'!$A:$AY,column(AD212)-$A$5,0)</f>
        <v>0</v>
      </c>
      <c r="AE212" s="46">
        <f>VLOOKUP($A212,'Dados StatusInvest'!$A:$AY,column(AE212)-$A$5,0)</f>
        <v>9048190.21</v>
      </c>
      <c r="AF212" s="50"/>
    </row>
    <row r="213">
      <c r="A213" s="10" t="s">
        <v>259</v>
      </c>
      <c r="B213" s="39" t="str">
        <f>VLOOKUP(lEFT($A213,4),Setor!$A:$E,3,0)</f>
        <v>#N/A</v>
      </c>
      <c r="C213" s="39" t="str">
        <f>VLOOKUP(lEFT($A213,4),Setor!$A:$E,4,0)</f>
        <v>#N/A</v>
      </c>
      <c r="D213" s="39" t="str">
        <f>VLOOKUP(lEFT($A213,4),Setor!$A:$E,5,0)</f>
        <v>#N/A</v>
      </c>
      <c r="E213" s="17">
        <f>IFERROR(__xludf.DUMMYFUNCTION("GOOGLEFINANCE(A213)"),11.38)</f>
        <v>11.38</v>
      </c>
      <c r="F213" s="17">
        <f>IFERROR(__xludf.DUMMYFUNCTION("GOOGLEFINANCE($A213,""high52"")"),18.26)</f>
        <v>18.26</v>
      </c>
      <c r="G213" s="16">
        <f t="shared" si="1"/>
        <v>-0.3767798467</v>
      </c>
      <c r="H213" s="40">
        <f>VLOOKUP($A213,'Dados StatusInvest'!$A:$AY,column(H213)-$A$5,0)*VLOOKUP($A213,'Dados StatusInvest'!$A:$AY,2,0)/$E213/100</f>
        <v>0.02460404218</v>
      </c>
      <c r="I213" s="41">
        <f>VLOOKUP($A213,'Dados StatusInvest'!$A:$AY,column(I213)-$A$5,0)/VLOOKUP($A213,'Dados StatusInvest'!$A:$AY,2,0)*$E213</f>
        <v>7.101434745</v>
      </c>
      <c r="J213" s="41">
        <f>VLOOKUP($A213,'Dados StatusInvest'!$A:$AY,column(J213)-$A$5,0)/VLOOKUP($A213,'Dados StatusInvest'!$A:$AY,2,0)*$E213</f>
        <v>2.754019015</v>
      </c>
      <c r="K213" s="42">
        <f>VLOOKUP($A213,'Dados StatusInvest'!$A:$AY,column(K213)-$A$5,0)/VLOOKUP($A213,'Dados StatusInvest'!$A:$AY,2,0)*$E213</f>
        <v>0.9737424373</v>
      </c>
      <c r="L213" s="43">
        <f>VLOOKUP($A213,'Dados StatusInvest'!$A:$AY,column(L213)-$A$5,0)/100</f>
        <v>0.2142</v>
      </c>
      <c r="M213" s="44">
        <f>VLOOKUP($A213,'Dados StatusInvest'!$A:$AY,column(M213)-$A$5,0)</f>
        <v>17.98</v>
      </c>
      <c r="N213" s="44">
        <f>VLOOKUP($A213,'Dados StatusInvest'!$A:$AY,column(N213)-$A$5,0)</f>
        <v>11.34</v>
      </c>
      <c r="O213" s="41">
        <f>VLOOKUP($A213,'Dados StatusInvest'!$A:$AY,column(O213)-$A$5,0)/VLOOKUP($A213,'Dados StatusInvest'!$A:$AY,2,0)*$E213</f>
        <v>4.475280899</v>
      </c>
      <c r="P213" s="41">
        <f>VLOOKUP($A213,'Dados StatusInvest'!$A:$AY,column(P213)-$A$5,0)-VLOOKUP($A213,'Dados StatusInvest'!$A:$AY,column(P213)-$A$5-1,0)+O213</f>
        <v>5.105280899</v>
      </c>
      <c r="Q213" s="44">
        <f>VLOOKUP($A213,'Dados StatusInvest'!$A:$AY,column(Q213)-$A$5,0)</f>
        <v>0.63</v>
      </c>
      <c r="R213" s="44">
        <f>VLOOKUP($A213,'Dados StatusInvest'!$A:$AY,column(R213)-$A$5,0)</f>
        <v>0.39</v>
      </c>
      <c r="S213" s="41">
        <f>VLOOKUP($A213,'Dados StatusInvest'!$A:$AY,column(S213)-$A$5,0)/VLOOKUP($A213,'Dados StatusInvest'!$A:$AY,2,0)*$E213</f>
        <v>0.80653414</v>
      </c>
      <c r="T213" s="42">
        <f>VLOOKUP($A213,'Dados StatusInvest'!$A:$AY,column(T213)-$A$5,0)/VLOOKUP($A213,'Dados StatusInvest'!$A:$AY,2,0)*$E213</f>
        <v>4.406430424</v>
      </c>
      <c r="U213" s="44">
        <f>VLOOKUP($A213,'Dados StatusInvest'!$A:$AY,column(U213)-$A$5,0)</f>
        <v>-2.07</v>
      </c>
      <c r="V213" s="45">
        <f>VLOOKUP($A213,'Dados StatusInvest'!$A:$AY,column(V213)-$A$5,0)</f>
        <v>1.73</v>
      </c>
      <c r="W213" s="45">
        <f>VLOOKUP($A213,'Dados StatusInvest'!$A:$AY,column(W213)-$A$5,0)</f>
        <v>38.83</v>
      </c>
      <c r="X213" s="45">
        <f>VLOOKUP($A213,'Dados StatusInvest'!$A:$AY,column(X213)-$A$5,0)</f>
        <v>13.71</v>
      </c>
      <c r="Y213" s="45">
        <f>VLOOKUP($A213,'Dados StatusInvest'!$A:$AY,column(Y213)-$A$5,0)</f>
        <v>27.16</v>
      </c>
      <c r="Z213" s="44">
        <f>VLOOKUP($A213,'Dados StatusInvest'!$A:$AY,column(Z213)-$A$5,0)</f>
        <v>0.35</v>
      </c>
      <c r="AA213" s="44">
        <f>VLOOKUP($A213,'Dados StatusInvest'!$A:$AY,column(AA213)-$A$5,0)</f>
        <v>0.57</v>
      </c>
      <c r="AB213" s="44">
        <f>VLOOKUP($A213,'Dados StatusInvest'!$A:$AY,column(AB213)-$A$5,0)</f>
        <v>1.21</v>
      </c>
      <c r="AC213" s="44">
        <f>VLOOKUP($A213,'Dados StatusInvest'!$A:$AY,column(AC213)-$A$5,0)</f>
        <v>20.13</v>
      </c>
      <c r="AD213" s="45">
        <f>VLOOKUP($A213,'Dados StatusInvest'!$A:$AY,column(AD213)-$A$5,0)</f>
        <v>0</v>
      </c>
      <c r="AE213" s="46">
        <f>VLOOKUP($A213,'Dados StatusInvest'!$A:$AY,column(AE213)-$A$5,0)</f>
        <v>7360114.63</v>
      </c>
      <c r="AF213" s="49"/>
    </row>
    <row r="214">
      <c r="A214" s="10" t="s">
        <v>260</v>
      </c>
      <c r="B214" s="39" t="str">
        <f>VLOOKUP(lEFT($A214,4),Setor!$A:$E,3,0)</f>
        <v>#N/A</v>
      </c>
      <c r="C214" s="39" t="str">
        <f>VLOOKUP(lEFT($A214,4),Setor!$A:$E,4,0)</f>
        <v>#N/A</v>
      </c>
      <c r="D214" s="39" t="str">
        <f>VLOOKUP(lEFT($A214,4),Setor!$A:$E,5,0)</f>
        <v>#N/A</v>
      </c>
      <c r="E214" s="17">
        <f>IFERROR(__xludf.DUMMYFUNCTION("GOOGLEFINANCE(A214)"),15.54)</f>
        <v>15.54</v>
      </c>
      <c r="F214" s="17">
        <f>IFERROR(__xludf.DUMMYFUNCTION("GOOGLEFINANCE($A214,""high52"")"),19.96)</f>
        <v>19.96</v>
      </c>
      <c r="G214" s="16">
        <f t="shared" si="1"/>
        <v>-0.2214428858</v>
      </c>
      <c r="H214" s="40">
        <f>VLOOKUP($A214,'Dados StatusInvest'!$A:$AY,column(H214)-$A$5,0)*VLOOKUP($A214,'Dados StatusInvest'!$A:$AY,2,0)/$E214/100</f>
        <v>0.008548262548</v>
      </c>
      <c r="I214" s="41">
        <f>VLOOKUP($A214,'Dados StatusInvest'!$A:$AY,column(I214)-$A$5,0)/VLOOKUP($A214,'Dados StatusInvest'!$A:$AY,2,0)*$E214</f>
        <v>48.46177778</v>
      </c>
      <c r="J214" s="41">
        <f>VLOOKUP($A214,'Dados StatusInvest'!$A:$AY,column(J214)-$A$5,0)/VLOOKUP($A214,'Dados StatusInvest'!$A:$AY,2,0)*$E214</f>
        <v>2.647555556</v>
      </c>
      <c r="K214" s="42">
        <f>VLOOKUP($A214,'Dados StatusInvest'!$A:$AY,column(K214)-$A$5,0)/VLOOKUP($A214,'Dados StatusInvest'!$A:$AY,2,0)*$E214</f>
        <v>0.5947407407</v>
      </c>
      <c r="L214" s="43">
        <f>VLOOKUP($A214,'Dados StatusInvest'!$A:$AY,column(L214)-$A$5,0)/100</f>
        <v>1.2012</v>
      </c>
      <c r="M214" s="44">
        <f>VLOOKUP($A214,'Dados StatusInvest'!$A:$AY,column(M214)-$A$5,0)</f>
        <v>32.34</v>
      </c>
      <c r="N214" s="44">
        <f>VLOOKUP($A214,'Dados StatusInvest'!$A:$AY,column(N214)-$A$5,0)</f>
        <v>20.69</v>
      </c>
      <c r="O214" s="41">
        <f>VLOOKUP($A214,'Dados StatusInvest'!$A:$AY,column(O214)-$A$5,0)/VLOOKUP($A214,'Dados StatusInvest'!$A:$AY,2,0)*$E214</f>
        <v>30.99366667</v>
      </c>
      <c r="P214" s="41">
        <f>VLOOKUP($A214,'Dados StatusInvest'!$A:$AY,column(P214)-$A$5,0)-VLOOKUP($A214,'Dados StatusInvest'!$A:$AY,column(P214)-$A$5-1,0)+O214</f>
        <v>31.11366667</v>
      </c>
      <c r="Q214" s="44">
        <f>VLOOKUP($A214,'Dados StatusInvest'!$A:$AY,column(Q214)-$A$5,0)</f>
        <v>0</v>
      </c>
      <c r="R214" s="44">
        <f>VLOOKUP($A214,'Dados StatusInvest'!$A:$AY,column(R214)-$A$5,0)</f>
        <v>0</v>
      </c>
      <c r="S214" s="41">
        <f>VLOOKUP($A214,'Dados StatusInvest'!$A:$AY,column(S214)-$A$5,0)/VLOOKUP($A214,'Dados StatusInvest'!$A:$AY,2,0)*$E214</f>
        <v>10.02425926</v>
      </c>
      <c r="T214" s="42">
        <f>VLOOKUP($A214,'Dados StatusInvest'!$A:$AY,column(T214)-$A$5,0)/VLOOKUP($A214,'Dados StatusInvest'!$A:$AY,2,0)*$E214</f>
        <v>0</v>
      </c>
      <c r="U214" s="44">
        <f>VLOOKUP($A214,'Dados StatusInvest'!$A:$AY,column(U214)-$A$5,0)</f>
        <v>-0.97</v>
      </c>
      <c r="V214" s="45">
        <f>VLOOKUP($A214,'Dados StatusInvest'!$A:$AY,column(V214)-$A$5,0)</f>
        <v>0</v>
      </c>
      <c r="W214" s="48">
        <f>VLOOKUP($A214,'Dados StatusInvest'!$A:$AY,column(W214)-$A$5,0)</f>
        <v>5.46</v>
      </c>
      <c r="X214" s="45">
        <f>VLOOKUP($A214,'Dados StatusInvest'!$A:$AY,column(X214)-$A$5,0)</f>
        <v>1.23</v>
      </c>
      <c r="Y214" s="45">
        <f>VLOOKUP($A214,'Dados StatusInvest'!$A:$AY,column(Y214)-$A$5,0)</f>
        <v>0</v>
      </c>
      <c r="Z214" s="44">
        <f>VLOOKUP($A214,'Dados StatusInvest'!$A:$AY,column(Z214)-$A$5,0)</f>
        <v>0.23</v>
      </c>
      <c r="AA214" s="44">
        <f>VLOOKUP($A214,'Dados StatusInvest'!$A:$AY,column(AA214)-$A$5,0)</f>
        <v>0.77</v>
      </c>
      <c r="AB214" s="44">
        <f>VLOOKUP($A214,'Dados StatusInvest'!$A:$AY,column(AB214)-$A$5,0)</f>
        <v>0.06</v>
      </c>
      <c r="AC214" s="44">
        <f>VLOOKUP($A214,'Dados StatusInvest'!$A:$AY,column(AC214)-$A$5,0)</f>
        <v>0</v>
      </c>
      <c r="AD214" s="45">
        <f>VLOOKUP($A214,'Dados StatusInvest'!$A:$AY,column(AD214)-$A$5,0)</f>
        <v>0</v>
      </c>
      <c r="AE214" s="46">
        <f>VLOOKUP($A214,'Dados StatusInvest'!$A:$AY,column(AE214)-$A$5,0)</f>
        <v>7590677.79</v>
      </c>
      <c r="AF214" s="50"/>
    </row>
    <row r="215">
      <c r="A215" s="10" t="s">
        <v>261</v>
      </c>
      <c r="B215" s="39" t="str">
        <f>VLOOKUP(lEFT($A215,4),Setor!$A:$E,3,0)</f>
        <v>Materiais Básicos</v>
      </c>
      <c r="C215" s="39" t="str">
        <f>VLOOKUP(lEFT($A215,4),Setor!$A:$E,4,0)</f>
        <v>Siderurgia e Metalurgia</v>
      </c>
      <c r="D215" s="39" t="str">
        <f>VLOOKUP(lEFT($A215,4),Setor!$A:$E,5,0)</f>
        <v>Siderurgia</v>
      </c>
      <c r="E215" s="17">
        <f>IFERROR(__xludf.DUMMYFUNCTION("GOOGLEFINANCE(A215)"),16.26)</f>
        <v>16.26</v>
      </c>
      <c r="F215" s="17">
        <f>IFERROR(__xludf.DUMMYFUNCTION("GOOGLEFINANCE($A215,""high52"")"),25.0)</f>
        <v>25</v>
      </c>
      <c r="G215" s="16">
        <f t="shared" si="1"/>
        <v>-0.3496</v>
      </c>
      <c r="H215" s="40">
        <f>VLOOKUP($A215,'Dados StatusInvest'!$A:$AY,column(H215)-$A$5,0)*VLOOKUP($A215,'Dados StatusInvest'!$A:$AY,2,0)/$E215/100</f>
        <v>0.06868573186</v>
      </c>
      <c r="I215" s="41">
        <f>VLOOKUP($A215,'Dados StatusInvest'!$A:$AY,column(I215)-$A$5,0)/VLOOKUP($A215,'Dados StatusInvest'!$A:$AY,2,0)*$E215</f>
        <v>3.039059123</v>
      </c>
      <c r="J215" s="41">
        <f>VLOOKUP($A215,'Dados StatusInvest'!$A:$AY,column(J215)-$A$5,0)/VLOOKUP($A215,'Dados StatusInvest'!$A:$AY,2,0)*$E215</f>
        <v>1.023356643</v>
      </c>
      <c r="K215" s="42">
        <f>VLOOKUP($A215,'Dados StatusInvest'!$A:$AY,column(K215)-$A$5,0)/VLOOKUP($A215,'Dados StatusInvest'!$A:$AY,2,0)*$E215</f>
        <v>0.5581945327</v>
      </c>
      <c r="L215" s="43">
        <f>VLOOKUP($A215,'Dados StatusInvest'!$A:$AY,column(L215)-$A$5,0)/100</f>
        <v>0.3232</v>
      </c>
      <c r="M215" s="44">
        <f>VLOOKUP($A215,'Dados StatusInvest'!$A:$AY,column(M215)-$A$5,0)</f>
        <v>36.46</v>
      </c>
      <c r="N215" s="44">
        <f>VLOOKUP($A215,'Dados StatusInvest'!$A:$AY,column(N215)-$A$5,0)</f>
        <v>25.33</v>
      </c>
      <c r="O215" s="41">
        <f>VLOOKUP($A215,'Dados StatusInvest'!$A:$AY,column(O215)-$A$5,0)/VLOOKUP($A215,'Dados StatusInvest'!$A:$AY,2,0)*$E215</f>
        <v>2.119071837</v>
      </c>
      <c r="P215" s="41">
        <f>VLOOKUP($A215,'Dados StatusInvest'!$A:$AY,column(P215)-$A$5,0)-VLOOKUP($A215,'Dados StatusInvest'!$A:$AY,column(P215)-$A$5-1,0)+O215</f>
        <v>2.119071837</v>
      </c>
      <c r="Q215" s="44">
        <f>VLOOKUP($A215,'Dados StatusInvest'!$A:$AY,column(Q215)-$A$5,0)</f>
        <v>-0.02</v>
      </c>
      <c r="R215" s="44">
        <f>VLOOKUP($A215,'Dados StatusInvest'!$A:$AY,column(R215)-$A$5,0)</f>
        <v>-0.01</v>
      </c>
      <c r="S215" s="41">
        <f>VLOOKUP($A215,'Dados StatusInvest'!$A:$AY,column(S215)-$A$5,0)/VLOOKUP($A215,'Dados StatusInvest'!$A:$AY,2,0)*$E215</f>
        <v>0.7752701844</v>
      </c>
      <c r="T215" s="42">
        <f>VLOOKUP($A215,'Dados StatusInvest'!$A:$AY,column(T215)-$A$5,0)/VLOOKUP($A215,'Dados StatusInvest'!$A:$AY,2,0)*$E215</f>
        <v>1.591888112</v>
      </c>
      <c r="U215" s="44">
        <f>VLOOKUP($A215,'Dados StatusInvest'!$A:$AY,column(U215)-$A$5,0)</f>
        <v>-1.09</v>
      </c>
      <c r="V215" s="45">
        <f>VLOOKUP($A215,'Dados StatusInvest'!$A:$AY,column(V215)-$A$5,0)</f>
        <v>3.39</v>
      </c>
      <c r="W215" s="45">
        <f>VLOOKUP($A215,'Dados StatusInvest'!$A:$AY,column(W215)-$A$5,0)</f>
        <v>33.74</v>
      </c>
      <c r="X215" s="45">
        <f>VLOOKUP($A215,'Dados StatusInvest'!$A:$AY,column(X215)-$A$5,0)</f>
        <v>18.42</v>
      </c>
      <c r="Y215" s="45">
        <f>VLOOKUP($A215,'Dados StatusInvest'!$A:$AY,column(Y215)-$A$5,0)</f>
        <v>24.18</v>
      </c>
      <c r="Z215" s="44">
        <f>VLOOKUP($A215,'Dados StatusInvest'!$A:$AY,column(Z215)-$A$5,0)</f>
        <v>0.55</v>
      </c>
      <c r="AA215" s="44">
        <f>VLOOKUP($A215,'Dados StatusInvest'!$A:$AY,column(AA215)-$A$5,0)</f>
        <v>0.38</v>
      </c>
      <c r="AB215" s="44">
        <f>VLOOKUP($A215,'Dados StatusInvest'!$A:$AY,column(AB215)-$A$5,0)</f>
        <v>0.73</v>
      </c>
      <c r="AC215" s="44">
        <f>VLOOKUP($A215,'Dados StatusInvest'!$A:$AY,column(AC215)-$A$5,0)</f>
        <v>9.57</v>
      </c>
      <c r="AD215" s="45">
        <f>VLOOKUP($A215,'Dados StatusInvest'!$A:$AY,column(AD215)-$A$5,0)</f>
        <v>0</v>
      </c>
      <c r="AE215" s="46">
        <f>VLOOKUP($A215,'Dados StatusInvest'!$A:$AY,column(AE215)-$A$5,0)</f>
        <v>8652559.92</v>
      </c>
      <c r="AF215" s="18"/>
    </row>
    <row r="216">
      <c r="A216" s="10" t="s">
        <v>262</v>
      </c>
      <c r="B216" s="39" t="str">
        <f>VLOOKUP(lEFT($A216,4),Setor!$A:$E,3,0)</f>
        <v>Utilidade Pública</v>
      </c>
      <c r="C216" s="39" t="str">
        <f>VLOOKUP(lEFT($A216,4),Setor!$A:$E,4,0)</f>
        <v>Energia Elétrica</v>
      </c>
      <c r="D216" s="39" t="str">
        <f>VLOOKUP(lEFT($A216,4),Setor!$A:$E,5,0)</f>
        <v>Energia Elétrica</v>
      </c>
      <c r="E216" s="17">
        <f>IFERROR(__xludf.DUMMYFUNCTION("GOOGLEFINANCE(A216)"),17.18)</f>
        <v>17.18</v>
      </c>
      <c r="F216" s="17">
        <f>IFERROR(__xludf.DUMMYFUNCTION("GOOGLEFINANCE($A216,""high52"")"),17.66)</f>
        <v>17.66</v>
      </c>
      <c r="G216" s="16">
        <f t="shared" si="1"/>
        <v>-0.02718006795</v>
      </c>
      <c r="H216" s="40">
        <f>VLOOKUP($A216,'Dados StatusInvest'!$A:$AY,column(H216)-$A$5,0)*VLOOKUP($A216,'Dados StatusInvest'!$A:$AY,2,0)/$E216/100</f>
        <v>0.05223259604</v>
      </c>
      <c r="I216" s="41">
        <f>VLOOKUP($A216,'Dados StatusInvest'!$A:$AY,column(I216)-$A$5,0)/VLOOKUP($A216,'Dados StatusInvest'!$A:$AY,2,0)*$E216</f>
        <v>6.847831184</v>
      </c>
      <c r="J216" s="41">
        <f>VLOOKUP($A216,'Dados StatusInvest'!$A:$AY,column(J216)-$A$5,0)/VLOOKUP($A216,'Dados StatusInvest'!$A:$AY,2,0)*$E216</f>
        <v>1.470269637</v>
      </c>
      <c r="K216" s="42">
        <f>VLOOKUP($A216,'Dados StatusInvest'!$A:$AY,column(K216)-$A$5,0)/VLOOKUP($A216,'Dados StatusInvest'!$A:$AY,2,0)*$E216</f>
        <v>0.5437983587</v>
      </c>
      <c r="L216" s="43">
        <f>VLOOKUP($A216,'Dados StatusInvest'!$A:$AY,column(L216)-$A$5,0)/100</f>
        <v>0.2048</v>
      </c>
      <c r="M216" s="44">
        <f>VLOOKUP($A216,'Dados StatusInvest'!$A:$AY,column(M216)-$A$5,0)</f>
        <v>23.59</v>
      </c>
      <c r="N216" s="44">
        <f>VLOOKUP($A216,'Dados StatusInvest'!$A:$AY,column(N216)-$A$5,0)</f>
        <v>15.33</v>
      </c>
      <c r="O216" s="41">
        <f>VLOOKUP($A216,'Dados StatusInvest'!$A:$AY,column(O216)-$A$5,0)/VLOOKUP($A216,'Dados StatusInvest'!$A:$AY,2,0)*$E216</f>
        <v>4.45109027</v>
      </c>
      <c r="P216" s="41">
        <f>VLOOKUP($A216,'Dados StatusInvest'!$A:$AY,column(P216)-$A$5,0)-VLOOKUP($A216,'Dados StatusInvest'!$A:$AY,column(P216)-$A$5-1,0)+O216</f>
        <v>5.02109027</v>
      </c>
      <c r="Q216" s="44">
        <f>VLOOKUP($A216,'Dados StatusInvest'!$A:$AY,column(Q216)-$A$5,0)</f>
        <v>1.1</v>
      </c>
      <c r="R216" s="44">
        <f>VLOOKUP($A216,'Dados StatusInvest'!$A:$AY,column(R216)-$A$5,0)</f>
        <v>0.36</v>
      </c>
      <c r="S216" s="41">
        <f>VLOOKUP($A216,'Dados StatusInvest'!$A:$AY,column(S216)-$A$5,0)/VLOOKUP($A216,'Dados StatusInvest'!$A:$AY,2,0)*$E216</f>
        <v>1.047315358</v>
      </c>
      <c r="T216" s="42">
        <f>VLOOKUP($A216,'Dados StatusInvest'!$A:$AY,column(T216)-$A$5,0)/VLOOKUP($A216,'Dados StatusInvest'!$A:$AY,2,0)*$E216</f>
        <v>5.437983587</v>
      </c>
      <c r="U216" s="44">
        <f>VLOOKUP($A216,'Dados StatusInvest'!$A:$AY,column(U216)-$A$5,0)</f>
        <v>-0.74</v>
      </c>
      <c r="V216" s="45">
        <f>VLOOKUP($A216,'Dados StatusInvest'!$A:$AY,column(V216)-$A$5,0)</f>
        <v>1.56</v>
      </c>
      <c r="W216" s="48">
        <f>VLOOKUP($A216,'Dados StatusInvest'!$A:$AY,column(W216)-$A$5,0)</f>
        <v>21.4</v>
      </c>
      <c r="X216" s="48">
        <f>VLOOKUP($A216,'Dados StatusInvest'!$A:$AY,column(X216)-$A$5,0)</f>
        <v>7.89</v>
      </c>
      <c r="Y216" s="48">
        <f>VLOOKUP($A216,'Dados StatusInvest'!$A:$AY,column(Y216)-$A$5,0)</f>
        <v>15.61</v>
      </c>
      <c r="Z216" s="44">
        <f>VLOOKUP($A216,'Dados StatusInvest'!$A:$AY,column(Z216)-$A$5,0)</f>
        <v>0.37</v>
      </c>
      <c r="AA216" s="44">
        <f>VLOOKUP($A216,'Dados StatusInvest'!$A:$AY,column(AA216)-$A$5,0)</f>
        <v>0.63</v>
      </c>
      <c r="AB216" s="44">
        <f>VLOOKUP($A216,'Dados StatusInvest'!$A:$AY,column(AB216)-$A$5,0)</f>
        <v>0.51</v>
      </c>
      <c r="AC216" s="44">
        <f>VLOOKUP($A216,'Dados StatusInvest'!$A:$AY,column(AC216)-$A$5,0)</f>
        <v>2.9</v>
      </c>
      <c r="AD216" s="45">
        <f>VLOOKUP($A216,'Dados StatusInvest'!$A:$AY,column(AD216)-$A$5,0)</f>
        <v>11.46</v>
      </c>
      <c r="AE216" s="46">
        <f>VLOOKUP($A216,'Dados StatusInvest'!$A:$AY,column(AE216)-$A$5,0)</f>
        <v>9191360.04</v>
      </c>
      <c r="AF216" s="50"/>
    </row>
    <row r="217">
      <c r="A217" s="10" t="s">
        <v>263</v>
      </c>
      <c r="B217" s="52" t="str">
        <f>VLOOKUP(LEFT($A217,4),Setor!$A:$E,3,0)</f>
        <v>Financeiro</v>
      </c>
      <c r="C217" s="52" t="str">
        <f>VLOOKUP(LEFT($A217,4),Setor!$A:$E,4,0)</f>
        <v>Exploração de Imóveis</v>
      </c>
      <c r="D217" s="52" t="str">
        <f>VLOOKUP(LEFT($A217,4),Setor!$A:$E,5,0)</f>
        <v>Exploração de Imóveis</v>
      </c>
      <c r="E217" s="53">
        <f>IFERROR(__xludf.DUMMYFUNCTION("GOOGLEFINANCE(A217)"),28.62)</f>
        <v>28.62</v>
      </c>
      <c r="F217" s="53">
        <f>IFERROR(__xludf.DUMMYFUNCTION("GOOGLEFINANCE($A217,""high52"")"),37.2)</f>
        <v>37.2</v>
      </c>
      <c r="G217" s="54">
        <f t="shared" si="1"/>
        <v>-0.2306451613</v>
      </c>
      <c r="H217" s="55">
        <f>VLOOKUP($A217,'Dados StatusInvest'!$A:$AY,COLUMN(H217)-$A$5,0)*VLOOKUP($A217,'Dados StatusInvest'!$A:$AY,2,0)/$E217/100</f>
        <v>0.004010027952</v>
      </c>
      <c r="I217" s="56">
        <f>VLOOKUP($A217,'Dados StatusInvest'!$A:$AY,COLUMN(I217)-$A$5,0)/VLOOKUP($A217,'Dados StatusInvest'!$A:$AY,2,0)*$E217</f>
        <v>9.607913076</v>
      </c>
      <c r="J217" s="56">
        <f>VLOOKUP($A217,'Dados StatusInvest'!$A:$AY,COLUMN(J217)-$A$5,0)/VLOOKUP($A217,'Dados StatusInvest'!$A:$AY,2,0)*$E217</f>
        <v>1.383282128</v>
      </c>
      <c r="K217" s="57">
        <f>VLOOKUP($A217,'Dados StatusInvest'!$A:$AY,COLUMN(K217)-$A$5,0)/VLOOKUP($A217,'Dados StatusInvest'!$A:$AY,2,0)*$E217</f>
        <v>0.3431397527</v>
      </c>
      <c r="L217" s="58">
        <f>VLOOKUP($A217,'Dados StatusInvest'!$A:$AY,COLUMN(L217)-$A$5,0)/100</f>
        <v>0.5463</v>
      </c>
      <c r="M217" s="59">
        <f>VLOOKUP($A217,'Dados StatusInvest'!$A:$AY,COLUMN(M217)-$A$5,0)</f>
        <v>47.4</v>
      </c>
      <c r="N217" s="63">
        <f>VLOOKUP($A217,'Dados StatusInvest'!$A:$AY,COLUMN(N217)-$A$5,0)</f>
        <v>37.51</v>
      </c>
      <c r="O217" s="56">
        <f>VLOOKUP($A217,'Dados StatusInvest'!$A:$AY,COLUMN(O217)-$A$5,0)/VLOOKUP($A217,'Dados StatusInvest'!$A:$AY,2,0)*$E217</f>
        <v>7.602690146</v>
      </c>
      <c r="P217" s="56">
        <f>VLOOKUP($A217,'Dados StatusInvest'!$A:$AY,COLUMN(P217)-$A$5,0)-VLOOKUP($A217,'Dados StatusInvest'!$A:$AY,COLUMN(P217)-$A$5-1,0)+O217</f>
        <v>13.57269015</v>
      </c>
      <c r="Q217" s="59">
        <f>VLOOKUP($A217,'Dados StatusInvest'!$A:$AY,COLUMN(Q217)-$A$5,0)</f>
        <v>5.94</v>
      </c>
      <c r="R217" s="59">
        <f>VLOOKUP($A217,'Dados StatusInvest'!$A:$AY,COLUMN(R217)-$A$5,0)</f>
        <v>1.08</v>
      </c>
      <c r="S217" s="56">
        <f>VLOOKUP($A217,'Dados StatusInvest'!$A:$AY,COLUMN(S217)-$A$5,0)/VLOOKUP($A217,'Dados StatusInvest'!$A:$AY,2,0)*$E217</f>
        <v>3.602967404</v>
      </c>
      <c r="T217" s="57">
        <f>VLOOKUP($A217,'Dados StatusInvest'!$A:$AY,COLUMN(T217)-$A$5,0)/VLOOKUP($A217,'Dados StatusInvest'!$A:$AY,2,0)*$E217</f>
        <v>2.401978269</v>
      </c>
      <c r="U217" s="59">
        <f>VLOOKUP($A217,'Dados StatusInvest'!$A:$AY,COLUMN(U217)-$A$5,0)</f>
        <v>-0.42</v>
      </c>
      <c r="V217" s="60">
        <f>VLOOKUP($A217,'Dados StatusInvest'!$A:$AY,COLUMN(V217)-$A$5,0)</f>
        <v>2.82</v>
      </c>
      <c r="W217" s="60">
        <f>VLOOKUP($A217,'Dados StatusInvest'!$A:$AY,COLUMN(W217)-$A$5,0)</f>
        <v>14.41</v>
      </c>
      <c r="X217" s="61">
        <f>VLOOKUP($A217,'Dados StatusInvest'!$A:$AY,COLUMN(X217)-$A$5,0)</f>
        <v>3.61</v>
      </c>
      <c r="Y217" s="60">
        <f>VLOOKUP($A217,'Dados StatusInvest'!$A:$AY,COLUMN(Y217)-$A$5,0)</f>
        <v>1.47</v>
      </c>
      <c r="Z217" s="59">
        <f>VLOOKUP($A217,'Dados StatusInvest'!$A:$AY,COLUMN(Z217)-$A$5,0)</f>
        <v>0.25</v>
      </c>
      <c r="AA217" s="59">
        <f>VLOOKUP($A217,'Dados StatusInvest'!$A:$AY,COLUMN(AA217)-$A$5,0)</f>
        <v>0.51</v>
      </c>
      <c r="AB217" s="59">
        <f>VLOOKUP($A217,'Dados StatusInvest'!$A:$AY,COLUMN(AB217)-$A$5,0)</f>
        <v>0.1</v>
      </c>
      <c r="AC217" s="59">
        <f>VLOOKUP($A217,'Dados StatusInvest'!$A:$AY,COLUMN(AC217)-$A$5,0)</f>
        <v>1.23</v>
      </c>
      <c r="AD217" s="60">
        <f>VLOOKUP($A217,'Dados StatusInvest'!$A:$AY,COLUMN(AD217)-$A$5,0)</f>
        <v>0</v>
      </c>
      <c r="AE217" s="62">
        <f>VLOOKUP($A217,'Dados StatusInvest'!$A:$AY,COLUMN(AE217)-$A$5,0)</f>
        <v>8650153.63</v>
      </c>
      <c r="AF217" s="18"/>
    </row>
    <row r="218">
      <c r="A218" s="10" t="s">
        <v>264</v>
      </c>
      <c r="B218" s="39" t="str">
        <f>VLOOKUP(lEFT($A218,4),Setor!$A:$E,3,0)</f>
        <v>Consumo Cíclico</v>
      </c>
      <c r="C218" s="39" t="str">
        <f>VLOOKUP(lEFT($A218,4),Setor!$A:$E,4,0)</f>
        <v>Construção Civil</v>
      </c>
      <c r="D218" s="39" t="str">
        <f>VLOOKUP(lEFT($A218,4),Setor!$A:$E,5,0)</f>
        <v>Incorporações</v>
      </c>
      <c r="E218" s="17">
        <f>IFERROR(__xludf.DUMMYFUNCTION("GOOGLEFINANCE(A218)"),6.01)</f>
        <v>6.01</v>
      </c>
      <c r="F218" s="17">
        <f>IFERROR(__xludf.DUMMYFUNCTION("GOOGLEFINANCE($A218,""high52"")"),9.46)</f>
        <v>9.46</v>
      </c>
      <c r="G218" s="16">
        <f t="shared" si="1"/>
        <v>-0.3646934461</v>
      </c>
      <c r="H218" s="40">
        <f>VLOOKUP($A218,'Dados StatusInvest'!$A:$AY,column(H218)-$A$5,0)*VLOOKUP($A218,'Dados StatusInvest'!$A:$AY,2,0)/$E218/100</f>
        <v>0.01724858569</v>
      </c>
      <c r="I218" s="41">
        <f>VLOOKUP($A218,'Dados StatusInvest'!$A:$AY,column(I218)-$A$5,0)/VLOOKUP($A218,'Dados StatusInvest'!$A:$AY,2,0)*$E218</f>
        <v>7.224244482</v>
      </c>
      <c r="J218" s="41">
        <f>VLOOKUP($A218,'Dados StatusInvest'!$A:$AY,column(J218)-$A$5,0)/VLOOKUP($A218,'Dados StatusInvest'!$A:$AY,2,0)*$E218</f>
        <v>0.9693548387</v>
      </c>
      <c r="K218" s="42">
        <f>VLOOKUP($A218,'Dados StatusInvest'!$A:$AY,column(K218)-$A$5,0)/VLOOKUP($A218,'Dados StatusInvest'!$A:$AY,2,0)*$E218</f>
        <v>0.6836502547</v>
      </c>
      <c r="L218" s="43">
        <f>VLOOKUP($A218,'Dados StatusInvest'!$A:$AY,column(L218)-$A$5,0)/100</f>
        <v>0.4176</v>
      </c>
      <c r="M218" s="44">
        <f>VLOOKUP($A218,'Dados StatusInvest'!$A:$AY,column(M218)-$A$5,0)</f>
        <v>32.2</v>
      </c>
      <c r="N218" s="44">
        <f>VLOOKUP($A218,'Dados StatusInvest'!$A:$AY,column(N218)-$A$5,0)</f>
        <v>28.98</v>
      </c>
      <c r="O218" s="41">
        <f>VLOOKUP($A218,'Dados StatusInvest'!$A:$AY,column(O218)-$A$5,0)/VLOOKUP($A218,'Dados StatusInvest'!$A:$AY,2,0)*$E218</f>
        <v>6.499779287</v>
      </c>
      <c r="P218" s="41">
        <f>VLOOKUP($A218,'Dados StatusInvest'!$A:$AY,column(P218)-$A$5,0)-VLOOKUP($A218,'Dados StatusInvest'!$A:$AY,column(P218)-$A$5-1,0)+O218</f>
        <v>2.769779287</v>
      </c>
      <c r="Q218" s="44">
        <f>VLOOKUP($A218,'Dados StatusInvest'!$A:$AY,column(Q218)-$A$5,0)</f>
        <v>-3.78</v>
      </c>
      <c r="R218" s="44">
        <f>VLOOKUP($A218,'Dados StatusInvest'!$A:$AY,column(R218)-$A$5,0)</f>
        <v>-0.57</v>
      </c>
      <c r="S218" s="41">
        <f>VLOOKUP($A218,'Dados StatusInvest'!$A:$AY,column(S218)-$A$5,0)/VLOOKUP($A218,'Dados StatusInvest'!$A:$AY,2,0)*$E218</f>
        <v>2.091765705</v>
      </c>
      <c r="T218" s="42">
        <f>VLOOKUP($A218,'Dados StatusInvest'!$A:$AY,column(T218)-$A$5,0)/VLOOKUP($A218,'Dados StatusInvest'!$A:$AY,2,0)*$E218</f>
        <v>1.122410866</v>
      </c>
      <c r="U218" s="44">
        <f>VLOOKUP($A218,'Dados StatusInvest'!$A:$AY,column(U218)-$A$5,0)</f>
        <v>-2.72</v>
      </c>
      <c r="V218" s="45">
        <f>VLOOKUP($A218,'Dados StatusInvest'!$A:$AY,column(V218)-$A$5,0)</f>
        <v>5.24</v>
      </c>
      <c r="W218" s="45">
        <f>VLOOKUP($A218,'Dados StatusInvest'!$A:$AY,column(W218)-$A$5,0)</f>
        <v>13.49</v>
      </c>
      <c r="X218" s="45">
        <f>VLOOKUP($A218,'Dados StatusInvest'!$A:$AY,column(X218)-$A$5,0)</f>
        <v>9.48</v>
      </c>
      <c r="Y218" s="45">
        <f>VLOOKUP($A218,'Dados StatusInvest'!$A:$AY,column(Y218)-$A$5,0)</f>
        <v>12.57</v>
      </c>
      <c r="Z218" s="44">
        <f>VLOOKUP($A218,'Dados StatusInvest'!$A:$AY,column(Z218)-$A$5,0)</f>
        <v>0.7</v>
      </c>
      <c r="AA218" s="44">
        <f>VLOOKUP($A218,'Dados StatusInvest'!$A:$AY,column(AA218)-$A$5,0)</f>
        <v>0.25</v>
      </c>
      <c r="AB218" s="44">
        <f>VLOOKUP($A218,'Dados StatusInvest'!$A:$AY,column(AB218)-$A$5,0)</f>
        <v>0.33</v>
      </c>
      <c r="AC218" s="44">
        <f>VLOOKUP($A218,'Dados StatusInvest'!$A:$AY,column(AC218)-$A$5,0)</f>
        <v>0</v>
      </c>
      <c r="AD218" s="45">
        <f>VLOOKUP($A218,'Dados StatusInvest'!$A:$AY,column(AD218)-$A$5,0)</f>
        <v>0</v>
      </c>
      <c r="AE218" s="46">
        <f>VLOOKUP($A218,'Dados StatusInvest'!$A:$AY,column(AE218)-$A$5,0)</f>
        <v>10351842.83</v>
      </c>
      <c r="AF218" s="51"/>
    </row>
    <row r="219">
      <c r="A219" s="10" t="s">
        <v>265</v>
      </c>
      <c r="B219" s="39" t="str">
        <f>VLOOKUP(lEFT($A219,4),Setor!$A:$E,3,0)</f>
        <v>Consumo Cíclico</v>
      </c>
      <c r="C219" s="39" t="str">
        <f>VLOOKUP(lEFT($A219,4),Setor!$A:$E,4,0)</f>
        <v>Construção Civil</v>
      </c>
      <c r="D219" s="39" t="str">
        <f>VLOOKUP(lEFT($A219,4),Setor!$A:$E,5,0)</f>
        <v>Incorporações</v>
      </c>
      <c r="E219" s="17">
        <f>IFERROR(__xludf.DUMMYFUNCTION("GOOGLEFINANCE(A219)"),7.65)</f>
        <v>7.65</v>
      </c>
      <c r="F219" s="17">
        <f>IFERROR(__xludf.DUMMYFUNCTION("GOOGLEFINANCE($A219,""high52"")"),11.78)</f>
        <v>11.78</v>
      </c>
      <c r="G219" s="16">
        <f t="shared" si="1"/>
        <v>-0.3505942275</v>
      </c>
      <c r="H219" s="40">
        <f>VLOOKUP($A219,'Dados StatusInvest'!$A:$AY,column(H219)-$A$5,0)*VLOOKUP($A219,'Dados StatusInvest'!$A:$AY,2,0)/$E219/100</f>
        <v>0.05150980392</v>
      </c>
      <c r="I219" s="41">
        <f>VLOOKUP($A219,'Dados StatusInvest'!$A:$AY,column(I219)-$A$5,0)/VLOOKUP($A219,'Dados StatusInvest'!$A:$AY,2,0)*$E219</f>
        <v>26.18239437</v>
      </c>
      <c r="J219" s="41">
        <f>VLOOKUP($A219,'Dados StatusInvest'!$A:$AY,column(J219)-$A$5,0)/VLOOKUP($A219,'Dados StatusInvest'!$A:$AY,2,0)*$E219</f>
        <v>4.126690141</v>
      </c>
      <c r="K219" s="42">
        <f>VLOOKUP($A219,'Dados StatusInvest'!$A:$AY,column(K219)-$A$5,0)/VLOOKUP($A219,'Dados StatusInvest'!$A:$AY,2,0)*$E219</f>
        <v>1.099014085</v>
      </c>
      <c r="L219" s="43">
        <f>VLOOKUP($A219,'Dados StatusInvest'!$A:$AY,column(L219)-$A$5,0)/100</f>
        <v>0.3723</v>
      </c>
      <c r="M219" s="44">
        <f>VLOOKUP($A219,'Dados StatusInvest'!$A:$AY,column(M219)-$A$5,0)</f>
        <v>25.4</v>
      </c>
      <c r="N219" s="44">
        <f>VLOOKUP($A219,'Dados StatusInvest'!$A:$AY,column(N219)-$A$5,0)</f>
        <v>26.79</v>
      </c>
      <c r="O219" s="41">
        <f>VLOOKUP($A219,'Dados StatusInvest'!$A:$AY,column(O219)-$A$5,0)/VLOOKUP($A219,'Dados StatusInvest'!$A:$AY,2,0)*$E219</f>
        <v>27.61542254</v>
      </c>
      <c r="P219" s="41">
        <f>VLOOKUP($A219,'Dados StatusInvest'!$A:$AY,column(P219)-$A$5,0)-VLOOKUP($A219,'Dados StatusInvest'!$A:$AY,column(P219)-$A$5-1,0)+O219</f>
        <v>24.98542254</v>
      </c>
      <c r="Q219" s="44">
        <f>VLOOKUP($A219,'Dados StatusInvest'!$A:$AY,column(Q219)-$A$5,0)</f>
        <v>-2.74</v>
      </c>
      <c r="R219" s="44">
        <f>VLOOKUP($A219,'Dados StatusInvest'!$A:$AY,column(R219)-$A$5,0)</f>
        <v>-0.41</v>
      </c>
      <c r="S219" s="41">
        <f>VLOOKUP($A219,'Dados StatusInvest'!$A:$AY,column(S219)-$A$5,0)/VLOOKUP($A219,'Dados StatusInvest'!$A:$AY,2,0)*$E219</f>
        <v>7.014295775</v>
      </c>
      <c r="T219" s="42">
        <f>VLOOKUP($A219,'Dados StatusInvest'!$A:$AY,column(T219)-$A$5,0)/VLOOKUP($A219,'Dados StatusInvest'!$A:$AY,2,0)*$E219</f>
        <v>3.006126761</v>
      </c>
      <c r="U219" s="44">
        <f>VLOOKUP($A219,'Dados StatusInvest'!$A:$AY,column(U219)-$A$5,0)</f>
        <v>-5.77</v>
      </c>
      <c r="V219" s="45">
        <f>VLOOKUP($A219,'Dados StatusInvest'!$A:$AY,column(V219)-$A$5,0)</f>
        <v>1.8</v>
      </c>
      <c r="W219" s="45">
        <f>VLOOKUP($A219,'Dados StatusInvest'!$A:$AY,column(W219)-$A$5,0)</f>
        <v>15.75</v>
      </c>
      <c r="X219" s="45">
        <f>VLOOKUP($A219,'Dados StatusInvest'!$A:$AY,column(X219)-$A$5,0)</f>
        <v>4.2</v>
      </c>
      <c r="Y219" s="45">
        <f>VLOOKUP($A219,'Dados StatusInvest'!$A:$AY,column(Y219)-$A$5,0)</f>
        <v>8.12</v>
      </c>
      <c r="Z219" s="44">
        <f>VLOOKUP($A219,'Dados StatusInvest'!$A:$AY,column(Z219)-$A$5,0)</f>
        <v>0.27</v>
      </c>
      <c r="AA219" s="44">
        <f>VLOOKUP($A219,'Dados StatusInvest'!$A:$AY,column(AA219)-$A$5,0)</f>
        <v>0.66</v>
      </c>
      <c r="AB219" s="44">
        <f>VLOOKUP($A219,'Dados StatusInvest'!$A:$AY,column(AB219)-$A$5,0)</f>
        <v>0.16</v>
      </c>
      <c r="AC219" s="44">
        <f>VLOOKUP($A219,'Dados StatusInvest'!$A:$AY,column(AC219)-$A$5,0)</f>
        <v>0</v>
      </c>
      <c r="AD219" s="45">
        <f>VLOOKUP($A219,'Dados StatusInvest'!$A:$AY,column(AD219)-$A$5,0)</f>
        <v>0</v>
      </c>
      <c r="AE219" s="46">
        <f>VLOOKUP($A219,'Dados StatusInvest'!$A:$AY,column(AE219)-$A$5,0)</f>
        <v>8956305.88</v>
      </c>
      <c r="AF219" s="51"/>
    </row>
    <row r="220">
      <c r="A220" s="10" t="s">
        <v>266</v>
      </c>
      <c r="B220" s="52" t="str">
        <f>VLOOKUP(LEFT($A220,4),Setor!$A:$E,3,0)</f>
        <v>Bens Industriais</v>
      </c>
      <c r="C220" s="52" t="str">
        <f>VLOOKUP(LEFT($A220,4),Setor!$A:$E,4,0)</f>
        <v>Serviços Diversos</v>
      </c>
      <c r="D220" s="52" t="str">
        <f>VLOOKUP(LEFT($A220,4),Setor!$A:$E,5,0)</f>
        <v>Serviços Diversos</v>
      </c>
      <c r="E220" s="53">
        <f>IFERROR(__xludf.DUMMYFUNCTION("GOOGLEFINANCE(A220)"),19.07)</f>
        <v>19.07</v>
      </c>
      <c r="F220" s="53">
        <f>IFERROR(__xludf.DUMMYFUNCTION("GOOGLEFINANCE($A220,""high52"")"),28.98)</f>
        <v>28.98</v>
      </c>
      <c r="G220" s="54">
        <f t="shared" si="1"/>
        <v>-0.3419599724</v>
      </c>
      <c r="H220" s="55">
        <f>VLOOKUP($A220,'Dados StatusInvest'!$A:$AY,COLUMN(H220)-$A$5,0)*VLOOKUP($A220,'Dados StatusInvest'!$A:$AY,2,0)/$E220/100</f>
        <v>0.02630797063</v>
      </c>
      <c r="I220" s="56">
        <f>VLOOKUP($A220,'Dados StatusInvest'!$A:$AY,COLUMN(I220)-$A$5,0)/VLOOKUP($A220,'Dados StatusInvest'!$A:$AY,2,0)*$E220</f>
        <v>14.75666844</v>
      </c>
      <c r="J220" s="56">
        <f>VLOOKUP($A220,'Dados StatusInvest'!$A:$AY,COLUMN(J220)-$A$5,0)/VLOOKUP($A220,'Dados StatusInvest'!$A:$AY,2,0)*$E220</f>
        <v>2.57784992</v>
      </c>
      <c r="K220" s="57">
        <f>VLOOKUP($A220,'Dados StatusInvest'!$A:$AY,COLUMN(K220)-$A$5,0)/VLOOKUP($A220,'Dados StatusInvest'!$A:$AY,2,0)*$E220</f>
        <v>1.481756253</v>
      </c>
      <c r="L220" s="58">
        <f>VLOOKUP($A220,'Dados StatusInvest'!$A:$AY,COLUMN(L220)-$A$5,0)/100</f>
        <v>0.3092</v>
      </c>
      <c r="M220" s="59">
        <f>VLOOKUP($A220,'Dados StatusInvest'!$A:$AY,COLUMN(M220)-$A$5,0)</f>
        <v>17.38</v>
      </c>
      <c r="N220" s="59">
        <f>VLOOKUP($A220,'Dados StatusInvest'!$A:$AY,COLUMN(N220)-$A$5,0)</f>
        <v>11.13</v>
      </c>
      <c r="O220" s="56">
        <f>VLOOKUP($A220,'Dados StatusInvest'!$A:$AY,COLUMN(O220)-$A$5,0)/VLOOKUP($A220,'Dados StatusInvest'!$A:$AY,2,0)*$E220</f>
        <v>9.448733369</v>
      </c>
      <c r="P220" s="56">
        <f>VLOOKUP($A220,'Dados StatusInvest'!$A:$AY,COLUMN(P220)-$A$5,0)-VLOOKUP($A220,'Dados StatusInvest'!$A:$AY,COLUMN(P220)-$A$5-1,0)+O220</f>
        <v>9.948733369</v>
      </c>
      <c r="Q220" s="59">
        <f>VLOOKUP($A220,'Dados StatusInvest'!$A:$AY,COLUMN(Q220)-$A$5,0)</f>
        <v>0.41</v>
      </c>
      <c r="R220" s="59">
        <f>VLOOKUP($A220,'Dados StatusInvest'!$A:$AY,COLUMN(R220)-$A$5,0)</f>
        <v>0.11</v>
      </c>
      <c r="S220" s="56">
        <f>VLOOKUP($A220,'Dados StatusInvest'!$A:$AY,COLUMN(S220)-$A$5,0)/VLOOKUP($A220,'Dados StatusInvest'!$A:$AY,2,0)*$E220</f>
        <v>1.6441405</v>
      </c>
      <c r="T220" s="57">
        <f>VLOOKUP($A220,'Dados StatusInvest'!$A:$AY,COLUMN(T220)-$A$5,0)/VLOOKUP($A220,'Dados StatusInvest'!$A:$AY,2,0)*$E220</f>
        <v>42.16915913</v>
      </c>
      <c r="U220" s="59">
        <f>VLOOKUP($A220,'Dados StatusInvest'!$A:$AY,COLUMN(U220)-$A$5,0)</f>
        <v>-2.07</v>
      </c>
      <c r="V220" s="60">
        <f>VLOOKUP($A220,'Dados StatusInvest'!$A:$AY,COLUMN(V220)-$A$5,0)</f>
        <v>1.14</v>
      </c>
      <c r="W220" s="60">
        <f>VLOOKUP($A220,'Dados StatusInvest'!$A:$AY,COLUMN(W220)-$A$5,0)</f>
        <v>17.5</v>
      </c>
      <c r="X220" s="60">
        <f>VLOOKUP($A220,'Dados StatusInvest'!$A:$AY,COLUMN(X220)-$A$5,0)</f>
        <v>10.04</v>
      </c>
      <c r="Y220" s="60">
        <f>VLOOKUP($A220,'Dados StatusInvest'!$A:$AY,COLUMN(Y220)-$A$5,0)</f>
        <v>14.51</v>
      </c>
      <c r="Z220" s="59">
        <f>VLOOKUP($A220,'Dados StatusInvest'!$A:$AY,COLUMN(Z220)-$A$5,0)</f>
        <v>0.57</v>
      </c>
      <c r="AA220" s="59">
        <f>VLOOKUP($A220,'Dados StatusInvest'!$A:$AY,COLUMN(AA220)-$A$5,0)</f>
        <v>0.43</v>
      </c>
      <c r="AB220" s="59">
        <f>VLOOKUP($A220,'Dados StatusInvest'!$A:$AY,COLUMN(AB220)-$A$5,0)</f>
        <v>0.9</v>
      </c>
      <c r="AC220" s="59">
        <f>VLOOKUP($A220,'Dados StatusInvest'!$A:$AY,COLUMN(AC220)-$A$5,0)</f>
        <v>-0.29</v>
      </c>
      <c r="AD220" s="60">
        <f>VLOOKUP($A220,'Dados StatusInvest'!$A:$AY,COLUMN(AD220)-$A$5,0)</f>
        <v>23.22</v>
      </c>
      <c r="AE220" s="62">
        <f>VLOOKUP($A220,'Dados StatusInvest'!$A:$AY,COLUMN(AE220)-$A$5,0)</f>
        <v>8391127.04</v>
      </c>
      <c r="AF220" s="18"/>
    </row>
    <row r="221">
      <c r="A221" s="10" t="s">
        <v>267</v>
      </c>
      <c r="B221" s="39" t="str">
        <f>VLOOKUP(lEFT($A221,4),Setor!$A:$E,3,0)</f>
        <v>#N/A</v>
      </c>
      <c r="C221" s="39" t="str">
        <f>VLOOKUP(lEFT($A221,4),Setor!$A:$E,4,0)</f>
        <v>#N/A</v>
      </c>
      <c r="D221" s="39" t="str">
        <f>VLOOKUP(lEFT($A221,4),Setor!$A:$E,5,0)</f>
        <v>#N/A</v>
      </c>
      <c r="E221" s="17">
        <f>IFERROR(__xludf.DUMMYFUNCTION("GOOGLEFINANCE(A221)"),22.38)</f>
        <v>22.38</v>
      </c>
      <c r="F221" s="17">
        <f>IFERROR(__xludf.DUMMYFUNCTION("GOOGLEFINANCE($A221,""high52"")"),27.9)</f>
        <v>27.9</v>
      </c>
      <c r="G221" s="16">
        <f t="shared" si="1"/>
        <v>-0.1978494624</v>
      </c>
      <c r="H221" s="40">
        <f>VLOOKUP($A221,'Dados StatusInvest'!$A:$AY,column(H221)-$A$5,0)*VLOOKUP($A221,'Dados StatusInvest'!$A:$AY,2,0)/$E221/100</f>
        <v>0</v>
      </c>
      <c r="I221" s="41">
        <f>VLOOKUP($A221,'Dados StatusInvest'!$A:$AY,column(I221)-$A$5,0)/VLOOKUP($A221,'Dados StatusInvest'!$A:$AY,2,0)*$E221</f>
        <v>27.45071329</v>
      </c>
      <c r="J221" s="41">
        <f>VLOOKUP($A221,'Dados StatusInvest'!$A:$AY,column(J221)-$A$5,0)/VLOOKUP($A221,'Dados StatusInvest'!$A:$AY,2,0)*$E221</f>
        <v>4.371664336</v>
      </c>
      <c r="K221" s="42">
        <f>VLOOKUP($A221,'Dados StatusInvest'!$A:$AY,column(K221)-$A$5,0)/VLOOKUP($A221,'Dados StatusInvest'!$A:$AY,2,0)*$E221</f>
        <v>1.210293706</v>
      </c>
      <c r="L221" s="43">
        <f>VLOOKUP($A221,'Dados StatusInvest'!$A:$AY,column(L221)-$A$5,0)/100</f>
        <v>0.2024</v>
      </c>
      <c r="M221" s="44">
        <f>VLOOKUP($A221,'Dados StatusInvest'!$A:$AY,column(M221)-$A$5,0)</f>
        <v>13.87</v>
      </c>
      <c r="N221" s="44">
        <f>VLOOKUP($A221,'Dados StatusInvest'!$A:$AY,column(N221)-$A$5,0)</f>
        <v>9.27</v>
      </c>
      <c r="O221" s="41">
        <f>VLOOKUP($A221,'Dados StatusInvest'!$A:$AY,column(O221)-$A$5,0)/VLOOKUP($A221,'Dados StatusInvest'!$A:$AY,2,0)*$E221</f>
        <v>18.33177622</v>
      </c>
      <c r="P221" s="41">
        <f>VLOOKUP($A221,'Dados StatusInvest'!$A:$AY,column(P221)-$A$5,0)-VLOOKUP($A221,'Dados StatusInvest'!$A:$AY,column(P221)-$A$5-1,0)+O221</f>
        <v>19.73177622</v>
      </c>
      <c r="Q221" s="44">
        <f>VLOOKUP($A221,'Dados StatusInvest'!$A:$AY,column(Q221)-$A$5,0)</f>
        <v>1.31</v>
      </c>
      <c r="R221" s="44">
        <f>VLOOKUP($A221,'Dados StatusInvest'!$A:$AY,column(R221)-$A$5,0)</f>
        <v>0.31</v>
      </c>
      <c r="S221" s="41">
        <f>VLOOKUP($A221,'Dados StatusInvest'!$A:$AY,column(S221)-$A$5,0)/VLOOKUP($A221,'Dados StatusInvest'!$A:$AY,2,0)*$E221</f>
        <v>2.54579021</v>
      </c>
      <c r="T221" s="42">
        <f>VLOOKUP($A221,'Dados StatusInvest'!$A:$AY,column(T221)-$A$5,0)/VLOOKUP($A221,'Dados StatusInvest'!$A:$AY,2,0)*$E221</f>
        <v>4.058657343</v>
      </c>
      <c r="U221" s="44">
        <f>VLOOKUP($A221,'Dados StatusInvest'!$A:$AY,column(U221)-$A$5,0)</f>
        <v>-3.32</v>
      </c>
      <c r="V221" s="45">
        <f>VLOOKUP($A221,'Dados StatusInvest'!$A:$AY,column(V221)-$A$5,0)</f>
        <v>1.84</v>
      </c>
      <c r="W221" s="45">
        <f>VLOOKUP($A221,'Dados StatusInvest'!$A:$AY,column(W221)-$A$5,0)</f>
        <v>15.91</v>
      </c>
      <c r="X221" s="45">
        <f>VLOOKUP($A221,'Dados StatusInvest'!$A:$AY,column(X221)-$A$5,0)</f>
        <v>4.4</v>
      </c>
      <c r="Y221" s="45">
        <f>VLOOKUP($A221,'Dados StatusInvest'!$A:$AY,column(Y221)-$A$5,0)</f>
        <v>7.98</v>
      </c>
      <c r="Z221" s="44">
        <f>VLOOKUP($A221,'Dados StatusInvest'!$A:$AY,column(Z221)-$A$5,0)</f>
        <v>0.28</v>
      </c>
      <c r="AA221" s="44">
        <f>VLOOKUP($A221,'Dados StatusInvest'!$A:$AY,column(AA221)-$A$5,0)</f>
        <v>0.72</v>
      </c>
      <c r="AB221" s="44">
        <f>VLOOKUP($A221,'Dados StatusInvest'!$A:$AY,column(AB221)-$A$5,0)</f>
        <v>0.47</v>
      </c>
      <c r="AC221" s="44">
        <f>VLOOKUP($A221,'Dados StatusInvest'!$A:$AY,column(AC221)-$A$5,0)</f>
        <v>0</v>
      </c>
      <c r="AD221" s="45">
        <f>VLOOKUP($A221,'Dados StatusInvest'!$A:$AY,column(AD221)-$A$5,0)</f>
        <v>0</v>
      </c>
      <c r="AE221" s="46">
        <f>VLOOKUP($A221,'Dados StatusInvest'!$A:$AY,column(AE221)-$A$5,0)</f>
        <v>8542988.29</v>
      </c>
      <c r="AF221" s="18"/>
    </row>
    <row r="222">
      <c r="A222" s="10" t="s">
        <v>268</v>
      </c>
      <c r="B222" s="39" t="str">
        <f>VLOOKUP(lEFT($A222,4),Setor!$A:$E,3,0)</f>
        <v>#N/A</v>
      </c>
      <c r="C222" s="39" t="str">
        <f>VLOOKUP(lEFT($A222,4),Setor!$A:$E,4,0)</f>
        <v>#N/A</v>
      </c>
      <c r="D222" s="39" t="str">
        <f>VLOOKUP(lEFT($A222,4),Setor!$A:$E,5,0)</f>
        <v>#N/A</v>
      </c>
      <c r="E222" s="17">
        <f>IFERROR(__xludf.DUMMYFUNCTION("GOOGLEFINANCE(A222)"),24.66)</f>
        <v>24.66</v>
      </c>
      <c r="F222" s="17">
        <f>IFERROR(__xludf.DUMMYFUNCTION("GOOGLEFINANCE($A222,""high52"")"),26.92)</f>
        <v>26.92</v>
      </c>
      <c r="G222" s="16">
        <f t="shared" si="1"/>
        <v>-0.08395245171</v>
      </c>
      <c r="H222" s="40">
        <f>VLOOKUP($A222,'Dados StatusInvest'!$A:$AY,column(H222)-$A$5,0)*VLOOKUP($A222,'Dados StatusInvest'!$A:$AY,2,0)/$E222/100</f>
        <v>0</v>
      </c>
      <c r="I222" s="41">
        <f>VLOOKUP($A222,'Dados StatusInvest'!$A:$AY,column(I222)-$A$5,0)/VLOOKUP($A222,'Dados StatusInvest'!$A:$AY,2,0)*$E222</f>
        <v>367.2954165</v>
      </c>
      <c r="J222" s="41">
        <f>VLOOKUP($A222,'Dados StatusInvest'!$A:$AY,column(J222)-$A$5,0)/VLOOKUP($A222,'Dados StatusInvest'!$A:$AY,2,0)*$E222</f>
        <v>11.84348346</v>
      </c>
      <c r="K222" s="42">
        <f>VLOOKUP($A222,'Dados StatusInvest'!$A:$AY,column(K222)-$A$5,0)/VLOOKUP($A222,'Dados StatusInvest'!$A:$AY,2,0)*$E222</f>
        <v>2.693041052</v>
      </c>
      <c r="L222" s="43">
        <f>VLOOKUP($A222,'Dados StatusInvest'!$A:$AY,column(L222)-$A$5,0)/100</f>
        <v>0.6251</v>
      </c>
      <c r="M222" s="44">
        <f>VLOOKUP($A222,'Dados StatusInvest'!$A:$AY,column(M222)-$A$5,0)</f>
        <v>19.15</v>
      </c>
      <c r="N222" s="44">
        <f>VLOOKUP($A222,'Dados StatusInvest'!$A:$AY,column(N222)-$A$5,0)</f>
        <v>5.21</v>
      </c>
      <c r="O222" s="41">
        <f>VLOOKUP($A222,'Dados StatusInvest'!$A:$AY,column(O222)-$A$5,0)/VLOOKUP($A222,'Dados StatusInvest'!$A:$AY,2,0)*$E222</f>
        <v>99.99634914</v>
      </c>
      <c r="P222" s="41">
        <f>VLOOKUP($A222,'Dados StatusInvest'!$A:$AY,column(P222)-$A$5,0)-VLOOKUP($A222,'Dados StatusInvest'!$A:$AY,column(P222)-$A$5-1,0)+O222</f>
        <v>116.2863491</v>
      </c>
      <c r="Q222" s="44">
        <f>VLOOKUP($A222,'Dados StatusInvest'!$A:$AY,column(Q222)-$A$5,0)</f>
        <v>15.56</v>
      </c>
      <c r="R222" s="44">
        <f>VLOOKUP($A222,'Dados StatusInvest'!$A:$AY,column(R222)-$A$5,0)</f>
        <v>1.84</v>
      </c>
      <c r="S222" s="41">
        <f>VLOOKUP($A222,'Dados StatusInvest'!$A:$AY,column(S222)-$A$5,0)/VLOOKUP($A222,'Dados StatusInvest'!$A:$AY,2,0)*$E222</f>
        <v>19.15597449</v>
      </c>
      <c r="T222" s="42">
        <f>VLOOKUP($A222,'Dados StatusInvest'!$A:$AY,column(T222)-$A$5,0)/VLOOKUP($A222,'Dados StatusInvest'!$A:$AY,2,0)*$E222</f>
        <v>-51.91475488</v>
      </c>
      <c r="U222" s="44">
        <f>VLOOKUP($A222,'Dados StatusInvest'!$A:$AY,column(U222)-$A$5,0)</f>
        <v>-3.39</v>
      </c>
      <c r="V222" s="45">
        <f>VLOOKUP($A222,'Dados StatusInvest'!$A:$AY,column(V222)-$A$5,0)</f>
        <v>0.79</v>
      </c>
      <c r="W222" s="45">
        <f>VLOOKUP($A222,'Dados StatusInvest'!$A:$AY,column(W222)-$A$5,0)</f>
        <v>3.23</v>
      </c>
      <c r="X222" s="45">
        <f>VLOOKUP($A222,'Dados StatusInvest'!$A:$AY,column(X222)-$A$5,0)</f>
        <v>0.73</v>
      </c>
      <c r="Y222" s="45">
        <f>VLOOKUP($A222,'Dados StatusInvest'!$A:$AY,column(Y222)-$A$5,0)</f>
        <v>2.45</v>
      </c>
      <c r="Z222" s="44">
        <f>VLOOKUP($A222,'Dados StatusInvest'!$A:$AY,column(Z222)-$A$5,0)</f>
        <v>0.23</v>
      </c>
      <c r="AA222" s="44">
        <f>VLOOKUP($A222,'Dados StatusInvest'!$A:$AY,column(AA222)-$A$5,0)</f>
        <v>0.77</v>
      </c>
      <c r="AB222" s="44">
        <f>VLOOKUP($A222,'Dados StatusInvest'!$A:$AY,column(AB222)-$A$5,0)</f>
        <v>0.14</v>
      </c>
      <c r="AC222" s="44">
        <f>VLOOKUP($A222,'Dados StatusInvest'!$A:$AY,column(AC222)-$A$5,0)</f>
        <v>0</v>
      </c>
      <c r="AD222" s="45">
        <f>VLOOKUP($A222,'Dados StatusInvest'!$A:$AY,column(AD222)-$A$5,0)</f>
        <v>0</v>
      </c>
      <c r="AE222" s="46">
        <f>VLOOKUP($A222,'Dados StatusInvest'!$A:$AY,column(AE222)-$A$5,0)</f>
        <v>9964715.83</v>
      </c>
      <c r="AF222" s="50"/>
    </row>
    <row r="223">
      <c r="A223" s="10" t="s">
        <v>269</v>
      </c>
      <c r="B223" s="39" t="str">
        <f>VLOOKUP(lEFT($A223,4),Setor!$A:$E,3,0)</f>
        <v>Consumo Cíclico</v>
      </c>
      <c r="C223" s="39" t="str">
        <f>VLOOKUP(lEFT($A223,4),Setor!$A:$E,4,0)</f>
        <v>Construção Civil</v>
      </c>
      <c r="D223" s="39" t="str">
        <f>VLOOKUP(lEFT($A223,4),Setor!$A:$E,5,0)</f>
        <v>Incorporações</v>
      </c>
      <c r="E223" s="17">
        <f>IFERROR(__xludf.DUMMYFUNCTION("GOOGLEFINANCE(A223)"),5.97)</f>
        <v>5.97</v>
      </c>
      <c r="F223" s="17">
        <f>IFERROR(__xludf.DUMMYFUNCTION("GOOGLEFINANCE($A223,""high52"")"),12.62)</f>
        <v>12.62</v>
      </c>
      <c r="G223" s="16">
        <f t="shared" si="1"/>
        <v>-0.5269413629</v>
      </c>
      <c r="H223" s="40">
        <f>VLOOKUP($A223,'Dados StatusInvest'!$A:$AY,column(H223)-$A$5,0)*VLOOKUP($A223,'Dados StatusInvest'!$A:$AY,2,0)/$E223/100</f>
        <v>0.007939028476</v>
      </c>
      <c r="I223" s="41">
        <f>VLOOKUP($A223,'Dados StatusInvest'!$A:$AY,column(I223)-$A$5,0)/VLOOKUP($A223,'Dados StatusInvest'!$A:$AY,2,0)*$E223</f>
        <v>8.056401384</v>
      </c>
      <c r="J223" s="41">
        <f>VLOOKUP($A223,'Dados StatusInvest'!$A:$AY,column(J223)-$A$5,0)/VLOOKUP($A223,'Dados StatusInvest'!$A:$AY,2,0)*$E223</f>
        <v>0.6093944637</v>
      </c>
      <c r="K223" s="42">
        <f>VLOOKUP($A223,'Dados StatusInvest'!$A:$AY,column(K223)-$A$5,0)/VLOOKUP($A223,'Dados StatusInvest'!$A:$AY,2,0)*$E223</f>
        <v>0.185916955</v>
      </c>
      <c r="L223" s="43">
        <f>VLOOKUP($A223,'Dados StatusInvest'!$A:$AY,column(L223)-$A$5,0)/100</f>
        <v>0.2333</v>
      </c>
      <c r="M223" s="47">
        <f>VLOOKUP($A223,'Dados StatusInvest'!$A:$AY,column(M223)-$A$5,0)</f>
        <v>13.25</v>
      </c>
      <c r="N223" s="47">
        <f>VLOOKUP($A223,'Dados StatusInvest'!$A:$AY,column(N223)-$A$5,0)</f>
        <v>9.51</v>
      </c>
      <c r="O223" s="41">
        <f>VLOOKUP($A223,'Dados StatusInvest'!$A:$AY,column(O223)-$A$5,0)/VLOOKUP($A223,'Dados StatusInvest'!$A:$AY,2,0)*$E223</f>
        <v>5.784083045</v>
      </c>
      <c r="P223" s="41">
        <f>VLOOKUP($A223,'Dados StatusInvest'!$A:$AY,column(P223)-$A$5,0)-VLOOKUP($A223,'Dados StatusInvest'!$A:$AY,column(P223)-$A$5-1,0)+O223</f>
        <v>12.34408304</v>
      </c>
      <c r="Q223" s="44">
        <f>VLOOKUP($A223,'Dados StatusInvest'!$A:$AY,column(Q223)-$A$5,0)</f>
        <v>6.48</v>
      </c>
      <c r="R223" s="44">
        <f>VLOOKUP($A223,'Dados StatusInvest'!$A:$AY,column(R223)-$A$5,0)</f>
        <v>0.68</v>
      </c>
      <c r="S223" s="41">
        <f>VLOOKUP($A223,'Dados StatusInvest'!$A:$AY,column(S223)-$A$5,0)/VLOOKUP($A223,'Dados StatusInvest'!$A:$AY,2,0)*$E223</f>
        <v>0.7643252595</v>
      </c>
      <c r="T223" s="42">
        <f>VLOOKUP($A223,'Dados StatusInvest'!$A:$AY,column(T223)-$A$5,0)/VLOOKUP($A223,'Dados StatusInvest'!$A:$AY,2,0)*$E223</f>
        <v>0.3924913495</v>
      </c>
      <c r="U223" s="44">
        <f>VLOOKUP($A223,'Dados StatusInvest'!$A:$AY,column(U223)-$A$5,0)</f>
        <v>-0.6</v>
      </c>
      <c r="V223" s="45">
        <f>VLOOKUP($A223,'Dados StatusInvest'!$A:$AY,column(V223)-$A$5,0)</f>
        <v>3.09</v>
      </c>
      <c r="W223" s="45">
        <f>VLOOKUP($A223,'Dados StatusInvest'!$A:$AY,column(W223)-$A$5,0)</f>
        <v>7.52</v>
      </c>
      <c r="X223" s="48">
        <f>VLOOKUP($A223,'Dados StatusInvest'!$A:$AY,column(X223)-$A$5,0)</f>
        <v>2.33</v>
      </c>
      <c r="Y223" s="45">
        <f>VLOOKUP($A223,'Dados StatusInvest'!$A:$AY,column(Y223)-$A$5,0)</f>
        <v>3.65</v>
      </c>
      <c r="Z223" s="44">
        <f>VLOOKUP($A223,'Dados StatusInvest'!$A:$AY,column(Z223)-$A$5,0)</f>
        <v>0.31</v>
      </c>
      <c r="AA223" s="44">
        <f>VLOOKUP($A223,'Dados StatusInvest'!$A:$AY,column(AA223)-$A$5,0)</f>
        <v>0.58</v>
      </c>
      <c r="AB223" s="44">
        <f>VLOOKUP($A223,'Dados StatusInvest'!$A:$AY,column(AB223)-$A$5,0)</f>
        <v>0.24</v>
      </c>
      <c r="AC223" s="44">
        <f>VLOOKUP($A223,'Dados StatusInvest'!$A:$AY,column(AC223)-$A$5,0)</f>
        <v>-5.72</v>
      </c>
      <c r="AD223" s="45">
        <f>VLOOKUP($A223,'Dados StatusInvest'!$A:$AY,column(AD223)-$A$5,0)</f>
        <v>7.57</v>
      </c>
      <c r="AE223" s="46">
        <f>VLOOKUP($A223,'Dados StatusInvest'!$A:$AY,column(AE223)-$A$5,0)</f>
        <v>7548934.25</v>
      </c>
      <c r="AF223" s="51"/>
    </row>
    <row r="224">
      <c r="A224" s="10" t="s">
        <v>270</v>
      </c>
      <c r="B224" s="52" t="str">
        <f>VLOOKUP(LEFT($A224,4),Setor!$A:$E,3,0)</f>
        <v>Consumo Cíclico</v>
      </c>
      <c r="C224" s="52" t="str">
        <f>VLOOKUP(LEFT($A224,4),Setor!$A:$E,4,0)</f>
        <v>Construção Civil</v>
      </c>
      <c r="D224" s="52" t="str">
        <f>VLOOKUP(LEFT($A224,4),Setor!$A:$E,5,0)</f>
        <v>Incorporações</v>
      </c>
      <c r="E224" s="53">
        <f>IFERROR(__xludf.DUMMYFUNCTION("GOOGLEFINANCE(A224)"),8.14)</f>
        <v>8.14</v>
      </c>
      <c r="F224" s="53">
        <f>IFERROR(__xludf.DUMMYFUNCTION("GOOGLEFINANCE($A224,""high52"")"),17.18)</f>
        <v>17.18</v>
      </c>
      <c r="G224" s="54">
        <f t="shared" si="1"/>
        <v>-0.526193248</v>
      </c>
      <c r="H224" s="55">
        <f>VLOOKUP($A224,'Dados StatusInvest'!$A:$AY,COLUMN(H224)-$A$5,0)*VLOOKUP($A224,'Dados StatusInvest'!$A:$AY,2,0)/$E224/100</f>
        <v>0.05493857494</v>
      </c>
      <c r="I224" s="56">
        <f>VLOOKUP($A224,'Dados StatusInvest'!$A:$AY,COLUMN(I224)-$A$5,0)/VLOOKUP($A224,'Dados StatusInvest'!$A:$AY,2,0)*$E224</f>
        <v>16.168075</v>
      </c>
      <c r="J224" s="56">
        <f>VLOOKUP($A224,'Dados StatusInvest'!$A:$AY,COLUMN(J224)-$A$5,0)/VLOOKUP($A224,'Dados StatusInvest'!$A:$AY,2,0)*$E224</f>
        <v>0.87505</v>
      </c>
      <c r="K224" s="57">
        <f>VLOOKUP($A224,'Dados StatusInvest'!$A:$AY,COLUMN(K224)-$A$5,0)/VLOOKUP($A224,'Dados StatusInvest'!$A:$AY,2,0)*$E224</f>
        <v>0.641025</v>
      </c>
      <c r="L224" s="58">
        <f>VLOOKUP($A224,'Dados StatusInvest'!$A:$AY,COLUMN(L224)-$A$5,0)/100</f>
        <v>0.3461</v>
      </c>
      <c r="M224" s="59">
        <f>VLOOKUP($A224,'Dados StatusInvest'!$A:$AY,COLUMN(M224)-$A$5,0)</f>
        <v>10.49</v>
      </c>
      <c r="N224" s="59">
        <f>VLOOKUP($A224,'Dados StatusInvest'!$A:$AY,COLUMN(N224)-$A$5,0)</f>
        <v>9.72</v>
      </c>
      <c r="O224" s="56">
        <f>VLOOKUP($A224,'Dados StatusInvest'!$A:$AY,COLUMN(O224)-$A$5,0)/VLOOKUP($A224,'Dados StatusInvest'!$A:$AY,2,0)*$E224</f>
        <v>14.9776</v>
      </c>
      <c r="P224" s="56">
        <f>VLOOKUP($A224,'Dados StatusInvest'!$A:$AY,COLUMN(P224)-$A$5,0)-VLOOKUP($A224,'Dados StatusInvest'!$A:$AY,COLUMN(P224)-$A$5-1,0)+O224</f>
        <v>7.3276</v>
      </c>
      <c r="Q224" s="59">
        <f>VLOOKUP($A224,'Dados StatusInvest'!$A:$AY,COLUMN(Q224)-$A$5,0)</f>
        <v>-7.54</v>
      </c>
      <c r="R224" s="59">
        <f>VLOOKUP($A224,'Dados StatusInvest'!$A:$AY,COLUMN(R224)-$A$5,0)</f>
        <v>-0.44</v>
      </c>
      <c r="S224" s="56">
        <f>VLOOKUP($A224,'Dados StatusInvest'!$A:$AY,COLUMN(S224)-$A$5,0)/VLOOKUP($A224,'Dados StatusInvest'!$A:$AY,2,0)*$E224</f>
        <v>1.56695</v>
      </c>
      <c r="T224" s="57">
        <f>VLOOKUP($A224,'Dados StatusInvest'!$A:$AY,COLUMN(T224)-$A$5,0)/VLOOKUP($A224,'Dados StatusInvest'!$A:$AY,2,0)*$E224</f>
        <v>1.190475</v>
      </c>
      <c r="U224" s="59">
        <f>VLOOKUP($A224,'Dados StatusInvest'!$A:$AY,COLUMN(U224)-$A$5,0)</f>
        <v>-2.36</v>
      </c>
      <c r="V224" s="60">
        <f>VLOOKUP($A224,'Dados StatusInvest'!$A:$AY,COLUMN(V224)-$A$5,0)</f>
        <v>3.67</v>
      </c>
      <c r="W224" s="60">
        <f>VLOOKUP($A224,'Dados StatusInvest'!$A:$AY,COLUMN(W224)-$A$5,0)</f>
        <v>5.42</v>
      </c>
      <c r="X224" s="60">
        <f>VLOOKUP($A224,'Dados StatusInvest'!$A:$AY,COLUMN(X224)-$A$5,0)</f>
        <v>3.94</v>
      </c>
      <c r="Y224" s="60">
        <f>VLOOKUP($A224,'Dados StatusInvest'!$A:$AY,COLUMN(Y224)-$A$5,0)</f>
        <v>4.53</v>
      </c>
      <c r="Z224" s="59">
        <f>VLOOKUP($A224,'Dados StatusInvest'!$A:$AY,COLUMN(Z224)-$A$5,0)</f>
        <v>0.73</v>
      </c>
      <c r="AA224" s="59">
        <f>VLOOKUP($A224,'Dados StatusInvest'!$A:$AY,COLUMN(AA224)-$A$5,0)</f>
        <v>0.27</v>
      </c>
      <c r="AB224" s="59">
        <f>VLOOKUP($A224,'Dados StatusInvest'!$A:$AY,COLUMN(AB224)-$A$5,0)</f>
        <v>0.41</v>
      </c>
      <c r="AC224" s="59">
        <f>VLOOKUP($A224,'Dados StatusInvest'!$A:$AY,COLUMN(AC224)-$A$5,0)</f>
        <v>0</v>
      </c>
      <c r="AD224" s="60">
        <f>VLOOKUP($A224,'Dados StatusInvest'!$A:$AY,COLUMN(AD224)-$A$5,0)</f>
        <v>0</v>
      </c>
      <c r="AE224" s="62">
        <f>VLOOKUP($A224,'Dados StatusInvest'!$A:$AY,COLUMN(AE224)-$A$5,0)</f>
        <v>7428482.29</v>
      </c>
      <c r="AF224" s="18"/>
    </row>
    <row r="225">
      <c r="A225" s="10" t="s">
        <v>271</v>
      </c>
      <c r="B225" s="52" t="str">
        <f>VLOOKUP(LEFT($A225,4),Setor!$A:$E,3,0)</f>
        <v>#N/A</v>
      </c>
      <c r="C225" s="52" t="str">
        <f>VLOOKUP(LEFT($A225,4),Setor!$A:$E,4,0)</f>
        <v>#N/A</v>
      </c>
      <c r="D225" s="52" t="str">
        <f>VLOOKUP(LEFT($A225,4),Setor!$A:$E,5,0)</f>
        <v>#N/A</v>
      </c>
      <c r="E225" s="53">
        <f>IFERROR(__xludf.DUMMYFUNCTION("GOOGLEFINANCE(A225)"),55.3)</f>
        <v>55.3</v>
      </c>
      <c r="F225" s="53">
        <f>IFERROR(__xludf.DUMMYFUNCTION("GOOGLEFINANCE($A225,""high52"")"),70.27)</f>
        <v>70.27</v>
      </c>
      <c r="G225" s="54">
        <f t="shared" si="1"/>
        <v>-0.2130354348</v>
      </c>
      <c r="H225" s="55">
        <f>VLOOKUP($A225,'Dados StatusInvest'!$A:$AY,COLUMN(H225)-$A$5,0)*VLOOKUP($A225,'Dados StatusInvest'!$A:$AY,2,0)/$E225/100</f>
        <v>0.08305063291</v>
      </c>
      <c r="I225" s="56">
        <f>VLOOKUP($A225,'Dados StatusInvest'!$A:$AY,COLUMN(I225)-$A$5,0)/VLOOKUP($A225,'Dados StatusInvest'!$A:$AY,2,0)*$E225</f>
        <v>7.24654321</v>
      </c>
      <c r="J225" s="56">
        <f>VLOOKUP($A225,'Dados StatusInvest'!$A:$AY,COLUMN(J225)-$A$5,0)/VLOOKUP($A225,'Dados StatusInvest'!$A:$AY,2,0)*$E225</f>
        <v>2.711358025</v>
      </c>
      <c r="K225" s="57">
        <f>VLOOKUP($A225,'Dados StatusInvest'!$A:$AY,COLUMN(K225)-$A$5,0)/VLOOKUP($A225,'Dados StatusInvest'!$A:$AY,2,0)*$E225</f>
        <v>1463.801728</v>
      </c>
      <c r="L225" s="58">
        <f>VLOOKUP($A225,'Dados StatusInvest'!$A:$AY,COLUMN(L225)-$A$5,0)/100</f>
        <v>0.4523</v>
      </c>
      <c r="M225" s="63">
        <f>VLOOKUP($A225,'Dados StatusInvest'!$A:$AY,COLUMN(M225)-$A$5,0)</f>
        <v>31.96</v>
      </c>
      <c r="N225" s="63">
        <f>VLOOKUP($A225,'Dados StatusInvest'!$A:$AY,COLUMN(N225)-$A$5,0)</f>
        <v>27.16</v>
      </c>
      <c r="O225" s="56">
        <f>VLOOKUP($A225,'Dados StatusInvest'!$A:$AY,COLUMN(O225)-$A$5,0)/VLOOKUP($A225,'Dados StatusInvest'!$A:$AY,2,0)*$E225</f>
        <v>6.154197531</v>
      </c>
      <c r="P225" s="56">
        <f>VLOOKUP($A225,'Dados StatusInvest'!$A:$AY,COLUMN(P225)-$A$5,0)-VLOOKUP($A225,'Dados StatusInvest'!$A:$AY,COLUMN(P225)-$A$5-1,0)+O225</f>
        <v>6.084197531</v>
      </c>
      <c r="Q225" s="59">
        <f>VLOOKUP($A225,'Dados StatusInvest'!$A:$AY,COLUMN(Q225)-$A$5,0)</f>
        <v>-0.06</v>
      </c>
      <c r="R225" s="59">
        <f>VLOOKUP($A225,'Dados StatusInvest'!$A:$AY,COLUMN(R225)-$A$5,0)</f>
        <v>-0.02</v>
      </c>
      <c r="S225" s="56">
        <f>VLOOKUP($A225,'Dados StatusInvest'!$A:$AY,COLUMN(S225)-$A$5,0)/VLOOKUP($A225,'Dados StatusInvest'!$A:$AY,2,0)*$E225</f>
        <v>1.970123457</v>
      </c>
      <c r="T225" s="57">
        <f>VLOOKUP($A225,'Dados StatusInvest'!$A:$AY,COLUMN(T225)-$A$5,0)/VLOOKUP($A225,'Dados StatusInvest'!$A:$AY,2,0)*$E225</f>
        <v>11.08925926</v>
      </c>
      <c r="U225" s="63">
        <f>VLOOKUP($A225,'Dados StatusInvest'!$A:$AY,COLUMN(U225)-$A$5,0)</f>
        <v>-2.4</v>
      </c>
      <c r="V225" s="60">
        <f>VLOOKUP($A225,'Dados StatusInvest'!$A:$AY,COLUMN(V225)-$A$5,0)</f>
        <v>1.54</v>
      </c>
      <c r="W225" s="61">
        <f>VLOOKUP($A225,'Dados StatusInvest'!$A:$AY,COLUMN(W225)-$A$5,0)</f>
        <v>37.37</v>
      </c>
      <c r="X225" s="61">
        <f>VLOOKUP($A225,'Dados StatusInvest'!$A:$AY,COLUMN(X225)-$A$5,0)</f>
        <v>20205.8</v>
      </c>
      <c r="Y225" s="61">
        <f>VLOOKUP($A225,'Dados StatusInvest'!$A:$AY,COLUMN(Y225)-$A$5,0)</f>
        <v>29.84</v>
      </c>
      <c r="Z225" s="59">
        <f>VLOOKUP($A225,'Dados StatusInvest'!$A:$AY,COLUMN(Z225)-$A$5,0)</f>
        <v>540.74</v>
      </c>
      <c r="AA225" s="59">
        <f>VLOOKUP($A225,'Dados StatusInvest'!$A:$AY,COLUMN(AA225)-$A$5,0)</f>
        <v>459.26</v>
      </c>
      <c r="AB225" s="59">
        <f>VLOOKUP($A225,'Dados StatusInvest'!$A:$AY,COLUMN(AB225)-$A$5,0)</f>
        <v>743.89</v>
      </c>
      <c r="AC225" s="59">
        <f>VLOOKUP($A225,'Dados StatusInvest'!$A:$AY,COLUMN(AC225)-$A$5,0)</f>
        <v>0</v>
      </c>
      <c r="AD225" s="60">
        <f>VLOOKUP($A225,'Dados StatusInvest'!$A:$AY,COLUMN(AD225)-$A$5,0)</f>
        <v>0</v>
      </c>
      <c r="AE225" s="62">
        <f>VLOOKUP($A225,'Dados StatusInvest'!$A:$AY,COLUMN(AE225)-$A$5,0)</f>
        <v>6404152.21</v>
      </c>
      <c r="AF225" s="18"/>
    </row>
    <row r="226">
      <c r="A226" s="10" t="s">
        <v>272</v>
      </c>
      <c r="B226" s="39" t="str">
        <f>VLOOKUP(lEFT($A226,4),Setor!$A:$E,3,0)</f>
        <v>#N/A</v>
      </c>
      <c r="C226" s="39" t="str">
        <f>VLOOKUP(lEFT($A226,4),Setor!$A:$E,4,0)</f>
        <v>#N/A</v>
      </c>
      <c r="D226" s="39" t="str">
        <f>VLOOKUP(lEFT($A226,4),Setor!$A:$E,5,0)</f>
        <v>#N/A</v>
      </c>
      <c r="E226" s="17">
        <f>IFERROR(__xludf.DUMMYFUNCTION("GOOGLEFINANCE(A226)"),12.64)</f>
        <v>12.64</v>
      </c>
      <c r="F226" s="17">
        <f>IFERROR(__xludf.DUMMYFUNCTION("GOOGLEFINANCE($A226,""high52"")"),18.37)</f>
        <v>18.37</v>
      </c>
      <c r="G226" s="16">
        <f t="shared" si="1"/>
        <v>-0.3119216113</v>
      </c>
      <c r="H226" s="40">
        <f>VLOOKUP($A226,'Dados StatusInvest'!$A:$AY,column(H226)-$A$5,0)*VLOOKUP($A226,'Dados StatusInvest'!$A:$AY,2,0)/$E226/100</f>
        <v>0.00421835443</v>
      </c>
      <c r="I226" s="41">
        <f>VLOOKUP($A226,'Dados StatusInvest'!$A:$AY,column(I226)-$A$5,0)/VLOOKUP($A226,'Dados StatusInvest'!$A:$AY,2,0)*$E226</f>
        <v>60.62103226</v>
      </c>
      <c r="J226" s="41">
        <f>VLOOKUP($A226,'Dados StatusInvest'!$A:$AY,column(J226)-$A$5,0)/VLOOKUP($A226,'Dados StatusInvest'!$A:$AY,2,0)*$E226</f>
        <v>1.233419355</v>
      </c>
      <c r="K226" s="42">
        <f>VLOOKUP($A226,'Dados StatusInvest'!$A:$AY,column(K226)-$A$5,0)/VLOOKUP($A226,'Dados StatusInvest'!$A:$AY,2,0)*$E226</f>
        <v>0.4790967742</v>
      </c>
      <c r="L226" s="43">
        <f>VLOOKUP($A226,'Dados StatusInvest'!$A:$AY,column(L226)-$A$5,0)/100</f>
        <v>0.0809</v>
      </c>
      <c r="M226" s="44">
        <f>VLOOKUP($A226,'Dados StatusInvest'!$A:$AY,column(M226)-$A$5,0)</f>
        <v>3.65</v>
      </c>
      <c r="N226" s="44">
        <f>VLOOKUP($A226,'Dados StatusInvest'!$A:$AY,column(N226)-$A$5,0)</f>
        <v>1.55</v>
      </c>
      <c r="O226" s="41">
        <f>VLOOKUP($A226,'Dados StatusInvest'!$A:$AY,column(O226)-$A$5,0)/VLOOKUP($A226,'Dados StatusInvest'!$A:$AY,2,0)*$E226</f>
        <v>25.72851613</v>
      </c>
      <c r="P226" s="41">
        <f>VLOOKUP($A226,'Dados StatusInvest'!$A:$AY,column(P226)-$A$5,0)-VLOOKUP($A226,'Dados StatusInvest'!$A:$AY,column(P226)-$A$5-1,0)+O226</f>
        <v>13.73851613</v>
      </c>
      <c r="Q226" s="44">
        <f>VLOOKUP($A226,'Dados StatusInvest'!$A:$AY,column(Q226)-$A$5,0)</f>
        <v>-12.42</v>
      </c>
      <c r="R226" s="44">
        <f>VLOOKUP($A226,'Dados StatusInvest'!$A:$AY,column(R226)-$A$5,0)</f>
        <v>-0.59</v>
      </c>
      <c r="S226" s="41">
        <f>VLOOKUP($A226,'Dados StatusInvest'!$A:$AY,column(S226)-$A$5,0)/VLOOKUP($A226,'Dados StatusInvest'!$A:$AY,2,0)*$E226</f>
        <v>0.9378064516</v>
      </c>
      <c r="T226" s="42">
        <f>VLOOKUP($A226,'Dados StatusInvest'!$A:$AY,column(T226)-$A$5,0)/VLOOKUP($A226,'Dados StatusInvest'!$A:$AY,2,0)*$E226</f>
        <v>1.743096774</v>
      </c>
      <c r="U226" s="44">
        <f>VLOOKUP($A226,'Dados StatusInvest'!$A:$AY,column(U226)-$A$5,0)</f>
        <v>-1.63</v>
      </c>
      <c r="V226" s="45">
        <f>VLOOKUP($A226,'Dados StatusInvest'!$A:$AY,column(V226)-$A$5,0)</f>
        <v>1.64</v>
      </c>
      <c r="W226" s="45">
        <f>VLOOKUP($A226,'Dados StatusInvest'!$A:$AY,column(W226)-$A$5,0)</f>
        <v>2.03</v>
      </c>
      <c r="X226" s="45">
        <f>VLOOKUP($A226,'Dados StatusInvest'!$A:$AY,column(X226)-$A$5,0)</f>
        <v>0.79</v>
      </c>
      <c r="Y226" s="45">
        <f>VLOOKUP($A226,'Dados StatusInvest'!$A:$AY,column(Y226)-$A$5,0)</f>
        <v>2.58</v>
      </c>
      <c r="Z226" s="44">
        <f>VLOOKUP($A226,'Dados StatusInvest'!$A:$AY,column(Z226)-$A$5,0)</f>
        <v>0.39</v>
      </c>
      <c r="AA226" s="44">
        <f>VLOOKUP($A226,'Dados StatusInvest'!$A:$AY,column(AA226)-$A$5,0)</f>
        <v>0.61</v>
      </c>
      <c r="AB226" s="44">
        <f>VLOOKUP($A226,'Dados StatusInvest'!$A:$AY,column(AB226)-$A$5,0)</f>
        <v>0.51</v>
      </c>
      <c r="AC226" s="44">
        <f>VLOOKUP($A226,'Dados StatusInvest'!$A:$AY,column(AC226)-$A$5,0)</f>
        <v>0</v>
      </c>
      <c r="AD226" s="45">
        <f>VLOOKUP($A226,'Dados StatusInvest'!$A:$AY,column(AD226)-$A$5,0)</f>
        <v>0</v>
      </c>
      <c r="AE226" s="46">
        <f>VLOOKUP($A226,'Dados StatusInvest'!$A:$AY,column(AE226)-$A$5,0)</f>
        <v>6284807.71</v>
      </c>
      <c r="AF226" s="18"/>
    </row>
    <row r="227">
      <c r="A227" s="10" t="s">
        <v>273</v>
      </c>
      <c r="B227" s="39" t="str">
        <f>VLOOKUP(lEFT($A227,4),Setor!$A:$E,3,0)</f>
        <v>#N/A</v>
      </c>
      <c r="C227" s="39" t="str">
        <f>VLOOKUP(lEFT($A227,4),Setor!$A:$E,4,0)</f>
        <v>#N/A</v>
      </c>
      <c r="D227" s="39" t="str">
        <f>VLOOKUP(lEFT($A227,4),Setor!$A:$E,5,0)</f>
        <v>#N/A</v>
      </c>
      <c r="E227" s="17">
        <f>IFERROR(__xludf.DUMMYFUNCTION("GOOGLEFINANCE(A227)"),9.85)</f>
        <v>9.85</v>
      </c>
      <c r="F227" s="17">
        <f>IFERROR(__xludf.DUMMYFUNCTION("GOOGLEFINANCE($A227,""high52"")"),14.34)</f>
        <v>14.34</v>
      </c>
      <c r="G227" s="16">
        <f t="shared" si="1"/>
        <v>-0.3131101813</v>
      </c>
      <c r="H227" s="40">
        <f>VLOOKUP($A227,'Dados StatusInvest'!$A:$AY,column(H227)-$A$5,0)*VLOOKUP($A227,'Dados StatusInvest'!$A:$AY,2,0)/$E227/100</f>
        <v>0</v>
      </c>
      <c r="I227" s="41">
        <f>VLOOKUP($A227,'Dados StatusInvest'!$A:$AY,column(I227)-$A$5,0)/VLOOKUP($A227,'Dados StatusInvest'!$A:$AY,2,0)*$E227</f>
        <v>167.0639101</v>
      </c>
      <c r="J227" s="41">
        <f>VLOOKUP($A227,'Dados StatusInvest'!$A:$AY,column(J227)-$A$5,0)/VLOOKUP($A227,'Dados StatusInvest'!$A:$AY,2,0)*$E227</f>
        <v>32.06429254</v>
      </c>
      <c r="K227" s="42">
        <f>VLOOKUP($A227,'Dados StatusInvest'!$A:$AY,column(K227)-$A$5,0)/VLOOKUP($A227,'Dados StatusInvest'!$A:$AY,2,0)*$E227</f>
        <v>2.900382409</v>
      </c>
      <c r="L227" s="43">
        <f>VLOOKUP($A227,'Dados StatusInvest'!$A:$AY,column(L227)-$A$5,0)/100</f>
        <v>0.4411</v>
      </c>
      <c r="M227" s="44">
        <f>VLOOKUP($A227,'Dados StatusInvest'!$A:$AY,column(M227)-$A$5,0)</f>
        <v>13.49</v>
      </c>
      <c r="N227" s="44">
        <f>VLOOKUP($A227,'Dados StatusInvest'!$A:$AY,column(N227)-$A$5,0)</f>
        <v>9.72</v>
      </c>
      <c r="O227" s="41">
        <f>VLOOKUP($A227,'Dados StatusInvest'!$A:$AY,column(O227)-$A$5,0)/VLOOKUP($A227,'Dados StatusInvest'!$A:$AY,2,0)*$E227</f>
        <v>120.3470363</v>
      </c>
      <c r="P227" s="41">
        <f>VLOOKUP($A227,'Dados StatusInvest'!$A:$AY,column(P227)-$A$5,0)-VLOOKUP($A227,'Dados StatusInvest'!$A:$AY,column(P227)-$A$5-1,0)+O227</f>
        <v>141.2370363</v>
      </c>
      <c r="Q227" s="44">
        <f>VLOOKUP($A227,'Dados StatusInvest'!$A:$AY,column(Q227)-$A$5,0)</f>
        <v>21.13</v>
      </c>
      <c r="R227" s="44">
        <f>VLOOKUP($A227,'Dados StatusInvest'!$A:$AY,column(R227)-$A$5,0)</f>
        <v>5.63</v>
      </c>
      <c r="S227" s="41">
        <f>VLOOKUP($A227,'Dados StatusInvest'!$A:$AY,column(S227)-$A$5,0)/VLOOKUP($A227,'Dados StatusInvest'!$A:$AY,2,0)*$E227</f>
        <v>16.23460803</v>
      </c>
      <c r="T227" s="42">
        <f>VLOOKUP($A227,'Dados StatusInvest'!$A:$AY,column(T227)-$A$5,0)/VLOOKUP($A227,'Dados StatusInvest'!$A:$AY,2,0)*$E227</f>
        <v>-128.7468451</v>
      </c>
      <c r="U227" s="44">
        <f>VLOOKUP($A227,'Dados StatusInvest'!$A:$AY,column(U227)-$A$5,0)</f>
        <v>-4.41</v>
      </c>
      <c r="V227" s="45">
        <f>VLOOKUP($A227,'Dados StatusInvest'!$A:$AY,column(V227)-$A$5,0)</f>
        <v>0.93</v>
      </c>
      <c r="W227" s="45">
        <f>VLOOKUP($A227,'Dados StatusInvest'!$A:$AY,column(W227)-$A$5,0)</f>
        <v>19.19</v>
      </c>
      <c r="X227" s="45">
        <f>VLOOKUP($A227,'Dados StatusInvest'!$A:$AY,column(X227)-$A$5,0)</f>
        <v>1.73</v>
      </c>
      <c r="Y227" s="45">
        <f>VLOOKUP($A227,'Dados StatusInvest'!$A:$AY,column(Y227)-$A$5,0)</f>
        <v>2.63</v>
      </c>
      <c r="Z227" s="44">
        <f>VLOOKUP($A227,'Dados StatusInvest'!$A:$AY,column(Z227)-$A$5,0)</f>
        <v>0.09</v>
      </c>
      <c r="AA227" s="44">
        <f>VLOOKUP($A227,'Dados StatusInvest'!$A:$AY,column(AA227)-$A$5,0)</f>
        <v>0.91</v>
      </c>
      <c r="AB227" s="44">
        <f>VLOOKUP($A227,'Dados StatusInvest'!$A:$AY,column(AB227)-$A$5,0)</f>
        <v>0.18</v>
      </c>
      <c r="AC227" s="44">
        <f>VLOOKUP($A227,'Dados StatusInvest'!$A:$AY,column(AC227)-$A$5,0)</f>
        <v>0</v>
      </c>
      <c r="AD227" s="45">
        <f>VLOOKUP($A227,'Dados StatusInvest'!$A:$AY,column(AD227)-$A$5,0)</f>
        <v>0</v>
      </c>
      <c r="AE227" s="46">
        <f>VLOOKUP($A227,'Dados StatusInvest'!$A:$AY,column(AE227)-$A$5,0)</f>
        <v>5107884.71</v>
      </c>
      <c r="AF227" s="49"/>
    </row>
    <row r="228">
      <c r="A228" s="10" t="s">
        <v>274</v>
      </c>
      <c r="B228" s="39" t="str">
        <f>VLOOKUP(lEFT($A228,4),Setor!$A:$E,3,0)</f>
        <v>Consumo Cíclico</v>
      </c>
      <c r="C228" s="39" t="str">
        <f>VLOOKUP(lEFT($A228,4),Setor!$A:$E,4,0)</f>
        <v>Tecidos, Vestuário e Calçados</v>
      </c>
      <c r="D228" s="39" t="str">
        <f>VLOOKUP(lEFT($A228,4),Setor!$A:$E,5,0)</f>
        <v>Calçados</v>
      </c>
      <c r="E228" s="17">
        <f>IFERROR(__xludf.DUMMYFUNCTION("GOOGLEFINANCE(A228)"),9.7)</f>
        <v>9.7</v>
      </c>
      <c r="F228" s="17">
        <f>IFERROR(__xludf.DUMMYFUNCTION("GOOGLEFINANCE($A228,""high52"")"),11.08)</f>
        <v>11.08</v>
      </c>
      <c r="G228" s="16">
        <f t="shared" si="1"/>
        <v>-0.1245487365</v>
      </c>
      <c r="H228" s="40">
        <f>VLOOKUP($A228,'Dados StatusInvest'!$A:$AY,column(H228)-$A$5,0)*VLOOKUP($A228,'Dados StatusInvest'!$A:$AY,2,0)/$E228/100</f>
        <v>0</v>
      </c>
      <c r="I228" s="41">
        <f>VLOOKUP($A228,'Dados StatusInvest'!$A:$AY,column(I228)-$A$5,0)/VLOOKUP($A228,'Dados StatusInvest'!$A:$AY,2,0)*$E228</f>
        <v>11.70203488</v>
      </c>
      <c r="J228" s="41">
        <f>VLOOKUP($A228,'Dados StatusInvest'!$A:$AY,column(J228)-$A$5,0)/VLOOKUP($A228,'Dados StatusInvest'!$A:$AY,2,0)*$E228</f>
        <v>1.93624031</v>
      </c>
      <c r="K228" s="42">
        <f>VLOOKUP($A228,'Dados StatusInvest'!$A:$AY,column(K228)-$A$5,0)/VLOOKUP($A228,'Dados StatusInvest'!$A:$AY,2,0)*$E228</f>
        <v>1.250096899</v>
      </c>
      <c r="L228" s="43">
        <f>VLOOKUP($A228,'Dados StatusInvest'!$A:$AY,column(L228)-$A$5,0)/100</f>
        <v>0.3136</v>
      </c>
      <c r="M228" s="44">
        <f>VLOOKUP($A228,'Dados StatusInvest'!$A:$AY,column(M228)-$A$5,0)</f>
        <v>13.55</v>
      </c>
      <c r="N228" s="44">
        <f>VLOOKUP($A228,'Dados StatusInvest'!$A:$AY,column(N228)-$A$5,0)</f>
        <v>13.14</v>
      </c>
      <c r="O228" s="41">
        <f>VLOOKUP($A228,'Dados StatusInvest'!$A:$AY,column(O228)-$A$5,0)/VLOOKUP($A228,'Dados StatusInvest'!$A:$AY,2,0)*$E228</f>
        <v>11.35426357</v>
      </c>
      <c r="P228" s="41">
        <f>VLOOKUP($A228,'Dados StatusInvest'!$A:$AY,column(P228)-$A$5,0)-VLOOKUP($A228,'Dados StatusInvest'!$A:$AY,column(P228)-$A$5-1,0)+O228</f>
        <v>12.38426357</v>
      </c>
      <c r="Q228" s="44">
        <f>VLOOKUP($A228,'Dados StatusInvest'!$A:$AY,column(Q228)-$A$5,0)</f>
        <v>1.01</v>
      </c>
      <c r="R228" s="44">
        <f>VLOOKUP($A228,'Dados StatusInvest'!$A:$AY,column(R228)-$A$5,0)</f>
        <v>0.17</v>
      </c>
      <c r="S228" s="41">
        <f>VLOOKUP($A228,'Dados StatusInvest'!$A:$AY,column(S228)-$A$5,0)/VLOOKUP($A228,'Dados StatusInvest'!$A:$AY,2,0)*$E228</f>
        <v>1.541472868</v>
      </c>
      <c r="T228" s="42">
        <f>VLOOKUP($A228,'Dados StatusInvest'!$A:$AY,column(T228)-$A$5,0)/VLOOKUP($A228,'Dados StatusInvest'!$A:$AY,2,0)*$E228</f>
        <v>3.054748062</v>
      </c>
      <c r="U228" s="44">
        <f>VLOOKUP($A228,'Dados StatusInvest'!$A:$AY,column(U228)-$A$5,0)</f>
        <v>-4.16</v>
      </c>
      <c r="V228" s="45">
        <f>VLOOKUP($A228,'Dados StatusInvest'!$A:$AY,column(V228)-$A$5,0)</f>
        <v>2.53</v>
      </c>
      <c r="W228" s="45">
        <f>VLOOKUP($A228,'Dados StatusInvest'!$A:$AY,column(W228)-$A$5,0)</f>
        <v>16.56</v>
      </c>
      <c r="X228" s="45">
        <f>VLOOKUP($A228,'Dados StatusInvest'!$A:$AY,column(X228)-$A$5,0)</f>
        <v>10.71</v>
      </c>
      <c r="Y228" s="45">
        <f>VLOOKUP($A228,'Dados StatusInvest'!$A:$AY,column(Y228)-$A$5,0)</f>
        <v>12.15</v>
      </c>
      <c r="Z228" s="44">
        <f>VLOOKUP($A228,'Dados StatusInvest'!$A:$AY,column(Z228)-$A$5,0)</f>
        <v>0.65</v>
      </c>
      <c r="AA228" s="44">
        <f>VLOOKUP($A228,'Dados StatusInvest'!$A:$AY,column(AA228)-$A$5,0)</f>
        <v>0.35</v>
      </c>
      <c r="AB228" s="44">
        <f>VLOOKUP($A228,'Dados StatusInvest'!$A:$AY,column(AB228)-$A$5,0)</f>
        <v>0.81</v>
      </c>
      <c r="AC228" s="44">
        <f>VLOOKUP($A228,'Dados StatusInvest'!$A:$AY,column(AC228)-$A$5,0)</f>
        <v>4.07</v>
      </c>
      <c r="AD228" s="45">
        <f>VLOOKUP($A228,'Dados StatusInvest'!$A:$AY,column(AD228)-$A$5,0)</f>
        <v>0</v>
      </c>
      <c r="AE228" s="46">
        <f>VLOOKUP($A228,'Dados StatusInvest'!$A:$AY,column(AE228)-$A$5,0)</f>
        <v>9785771.33</v>
      </c>
      <c r="AF228" s="18"/>
    </row>
    <row r="229">
      <c r="A229" s="10" t="s">
        <v>275</v>
      </c>
      <c r="B229" s="39" t="str">
        <f>VLOOKUP(lEFT($A229,4),Setor!$A:$E,3,0)</f>
        <v>#N/A</v>
      </c>
      <c r="C229" s="39" t="str">
        <f>VLOOKUP(lEFT($A229,4),Setor!$A:$E,4,0)</f>
        <v>#N/A</v>
      </c>
      <c r="D229" s="39" t="str">
        <f>VLOOKUP(lEFT($A229,4),Setor!$A:$E,5,0)</f>
        <v>#N/A</v>
      </c>
      <c r="E229" s="17">
        <f>IFERROR(__xludf.DUMMYFUNCTION("GOOGLEFINANCE(A229)"),6.6)</f>
        <v>6.6</v>
      </c>
      <c r="F229" s="17">
        <f>IFERROR(__xludf.DUMMYFUNCTION("GOOGLEFINANCE($A229,""high52"")"),9.45)</f>
        <v>9.45</v>
      </c>
      <c r="G229" s="16">
        <f t="shared" si="1"/>
        <v>-0.3015873016</v>
      </c>
      <c r="H229" s="40">
        <f>VLOOKUP($A229,'Dados StatusInvest'!$A:$AY,column(H229)-$A$5,0)*VLOOKUP($A229,'Dados StatusInvest'!$A:$AY,2,0)/$E229/100</f>
        <v>0</v>
      </c>
      <c r="I229" s="41">
        <f>VLOOKUP($A229,'Dados StatusInvest'!$A:$AY,column(I229)-$A$5,0)/VLOOKUP($A229,'Dados StatusInvest'!$A:$AY,2,0)*$E229</f>
        <v>86.93728814</v>
      </c>
      <c r="J229" s="41">
        <f>VLOOKUP($A229,'Dados StatusInvest'!$A:$AY,column(J229)-$A$5,0)/VLOOKUP($A229,'Dados StatusInvest'!$A:$AY,2,0)*$E229</f>
        <v>19.24067797</v>
      </c>
      <c r="K229" s="42">
        <f>VLOOKUP($A229,'Dados StatusInvest'!$A:$AY,column(K229)-$A$5,0)/VLOOKUP($A229,'Dados StatusInvest'!$A:$AY,2,0)*$E229</f>
        <v>3.63559322</v>
      </c>
      <c r="L229" s="43">
        <f>VLOOKUP($A229,'Dados StatusInvest'!$A:$AY,column(L229)-$A$5,0)/100</f>
        <v>0.5039</v>
      </c>
      <c r="M229" s="44">
        <f>VLOOKUP($A229,'Dados StatusInvest'!$A:$AY,column(M229)-$A$5,0)</f>
        <v>30.83</v>
      </c>
      <c r="N229" s="44">
        <f>VLOOKUP($A229,'Dados StatusInvest'!$A:$AY,column(N229)-$A$5,0)</f>
        <v>15.88</v>
      </c>
      <c r="O229" s="41">
        <f>VLOOKUP($A229,'Dados StatusInvest'!$A:$AY,column(O229)-$A$5,0)/VLOOKUP($A229,'Dados StatusInvest'!$A:$AY,2,0)*$E229</f>
        <v>44.80169492</v>
      </c>
      <c r="P229" s="41">
        <f>VLOOKUP($A229,'Dados StatusInvest'!$A:$AY,column(P229)-$A$5,0)-VLOOKUP($A229,'Dados StatusInvest'!$A:$AY,column(P229)-$A$5-1,0)+O229</f>
        <v>49.08169492</v>
      </c>
      <c r="Q229" s="44">
        <f>VLOOKUP($A229,'Dados StatusInvest'!$A:$AY,column(Q229)-$A$5,0)</f>
        <v>4.14</v>
      </c>
      <c r="R229" s="44">
        <f>VLOOKUP($A229,'Dados StatusInvest'!$A:$AY,column(R229)-$A$5,0)</f>
        <v>1.78</v>
      </c>
      <c r="S229" s="41">
        <f>VLOOKUP($A229,'Dados StatusInvest'!$A:$AY,column(S229)-$A$5,0)/VLOOKUP($A229,'Dados StatusInvest'!$A:$AY,2,0)*$E229</f>
        <v>13.8059322</v>
      </c>
      <c r="T229" s="42">
        <f>VLOOKUP($A229,'Dados StatusInvest'!$A:$AY,column(T229)-$A$5,0)/VLOOKUP($A229,'Dados StatusInvest'!$A:$AY,2,0)*$E229</f>
        <v>-105.2737288</v>
      </c>
      <c r="U229" s="44">
        <f>VLOOKUP($A229,'Dados StatusInvest'!$A:$AY,column(U229)-$A$5,0)</f>
        <v>-5.2</v>
      </c>
      <c r="V229" s="45">
        <f>VLOOKUP($A229,'Dados StatusInvest'!$A:$AY,column(V229)-$A$5,0)</f>
        <v>0.88</v>
      </c>
      <c r="W229" s="45">
        <f>VLOOKUP($A229,'Dados StatusInvest'!$A:$AY,column(W229)-$A$5,0)</f>
        <v>22.13</v>
      </c>
      <c r="X229" s="45">
        <f>VLOOKUP($A229,'Dados StatusInvest'!$A:$AY,column(X229)-$A$5,0)</f>
        <v>4.19</v>
      </c>
      <c r="Y229" s="45">
        <f>VLOOKUP($A229,'Dados StatusInvest'!$A:$AY,column(Y229)-$A$5,0)</f>
        <v>9.01</v>
      </c>
      <c r="Z229" s="44">
        <f>VLOOKUP($A229,'Dados StatusInvest'!$A:$AY,column(Z229)-$A$5,0)</f>
        <v>0.19</v>
      </c>
      <c r="AA229" s="44">
        <f>VLOOKUP($A229,'Dados StatusInvest'!$A:$AY,column(AA229)-$A$5,0)</f>
        <v>0.81</v>
      </c>
      <c r="AB229" s="44">
        <f>VLOOKUP($A229,'Dados StatusInvest'!$A:$AY,column(AB229)-$A$5,0)</f>
        <v>0.26</v>
      </c>
      <c r="AC229" s="44">
        <f>VLOOKUP($A229,'Dados StatusInvest'!$A:$AY,column(AC229)-$A$5,0)</f>
        <v>0</v>
      </c>
      <c r="AD229" s="45">
        <f>VLOOKUP($A229,'Dados StatusInvest'!$A:$AY,column(AD229)-$A$5,0)</f>
        <v>0</v>
      </c>
      <c r="AE229" s="46">
        <f>VLOOKUP($A229,'Dados StatusInvest'!$A:$AY,column(AE229)-$A$5,0)</f>
        <v>5410776.25</v>
      </c>
      <c r="AF229" s="49"/>
    </row>
    <row r="230">
      <c r="A230" s="10" t="s">
        <v>276</v>
      </c>
      <c r="B230" s="39" t="str">
        <f>VLOOKUP(lEFT($A230,4),Setor!$A:$E,3,0)</f>
        <v>#N/A</v>
      </c>
      <c r="C230" s="39" t="str">
        <f>VLOOKUP(lEFT($A230,4),Setor!$A:$E,4,0)</f>
        <v>#N/A</v>
      </c>
      <c r="D230" s="39" t="str">
        <f>VLOOKUP(lEFT($A230,4),Setor!$A:$E,5,0)</f>
        <v>#N/A</v>
      </c>
      <c r="E230" s="17">
        <f>IFERROR(__xludf.DUMMYFUNCTION("GOOGLEFINANCE(A230)"),9.53)</f>
        <v>9.53</v>
      </c>
      <c r="F230" s="17">
        <f>IFERROR(__xludf.DUMMYFUNCTION("GOOGLEFINANCE($A230,""high52"")"),10.92)</f>
        <v>10.92</v>
      </c>
      <c r="G230" s="16">
        <f t="shared" si="1"/>
        <v>-0.1272893773</v>
      </c>
      <c r="H230" s="40">
        <f>VLOOKUP($A230,'Dados StatusInvest'!$A:$AY,column(H230)-$A$5,0)*VLOOKUP($A230,'Dados StatusInvest'!$A:$AY,2,0)/$E230/100</f>
        <v>0.01457250787</v>
      </c>
      <c r="I230" s="41">
        <f>VLOOKUP($A230,'Dados StatusInvest'!$A:$AY,column(I230)-$A$5,0)/VLOOKUP($A230,'Dados StatusInvest'!$A:$AY,2,0)*$E230</f>
        <v>8.477607362</v>
      </c>
      <c r="J230" s="41">
        <f>VLOOKUP($A230,'Dados StatusInvest'!$A:$AY,column(J230)-$A$5,0)/VLOOKUP($A230,'Dados StatusInvest'!$A:$AY,2,0)*$E230</f>
        <v>2.475071575</v>
      </c>
      <c r="K230" s="42">
        <f>VLOOKUP($A230,'Dados StatusInvest'!$A:$AY,column(K230)-$A$5,0)/VLOOKUP($A230,'Dados StatusInvest'!$A:$AY,2,0)*$E230</f>
        <v>0.8087832311</v>
      </c>
      <c r="L230" s="43">
        <f>VLOOKUP($A230,'Dados StatusInvest'!$A:$AY,column(L230)-$A$5,0)/100</f>
        <v>0.563</v>
      </c>
      <c r="M230" s="44">
        <f>VLOOKUP($A230,'Dados StatusInvest'!$A:$AY,column(M230)-$A$5,0)</f>
        <v>48.52</v>
      </c>
      <c r="N230" s="44">
        <f>VLOOKUP($A230,'Dados StatusInvest'!$A:$AY,column(N230)-$A$5,0)</f>
        <v>19.36</v>
      </c>
      <c r="O230" s="41">
        <f>VLOOKUP($A230,'Dados StatusInvest'!$A:$AY,column(O230)-$A$5,0)/VLOOKUP($A230,'Dados StatusInvest'!$A:$AY,2,0)*$E230</f>
        <v>3.381298569</v>
      </c>
      <c r="P230" s="41">
        <f>VLOOKUP($A230,'Dados StatusInvest'!$A:$AY,column(P230)-$A$5,0)-VLOOKUP($A230,'Dados StatusInvest'!$A:$AY,column(P230)-$A$5-1,0)+O230</f>
        <v>4.251298569</v>
      </c>
      <c r="Q230" s="44">
        <f>VLOOKUP($A230,'Dados StatusInvest'!$A:$AY,column(Q230)-$A$5,0)</f>
        <v>0.85</v>
      </c>
      <c r="R230" s="44">
        <f>VLOOKUP($A230,'Dados StatusInvest'!$A:$AY,column(R230)-$A$5,0)</f>
        <v>0.62</v>
      </c>
      <c r="S230" s="41">
        <f>VLOOKUP($A230,'Dados StatusInvest'!$A:$AY,column(S230)-$A$5,0)/VLOOKUP($A230,'Dados StatusInvest'!$A:$AY,2,0)*$E230</f>
        <v>1.646799591</v>
      </c>
      <c r="T230" s="42">
        <f>VLOOKUP($A230,'Dados StatusInvest'!$A:$AY,column(T230)-$A$5,0)/VLOOKUP($A230,'Dados StatusInvest'!$A:$AY,2,0)*$E230</f>
        <v>2.59200409</v>
      </c>
      <c r="U230" s="44">
        <f>VLOOKUP($A230,'Dados StatusInvest'!$A:$AY,column(U230)-$A$5,0)</f>
        <v>-1.7</v>
      </c>
      <c r="V230" s="45">
        <f>VLOOKUP($A230,'Dados StatusInvest'!$A:$AY,column(V230)-$A$5,0)</f>
        <v>2.58</v>
      </c>
      <c r="W230" s="45">
        <f>VLOOKUP($A230,'Dados StatusInvest'!$A:$AY,column(W230)-$A$5,0)</f>
        <v>29.15</v>
      </c>
      <c r="X230" s="45">
        <f>VLOOKUP($A230,'Dados StatusInvest'!$A:$AY,column(X230)-$A$5,0)</f>
        <v>9.57</v>
      </c>
      <c r="Y230" s="45">
        <f>VLOOKUP($A230,'Dados StatusInvest'!$A:$AY,column(Y230)-$A$5,0)</f>
        <v>22.85</v>
      </c>
      <c r="Z230" s="44">
        <f>VLOOKUP($A230,'Dados StatusInvest'!$A:$AY,column(Z230)-$A$5,0)</f>
        <v>0.33</v>
      </c>
      <c r="AA230" s="44">
        <f>VLOOKUP($A230,'Dados StatusInvest'!$A:$AY,column(AA230)-$A$5,0)</f>
        <v>0.67</v>
      </c>
      <c r="AB230" s="44">
        <f>VLOOKUP($A230,'Dados StatusInvest'!$A:$AY,column(AB230)-$A$5,0)</f>
        <v>0.49</v>
      </c>
      <c r="AC230" s="44">
        <f>VLOOKUP($A230,'Dados StatusInvest'!$A:$AY,column(AC230)-$A$5,0)</f>
        <v>0</v>
      </c>
      <c r="AD230" s="45">
        <f>VLOOKUP($A230,'Dados StatusInvest'!$A:$AY,column(AD230)-$A$5,0)</f>
        <v>0</v>
      </c>
      <c r="AE230" s="46">
        <f>VLOOKUP($A230,'Dados StatusInvest'!$A:$AY,column(AE230)-$A$5,0)</f>
        <v>6093710.08</v>
      </c>
      <c r="AF230" s="50"/>
    </row>
    <row r="231">
      <c r="A231" s="10" t="s">
        <v>277</v>
      </c>
      <c r="B231" s="39" t="str">
        <f>VLOOKUP(lEFT($A231,4),Setor!$A:$E,3,0)</f>
        <v>Materiais Básicos</v>
      </c>
      <c r="C231" s="39" t="str">
        <f>VLOOKUP(lEFT($A231,4),Setor!$A:$E,4,0)</f>
        <v>Mineração</v>
      </c>
      <c r="D231" s="39" t="str">
        <f>VLOOKUP(lEFT($A231,4),Setor!$A:$E,5,0)</f>
        <v>Minerais Metálicos</v>
      </c>
      <c r="E231" s="17">
        <f>IFERROR(__xludf.DUMMYFUNCTION("GOOGLEFINANCE(A231)"),14.0)</f>
        <v>14</v>
      </c>
      <c r="F231" s="17">
        <f>IFERROR(__xludf.DUMMYFUNCTION("GOOGLEFINANCE($A231,""high52"")"),58.45)</f>
        <v>58.45</v>
      </c>
      <c r="G231" s="16">
        <f t="shared" si="1"/>
        <v>-0.7604790419</v>
      </c>
      <c r="H231" s="40">
        <f>VLOOKUP($A231,'Dados StatusInvest'!$A:$AY,column(H231)-$A$5,0)*VLOOKUP($A231,'Dados StatusInvest'!$A:$AY,2,0)/$E231/100</f>
        <v>0</v>
      </c>
      <c r="I231" s="41">
        <f>VLOOKUP($A231,'Dados StatusInvest'!$A:$AY,column(I231)-$A$5,0)/VLOOKUP($A231,'Dados StatusInvest'!$A:$AY,2,0)*$E231</f>
        <v>-2.17</v>
      </c>
      <c r="J231" s="41">
        <f>VLOOKUP($A231,'Dados StatusInvest'!$A:$AY,column(J231)-$A$5,0)/VLOOKUP($A231,'Dados StatusInvest'!$A:$AY,2,0)*$E231</f>
        <v>-0.11</v>
      </c>
      <c r="K231" s="42">
        <f>VLOOKUP($A231,'Dados StatusInvest'!$A:$AY,column(K231)-$A$5,0)/VLOOKUP($A231,'Dados StatusInvest'!$A:$AY,2,0)*$E231</f>
        <v>0.71</v>
      </c>
      <c r="L231" s="43">
        <f>VLOOKUP($A231,'Dados StatusInvest'!$A:$AY,column(L231)-$A$5,0)/100</f>
        <v>0</v>
      </c>
      <c r="M231" s="44">
        <f>VLOOKUP($A231,'Dados StatusInvest'!$A:$AY,column(M231)-$A$5,0)</f>
        <v>0</v>
      </c>
      <c r="N231" s="44">
        <f>VLOOKUP($A231,'Dados StatusInvest'!$A:$AY,column(N231)-$A$5,0)</f>
        <v>0</v>
      </c>
      <c r="O231" s="41">
        <f>VLOOKUP($A231,'Dados StatusInvest'!$A:$AY,column(O231)-$A$5,0)/VLOOKUP($A231,'Dados StatusInvest'!$A:$AY,2,0)*$E231</f>
        <v>-181.31</v>
      </c>
      <c r="P231" s="41">
        <f>VLOOKUP($A231,'Dados StatusInvest'!$A:$AY,column(P231)-$A$5,0)-VLOOKUP($A231,'Dados StatusInvest'!$A:$AY,column(P231)-$A$5-1,0)+O231</f>
        <v>-719.57</v>
      </c>
      <c r="Q231" s="44">
        <f>VLOOKUP($A231,'Dados StatusInvest'!$A:$AY,column(Q231)-$A$5,0)</f>
        <v>-538.27</v>
      </c>
      <c r="R231" s="44">
        <f>VLOOKUP($A231,'Dados StatusInvest'!$A:$AY,column(R231)-$A$5,0)</f>
        <v>0</v>
      </c>
      <c r="S231" s="41">
        <f>VLOOKUP($A231,'Dados StatusInvest'!$A:$AY,column(S231)-$A$5,0)/VLOOKUP($A231,'Dados StatusInvest'!$A:$AY,2,0)*$E231</f>
        <v>0</v>
      </c>
      <c r="T231" s="42">
        <f>VLOOKUP($A231,'Dados StatusInvest'!$A:$AY,column(T231)-$A$5,0)/VLOOKUP($A231,'Dados StatusInvest'!$A:$AY,2,0)*$E231</f>
        <v>-0.1</v>
      </c>
      <c r="U231" s="44">
        <f>VLOOKUP($A231,'Dados StatusInvest'!$A:$AY,column(U231)-$A$5,0)</f>
        <v>-0.75</v>
      </c>
      <c r="V231" s="45">
        <f>VLOOKUP($A231,'Dados StatusInvest'!$A:$AY,column(V231)-$A$5,0)</f>
        <v>0.01</v>
      </c>
      <c r="W231" s="45">
        <f>VLOOKUP($A231,'Dados StatusInvest'!$A:$AY,column(W231)-$A$5,0)</f>
        <v>-4.97</v>
      </c>
      <c r="X231" s="45">
        <f>VLOOKUP($A231,'Dados StatusInvest'!$A:$AY,column(X231)-$A$5,0)</f>
        <v>-32.75</v>
      </c>
      <c r="Y231" s="45">
        <f>VLOOKUP($A231,'Dados StatusInvest'!$A:$AY,column(Y231)-$A$5,0)</f>
        <v>0.28</v>
      </c>
      <c r="Z231" s="44">
        <f>VLOOKUP($A231,'Dados StatusInvest'!$A:$AY,column(Z231)-$A$5,0)</f>
        <v>-6.58</v>
      </c>
      <c r="AA231" s="44">
        <f>VLOOKUP($A231,'Dados StatusInvest'!$A:$AY,column(AA231)-$A$5,0)</f>
        <v>7.6</v>
      </c>
      <c r="AB231" s="44">
        <f>VLOOKUP($A231,'Dados StatusInvest'!$A:$AY,column(AB231)-$A$5,0)</f>
        <v>0</v>
      </c>
      <c r="AC231" s="44">
        <f>VLOOKUP($A231,'Dados StatusInvest'!$A:$AY,column(AC231)-$A$5,0)</f>
        <v>-6.95</v>
      </c>
      <c r="AD231" s="45">
        <f>VLOOKUP($A231,'Dados StatusInvest'!$A:$AY,column(AD231)-$A$5,0)</f>
        <v>0</v>
      </c>
      <c r="AE231" s="46">
        <f>VLOOKUP($A231,'Dados StatusInvest'!$A:$AY,column(AE231)-$A$5,0)</f>
        <v>6294058.38</v>
      </c>
      <c r="AF231" s="51"/>
    </row>
    <row r="232">
      <c r="A232" s="10" t="s">
        <v>278</v>
      </c>
      <c r="B232" s="39" t="str">
        <f>VLOOKUP(lEFT($A232,4),Setor!$A:$E,3,0)</f>
        <v>Financeiro</v>
      </c>
      <c r="C232" s="39" t="str">
        <f>VLOOKUP(lEFT($A232,4),Setor!$A:$E,4,0)</f>
        <v>Intermediários Financeiros</v>
      </c>
      <c r="D232" s="39" t="str">
        <f>VLOOKUP(lEFT($A232,4),Setor!$A:$E,5,0)</f>
        <v>Bancos</v>
      </c>
      <c r="E232" s="17">
        <f>IFERROR(__xludf.DUMMYFUNCTION("GOOGLEFINANCE(A232)"),3.72)</f>
        <v>3.72</v>
      </c>
      <c r="F232" s="17">
        <f>IFERROR(__xludf.DUMMYFUNCTION("GOOGLEFINANCE($A232,""high52"")"),6.27)</f>
        <v>6.27</v>
      </c>
      <c r="G232" s="16">
        <f t="shared" si="1"/>
        <v>-0.4066985646</v>
      </c>
      <c r="H232" s="40">
        <f>VLOOKUP($A232,'Dados StatusInvest'!$A:$AY,column(H232)-$A$5,0)*VLOOKUP($A232,'Dados StatusInvest'!$A:$AY,2,0)/$E232/100</f>
        <v>0.04801075269</v>
      </c>
      <c r="I232" s="41">
        <f>VLOOKUP($A232,'Dados StatusInvest'!$A:$AY,column(I232)-$A$5,0)/VLOOKUP($A232,'Dados StatusInvest'!$A:$AY,2,0)*$E232</f>
        <v>6.905744681</v>
      </c>
      <c r="J232" s="41">
        <f>VLOOKUP($A232,'Dados StatusInvest'!$A:$AY,column(J232)-$A$5,0)/VLOOKUP($A232,'Dados StatusInvest'!$A:$AY,2,0)*$E232</f>
        <v>0.5342553191</v>
      </c>
      <c r="K232" s="42">
        <f>VLOOKUP($A232,'Dados StatusInvest'!$A:$AY,column(K232)-$A$5,0)/VLOOKUP($A232,'Dados StatusInvest'!$A:$AY,2,0)*$E232</f>
        <v>0.06925531915</v>
      </c>
      <c r="L232" s="43">
        <f>VLOOKUP($A232,'Dados StatusInvest'!$A:$AY,column(L232)-$A$5,0)/100</f>
        <v>0.7049</v>
      </c>
      <c r="M232" s="44">
        <f>VLOOKUP($A232,'Dados StatusInvest'!$A:$AY,column(M232)-$A$5,0)</f>
        <v>6.55</v>
      </c>
      <c r="N232" s="44">
        <f>VLOOKUP($A232,'Dados StatusInvest'!$A:$AY,column(N232)-$A$5,0)</f>
        <v>7.44</v>
      </c>
      <c r="O232" s="41">
        <f>VLOOKUP($A232,'Dados StatusInvest'!$A:$AY,column(O232)-$A$5,0)/VLOOKUP($A232,'Dados StatusInvest'!$A:$AY,2,0)*$E232</f>
        <v>7.845638298</v>
      </c>
      <c r="P232" s="41">
        <f>VLOOKUP($A232,'Dados StatusInvest'!$A:$AY,column(P232)-$A$5,0)-VLOOKUP($A232,'Dados StatusInvest'!$A:$AY,column(P232)-$A$5-1,0)+O232</f>
        <v>7.905638298</v>
      </c>
      <c r="Q232" s="44">
        <f>VLOOKUP($A232,'Dados StatusInvest'!$A:$AY,column(Q232)-$A$5,0)</f>
        <v>0</v>
      </c>
      <c r="R232" s="44">
        <f>VLOOKUP($A232,'Dados StatusInvest'!$A:$AY,column(R232)-$A$5,0)</f>
        <v>0</v>
      </c>
      <c r="S232" s="41">
        <f>VLOOKUP($A232,'Dados StatusInvest'!$A:$AY,column(S232)-$A$5,0)/VLOOKUP($A232,'Dados StatusInvest'!$A:$AY,2,0)*$E232</f>
        <v>0.5144680851</v>
      </c>
      <c r="T232" s="42">
        <f>VLOOKUP($A232,'Dados StatusInvest'!$A:$AY,column(T232)-$A$5,0)/VLOOKUP($A232,'Dados StatusInvest'!$A:$AY,2,0)*$E232</f>
        <v>0</v>
      </c>
      <c r="U232" s="44">
        <f>VLOOKUP($A232,'Dados StatusInvest'!$A:$AY,column(U232)-$A$5,0)</f>
        <v>-0.07</v>
      </c>
      <c r="V232" s="45">
        <f>VLOOKUP($A232,'Dados StatusInvest'!$A:$AY,column(V232)-$A$5,0)</f>
        <v>0</v>
      </c>
      <c r="W232" s="45">
        <f>VLOOKUP($A232,'Dados StatusInvest'!$A:$AY,column(W232)-$A$5,0)</f>
        <v>7.75</v>
      </c>
      <c r="X232" s="45">
        <f>VLOOKUP($A232,'Dados StatusInvest'!$A:$AY,column(X232)-$A$5,0)</f>
        <v>1.01</v>
      </c>
      <c r="Y232" s="45">
        <f>VLOOKUP($A232,'Dados StatusInvest'!$A:$AY,column(Y232)-$A$5,0)</f>
        <v>0</v>
      </c>
      <c r="Z232" s="44">
        <f>VLOOKUP($A232,'Dados StatusInvest'!$A:$AY,column(Z232)-$A$5,0)</f>
        <v>0.13</v>
      </c>
      <c r="AA232" s="44">
        <f>VLOOKUP($A232,'Dados StatusInvest'!$A:$AY,column(AA232)-$A$5,0)</f>
        <v>0.87</v>
      </c>
      <c r="AB232" s="44">
        <f>VLOOKUP($A232,'Dados StatusInvest'!$A:$AY,column(AB232)-$A$5,0)</f>
        <v>0.14</v>
      </c>
      <c r="AC232" s="44">
        <f>VLOOKUP($A232,'Dados StatusInvest'!$A:$AY,column(AC232)-$A$5,0)</f>
        <v>11.98</v>
      </c>
      <c r="AD232" s="45">
        <f>VLOOKUP($A232,'Dados StatusInvest'!$A:$AY,column(AD232)-$A$5,0)</f>
        <v>8.66</v>
      </c>
      <c r="AE232" s="46">
        <f>VLOOKUP($A232,'Dados StatusInvest'!$A:$AY,column(AE232)-$A$5,0)</f>
        <v>4188756.88</v>
      </c>
      <c r="AF232" s="49"/>
    </row>
    <row r="233">
      <c r="A233" s="10" t="s">
        <v>279</v>
      </c>
      <c r="B233" s="39" t="str">
        <f>VLOOKUP(lEFT($A233,4),Setor!$A:$E,3,0)</f>
        <v>#N/A</v>
      </c>
      <c r="C233" s="39" t="str">
        <f>VLOOKUP(lEFT($A233,4),Setor!$A:$E,4,0)</f>
        <v>#N/A</v>
      </c>
      <c r="D233" s="39" t="str">
        <f>VLOOKUP(lEFT($A233,4),Setor!$A:$E,5,0)</f>
        <v>#N/A</v>
      </c>
      <c r="E233" s="17">
        <f>IFERROR(__xludf.DUMMYFUNCTION("GOOGLEFINANCE(A233)"),8.85)</f>
        <v>8.85</v>
      </c>
      <c r="F233" s="17">
        <f>IFERROR(__xludf.DUMMYFUNCTION("GOOGLEFINANCE($A233,""high52"")"),13.38)</f>
        <v>13.38</v>
      </c>
      <c r="G233" s="16">
        <f t="shared" si="1"/>
        <v>-0.3385650224</v>
      </c>
      <c r="H233" s="40">
        <f>VLOOKUP($A233,'Dados StatusInvest'!$A:$AY,column(H233)-$A$5,0)*VLOOKUP($A233,'Dados StatusInvest'!$A:$AY,2,0)/$E233/100</f>
        <v>0.01518621469</v>
      </c>
      <c r="I233" s="41">
        <f>VLOOKUP($A233,'Dados StatusInvest'!$A:$AY,column(I233)-$A$5,0)/VLOOKUP($A233,'Dados StatusInvest'!$A:$AY,2,0)*$E233</f>
        <v>12.80404656</v>
      </c>
      <c r="J233" s="41">
        <f>VLOOKUP($A233,'Dados StatusInvest'!$A:$AY,column(J233)-$A$5,0)/VLOOKUP($A233,'Dados StatusInvest'!$A:$AY,2,0)*$E233</f>
        <v>1.972117517</v>
      </c>
      <c r="K233" s="42">
        <f>VLOOKUP($A233,'Dados StatusInvest'!$A:$AY,column(K233)-$A$5,0)/VLOOKUP($A233,'Dados StatusInvest'!$A:$AY,2,0)*$E233</f>
        <v>0.4317073171</v>
      </c>
      <c r="L233" s="43">
        <f>VLOOKUP($A233,'Dados StatusInvest'!$A:$AY,column(L233)-$A$5,0)/100</f>
        <v>-5.5167</v>
      </c>
      <c r="M233" s="44">
        <f>VLOOKUP($A233,'Dados StatusInvest'!$A:$AY,column(M233)-$A$5,0)</f>
        <v>309.99</v>
      </c>
      <c r="N233" s="44">
        <f>VLOOKUP($A233,'Dados StatusInvest'!$A:$AY,column(N233)-$A$5,0)</f>
        <v>306.17</v>
      </c>
      <c r="O233" s="41">
        <f>VLOOKUP($A233,'Dados StatusInvest'!$A:$AY,column(O233)-$A$5,0)/VLOOKUP($A233,'Dados StatusInvest'!$A:$AY,2,0)*$E233</f>
        <v>12.64706208</v>
      </c>
      <c r="P233" s="41">
        <f>VLOOKUP($A233,'Dados StatusInvest'!$A:$AY,column(P233)-$A$5,0)-VLOOKUP($A233,'Dados StatusInvest'!$A:$AY,column(P233)-$A$5-1,0)+O233</f>
        <v>24.31706208</v>
      </c>
      <c r="Q233" s="44">
        <f>VLOOKUP($A233,'Dados StatusInvest'!$A:$AY,column(Q233)-$A$5,0)</f>
        <v>11.59</v>
      </c>
      <c r="R233" s="44">
        <f>VLOOKUP($A233,'Dados StatusInvest'!$A:$AY,column(R233)-$A$5,0)</f>
        <v>1.8</v>
      </c>
      <c r="S233" s="41">
        <f>VLOOKUP($A233,'Dados StatusInvest'!$A:$AY,column(S233)-$A$5,0)/VLOOKUP($A233,'Dados StatusInvest'!$A:$AY,2,0)*$E233</f>
        <v>39.19706208</v>
      </c>
      <c r="T233" s="42">
        <f>VLOOKUP($A233,'Dados StatusInvest'!$A:$AY,column(T233)-$A$5,0)/VLOOKUP($A233,'Dados StatusInvest'!$A:$AY,2,0)*$E233</f>
        <v>2.178159645</v>
      </c>
      <c r="U233" s="44">
        <f>VLOOKUP($A233,'Dados StatusInvest'!$A:$AY,column(U233)-$A$5,0)</f>
        <v>-0.68</v>
      </c>
      <c r="V233" s="45">
        <f>VLOOKUP($A233,'Dados StatusInvest'!$A:$AY,column(V233)-$A$5,0)</f>
        <v>2.29</v>
      </c>
      <c r="W233" s="45">
        <f>VLOOKUP($A233,'Dados StatusInvest'!$A:$AY,column(W233)-$A$5,0)</f>
        <v>15.37</v>
      </c>
      <c r="X233" s="48">
        <f>VLOOKUP($A233,'Dados StatusInvest'!$A:$AY,column(X233)-$A$5,0)</f>
        <v>3.38</v>
      </c>
      <c r="Y233" s="45">
        <f>VLOOKUP($A233,'Dados StatusInvest'!$A:$AY,column(Y233)-$A$5,0)</f>
        <v>2.6</v>
      </c>
      <c r="Z233" s="44">
        <f>VLOOKUP($A233,'Dados StatusInvest'!$A:$AY,column(Z233)-$A$5,0)</f>
        <v>0.22</v>
      </c>
      <c r="AA233" s="44">
        <f>VLOOKUP($A233,'Dados StatusInvest'!$A:$AY,column(AA233)-$A$5,0)</f>
        <v>0.78</v>
      </c>
      <c r="AB233" s="44">
        <f>VLOOKUP($A233,'Dados StatusInvest'!$A:$AY,column(AB233)-$A$5,0)</f>
        <v>0.01</v>
      </c>
      <c r="AC233" s="44">
        <f>VLOOKUP($A233,'Dados StatusInvest'!$A:$AY,column(AC233)-$A$5,0)</f>
        <v>-13.95</v>
      </c>
      <c r="AD233" s="45">
        <f>VLOOKUP($A233,'Dados StatusInvest'!$A:$AY,column(AD233)-$A$5,0)</f>
        <v>32.86</v>
      </c>
      <c r="AE233" s="46">
        <f>VLOOKUP($A233,'Dados StatusInvest'!$A:$AY,column(AE233)-$A$5,0)</f>
        <v>5455403.75</v>
      </c>
      <c r="AF233" s="49"/>
    </row>
    <row r="234">
      <c r="A234" s="10" t="s">
        <v>280</v>
      </c>
      <c r="B234" s="39" t="str">
        <f>VLOOKUP(lEFT($A234,4),Setor!$A:$E,3,0)</f>
        <v>Materiais Básicos</v>
      </c>
      <c r="C234" s="39" t="str">
        <f>VLOOKUP(lEFT($A234,4),Setor!$A:$E,4,0)</f>
        <v>Siderurgia e Metalurgia</v>
      </c>
      <c r="D234" s="39" t="str">
        <f>VLOOKUP(lEFT($A234,4),Setor!$A:$E,5,0)</f>
        <v>Artefatos de Cobre</v>
      </c>
      <c r="E234" s="17">
        <f>IFERROR(__xludf.DUMMYFUNCTION("GOOGLEFINANCE(A234)"),10.78)</f>
        <v>10.78</v>
      </c>
      <c r="F234" s="17">
        <f>IFERROR(__xludf.DUMMYFUNCTION("GOOGLEFINANCE($A234,""high52"")"),24.4)</f>
        <v>24.4</v>
      </c>
      <c r="G234" s="16">
        <f t="shared" si="1"/>
        <v>-0.5581967213</v>
      </c>
      <c r="H234" s="40">
        <f>VLOOKUP($A234,'Dados StatusInvest'!$A:$AY,column(H234)-$A$5,0)*VLOOKUP($A234,'Dados StatusInvest'!$A:$AY,2,0)/$E234/100</f>
        <v>0</v>
      </c>
      <c r="I234" s="41">
        <f>VLOOKUP($A234,'Dados StatusInvest'!$A:$AY,column(I234)-$A$5,0)/VLOOKUP($A234,'Dados StatusInvest'!$A:$AY,2,0)*$E234</f>
        <v>-2.236598131</v>
      </c>
      <c r="J234" s="41">
        <f>VLOOKUP($A234,'Dados StatusInvest'!$A:$AY,column(J234)-$A$5,0)/VLOOKUP($A234,'Dados StatusInvest'!$A:$AY,2,0)*$E234</f>
        <v>-1.249271028</v>
      </c>
      <c r="K234" s="42">
        <f>VLOOKUP($A234,'Dados StatusInvest'!$A:$AY,column(K234)-$A$5,0)/VLOOKUP($A234,'Dados StatusInvest'!$A:$AY,2,0)*$E234</f>
        <v>0.141046729</v>
      </c>
      <c r="L234" s="43">
        <f>VLOOKUP($A234,'Dados StatusInvest'!$A:$AY,column(L234)-$A$5,0)/100</f>
        <v>0.024</v>
      </c>
      <c r="M234" s="47">
        <f>VLOOKUP($A234,'Dados StatusInvest'!$A:$AY,column(M234)-$A$5,0)</f>
        <v>-3.92</v>
      </c>
      <c r="N234" s="47">
        <f>VLOOKUP($A234,'Dados StatusInvest'!$A:$AY,column(N234)-$A$5,0)</f>
        <v>-4.38</v>
      </c>
      <c r="O234" s="41">
        <f>VLOOKUP($A234,'Dados StatusInvest'!$A:$AY,column(O234)-$A$5,0)/VLOOKUP($A234,'Dados StatusInvest'!$A:$AY,2,0)*$E234</f>
        <v>-2.508616822</v>
      </c>
      <c r="P234" s="41">
        <f>VLOOKUP($A234,'Dados StatusInvest'!$A:$AY,column(P234)-$A$5,0)-VLOOKUP($A234,'Dados StatusInvest'!$A:$AY,column(P234)-$A$5-1,0)+O234</f>
        <v>-17.23861682</v>
      </c>
      <c r="Q234" s="44">
        <f>VLOOKUP($A234,'Dados StatusInvest'!$A:$AY,column(Q234)-$A$5,0)</f>
        <v>-14.72</v>
      </c>
      <c r="R234" s="44">
        <f>VLOOKUP($A234,'Dados StatusInvest'!$A:$AY,column(R234)-$A$5,0)</f>
        <v>0</v>
      </c>
      <c r="S234" s="41">
        <f>VLOOKUP($A234,'Dados StatusInvest'!$A:$AY,column(S234)-$A$5,0)/VLOOKUP($A234,'Dados StatusInvest'!$A:$AY,2,0)*$E234</f>
        <v>0.1007476636</v>
      </c>
      <c r="T234" s="42">
        <f>VLOOKUP($A234,'Dados StatusInvest'!$A:$AY,column(T234)-$A$5,0)/VLOOKUP($A234,'Dados StatusInvest'!$A:$AY,2,0)*$E234</f>
        <v>-0.2115700935</v>
      </c>
      <c r="U234" s="47">
        <f>VLOOKUP($A234,'Dados StatusInvest'!$A:$AY,column(U234)-$A$5,0)</f>
        <v>-0.22</v>
      </c>
      <c r="V234" s="45">
        <f>VLOOKUP($A234,'Dados StatusInvest'!$A:$AY,column(V234)-$A$5,0)</f>
        <v>0.38</v>
      </c>
      <c r="W234" s="45">
        <f>VLOOKUP($A234,'Dados StatusInvest'!$A:$AY,column(W234)-$A$5,0)</f>
        <v>-55.78</v>
      </c>
      <c r="X234" s="45">
        <f>VLOOKUP($A234,'Dados StatusInvest'!$A:$AY,column(X234)-$A$5,0)</f>
        <v>-6.07</v>
      </c>
      <c r="Y234" s="45">
        <f>VLOOKUP($A234,'Dados StatusInvest'!$A:$AY,column(Y234)-$A$5,0)</f>
        <v>-8.34</v>
      </c>
      <c r="Z234" s="44">
        <f>VLOOKUP($A234,'Dados StatusInvest'!$A:$AY,column(Z234)-$A$5,0)</f>
        <v>-0.11</v>
      </c>
      <c r="AA234" s="44">
        <f>VLOOKUP($A234,'Dados StatusInvest'!$A:$AY,column(AA234)-$A$5,0)</f>
        <v>1.11</v>
      </c>
      <c r="AB234" s="44">
        <f>VLOOKUP($A234,'Dados StatusInvest'!$A:$AY,column(AB234)-$A$5,0)</f>
        <v>1.39</v>
      </c>
      <c r="AC234" s="44">
        <f>VLOOKUP($A234,'Dados StatusInvest'!$A:$AY,column(AC234)-$A$5,0)</f>
        <v>-4.39</v>
      </c>
      <c r="AD234" s="45">
        <f>VLOOKUP($A234,'Dados StatusInvest'!$A:$AY,column(AD234)-$A$5,0)</f>
        <v>0</v>
      </c>
      <c r="AE234" s="46">
        <f>VLOOKUP($A234,'Dados StatusInvest'!$A:$AY,column(AE234)-$A$5,0)</f>
        <v>7698505.38</v>
      </c>
      <c r="AF234" s="18"/>
    </row>
    <row r="235">
      <c r="A235" s="10" t="s">
        <v>281</v>
      </c>
      <c r="B235" s="39" t="str">
        <f>VLOOKUP(lEFT($A235,4),Setor!$A:$E,3,0)</f>
        <v>Consumo Cíclico</v>
      </c>
      <c r="C235" s="39" t="str">
        <f>VLOOKUP(lEFT($A235,4),Setor!$A:$E,4,0)</f>
        <v>Construção Civil</v>
      </c>
      <c r="D235" s="39" t="str">
        <f>VLOOKUP(lEFT($A235,4),Setor!$A:$E,5,0)</f>
        <v>Incorporações</v>
      </c>
      <c r="E235" s="17">
        <f>IFERROR(__xludf.DUMMYFUNCTION("GOOGLEFINANCE(A235)"),5.03)</f>
        <v>5.03</v>
      </c>
      <c r="F235" s="17">
        <f>IFERROR(__xludf.DUMMYFUNCTION("GOOGLEFINANCE($A235,""high52"")"),10.56)</f>
        <v>10.56</v>
      </c>
      <c r="G235" s="16">
        <f t="shared" si="1"/>
        <v>-0.5236742424</v>
      </c>
      <c r="H235" s="40">
        <f>VLOOKUP($A235,'Dados StatusInvest'!$A:$AY,column(H235)-$A$5,0)*VLOOKUP($A235,'Dados StatusInvest'!$A:$AY,2,0)/$E235/100</f>
        <v>0</v>
      </c>
      <c r="I235" s="41">
        <f>VLOOKUP($A235,'Dados StatusInvest'!$A:$AY,column(I235)-$A$5,0)/VLOOKUP($A235,'Dados StatusInvest'!$A:$AY,2,0)*$E235</f>
        <v>-2.529940594</v>
      </c>
      <c r="J235" s="41">
        <f>VLOOKUP($A235,'Dados StatusInvest'!$A:$AY,column(J235)-$A$5,0)/VLOOKUP($A235,'Dados StatusInvest'!$A:$AY,2,0)*$E235</f>
        <v>0.5378613861</v>
      </c>
      <c r="K235" s="42">
        <f>VLOOKUP($A235,'Dados StatusInvest'!$A:$AY,column(K235)-$A$5,0)/VLOOKUP($A235,'Dados StatusInvest'!$A:$AY,2,0)*$E235</f>
        <v>0.2290891089</v>
      </c>
      <c r="L235" s="43">
        <f>VLOOKUP($A235,'Dados StatusInvest'!$A:$AY,column(L235)-$A$5,0)/100</f>
        <v>0.0247</v>
      </c>
      <c r="M235" s="44">
        <f>VLOOKUP($A235,'Dados StatusInvest'!$A:$AY,column(M235)-$A$5,0)</f>
        <v>-52.73</v>
      </c>
      <c r="N235" s="44">
        <f>VLOOKUP($A235,'Dados StatusInvest'!$A:$AY,column(N235)-$A$5,0)</f>
        <v>-73.09</v>
      </c>
      <c r="O235" s="41">
        <f>VLOOKUP($A235,'Dados StatusInvest'!$A:$AY,column(O235)-$A$5,0)/VLOOKUP($A235,'Dados StatusInvest'!$A:$AY,2,0)*$E235</f>
        <v>-3.506059406</v>
      </c>
      <c r="P235" s="41">
        <f>VLOOKUP($A235,'Dados StatusInvest'!$A:$AY,column(P235)-$A$5,0)-VLOOKUP($A235,'Dados StatusInvest'!$A:$AY,column(P235)-$A$5-1,0)+O235</f>
        <v>-7.156059406</v>
      </c>
      <c r="Q235" s="44">
        <f>VLOOKUP($A235,'Dados StatusInvest'!$A:$AY,column(Q235)-$A$5,0)</f>
        <v>-3.65</v>
      </c>
      <c r="R235" s="44">
        <f>VLOOKUP($A235,'Dados StatusInvest'!$A:$AY,column(R235)-$A$5,0)</f>
        <v>0.56</v>
      </c>
      <c r="S235" s="41">
        <f>VLOOKUP($A235,'Dados StatusInvest'!$A:$AY,column(S235)-$A$5,0)/VLOOKUP($A235,'Dados StatusInvest'!$A:$AY,2,0)*$E235</f>
        <v>1.842673267</v>
      </c>
      <c r="T235" s="42">
        <f>VLOOKUP($A235,'Dados StatusInvest'!$A:$AY,column(T235)-$A$5,0)/VLOOKUP($A235,'Dados StatusInvest'!$A:$AY,2,0)*$E235</f>
        <v>0.8466336634</v>
      </c>
      <c r="U235" s="44">
        <f>VLOOKUP($A235,'Dados StatusInvest'!$A:$AY,column(U235)-$A$5,0)</f>
        <v>-0.41</v>
      </c>
      <c r="V235" s="45">
        <f>VLOOKUP($A235,'Dados StatusInvest'!$A:$AY,column(V235)-$A$5,0)</f>
        <v>2.81</v>
      </c>
      <c r="W235" s="45">
        <f>VLOOKUP($A235,'Dados StatusInvest'!$A:$AY,column(W235)-$A$5,0)</f>
        <v>-21.15</v>
      </c>
      <c r="X235" s="45">
        <f>VLOOKUP($A235,'Dados StatusInvest'!$A:$AY,column(X235)-$A$5,0)</f>
        <v>-9.19</v>
      </c>
      <c r="Y235" s="45">
        <f>VLOOKUP($A235,'Dados StatusInvest'!$A:$AY,column(Y235)-$A$5,0)</f>
        <v>-8.79</v>
      </c>
      <c r="Z235" s="44">
        <f>VLOOKUP($A235,'Dados StatusInvest'!$A:$AY,column(Z235)-$A$5,0)</f>
        <v>0.43</v>
      </c>
      <c r="AA235" s="44">
        <f>VLOOKUP($A235,'Dados StatusInvest'!$A:$AY,column(AA235)-$A$5,0)</f>
        <v>0.54</v>
      </c>
      <c r="AB235" s="44">
        <f>VLOOKUP($A235,'Dados StatusInvest'!$A:$AY,column(AB235)-$A$5,0)</f>
        <v>0.13</v>
      </c>
      <c r="AC235" s="44">
        <f>VLOOKUP($A235,'Dados StatusInvest'!$A:$AY,column(AC235)-$A$5,0)</f>
        <v>-32.32</v>
      </c>
      <c r="AD235" s="45">
        <f>VLOOKUP($A235,'Dados StatusInvest'!$A:$AY,column(AD235)-$A$5,0)</f>
        <v>0</v>
      </c>
      <c r="AE235" s="46">
        <f>VLOOKUP($A235,'Dados StatusInvest'!$A:$AY,column(AE235)-$A$5,0)</f>
        <v>5566339.33</v>
      </c>
      <c r="AF235" s="18"/>
    </row>
    <row r="236">
      <c r="A236" s="10" t="s">
        <v>282</v>
      </c>
      <c r="B236" s="39" t="str">
        <f>VLOOKUP(lEFT($A236,4),Setor!$A:$E,3,0)</f>
        <v>Consumo Cíclico</v>
      </c>
      <c r="C236" s="39" t="str">
        <f>VLOOKUP(lEFT($A236,4),Setor!$A:$E,4,0)</f>
        <v>Construção Civil</v>
      </c>
      <c r="D236" s="39" t="str">
        <f>VLOOKUP(lEFT($A236,4),Setor!$A:$E,5,0)</f>
        <v>Incorporações</v>
      </c>
      <c r="E236" s="17">
        <f>IFERROR(__xludf.DUMMYFUNCTION("GOOGLEFINANCE(A236)"),3.77)</f>
        <v>3.77</v>
      </c>
      <c r="F236" s="17">
        <f>IFERROR(__xludf.DUMMYFUNCTION("GOOGLEFINANCE($A236,""high52"")"),9.84)</f>
        <v>9.84</v>
      </c>
      <c r="G236" s="16">
        <f t="shared" si="1"/>
        <v>-0.6168699187</v>
      </c>
      <c r="H236" s="40">
        <f>VLOOKUP($A236,'Dados StatusInvest'!$A:$AY,column(H236)-$A$5,0)*VLOOKUP($A236,'Dados StatusInvest'!$A:$AY,2,0)/$E236/100</f>
        <v>0.05189787798</v>
      </c>
      <c r="I236" s="41">
        <f>VLOOKUP($A236,'Dados StatusInvest'!$A:$AY,column(I236)-$A$5,0)/VLOOKUP($A236,'Dados StatusInvest'!$A:$AY,2,0)*$E236</f>
        <v>5.114178273</v>
      </c>
      <c r="J236" s="41">
        <f>VLOOKUP($A236,'Dados StatusInvest'!$A:$AY,column(J236)-$A$5,0)/VLOOKUP($A236,'Dados StatusInvest'!$A:$AY,2,0)*$E236</f>
        <v>2.66735376</v>
      </c>
      <c r="K236" s="42">
        <f>VLOOKUP($A236,'Dados StatusInvest'!$A:$AY,column(K236)-$A$5,0)/VLOOKUP($A236,'Dados StatusInvest'!$A:$AY,2,0)*$E236</f>
        <v>0.6720891365</v>
      </c>
      <c r="L236" s="43">
        <f>VLOOKUP($A236,'Dados StatusInvest'!$A:$AY,column(L236)-$A$5,0)/100</f>
        <v>0.3396</v>
      </c>
      <c r="M236" s="47">
        <f>VLOOKUP($A236,'Dados StatusInvest'!$A:$AY,column(M236)-$A$5,0)</f>
        <v>14.94</v>
      </c>
      <c r="N236" s="47">
        <f>VLOOKUP($A236,'Dados StatusInvest'!$A:$AY,column(N236)-$A$5,0)</f>
        <v>13.08</v>
      </c>
      <c r="O236" s="41">
        <f>VLOOKUP($A236,'Dados StatusInvest'!$A:$AY,column(O236)-$A$5,0)/VLOOKUP($A236,'Dados StatusInvest'!$A:$AY,2,0)*$E236</f>
        <v>4.484094708</v>
      </c>
      <c r="P236" s="41">
        <f>VLOOKUP($A236,'Dados StatusInvest'!$A:$AY,column(P236)-$A$5,0)-VLOOKUP($A236,'Dados StatusInvest'!$A:$AY,column(P236)-$A$5-1,0)+O236</f>
        <v>5.084094708</v>
      </c>
      <c r="Q236" s="44">
        <f>VLOOKUP($A236,'Dados StatusInvest'!$A:$AY,column(Q236)-$A$5,0)</f>
        <v>0.57</v>
      </c>
      <c r="R236" s="44">
        <f>VLOOKUP($A236,'Dados StatusInvest'!$A:$AY,column(R236)-$A$5,0)</f>
        <v>0.34</v>
      </c>
      <c r="S236" s="41">
        <f>VLOOKUP($A236,'Dados StatusInvest'!$A:$AY,column(S236)-$A$5,0)/VLOOKUP($A236,'Dados StatusInvest'!$A:$AY,2,0)*$E236</f>
        <v>0.6720891365</v>
      </c>
      <c r="T236" s="42">
        <f>VLOOKUP($A236,'Dados StatusInvest'!$A:$AY,column(T236)-$A$5,0)/VLOOKUP($A236,'Dados StatusInvest'!$A:$AY,2,0)*$E236</f>
        <v>0.8296100279</v>
      </c>
      <c r="U236" s="44">
        <f>VLOOKUP($A236,'Dados StatusInvest'!$A:$AY,column(U236)-$A$5,0)</f>
        <v>-12.82</v>
      </c>
      <c r="V236" s="45">
        <f>VLOOKUP($A236,'Dados StatusInvest'!$A:$AY,column(V236)-$A$5,0)</f>
        <v>6.95</v>
      </c>
      <c r="W236" s="45">
        <f>VLOOKUP($A236,'Dados StatusInvest'!$A:$AY,column(W236)-$A$5,0)</f>
        <v>52.04</v>
      </c>
      <c r="X236" s="45">
        <f>VLOOKUP($A236,'Dados StatusInvest'!$A:$AY,column(X236)-$A$5,0)</f>
        <v>13.15</v>
      </c>
      <c r="Y236" s="45">
        <f>VLOOKUP($A236,'Dados StatusInvest'!$A:$AY,column(Y236)-$A$5,0)</f>
        <v>23.15</v>
      </c>
      <c r="Z236" s="44">
        <f>VLOOKUP($A236,'Dados StatusInvest'!$A:$AY,column(Z236)-$A$5,0)</f>
        <v>0.25</v>
      </c>
      <c r="AA236" s="44">
        <f>VLOOKUP($A236,'Dados StatusInvest'!$A:$AY,column(AA236)-$A$5,0)</f>
        <v>0.75</v>
      </c>
      <c r="AB236" s="44">
        <f>VLOOKUP($A236,'Dados StatusInvest'!$A:$AY,column(AB236)-$A$5,0)</f>
        <v>1.01</v>
      </c>
      <c r="AC236" s="44">
        <f>VLOOKUP($A236,'Dados StatusInvest'!$A:$AY,column(AC236)-$A$5,0)</f>
        <v>0</v>
      </c>
      <c r="AD236" s="45">
        <f>VLOOKUP($A236,'Dados StatusInvest'!$A:$AY,column(AD236)-$A$5,0)</f>
        <v>0</v>
      </c>
      <c r="AE236" s="46">
        <f>VLOOKUP($A236,'Dados StatusInvest'!$A:$AY,column(AE236)-$A$5,0)</f>
        <v>4877452.54</v>
      </c>
      <c r="AF236" s="51"/>
    </row>
    <row r="237">
      <c r="A237" s="10" t="s">
        <v>283</v>
      </c>
      <c r="B237" s="39" t="str">
        <f>VLOOKUP(lEFT($A237,4),Setor!$A:$E,3,0)</f>
        <v>Bens Industriais</v>
      </c>
      <c r="C237" s="39" t="str">
        <f>VLOOKUP(lEFT($A237,4),Setor!$A:$E,4,0)</f>
        <v>Construção e Engenharia</v>
      </c>
      <c r="D237" s="39" t="str">
        <f>VLOOKUP(lEFT($A237,4),Setor!$A:$E,5,0)</f>
        <v>Construção Pesada</v>
      </c>
      <c r="E237" s="17">
        <f>IFERROR(__xludf.DUMMYFUNCTION("GOOGLEFINANCE(A237)"),4.11)</f>
        <v>4.11</v>
      </c>
      <c r="F237" s="17">
        <f>IFERROR(__xludf.DUMMYFUNCTION("GOOGLEFINANCE($A237,""high52"")"),9.36)</f>
        <v>9.36</v>
      </c>
      <c r="G237" s="16">
        <f t="shared" si="1"/>
        <v>-0.5608974359</v>
      </c>
      <c r="H237" s="40">
        <f>VLOOKUP($A237,'Dados StatusInvest'!$A:$AY,column(H237)-$A$5,0)*VLOOKUP($A237,'Dados StatusInvest'!$A:$AY,2,0)/$E237/100</f>
        <v>0</v>
      </c>
      <c r="I237" s="41">
        <f>VLOOKUP($A237,'Dados StatusInvest'!$A:$AY,column(I237)-$A$5,0)/VLOOKUP($A237,'Dados StatusInvest'!$A:$AY,2,0)*$E237</f>
        <v>1.402696897</v>
      </c>
      <c r="J237" s="41">
        <f>VLOOKUP($A237,'Dados StatusInvest'!$A:$AY,column(J237)-$A$5,0)/VLOOKUP($A237,'Dados StatusInvest'!$A:$AY,2,0)*$E237</f>
        <v>-2.981957041</v>
      </c>
      <c r="K237" s="42">
        <f>VLOOKUP($A237,'Dados StatusInvest'!$A:$AY,column(K237)-$A$5,0)/VLOOKUP($A237,'Dados StatusInvest'!$A:$AY,2,0)*$E237</f>
        <v>5.012434368</v>
      </c>
      <c r="L237" s="43">
        <f>VLOOKUP($A237,'Dados StatusInvest'!$A:$AY,column(L237)-$A$5,0)/100</f>
        <v>0.0794</v>
      </c>
      <c r="M237" s="47">
        <f>VLOOKUP($A237,'Dados StatusInvest'!$A:$AY,column(M237)-$A$5,0)</f>
        <v>1110.11</v>
      </c>
      <c r="N237" s="47">
        <f>VLOOKUP($A237,'Dados StatusInvest'!$A:$AY,column(N237)-$A$5,0)</f>
        <v>1088.63</v>
      </c>
      <c r="O237" s="41">
        <f>VLOOKUP($A237,'Dados StatusInvest'!$A:$AY,column(O237)-$A$5,0)/VLOOKUP($A237,'Dados StatusInvest'!$A:$AY,2,0)*$E237</f>
        <v>1.37326969</v>
      </c>
      <c r="P237" s="41">
        <f>VLOOKUP($A237,'Dados StatusInvest'!$A:$AY,column(P237)-$A$5,0)-VLOOKUP($A237,'Dados StatusInvest'!$A:$AY,column(P237)-$A$5-1,0)+O237</f>
        <v>1.43326969</v>
      </c>
      <c r="Q237" s="44">
        <f>VLOOKUP($A237,'Dados StatusInvest'!$A:$AY,column(Q237)-$A$5,0)</f>
        <v>-0.01</v>
      </c>
      <c r="R237" s="44">
        <f>VLOOKUP($A237,'Dados StatusInvest'!$A:$AY,column(R237)-$A$5,0)</f>
        <v>0</v>
      </c>
      <c r="S237" s="41">
        <f>VLOOKUP($A237,'Dados StatusInvest'!$A:$AY,column(S237)-$A$5,0)/VLOOKUP($A237,'Dados StatusInvest'!$A:$AY,2,0)*$E237</f>
        <v>15.24329356</v>
      </c>
      <c r="T237" s="42">
        <f>VLOOKUP($A237,'Dados StatusInvest'!$A:$AY,column(T237)-$A$5,0)/VLOOKUP($A237,'Dados StatusInvest'!$A:$AY,2,0)*$E237</f>
        <v>138.5531026</v>
      </c>
      <c r="U237" s="44">
        <f>VLOOKUP($A237,'Dados StatusInvest'!$A:$AY,column(U237)-$A$5,0)</f>
        <v>-13.65</v>
      </c>
      <c r="V237" s="45">
        <f>VLOOKUP($A237,'Dados StatusInvest'!$A:$AY,column(V237)-$A$5,0)</f>
        <v>1.06</v>
      </c>
      <c r="W237" s="45">
        <f>VLOOKUP($A237,'Dados StatusInvest'!$A:$AY,column(W237)-$A$5,0)</f>
        <v>-213.22</v>
      </c>
      <c r="X237" s="45">
        <f>VLOOKUP($A237,'Dados StatusInvest'!$A:$AY,column(X237)-$A$5,0)</f>
        <v>358.22</v>
      </c>
      <c r="Y237" s="45">
        <f>VLOOKUP($A237,'Dados StatusInvest'!$A:$AY,column(Y237)-$A$5,0)</f>
        <v>-217.35</v>
      </c>
      <c r="Z237" s="44">
        <f>VLOOKUP($A237,'Dados StatusInvest'!$A:$AY,column(Z237)-$A$5,0)</f>
        <v>-1.68</v>
      </c>
      <c r="AA237" s="44">
        <f>VLOOKUP($A237,'Dados StatusInvest'!$A:$AY,column(AA237)-$A$5,0)</f>
        <v>2.68</v>
      </c>
      <c r="AB237" s="44">
        <f>VLOOKUP($A237,'Dados StatusInvest'!$A:$AY,column(AB237)-$A$5,0)</f>
        <v>0.33</v>
      </c>
      <c r="AC237" s="44">
        <f>VLOOKUP($A237,'Dados StatusInvest'!$A:$AY,column(AC237)-$A$5,0)</f>
        <v>-38.42</v>
      </c>
      <c r="AD237" s="45">
        <f>VLOOKUP($A237,'Dados StatusInvest'!$A:$AY,column(AD237)-$A$5,0)</f>
        <v>164.18</v>
      </c>
      <c r="AE237" s="46">
        <f>VLOOKUP($A237,'Dados StatusInvest'!$A:$AY,column(AE237)-$A$5,0)</f>
        <v>3628867.13</v>
      </c>
      <c r="AF237" s="49"/>
    </row>
    <row r="238">
      <c r="A238" s="10" t="s">
        <v>284</v>
      </c>
      <c r="B238" s="39" t="str">
        <f>VLOOKUP(lEFT($A238,4),Setor!$A:$E,3,0)</f>
        <v>#N/A</v>
      </c>
      <c r="C238" s="39" t="str">
        <f>VLOOKUP(lEFT($A238,4),Setor!$A:$E,4,0)</f>
        <v>#N/A</v>
      </c>
      <c r="D238" s="39" t="str">
        <f>VLOOKUP(lEFT($A238,4),Setor!$A:$E,5,0)</f>
        <v>#N/A</v>
      </c>
      <c r="E238" s="17">
        <f>IFERROR(__xludf.DUMMYFUNCTION("GOOGLEFINANCE(A238)"),7.96)</f>
        <v>7.96</v>
      </c>
      <c r="F238" s="17">
        <f>IFERROR(__xludf.DUMMYFUNCTION("GOOGLEFINANCE($A238,""high52"")"),16.07)</f>
        <v>16.07</v>
      </c>
      <c r="G238" s="16">
        <f t="shared" si="1"/>
        <v>-0.5046670815</v>
      </c>
      <c r="H238" s="40">
        <f>VLOOKUP($A238,'Dados StatusInvest'!$A:$AY,column(H238)-$A$5,0)*VLOOKUP($A238,'Dados StatusInvest'!$A:$AY,2,0)/$E238/100</f>
        <v>0</v>
      </c>
      <c r="I238" s="41">
        <f>VLOOKUP($A238,'Dados StatusInvest'!$A:$AY,column(I238)-$A$5,0)/VLOOKUP($A238,'Dados StatusInvest'!$A:$AY,2,0)*$E238</f>
        <v>40.22853297</v>
      </c>
      <c r="J238" s="41">
        <f>VLOOKUP($A238,'Dados StatusInvest'!$A:$AY,column(J238)-$A$5,0)/VLOOKUP($A238,'Dados StatusInvest'!$A:$AY,2,0)*$E238</f>
        <v>2.121238223</v>
      </c>
      <c r="K238" s="42">
        <f>VLOOKUP($A238,'Dados StatusInvest'!$A:$AY,column(K238)-$A$5,0)/VLOOKUP($A238,'Dados StatusInvest'!$A:$AY,2,0)*$E238</f>
        <v>0.6320861373</v>
      </c>
      <c r="L238" s="43">
        <f>VLOOKUP($A238,'Dados StatusInvest'!$A:$AY,column(L238)-$A$5,0)/100</f>
        <v>0.5115</v>
      </c>
      <c r="M238" s="44">
        <f>VLOOKUP($A238,'Dados StatusInvest'!$A:$AY,column(M238)-$A$5,0)</f>
        <v>15.88</v>
      </c>
      <c r="N238" s="44">
        <f>VLOOKUP($A238,'Dados StatusInvest'!$A:$AY,column(N238)-$A$5,0)</f>
        <v>4.2</v>
      </c>
      <c r="O238" s="41">
        <f>VLOOKUP($A238,'Dados StatusInvest'!$A:$AY,column(O238)-$A$5,0)/VLOOKUP($A238,'Dados StatusInvest'!$A:$AY,2,0)*$E238</f>
        <v>10.62761777</v>
      </c>
      <c r="P238" s="41">
        <f>VLOOKUP($A238,'Dados StatusInvest'!$A:$AY,column(P238)-$A$5,0)-VLOOKUP($A238,'Dados StatusInvest'!$A:$AY,column(P238)-$A$5-1,0)+O238</f>
        <v>11.10761777</v>
      </c>
      <c r="Q238" s="44">
        <f>VLOOKUP($A238,'Dados StatusInvest'!$A:$AY,column(Q238)-$A$5,0)</f>
        <v>0.36</v>
      </c>
      <c r="R238" s="44">
        <f>VLOOKUP($A238,'Dados StatusInvest'!$A:$AY,column(R238)-$A$5,0)</f>
        <v>0.07</v>
      </c>
      <c r="S238" s="41">
        <f>VLOOKUP($A238,'Dados StatusInvest'!$A:$AY,column(S238)-$A$5,0)/VLOOKUP($A238,'Dados StatusInvest'!$A:$AY,2,0)*$E238</f>
        <v>1.692705249</v>
      </c>
      <c r="T238" s="42">
        <f>VLOOKUP($A238,'Dados StatusInvest'!$A:$AY,column(T238)-$A$5,0)/VLOOKUP($A238,'Dados StatusInvest'!$A:$AY,2,0)*$E238</f>
        <v>3.738950202</v>
      </c>
      <c r="U238" s="47">
        <f>VLOOKUP($A238,'Dados StatusInvest'!$A:$AY,column(U238)-$A$5,0)</f>
        <v>-0.83</v>
      </c>
      <c r="V238" s="45">
        <f>VLOOKUP($A238,'Dados StatusInvest'!$A:$AY,column(V238)-$A$5,0)</f>
        <v>2.41</v>
      </c>
      <c r="W238" s="48">
        <f>VLOOKUP($A238,'Dados StatusInvest'!$A:$AY,column(W238)-$A$5,0)</f>
        <v>5.27</v>
      </c>
      <c r="X238" s="48">
        <f>VLOOKUP($A238,'Dados StatusInvest'!$A:$AY,column(X238)-$A$5,0)</f>
        <v>1.57</v>
      </c>
      <c r="Y238" s="48">
        <f>VLOOKUP($A238,'Dados StatusInvest'!$A:$AY,column(Y238)-$A$5,0)</f>
        <v>10.38</v>
      </c>
      <c r="Z238" s="44">
        <f>VLOOKUP($A238,'Dados StatusInvest'!$A:$AY,column(Z238)-$A$5,0)</f>
        <v>0.3</v>
      </c>
      <c r="AA238" s="44">
        <f>VLOOKUP($A238,'Dados StatusInvest'!$A:$AY,column(AA238)-$A$5,0)</f>
        <v>0.7</v>
      </c>
      <c r="AB238" s="44">
        <f>VLOOKUP($A238,'Dados StatusInvest'!$A:$AY,column(AB238)-$A$5,0)</f>
        <v>0.37</v>
      </c>
      <c r="AC238" s="44">
        <f>VLOOKUP($A238,'Dados StatusInvest'!$A:$AY,column(AC238)-$A$5,0)</f>
        <v>0</v>
      </c>
      <c r="AD238" s="45">
        <f>VLOOKUP($A238,'Dados StatusInvest'!$A:$AY,column(AD238)-$A$5,0)</f>
        <v>0</v>
      </c>
      <c r="AE238" s="46">
        <f>VLOOKUP($A238,'Dados StatusInvest'!$A:$AY,column(AE238)-$A$5,0)</f>
        <v>5018005.83</v>
      </c>
      <c r="AF238" s="50"/>
    </row>
    <row r="239">
      <c r="A239" s="10" t="s">
        <v>285</v>
      </c>
      <c r="B239" s="52" t="str">
        <f>VLOOKUP(LEFT($A239,4),Setor!$A:$E,3,0)</f>
        <v>Financeiro</v>
      </c>
      <c r="C239" s="52" t="str">
        <f>VLOOKUP(LEFT($A239,4),Setor!$A:$E,4,0)</f>
        <v>Previdência e Seguros</v>
      </c>
      <c r="D239" s="52" t="str">
        <f>VLOOKUP(LEFT($A239,4),Setor!$A:$E,5,0)</f>
        <v>Corretoras de Seguros</v>
      </c>
      <c r="E239" s="53">
        <f>IFERROR(__xludf.DUMMYFUNCTION("GOOGLEFINANCE(A239)"),41.36)</f>
        <v>41.36</v>
      </c>
      <c r="F239" s="53">
        <f>IFERROR(__xludf.DUMMYFUNCTION("GOOGLEFINANCE($A239,""high52"")"),63.55)</f>
        <v>63.55</v>
      </c>
      <c r="G239" s="54">
        <f t="shared" si="1"/>
        <v>-0.3491738788</v>
      </c>
      <c r="H239" s="55">
        <f>VLOOKUP($A239,'Dados StatusInvest'!$A:$AY,COLUMN(H239)-$A$5,0)*VLOOKUP($A239,'Dados StatusInvest'!$A:$AY,2,0)/$E239/100</f>
        <v>0</v>
      </c>
      <c r="I239" s="56">
        <f>VLOOKUP($A239,'Dados StatusInvest'!$A:$AY,COLUMN(I239)-$A$5,0)/VLOOKUP($A239,'Dados StatusInvest'!$A:$AY,2,0)*$E239</f>
        <v>261.8135116</v>
      </c>
      <c r="J239" s="56">
        <f>VLOOKUP($A239,'Dados StatusInvest'!$A:$AY,COLUMN(J239)-$A$5,0)/VLOOKUP($A239,'Dados StatusInvest'!$A:$AY,2,0)*$E239</f>
        <v>1.638831105</v>
      </c>
      <c r="K239" s="57">
        <f>VLOOKUP($A239,'Dados StatusInvest'!$A:$AY,COLUMN(K239)-$A$5,0)/VLOOKUP($A239,'Dados StatusInvest'!$A:$AY,2,0)*$E239</f>
        <v>1.02426944</v>
      </c>
      <c r="L239" s="58">
        <f>VLOOKUP($A239,'Dados StatusInvest'!$A:$AY,COLUMN(L239)-$A$5,0)/100</f>
        <v>1</v>
      </c>
      <c r="M239" s="59">
        <f>VLOOKUP($A239,'Dados StatusInvest'!$A:$AY,COLUMN(M239)-$A$5,0)</f>
        <v>-0.74</v>
      </c>
      <c r="N239" s="59">
        <f>VLOOKUP($A239,'Dados StatusInvest'!$A:$AY,COLUMN(N239)-$A$5,0)</f>
        <v>1.53</v>
      </c>
      <c r="O239" s="56">
        <f>VLOOKUP($A239,'Dados StatusInvest'!$A:$AY,COLUMN(O239)-$A$5,0)/VLOOKUP($A239,'Dados StatusInvest'!$A:$AY,2,0)*$E239</f>
        <v>-545.0444973</v>
      </c>
      <c r="P239" s="56">
        <f>VLOOKUP($A239,'Dados StatusInvest'!$A:$AY,COLUMN(P239)-$A$5,0)-VLOOKUP($A239,'Dados StatusInvest'!$A:$AY,COLUMN(P239)-$A$5-1,0)+O239</f>
        <v>-542.5644973</v>
      </c>
      <c r="Q239" s="59">
        <f>VLOOKUP($A239,'Dados StatusInvest'!$A:$AY,COLUMN(Q239)-$A$5,0)</f>
        <v>0</v>
      </c>
      <c r="R239" s="59">
        <f>VLOOKUP($A239,'Dados StatusInvest'!$A:$AY,COLUMN(R239)-$A$5,0)</f>
        <v>0</v>
      </c>
      <c r="S239" s="56">
        <f>VLOOKUP($A239,'Dados StatusInvest'!$A:$AY,COLUMN(S239)-$A$5,0)/VLOOKUP($A239,'Dados StatusInvest'!$A:$AY,2,0)*$E239</f>
        <v>4.015136206</v>
      </c>
      <c r="T239" s="57">
        <f>VLOOKUP($A239,'Dados StatusInvest'!$A:$AY,COLUMN(T239)-$A$5,0)/VLOOKUP($A239,'Dados StatusInvest'!$A:$AY,2,0)*$E239</f>
        <v>6.25828628</v>
      </c>
      <c r="U239" s="59">
        <f>VLOOKUP($A239,'Dados StatusInvest'!$A:$AY,COLUMN(U239)-$A$5,0)</f>
        <v>-1.46</v>
      </c>
      <c r="V239" s="60">
        <f>VLOOKUP($A239,'Dados StatusInvest'!$A:$AY,COLUMN(V239)-$A$5,0)</f>
        <v>2.12</v>
      </c>
      <c r="W239" s="60">
        <f>VLOOKUP($A239,'Dados StatusInvest'!$A:$AY,COLUMN(W239)-$A$5,0)</f>
        <v>0.63</v>
      </c>
      <c r="X239" s="60">
        <f>VLOOKUP($A239,'Dados StatusInvest'!$A:$AY,COLUMN(X239)-$A$5,0)</f>
        <v>0.39</v>
      </c>
      <c r="Y239" s="60">
        <f>VLOOKUP($A239,'Dados StatusInvest'!$A:$AY,COLUMN(Y239)-$A$5,0)</f>
        <v>0</v>
      </c>
      <c r="Z239" s="59">
        <f>VLOOKUP($A239,'Dados StatusInvest'!$A:$AY,COLUMN(Z239)-$A$5,0)</f>
        <v>0.63</v>
      </c>
      <c r="AA239" s="59">
        <f>VLOOKUP($A239,'Dados StatusInvest'!$A:$AY,COLUMN(AA239)-$A$5,0)</f>
        <v>0.37</v>
      </c>
      <c r="AB239" s="59">
        <f>VLOOKUP($A239,'Dados StatusInvest'!$A:$AY,COLUMN(AB239)-$A$5,0)</f>
        <v>0.26</v>
      </c>
      <c r="AC239" s="59">
        <f>VLOOKUP($A239,'Dados StatusInvest'!$A:$AY,COLUMN(AC239)-$A$5,0)</f>
        <v>-11.42</v>
      </c>
      <c r="AD239" s="60">
        <f>VLOOKUP($A239,'Dados StatusInvest'!$A:$AY,COLUMN(AD239)-$A$5,0)</f>
        <v>0</v>
      </c>
      <c r="AE239" s="62">
        <f>VLOOKUP($A239,'Dados StatusInvest'!$A:$AY,COLUMN(AE239)-$A$5,0)</f>
        <v>5063144.46</v>
      </c>
      <c r="AF239" s="18"/>
    </row>
    <row r="240">
      <c r="A240" s="10" t="s">
        <v>286</v>
      </c>
      <c r="B240" s="39" t="str">
        <f>VLOOKUP(lEFT($A240,4),Setor!$A:$E,3,0)</f>
        <v>Bens Industriais</v>
      </c>
      <c r="C240" s="39" t="str">
        <f>VLOOKUP(lEFT($A240,4),Setor!$A:$E,4,0)</f>
        <v>Máquinas e Equipamentos</v>
      </c>
      <c r="D240" s="39" t="str">
        <f>VLOOKUP(lEFT($A240,4),Setor!$A:$E,5,0)</f>
        <v>Motores, Compressores e Outros</v>
      </c>
      <c r="E240" s="17">
        <f>IFERROR(__xludf.DUMMYFUNCTION("GOOGLEFINANCE(A240)"),9.12)</f>
        <v>9.12</v>
      </c>
      <c r="F240" s="17">
        <f>IFERROR(__xludf.DUMMYFUNCTION("GOOGLEFINANCE($A240,""high52"")"),11.8)</f>
        <v>11.8</v>
      </c>
      <c r="G240" s="16">
        <f t="shared" si="1"/>
        <v>-0.2271186441</v>
      </c>
      <c r="H240" s="40">
        <f>VLOOKUP($A240,'Dados StatusInvest'!$A:$AY,column(H240)-$A$5,0)*VLOOKUP($A240,'Dados StatusInvest'!$A:$AY,2,0)/$E240/100</f>
        <v>0.03203508772</v>
      </c>
      <c r="I240" s="41">
        <f>VLOOKUP($A240,'Dados StatusInvest'!$A:$AY,column(I240)-$A$5,0)/VLOOKUP($A240,'Dados StatusInvest'!$A:$AY,2,0)*$E240</f>
        <v>9.199912377</v>
      </c>
      <c r="J240" s="41">
        <f>VLOOKUP($A240,'Dados StatusInvest'!$A:$AY,column(J240)-$A$5,0)/VLOOKUP($A240,'Dados StatusInvest'!$A:$AY,2,0)*$E240</f>
        <v>2.037765608</v>
      </c>
      <c r="K240" s="42">
        <f>VLOOKUP($A240,'Dados StatusInvest'!$A:$AY,column(K240)-$A$5,0)/VLOOKUP($A240,'Dados StatusInvest'!$A:$AY,2,0)*$E240</f>
        <v>0.8590580504</v>
      </c>
      <c r="L240" s="43">
        <f>VLOOKUP($A240,'Dados StatusInvest'!$A:$AY,column(L240)-$A$5,0)/100</f>
        <v>0.212</v>
      </c>
      <c r="M240" s="44">
        <f>VLOOKUP($A240,'Dados StatusInvest'!$A:$AY,column(M240)-$A$5,0)</f>
        <v>13.54</v>
      </c>
      <c r="N240" s="44">
        <f>VLOOKUP($A240,'Dados StatusInvest'!$A:$AY,column(N240)-$A$5,0)</f>
        <v>12.32</v>
      </c>
      <c r="O240" s="41">
        <f>VLOOKUP($A240,'Dados StatusInvest'!$A:$AY,column(O240)-$A$5,0)/VLOOKUP($A240,'Dados StatusInvest'!$A:$AY,2,0)*$E240</f>
        <v>8.370821468</v>
      </c>
      <c r="P240" s="41">
        <f>VLOOKUP($A240,'Dados StatusInvest'!$A:$AY,column(P240)-$A$5,0)-VLOOKUP($A240,'Dados StatusInvest'!$A:$AY,column(P240)-$A$5-1,0)+O240</f>
        <v>50.76082147</v>
      </c>
      <c r="Q240" s="44">
        <f>VLOOKUP($A240,'Dados StatusInvest'!$A:$AY,column(Q240)-$A$5,0)</f>
        <v>1.91</v>
      </c>
      <c r="R240" s="44">
        <f>VLOOKUP($A240,'Dados StatusInvest'!$A:$AY,column(R240)-$A$5,0)</f>
        <v>0.47</v>
      </c>
      <c r="S240" s="41">
        <f>VLOOKUP($A240,'Dados StatusInvest'!$A:$AY,column(S240)-$A$5,0)/VLOOKUP($A240,'Dados StatusInvest'!$A:$AY,2,0)*$E240</f>
        <v>1.128762322</v>
      </c>
      <c r="T240" s="42">
        <f>VLOOKUP($A240,'Dados StatusInvest'!$A:$AY,column(T240)-$A$5,0)/VLOOKUP($A240,'Dados StatusInvest'!$A:$AY,2,0)*$E240</f>
        <v>2.09769989</v>
      </c>
      <c r="U240" s="47">
        <f>VLOOKUP($A240,'Dados StatusInvest'!$A:$AY,column(U240)-$A$5,0)</f>
        <v>-2.51</v>
      </c>
      <c r="V240" s="45">
        <f>VLOOKUP($A240,'Dados StatusInvest'!$A:$AY,column(V240)-$A$5,0)</f>
        <v>2.65</v>
      </c>
      <c r="W240" s="45">
        <f>VLOOKUP($A240,'Dados StatusInvest'!$A:$AY,column(W240)-$A$5,0)</f>
        <v>22.14</v>
      </c>
      <c r="X240" s="48">
        <f>VLOOKUP($A240,'Dados StatusInvest'!$A:$AY,column(X240)-$A$5,0)</f>
        <v>9.34</v>
      </c>
      <c r="Y240" s="45">
        <f>VLOOKUP($A240,'Dados StatusInvest'!$A:$AY,column(Y240)-$A$5,0)</f>
        <v>10.12</v>
      </c>
      <c r="Z240" s="44">
        <f>VLOOKUP($A240,'Dados StatusInvest'!$A:$AY,column(Z240)-$A$5,0)</f>
        <v>0.42</v>
      </c>
      <c r="AA240" s="44">
        <f>VLOOKUP($A240,'Dados StatusInvest'!$A:$AY,column(AA240)-$A$5,0)</f>
        <v>0.58</v>
      </c>
      <c r="AB240" s="44">
        <f>VLOOKUP($A240,'Dados StatusInvest'!$A:$AY,column(AB240)-$A$5,0)</f>
        <v>0.76</v>
      </c>
      <c r="AC240" s="44">
        <f>VLOOKUP($A240,'Dados StatusInvest'!$A:$AY,column(AC240)-$A$5,0)</f>
        <v>10.16</v>
      </c>
      <c r="AD240" s="45">
        <f>VLOOKUP($A240,'Dados StatusInvest'!$A:$AY,column(AD240)-$A$5,0)</f>
        <v>29.71</v>
      </c>
      <c r="AE240" s="46">
        <f>VLOOKUP($A240,'Dados StatusInvest'!$A:$AY,column(AE240)-$A$5,0)</f>
        <v>4270228.63</v>
      </c>
      <c r="AF240" s="18"/>
    </row>
    <row r="241">
      <c r="A241" s="10" t="s">
        <v>287</v>
      </c>
      <c r="B241" s="39" t="str">
        <f>VLOOKUP(lEFT($A241,4),Setor!$A:$E,3,0)</f>
        <v>#N/A</v>
      </c>
      <c r="C241" s="39" t="str">
        <f>VLOOKUP(lEFT($A241,4),Setor!$A:$E,4,0)</f>
        <v>#N/A</v>
      </c>
      <c r="D241" s="39" t="str">
        <f>VLOOKUP(lEFT($A241,4),Setor!$A:$E,5,0)</f>
        <v>#N/A</v>
      </c>
      <c r="E241" s="17">
        <f>IFERROR(__xludf.DUMMYFUNCTION("GOOGLEFINANCE(A241)"),4.47)</f>
        <v>4.47</v>
      </c>
      <c r="F241" s="17">
        <f>IFERROR(__xludf.DUMMYFUNCTION("GOOGLEFINANCE($A241,""high52"")"),13.18)</f>
        <v>13.18</v>
      </c>
      <c r="G241" s="16">
        <f t="shared" si="1"/>
        <v>-0.6608497724</v>
      </c>
      <c r="H241" s="40">
        <f>VLOOKUP($A241,'Dados StatusInvest'!$A:$AY,column(H241)-$A$5,0)*VLOOKUP($A241,'Dados StatusInvest'!$A:$AY,2,0)/$E241/100</f>
        <v>0</v>
      </c>
      <c r="I241" s="41">
        <f>VLOOKUP($A241,'Dados StatusInvest'!$A:$AY,column(I241)-$A$5,0)/VLOOKUP($A241,'Dados StatusInvest'!$A:$AY,2,0)*$E241</f>
        <v>-27.98316129</v>
      </c>
      <c r="J241" s="41">
        <f>VLOOKUP($A241,'Dados StatusInvest'!$A:$AY,column(J241)-$A$5,0)/VLOOKUP($A241,'Dados StatusInvest'!$A:$AY,2,0)*$E241</f>
        <v>1.22083871</v>
      </c>
      <c r="K241" s="42">
        <f>VLOOKUP($A241,'Dados StatusInvest'!$A:$AY,column(K241)-$A$5,0)/VLOOKUP($A241,'Dados StatusInvest'!$A:$AY,2,0)*$E241</f>
        <v>0.9228387097</v>
      </c>
      <c r="L241" s="43">
        <f>VLOOKUP($A241,'Dados StatusInvest'!$A:$AY,column(L241)-$A$5,0)/100</f>
        <v>0.4517</v>
      </c>
      <c r="M241" s="44">
        <f>VLOOKUP($A241,'Dados StatusInvest'!$A:$AY,column(M241)-$A$5,0)</f>
        <v>-8.66</v>
      </c>
      <c r="N241" s="44">
        <f>VLOOKUP($A241,'Dados StatusInvest'!$A:$AY,column(N241)-$A$5,0)</f>
        <v>-5.9</v>
      </c>
      <c r="O241" s="41">
        <f>VLOOKUP($A241,'Dados StatusInvest'!$A:$AY,column(O241)-$A$5,0)/VLOOKUP($A241,'Dados StatusInvest'!$A:$AY,2,0)*$E241</f>
        <v>-19.05277419</v>
      </c>
      <c r="P241" s="41">
        <f>VLOOKUP($A241,'Dados StatusInvest'!$A:$AY,column(P241)-$A$5,0)-VLOOKUP($A241,'Dados StatusInvest'!$A:$AY,column(P241)-$A$5-1,0)+O241</f>
        <v>-6.772774194</v>
      </c>
      <c r="Q241" s="44">
        <f>VLOOKUP($A241,'Dados StatusInvest'!$A:$AY,column(Q241)-$A$5,0)</f>
        <v>12.41</v>
      </c>
      <c r="R241" s="44">
        <f>VLOOKUP($A241,'Dados StatusInvest'!$A:$AY,column(R241)-$A$5,0)</f>
        <v>-0.8</v>
      </c>
      <c r="S241" s="41">
        <f>VLOOKUP($A241,'Dados StatusInvest'!$A:$AY,column(S241)-$A$5,0)/VLOOKUP($A241,'Dados StatusInvest'!$A:$AY,2,0)*$E241</f>
        <v>1.653419355</v>
      </c>
      <c r="T241" s="42">
        <f>VLOOKUP($A241,'Dados StatusInvest'!$A:$AY,column(T241)-$A$5,0)/VLOOKUP($A241,'Dados StatusInvest'!$A:$AY,2,0)*$E241</f>
        <v>1.46116129</v>
      </c>
      <c r="U241" s="44">
        <f>VLOOKUP($A241,'Dados StatusInvest'!$A:$AY,column(U241)-$A$5,0)</f>
        <v>-4.96</v>
      </c>
      <c r="V241" s="45">
        <f>VLOOKUP($A241,'Dados StatusInvest'!$A:$AY,column(V241)-$A$5,0)</f>
        <v>4.7</v>
      </c>
      <c r="W241" s="45">
        <f>VLOOKUP($A241,'Dados StatusInvest'!$A:$AY,column(W241)-$A$5,0)</f>
        <v>-4.37</v>
      </c>
      <c r="X241" s="45">
        <f>VLOOKUP($A241,'Dados StatusInvest'!$A:$AY,column(X241)-$A$5,0)</f>
        <v>-3.3</v>
      </c>
      <c r="Y241" s="45">
        <f>VLOOKUP($A241,'Dados StatusInvest'!$A:$AY,column(Y241)-$A$5,0)</f>
        <v>-7.7</v>
      </c>
      <c r="Z241" s="44">
        <f>VLOOKUP($A241,'Dados StatusInvest'!$A:$AY,column(Z241)-$A$5,0)</f>
        <v>0.76</v>
      </c>
      <c r="AA241" s="44">
        <f>VLOOKUP($A241,'Dados StatusInvest'!$A:$AY,column(AA241)-$A$5,0)</f>
        <v>0.24</v>
      </c>
      <c r="AB241" s="44">
        <f>VLOOKUP($A241,'Dados StatusInvest'!$A:$AY,column(AB241)-$A$5,0)</f>
        <v>0.56</v>
      </c>
      <c r="AC241" s="44">
        <f>VLOOKUP($A241,'Dados StatusInvest'!$A:$AY,column(AC241)-$A$5,0)</f>
        <v>0</v>
      </c>
      <c r="AD241" s="45">
        <f>VLOOKUP($A241,'Dados StatusInvest'!$A:$AY,column(AD241)-$A$5,0)</f>
        <v>0</v>
      </c>
      <c r="AE241" s="46">
        <f>VLOOKUP($A241,'Dados StatusInvest'!$A:$AY,column(AE241)-$A$5,0)</f>
        <v>5012479.58</v>
      </c>
      <c r="AF241" s="18"/>
    </row>
    <row r="242">
      <c r="A242" s="10" t="s">
        <v>288</v>
      </c>
      <c r="B242" s="39" t="str">
        <f>VLOOKUP(lEFT($A242,4),Setor!$A:$E,3,0)</f>
        <v>#N/A</v>
      </c>
      <c r="C242" s="39" t="str">
        <f>VLOOKUP(lEFT($A242,4),Setor!$A:$E,4,0)</f>
        <v>#N/A</v>
      </c>
      <c r="D242" s="39" t="str">
        <f>VLOOKUP(lEFT($A242,4),Setor!$A:$E,5,0)</f>
        <v>#N/A</v>
      </c>
      <c r="E242" s="17">
        <f>IFERROR(__xludf.DUMMYFUNCTION("GOOGLEFINANCE(A242)"),16.77)</f>
        <v>16.77</v>
      </c>
      <c r="F242" s="17">
        <f>IFERROR(__xludf.DUMMYFUNCTION("GOOGLEFINANCE($A242,""high52"")"),23.7)</f>
        <v>23.7</v>
      </c>
      <c r="G242" s="16">
        <f t="shared" si="1"/>
        <v>-0.2924050633</v>
      </c>
      <c r="H242" s="40">
        <f>VLOOKUP($A242,'Dados StatusInvest'!$A:$AY,column(H242)-$A$5,0)*VLOOKUP($A242,'Dados StatusInvest'!$A:$AY,2,0)/$E242/100</f>
        <v>0</v>
      </c>
      <c r="I242" s="41">
        <f>VLOOKUP($A242,'Dados StatusInvest'!$A:$AY,column(I242)-$A$5,0)/VLOOKUP($A242,'Dados StatusInvest'!$A:$AY,2,0)*$E242</f>
        <v>-41.21116906</v>
      </c>
      <c r="J242" s="41">
        <f>VLOOKUP($A242,'Dados StatusInvest'!$A:$AY,column(J242)-$A$5,0)/VLOOKUP($A242,'Dados StatusInvest'!$A:$AY,2,0)*$E242</f>
        <v>3.156942446</v>
      </c>
      <c r="K242" s="42">
        <f>VLOOKUP($A242,'Dados StatusInvest'!$A:$AY,column(K242)-$A$5,0)/VLOOKUP($A242,'Dados StatusInvest'!$A:$AY,2,0)*$E242</f>
        <v>1.447769784</v>
      </c>
      <c r="L242" s="43">
        <f>VLOOKUP($A242,'Dados StatusInvest'!$A:$AY,column(L242)-$A$5,0)/100</f>
        <v>0.3338</v>
      </c>
      <c r="M242" s="44">
        <f>VLOOKUP($A242,'Dados StatusInvest'!$A:$AY,column(M242)-$A$5,0)</f>
        <v>-24.1</v>
      </c>
      <c r="N242" s="44">
        <f>VLOOKUP($A242,'Dados StatusInvest'!$A:$AY,column(N242)-$A$5,0)</f>
        <v>-20.53</v>
      </c>
      <c r="O242" s="41">
        <f>VLOOKUP($A242,'Dados StatusInvest'!$A:$AY,column(O242)-$A$5,0)/VLOOKUP($A242,'Dados StatusInvest'!$A:$AY,2,0)*$E242</f>
        <v>-35.09836331</v>
      </c>
      <c r="P242" s="41">
        <f>VLOOKUP($A242,'Dados StatusInvest'!$A:$AY,column(P242)-$A$5,0)-VLOOKUP($A242,'Dados StatusInvest'!$A:$AY,column(P242)-$A$5-1,0)+O242</f>
        <v>-34.92836331</v>
      </c>
      <c r="Q242" s="44">
        <f>VLOOKUP($A242,'Dados StatusInvest'!$A:$AY,column(Q242)-$A$5,0)</f>
        <v>0.19</v>
      </c>
      <c r="R242" s="44">
        <f>VLOOKUP($A242,'Dados StatusInvest'!$A:$AY,column(R242)-$A$5,0)</f>
        <v>-0.02</v>
      </c>
      <c r="S242" s="41">
        <f>VLOOKUP($A242,'Dados StatusInvest'!$A:$AY,column(S242)-$A$5,0)/VLOOKUP($A242,'Dados StatusInvest'!$A:$AY,2,0)*$E242</f>
        <v>8.455377698</v>
      </c>
      <c r="T242" s="42">
        <f>VLOOKUP($A242,'Dados StatusInvest'!$A:$AY,column(T242)-$A$5,0)/VLOOKUP($A242,'Dados StatusInvest'!$A:$AY,2,0)*$E242</f>
        <v>5.087302158</v>
      </c>
      <c r="U242" s="44">
        <f>VLOOKUP($A242,'Dados StatusInvest'!$A:$AY,column(U242)-$A$5,0)</f>
        <v>-2.72</v>
      </c>
      <c r="V242" s="45">
        <f>VLOOKUP($A242,'Dados StatusInvest'!$A:$AY,column(V242)-$A$5,0)</f>
        <v>2.55</v>
      </c>
      <c r="W242" s="45">
        <f>VLOOKUP($A242,'Dados StatusInvest'!$A:$AY,column(W242)-$A$5,0)</f>
        <v>-7.66</v>
      </c>
      <c r="X242" s="45">
        <f>VLOOKUP($A242,'Dados StatusInvest'!$A:$AY,column(X242)-$A$5,0)</f>
        <v>-3.52</v>
      </c>
      <c r="Y242" s="45">
        <f>VLOOKUP($A242,'Dados StatusInvest'!$A:$AY,column(Y242)-$A$5,0)</f>
        <v>-7.31</v>
      </c>
      <c r="Z242" s="44">
        <f>VLOOKUP($A242,'Dados StatusInvest'!$A:$AY,column(Z242)-$A$5,0)</f>
        <v>0.46</v>
      </c>
      <c r="AA242" s="44">
        <f>VLOOKUP($A242,'Dados StatusInvest'!$A:$AY,column(AA242)-$A$5,0)</f>
        <v>0.54</v>
      </c>
      <c r="AB242" s="44">
        <f>VLOOKUP($A242,'Dados StatusInvest'!$A:$AY,column(AB242)-$A$5,0)</f>
        <v>0.17</v>
      </c>
      <c r="AC242" s="44">
        <f>VLOOKUP($A242,'Dados StatusInvest'!$A:$AY,column(AC242)-$A$5,0)</f>
        <v>0</v>
      </c>
      <c r="AD242" s="45">
        <f>VLOOKUP($A242,'Dados StatusInvest'!$A:$AY,column(AD242)-$A$5,0)</f>
        <v>0</v>
      </c>
      <c r="AE242" s="46">
        <f>VLOOKUP($A242,'Dados StatusInvest'!$A:$AY,column(AE242)-$A$5,0)</f>
        <v>2784694.75</v>
      </c>
      <c r="AF242" s="51"/>
    </row>
    <row r="243">
      <c r="A243" s="10" t="s">
        <v>289</v>
      </c>
      <c r="B243" s="39" t="str">
        <f>VLOOKUP(lEFT($A243,4),Setor!$A:$E,3,0)</f>
        <v>#N/A</v>
      </c>
      <c r="C243" s="39" t="str">
        <f>VLOOKUP(lEFT($A243,4),Setor!$A:$E,4,0)</f>
        <v>#N/A</v>
      </c>
      <c r="D243" s="39" t="str">
        <f>VLOOKUP(lEFT($A243,4),Setor!$A:$E,5,0)</f>
        <v>#N/A</v>
      </c>
      <c r="E243" s="17">
        <f>IFERROR(__xludf.DUMMYFUNCTION("GOOGLEFINANCE(A243)"),13.81)</f>
        <v>13.81</v>
      </c>
      <c r="F243" s="17">
        <f>IFERROR(__xludf.DUMMYFUNCTION("GOOGLEFINANCE($A243,""high52"")"),17.88)</f>
        <v>17.88</v>
      </c>
      <c r="G243" s="16">
        <f t="shared" si="1"/>
        <v>-0.2276286353</v>
      </c>
      <c r="H243" s="40">
        <f>VLOOKUP($A243,'Dados StatusInvest'!$A:$AY,column(H243)-$A$5,0)*VLOOKUP($A243,'Dados StatusInvest'!$A:$AY,2,0)/$E243/100</f>
        <v>0</v>
      </c>
      <c r="I243" s="41">
        <f>VLOOKUP($A243,'Dados StatusInvest'!$A:$AY,column(I243)-$A$5,0)/VLOOKUP($A243,'Dados StatusInvest'!$A:$AY,2,0)*$E243</f>
        <v>21.73102143</v>
      </c>
      <c r="J243" s="41">
        <f>VLOOKUP($A243,'Dados StatusInvest'!$A:$AY,column(J243)-$A$5,0)/VLOOKUP($A243,'Dados StatusInvest'!$A:$AY,2,0)*$E243</f>
        <v>3.008607143</v>
      </c>
      <c r="K243" s="42">
        <f>VLOOKUP($A243,'Dados StatusInvest'!$A:$AY,column(K243)-$A$5,0)/VLOOKUP($A243,'Dados StatusInvest'!$A:$AY,2,0)*$E243</f>
        <v>1.627607143</v>
      </c>
      <c r="L243" s="43">
        <f>VLOOKUP($A243,'Dados StatusInvest'!$A:$AY,column(L243)-$A$5,0)/100</f>
        <v>0.2121</v>
      </c>
      <c r="M243" s="44">
        <f>VLOOKUP($A243,'Dados StatusInvest'!$A:$AY,column(M243)-$A$5,0)</f>
        <v>17.62</v>
      </c>
      <c r="N243" s="44">
        <f>VLOOKUP($A243,'Dados StatusInvest'!$A:$AY,column(N243)-$A$5,0)</f>
        <v>12.57</v>
      </c>
      <c r="O243" s="41">
        <f>VLOOKUP($A243,'Dados StatusInvest'!$A:$AY,column(O243)-$A$5,0)/VLOOKUP($A243,'Dados StatusInvest'!$A:$AY,2,0)*$E243</f>
        <v>15.50665714</v>
      </c>
      <c r="P243" s="41">
        <f>VLOOKUP($A243,'Dados StatusInvest'!$A:$AY,column(P243)-$A$5,0)-VLOOKUP($A243,'Dados StatusInvest'!$A:$AY,column(P243)-$A$5-1,0)+O243</f>
        <v>15.11665714</v>
      </c>
      <c r="Q243" s="44">
        <f>VLOOKUP($A243,'Dados StatusInvest'!$A:$AY,column(Q243)-$A$5,0)</f>
        <v>-0.48</v>
      </c>
      <c r="R243" s="44">
        <f>VLOOKUP($A243,'Dados StatusInvest'!$A:$AY,column(R243)-$A$5,0)</f>
        <v>-0.09</v>
      </c>
      <c r="S243" s="41">
        <f>VLOOKUP($A243,'Dados StatusInvest'!$A:$AY,column(S243)-$A$5,0)/VLOOKUP($A243,'Dados StatusInvest'!$A:$AY,2,0)*$E243</f>
        <v>2.732407143</v>
      </c>
      <c r="T243" s="42">
        <f>VLOOKUP($A243,'Dados StatusInvest'!$A:$AY,column(T243)-$A$5,0)/VLOOKUP($A243,'Dados StatusInvest'!$A:$AY,2,0)*$E243</f>
        <v>3.363721429</v>
      </c>
      <c r="U243" s="44">
        <f>VLOOKUP($A243,'Dados StatusInvest'!$A:$AY,column(U243)-$A$5,0)</f>
        <v>-13.77</v>
      </c>
      <c r="V243" s="45">
        <f>VLOOKUP($A243,'Dados StatusInvest'!$A:$AY,column(V243)-$A$5,0)</f>
        <v>2.23</v>
      </c>
      <c r="W243" s="45">
        <f>VLOOKUP($A243,'Dados StatusInvest'!$A:$AY,column(W243)-$A$5,0)</f>
        <v>13.82</v>
      </c>
      <c r="X243" s="45">
        <f>VLOOKUP($A243,'Dados StatusInvest'!$A:$AY,column(X243)-$A$5,0)</f>
        <v>7.51</v>
      </c>
      <c r="Y243" s="45">
        <f>VLOOKUP($A243,'Dados StatusInvest'!$A:$AY,column(Y243)-$A$5,0)</f>
        <v>12.55</v>
      </c>
      <c r="Z243" s="44">
        <f>VLOOKUP($A243,'Dados StatusInvest'!$A:$AY,column(Z243)-$A$5,0)</f>
        <v>0.54</v>
      </c>
      <c r="AA243" s="44">
        <f>VLOOKUP($A243,'Dados StatusInvest'!$A:$AY,column(AA243)-$A$5,0)</f>
        <v>0.46</v>
      </c>
      <c r="AB243" s="44">
        <f>VLOOKUP($A243,'Dados StatusInvest'!$A:$AY,column(AB243)-$A$5,0)</f>
        <v>0.6</v>
      </c>
      <c r="AC243" s="44">
        <f>VLOOKUP($A243,'Dados StatusInvest'!$A:$AY,column(AC243)-$A$5,0)</f>
        <v>0</v>
      </c>
      <c r="AD243" s="45">
        <f>VLOOKUP($A243,'Dados StatusInvest'!$A:$AY,column(AD243)-$A$5,0)</f>
        <v>0</v>
      </c>
      <c r="AE243" s="46">
        <f>VLOOKUP($A243,'Dados StatusInvest'!$A:$AY,column(AE243)-$A$5,0)</f>
        <v>3862646.96</v>
      </c>
      <c r="AF243" s="18"/>
    </row>
    <row r="244">
      <c r="A244" s="10" t="s">
        <v>290</v>
      </c>
      <c r="B244" s="39" t="str">
        <f>VLOOKUP(lEFT($A244,4),Setor!$A:$E,3,0)</f>
        <v>#N/A</v>
      </c>
      <c r="C244" s="39" t="str">
        <f>VLOOKUP(lEFT($A244,4),Setor!$A:$E,4,0)</f>
        <v>#N/A</v>
      </c>
      <c r="D244" s="39" t="str">
        <f>VLOOKUP(lEFT($A244,4),Setor!$A:$E,5,0)</f>
        <v>#N/A</v>
      </c>
      <c r="E244" s="17">
        <f>IFERROR(__xludf.DUMMYFUNCTION("GOOGLEFINANCE(A244)"),10.26)</f>
        <v>10.26</v>
      </c>
      <c r="F244" s="17">
        <f>IFERROR(__xludf.DUMMYFUNCTION("GOOGLEFINANCE($A244,""high52"")"),15.23)</f>
        <v>15.23</v>
      </c>
      <c r="G244" s="16">
        <f t="shared" si="1"/>
        <v>-0.3263296126</v>
      </c>
      <c r="H244" s="40">
        <f>VLOOKUP($A244,'Dados StatusInvest'!$A:$AY,column(H244)-$A$5,0)*VLOOKUP($A244,'Dados StatusInvest'!$A:$AY,2,0)/$E244/100</f>
        <v>0.09383450292</v>
      </c>
      <c r="I244" s="41">
        <f>VLOOKUP($A244,'Dados StatusInvest'!$A:$AY,column(I244)-$A$5,0)/VLOOKUP($A244,'Dados StatusInvest'!$A:$AY,2,0)*$E244</f>
        <v>32.90135189</v>
      </c>
      <c r="J244" s="41">
        <f>VLOOKUP($A244,'Dados StatusInvest'!$A:$AY,column(J244)-$A$5,0)/VLOOKUP($A244,'Dados StatusInvest'!$A:$AY,2,0)*$E244</f>
        <v>0.9586878728</v>
      </c>
      <c r="K244" s="42">
        <f>VLOOKUP($A244,'Dados StatusInvest'!$A:$AY,column(K244)-$A$5,0)/VLOOKUP($A244,'Dados StatusInvest'!$A:$AY,2,0)*$E244</f>
        <v>0.3059642147</v>
      </c>
      <c r="L244" s="43">
        <f>VLOOKUP($A244,'Dados StatusInvest'!$A:$AY,column(L244)-$A$5,0)/100</f>
        <v>0.6282</v>
      </c>
      <c r="M244" s="44">
        <f>VLOOKUP($A244,'Dados StatusInvest'!$A:$AY,column(M244)-$A$5,0)</f>
        <v>53.02</v>
      </c>
      <c r="N244" s="44">
        <f>VLOOKUP($A244,'Dados StatusInvest'!$A:$AY,column(N244)-$A$5,0)</f>
        <v>9.63</v>
      </c>
      <c r="O244" s="41">
        <f>VLOOKUP($A244,'Dados StatusInvest'!$A:$AY,column(O244)-$A$5,0)/VLOOKUP($A244,'Dados StatusInvest'!$A:$AY,2,0)*$E244</f>
        <v>5.976500994</v>
      </c>
      <c r="P244" s="41">
        <f>VLOOKUP($A244,'Dados StatusInvest'!$A:$AY,column(P244)-$A$5,0)-VLOOKUP($A244,'Dados StatusInvest'!$A:$AY,column(P244)-$A$5-1,0)+O244</f>
        <v>9.996500994</v>
      </c>
      <c r="Q244" s="44">
        <f>VLOOKUP($A244,'Dados StatusInvest'!$A:$AY,column(Q244)-$A$5,0)</f>
        <v>4.05</v>
      </c>
      <c r="R244" s="44">
        <f>VLOOKUP($A244,'Dados StatusInvest'!$A:$AY,column(R244)-$A$5,0)</f>
        <v>0.65</v>
      </c>
      <c r="S244" s="41">
        <f>VLOOKUP($A244,'Dados StatusInvest'!$A:$AY,column(S244)-$A$5,0)/VLOOKUP($A244,'Dados StatusInvest'!$A:$AY,2,0)*$E244</f>
        <v>3.161630219</v>
      </c>
      <c r="T244" s="42">
        <f>VLOOKUP($A244,'Dados StatusInvest'!$A:$AY,column(T244)-$A$5,0)/VLOOKUP($A244,'Dados StatusInvest'!$A:$AY,2,0)*$E244</f>
        <v>3.212624254</v>
      </c>
      <c r="U244" s="44">
        <f>VLOOKUP($A244,'Dados StatusInvest'!$A:$AY,column(U244)-$A$5,0)</f>
        <v>-0.35</v>
      </c>
      <c r="V244" s="45">
        <f>VLOOKUP($A244,'Dados StatusInvest'!$A:$AY,column(V244)-$A$5,0)</f>
        <v>2.68</v>
      </c>
      <c r="W244" s="45">
        <f>VLOOKUP($A244,'Dados StatusInvest'!$A:$AY,column(W244)-$A$5,0)</f>
        <v>2.9</v>
      </c>
      <c r="X244" s="45">
        <f>VLOOKUP($A244,'Dados StatusInvest'!$A:$AY,column(X244)-$A$5,0)</f>
        <v>0.92</v>
      </c>
      <c r="Y244" s="45">
        <f>VLOOKUP($A244,'Dados StatusInvest'!$A:$AY,column(Y244)-$A$5,0)</f>
        <v>4.92</v>
      </c>
      <c r="Z244" s="44">
        <f>VLOOKUP($A244,'Dados StatusInvest'!$A:$AY,column(Z244)-$A$5,0)</f>
        <v>0.32</v>
      </c>
      <c r="AA244" s="44">
        <f>VLOOKUP($A244,'Dados StatusInvest'!$A:$AY,column(AA244)-$A$5,0)</f>
        <v>0.43</v>
      </c>
      <c r="AB244" s="44">
        <f>VLOOKUP($A244,'Dados StatusInvest'!$A:$AY,column(AB244)-$A$5,0)</f>
        <v>0.1</v>
      </c>
      <c r="AC244" s="44">
        <f>VLOOKUP($A244,'Dados StatusInvest'!$A:$AY,column(AC244)-$A$5,0)</f>
        <v>4.82</v>
      </c>
      <c r="AD244" s="45">
        <f>VLOOKUP($A244,'Dados StatusInvest'!$A:$AY,column(AD244)-$A$5,0)</f>
        <v>15.35</v>
      </c>
      <c r="AE244" s="46">
        <f>VLOOKUP($A244,'Dados StatusInvest'!$A:$AY,column(AE244)-$A$5,0)</f>
        <v>5035710.83</v>
      </c>
      <c r="AF244" s="18"/>
    </row>
    <row r="245">
      <c r="A245" s="10" t="s">
        <v>291</v>
      </c>
      <c r="B245" s="39" t="str">
        <f>VLOOKUP(lEFT($A245,4),Setor!$A:$E,3,0)</f>
        <v>Consumo Cíclico</v>
      </c>
      <c r="C245" s="39" t="str">
        <f>VLOOKUP(lEFT($A245,4),Setor!$A:$E,4,0)</f>
        <v>Viagens e Lazer</v>
      </c>
      <c r="D245" s="39" t="str">
        <f>VLOOKUP(lEFT($A245,4),Setor!$A:$E,5,0)</f>
        <v>Produção de Eventos e Shows</v>
      </c>
      <c r="E245" s="17">
        <f>IFERROR(__xludf.DUMMYFUNCTION("GOOGLEFINANCE(A245)"),4.72)</f>
        <v>4.72</v>
      </c>
      <c r="F245" s="17">
        <f>IFERROR(__xludf.DUMMYFUNCTION("GOOGLEFINANCE($A245,""high52"")"),8.0)</f>
        <v>8</v>
      </c>
      <c r="G245" s="16">
        <f t="shared" si="1"/>
        <v>-0.41</v>
      </c>
      <c r="H245" s="40">
        <f>VLOOKUP($A245,'Dados StatusInvest'!$A:$AY,column(H245)-$A$5,0)*VLOOKUP($A245,'Dados StatusInvest'!$A:$AY,2,0)/$E245/100</f>
        <v>0</v>
      </c>
      <c r="I245" s="41">
        <f>VLOOKUP($A245,'Dados StatusInvest'!$A:$AY,column(I245)-$A$5,0)/VLOOKUP($A245,'Dados StatusInvest'!$A:$AY,2,0)*$E245</f>
        <v>-3.353429158</v>
      </c>
      <c r="J245" s="41">
        <f>VLOOKUP($A245,'Dados StatusInvest'!$A:$AY,column(J245)-$A$5,0)/VLOOKUP($A245,'Dados StatusInvest'!$A:$AY,2,0)*$E245</f>
        <v>1.880246407</v>
      </c>
      <c r="K245" s="42">
        <f>VLOOKUP($A245,'Dados StatusInvest'!$A:$AY,column(K245)-$A$5,0)/VLOOKUP($A245,'Dados StatusInvest'!$A:$AY,2,0)*$E245</f>
        <v>0.6493634497</v>
      </c>
      <c r="L245" s="43">
        <f>VLOOKUP($A245,'Dados StatusInvest'!$A:$AY,column(L245)-$A$5,0)/100</f>
        <v>-1.9422</v>
      </c>
      <c r="M245" s="44">
        <f>VLOOKUP($A245,'Dados StatusInvest'!$A:$AY,column(M245)-$A$5,0)</f>
        <v>-786.98</v>
      </c>
      <c r="N245" s="47">
        <f>VLOOKUP($A245,'Dados StatusInvest'!$A:$AY,column(N245)-$A$5,0)</f>
        <v>-1038.86</v>
      </c>
      <c r="O245" s="41">
        <f>VLOOKUP($A245,'Dados StatusInvest'!$A:$AY,column(O245)-$A$5,0)/VLOOKUP($A245,'Dados StatusInvest'!$A:$AY,2,0)*$E245</f>
        <v>-4.429240246</v>
      </c>
      <c r="P245" s="41">
        <f>VLOOKUP($A245,'Dados StatusInvest'!$A:$AY,column(P245)-$A$5,0)-VLOOKUP($A245,'Dados StatusInvest'!$A:$AY,column(P245)-$A$5-1,0)+O245</f>
        <v>-3.599240246</v>
      </c>
      <c r="Q245" s="44">
        <f>VLOOKUP($A245,'Dados StatusInvest'!$A:$AY,column(Q245)-$A$5,0)</f>
        <v>0.85</v>
      </c>
      <c r="R245" s="44">
        <f>VLOOKUP($A245,'Dados StatusInvest'!$A:$AY,column(R245)-$A$5,0)</f>
        <v>-0.36</v>
      </c>
      <c r="S245" s="41">
        <f>VLOOKUP($A245,'Dados StatusInvest'!$A:$AY,column(S245)-$A$5,0)/VLOOKUP($A245,'Dados StatusInvest'!$A:$AY,2,0)*$E245</f>
        <v>34.88147844</v>
      </c>
      <c r="T245" s="42">
        <f>VLOOKUP($A245,'Dados StatusInvest'!$A:$AY,column(T245)-$A$5,0)/VLOOKUP($A245,'Dados StatusInvest'!$A:$AY,2,0)*$E245</f>
        <v>3.023901437</v>
      </c>
      <c r="U245" s="47">
        <f>VLOOKUP($A245,'Dados StatusInvest'!$A:$AY,column(U245)-$A$5,0)</f>
        <v>-1.68</v>
      </c>
      <c r="V245" s="45">
        <f>VLOOKUP($A245,'Dados StatusInvest'!$A:$AY,column(V245)-$A$5,0)</f>
        <v>1.56</v>
      </c>
      <c r="W245" s="45">
        <f>VLOOKUP($A245,'Dados StatusInvest'!$A:$AY,column(W245)-$A$5,0)</f>
        <v>-55.99</v>
      </c>
      <c r="X245" s="48">
        <f>VLOOKUP($A245,'Dados StatusInvest'!$A:$AY,column(X245)-$A$5,0)</f>
        <v>-19.39</v>
      </c>
      <c r="Y245" s="45">
        <f>VLOOKUP($A245,'Dados StatusInvest'!$A:$AY,column(Y245)-$A$5,0)</f>
        <v>-28.42</v>
      </c>
      <c r="Z245" s="44">
        <f>VLOOKUP($A245,'Dados StatusInvest'!$A:$AY,column(Z245)-$A$5,0)</f>
        <v>0.35</v>
      </c>
      <c r="AA245" s="44">
        <f>VLOOKUP($A245,'Dados StatusInvest'!$A:$AY,column(AA245)-$A$5,0)</f>
        <v>0.66</v>
      </c>
      <c r="AB245" s="44">
        <f>VLOOKUP($A245,'Dados StatusInvest'!$A:$AY,column(AB245)-$A$5,0)</f>
        <v>0.02</v>
      </c>
      <c r="AC245" s="44">
        <f>VLOOKUP($A245,'Dados StatusInvest'!$A:$AY,column(AC245)-$A$5,0)</f>
        <v>-40.82</v>
      </c>
      <c r="AD245" s="45">
        <f>VLOOKUP($A245,'Dados StatusInvest'!$A:$AY,column(AD245)-$A$5,0)</f>
        <v>0</v>
      </c>
      <c r="AE245" s="46">
        <f>VLOOKUP($A245,'Dados StatusInvest'!$A:$AY,column(AE245)-$A$5,0)</f>
        <v>3280457.13</v>
      </c>
      <c r="AF245" s="18"/>
    </row>
    <row r="246">
      <c r="A246" s="10" t="s">
        <v>292</v>
      </c>
      <c r="B246" s="39" t="str">
        <f>VLOOKUP(lEFT($A246,4),Setor!$A:$E,3,0)</f>
        <v>Financeiro</v>
      </c>
      <c r="C246" s="39" t="str">
        <f>VLOOKUP(lEFT($A246,4),Setor!$A:$E,4,0)</f>
        <v>Exploração de Imóveis</v>
      </c>
      <c r="D246" s="39" t="str">
        <f>VLOOKUP(lEFT($A246,4),Setor!$A:$E,5,0)</f>
        <v>Intermediação Imobiliária</v>
      </c>
      <c r="E246" s="17">
        <f>IFERROR(__xludf.DUMMYFUNCTION("GOOGLEFINANCE(A246)"),1.79)</f>
        <v>1.79</v>
      </c>
      <c r="F246" s="17">
        <f>IFERROR(__xludf.DUMMYFUNCTION("GOOGLEFINANCE($A246,""high52"")"),4.38)</f>
        <v>4.38</v>
      </c>
      <c r="G246" s="16">
        <f t="shared" si="1"/>
        <v>-0.5913242009</v>
      </c>
      <c r="H246" s="40">
        <f>VLOOKUP($A246,'Dados StatusInvest'!$A:$AY,column(H246)-$A$5,0)*VLOOKUP($A246,'Dados StatusInvest'!$A:$AY,2,0)/$E246/100</f>
        <v>0</v>
      </c>
      <c r="I246" s="41">
        <f>VLOOKUP($A246,'Dados StatusInvest'!$A:$AY,column(I246)-$A$5,0)/VLOOKUP($A246,'Dados StatusInvest'!$A:$AY,2,0)*$E246</f>
        <v>-1.135121951</v>
      </c>
      <c r="J246" s="41">
        <f>VLOOKUP($A246,'Dados StatusInvest'!$A:$AY,column(J246)-$A$5,0)/VLOOKUP($A246,'Dados StatusInvest'!$A:$AY,2,0)*$E246</f>
        <v>2.892378049</v>
      </c>
      <c r="K246" s="42">
        <f>VLOOKUP($A246,'Dados StatusInvest'!$A:$AY,column(K246)-$A$5,0)/VLOOKUP($A246,'Dados StatusInvest'!$A:$AY,2,0)*$E246</f>
        <v>0.742195122</v>
      </c>
      <c r="L246" s="43">
        <f>VLOOKUP($A246,'Dados StatusInvest'!$A:$AY,column(L246)-$A$5,0)/100</f>
        <v>0.6262</v>
      </c>
      <c r="M246" s="44">
        <f>VLOOKUP($A246,'Dados StatusInvest'!$A:$AY,column(M246)-$A$5,0)</f>
        <v>-91.37</v>
      </c>
      <c r="N246" s="44">
        <f>VLOOKUP($A246,'Dados StatusInvest'!$A:$AY,column(N246)-$A$5,0)</f>
        <v>-100.24</v>
      </c>
      <c r="O246" s="41">
        <f>VLOOKUP($A246,'Dados StatusInvest'!$A:$AY,column(O246)-$A$5,0)/VLOOKUP($A246,'Dados StatusInvest'!$A:$AY,2,0)*$E246</f>
        <v>-1.244268293</v>
      </c>
      <c r="P246" s="41">
        <f>VLOOKUP($A246,'Dados StatusInvest'!$A:$AY,column(P246)-$A$5,0)-VLOOKUP($A246,'Dados StatusInvest'!$A:$AY,column(P246)-$A$5-1,0)+O246</f>
        <v>-1.054268293</v>
      </c>
      <c r="Q246" s="44">
        <f>VLOOKUP($A246,'Dados StatusInvest'!$A:$AY,column(Q246)-$A$5,0)</f>
        <v>0.2</v>
      </c>
      <c r="R246" s="44">
        <f>VLOOKUP($A246,'Dados StatusInvest'!$A:$AY,column(R246)-$A$5,0)</f>
        <v>-0.46</v>
      </c>
      <c r="S246" s="41">
        <f>VLOOKUP($A246,'Dados StatusInvest'!$A:$AY,column(S246)-$A$5,0)/VLOOKUP($A246,'Dados StatusInvest'!$A:$AY,2,0)*$E246</f>
        <v>1.135121951</v>
      </c>
      <c r="T246" s="42">
        <f>VLOOKUP($A246,'Dados StatusInvest'!$A:$AY,column(T246)-$A$5,0)/VLOOKUP($A246,'Dados StatusInvest'!$A:$AY,2,0)*$E246</f>
        <v>-4.125731707</v>
      </c>
      <c r="U246" s="44">
        <f>VLOOKUP($A246,'Dados StatusInvest'!$A:$AY,column(U246)-$A$5,0)</f>
        <v>-0.91</v>
      </c>
      <c r="V246" s="45">
        <f>VLOOKUP($A246,'Dados StatusInvest'!$A:$AY,column(V246)-$A$5,0)</f>
        <v>0.58</v>
      </c>
      <c r="W246" s="45">
        <f>VLOOKUP($A246,'Dados StatusInvest'!$A:$AY,column(W246)-$A$5,0)</f>
        <v>-255.74</v>
      </c>
      <c r="X246" s="45">
        <f>VLOOKUP($A246,'Dados StatusInvest'!$A:$AY,column(X246)-$A$5,0)</f>
        <v>-65.74</v>
      </c>
      <c r="Y246" s="45">
        <f>VLOOKUP($A246,'Dados StatusInvest'!$A:$AY,column(Y246)-$A$5,0)</f>
        <v>-232.34</v>
      </c>
      <c r="Z246" s="44">
        <f>VLOOKUP($A246,'Dados StatusInvest'!$A:$AY,column(Z246)-$A$5,0)</f>
        <v>0.26</v>
      </c>
      <c r="AA246" s="44">
        <f>VLOOKUP($A246,'Dados StatusInvest'!$A:$AY,column(AA246)-$A$5,0)</f>
        <v>0.74</v>
      </c>
      <c r="AB246" s="44">
        <f>VLOOKUP($A246,'Dados StatusInvest'!$A:$AY,column(AB246)-$A$5,0)</f>
        <v>0.66</v>
      </c>
      <c r="AC246" s="44">
        <f>VLOOKUP($A246,'Dados StatusInvest'!$A:$AY,column(AC246)-$A$5,0)</f>
        <v>-9.38</v>
      </c>
      <c r="AD246" s="45">
        <f>VLOOKUP($A246,'Dados StatusInvest'!$A:$AY,column(AD246)-$A$5,0)</f>
        <v>0</v>
      </c>
      <c r="AE246" s="46">
        <f>VLOOKUP($A246,'Dados StatusInvest'!$A:$AY,column(AE246)-$A$5,0)</f>
        <v>2803750.96</v>
      </c>
      <c r="AF246" s="49"/>
    </row>
    <row r="247">
      <c r="A247" s="10" t="s">
        <v>293</v>
      </c>
      <c r="B247" s="39" t="str">
        <f>VLOOKUP(lEFT($A247,4),Setor!$A:$E,3,0)</f>
        <v>Materiais Básicos</v>
      </c>
      <c r="C247" s="39" t="str">
        <f>VLOOKUP(lEFT($A247,4),Setor!$A:$E,4,0)</f>
        <v>Madeira e Papel</v>
      </c>
      <c r="D247" s="39" t="str">
        <f>VLOOKUP(lEFT($A247,4),Setor!$A:$E,5,0)</f>
        <v>Papel e Celulose</v>
      </c>
      <c r="E247" s="17">
        <f>IFERROR(__xludf.DUMMYFUNCTION("GOOGLEFINANCE(A247)"),4.22)</f>
        <v>4.22</v>
      </c>
      <c r="F247" s="17">
        <f>IFERROR(__xludf.DUMMYFUNCTION("GOOGLEFINANCE($A247,""high52"")"),6.25)</f>
        <v>6.25</v>
      </c>
      <c r="G247" s="16">
        <f t="shared" si="1"/>
        <v>-0.3248</v>
      </c>
      <c r="H247" s="40">
        <f>VLOOKUP($A247,'Dados StatusInvest'!$A:$AY,column(H247)-$A$5,0)*VLOOKUP($A247,'Dados StatusInvest'!$A:$AY,2,0)/$E247/100</f>
        <v>0</v>
      </c>
      <c r="I247" s="41">
        <f>VLOOKUP($A247,'Dados StatusInvest'!$A:$AY,column(I247)-$A$5,0)/VLOOKUP($A247,'Dados StatusInvest'!$A:$AY,2,0)*$E247</f>
        <v>11.01995455</v>
      </c>
      <c r="J247" s="41">
        <f>VLOOKUP($A247,'Dados StatusInvest'!$A:$AY,column(J247)-$A$5,0)/VLOOKUP($A247,'Dados StatusInvest'!$A:$AY,2,0)*$E247</f>
        <v>4.440590909</v>
      </c>
      <c r="K247" s="42">
        <f>VLOOKUP($A247,'Dados StatusInvest'!$A:$AY,column(K247)-$A$5,0)/VLOOKUP($A247,'Dados StatusInvest'!$A:$AY,2,0)*$E247</f>
        <v>0.6234090909</v>
      </c>
      <c r="L247" s="43">
        <f>VLOOKUP($A247,'Dados StatusInvest'!$A:$AY,column(L247)-$A$5,0)/100</f>
        <v>0.3963</v>
      </c>
      <c r="M247" s="44">
        <f>VLOOKUP($A247,'Dados StatusInvest'!$A:$AY,column(M247)-$A$5,0)</f>
        <v>27.42</v>
      </c>
      <c r="N247" s="44">
        <f>VLOOKUP($A247,'Dados StatusInvest'!$A:$AY,column(N247)-$A$5,0)</f>
        <v>15.46</v>
      </c>
      <c r="O247" s="41">
        <f>VLOOKUP($A247,'Dados StatusInvest'!$A:$AY,column(O247)-$A$5,0)/VLOOKUP($A247,'Dados StatusInvest'!$A:$AY,2,0)*$E247</f>
        <v>6.214909091</v>
      </c>
      <c r="P247" s="41">
        <f>VLOOKUP($A247,'Dados StatusInvest'!$A:$AY,column(P247)-$A$5,0)-VLOOKUP($A247,'Dados StatusInvest'!$A:$AY,column(P247)-$A$5-1,0)+O247</f>
        <v>11.58490909</v>
      </c>
      <c r="Q247" s="44">
        <f>VLOOKUP($A247,'Dados StatusInvest'!$A:$AY,column(Q247)-$A$5,0)</f>
        <v>4.92</v>
      </c>
      <c r="R247" s="44">
        <f>VLOOKUP($A247,'Dados StatusInvest'!$A:$AY,column(R247)-$A$5,0)</f>
        <v>3.52</v>
      </c>
      <c r="S247" s="41">
        <f>VLOOKUP($A247,'Dados StatusInvest'!$A:$AY,column(S247)-$A$5,0)/VLOOKUP($A247,'Dados StatusInvest'!$A:$AY,2,0)*$E247</f>
        <v>1.707181818</v>
      </c>
      <c r="T247" s="42">
        <f>VLOOKUP($A247,'Dados StatusInvest'!$A:$AY,column(T247)-$A$5,0)/VLOOKUP($A247,'Dados StatusInvest'!$A:$AY,2,0)*$E247</f>
        <v>2.8485</v>
      </c>
      <c r="U247" s="44">
        <f>VLOOKUP($A247,'Dados StatusInvest'!$A:$AY,column(U247)-$A$5,0)</f>
        <v>-0.98</v>
      </c>
      <c r="V247" s="45">
        <f>VLOOKUP($A247,'Dados StatusInvest'!$A:$AY,column(V247)-$A$5,0)</f>
        <v>2.79</v>
      </c>
      <c r="W247" s="45">
        <f>VLOOKUP($A247,'Dados StatusInvest'!$A:$AY,column(W247)-$A$5,0)</f>
        <v>40.32</v>
      </c>
      <c r="X247" s="45">
        <f>VLOOKUP($A247,'Dados StatusInvest'!$A:$AY,column(X247)-$A$5,0)</f>
        <v>5.62</v>
      </c>
      <c r="Y247" s="45">
        <f>VLOOKUP($A247,'Dados StatusInvest'!$A:$AY,column(Y247)-$A$5,0)</f>
        <v>8.48</v>
      </c>
      <c r="Z247" s="44">
        <f>VLOOKUP($A247,'Dados StatusInvest'!$A:$AY,column(Z247)-$A$5,0)</f>
        <v>0.14</v>
      </c>
      <c r="AA247" s="44">
        <f>VLOOKUP($A247,'Dados StatusInvest'!$A:$AY,column(AA247)-$A$5,0)</f>
        <v>0.83</v>
      </c>
      <c r="AB247" s="44">
        <f>VLOOKUP($A247,'Dados StatusInvest'!$A:$AY,column(AB247)-$A$5,0)</f>
        <v>0.36</v>
      </c>
      <c r="AC247" s="44">
        <f>VLOOKUP($A247,'Dados StatusInvest'!$A:$AY,column(AC247)-$A$5,0)</f>
        <v>16.01</v>
      </c>
      <c r="AD247" s="45">
        <f>VLOOKUP($A247,'Dados StatusInvest'!$A:$AY,column(AD247)-$A$5,0)</f>
        <v>0</v>
      </c>
      <c r="AE247" s="46">
        <f>VLOOKUP($A247,'Dados StatusInvest'!$A:$AY,column(AE247)-$A$5,0)</f>
        <v>3522547.67</v>
      </c>
      <c r="AF247" s="49"/>
    </row>
    <row r="248">
      <c r="A248" s="10" t="s">
        <v>294</v>
      </c>
      <c r="B248" s="39" t="str">
        <f>VLOOKUP(lEFT($A248,4),Setor!$A:$E,3,0)</f>
        <v>Bens Industriais</v>
      </c>
      <c r="C248" s="39" t="str">
        <f>VLOOKUP(lEFT($A248,4),Setor!$A:$E,4,0)</f>
        <v>Material de Transporte</v>
      </c>
      <c r="D248" s="39" t="str">
        <f>VLOOKUP(lEFT($A248,4),Setor!$A:$E,5,0)</f>
        <v>Material Rodoviário</v>
      </c>
      <c r="E248" s="17">
        <f>IFERROR(__xludf.DUMMYFUNCTION("GOOGLEFINANCE(A248)"),1.43)</f>
        <v>1.43</v>
      </c>
      <c r="F248" s="17">
        <f>IFERROR(__xludf.DUMMYFUNCTION("GOOGLEFINANCE($A248,""high52"")"),2.67)</f>
        <v>2.67</v>
      </c>
      <c r="G248" s="16">
        <f t="shared" si="1"/>
        <v>-0.4644194757</v>
      </c>
      <c r="H248" s="40">
        <f>VLOOKUP($A248,'Dados StatusInvest'!$A:$AY,column(H248)-$A$5,0)*VLOOKUP($A248,'Dados StatusInvest'!$A:$AY,2,0)/$E248/100</f>
        <v>0</v>
      </c>
      <c r="I248" s="41">
        <f>VLOOKUP($A248,'Dados StatusInvest'!$A:$AY,column(I248)-$A$5,0)/VLOOKUP($A248,'Dados StatusInvest'!$A:$AY,2,0)*$E248</f>
        <v>151.01</v>
      </c>
      <c r="J248" s="41">
        <f>VLOOKUP($A248,'Dados StatusInvest'!$A:$AY,column(J248)-$A$5,0)/VLOOKUP($A248,'Dados StatusInvest'!$A:$AY,2,0)*$E248</f>
        <v>-2.41</v>
      </c>
      <c r="K248" s="42">
        <f>VLOOKUP($A248,'Dados StatusInvest'!$A:$AY,column(K248)-$A$5,0)/VLOOKUP($A248,'Dados StatusInvest'!$A:$AY,2,0)*$E248</f>
        <v>1.76</v>
      </c>
      <c r="L248" s="43">
        <f>VLOOKUP($A248,'Dados StatusInvest'!$A:$AY,column(L248)-$A$5,0)/100</f>
        <v>0.1782</v>
      </c>
      <c r="M248" s="47">
        <f>VLOOKUP($A248,'Dados StatusInvest'!$A:$AY,column(M248)-$A$5,0)</f>
        <v>4.28</v>
      </c>
      <c r="N248" s="47">
        <f>VLOOKUP($A248,'Dados StatusInvest'!$A:$AY,column(N248)-$A$5,0)</f>
        <v>1.59</v>
      </c>
      <c r="O248" s="41">
        <f>VLOOKUP($A248,'Dados StatusInvest'!$A:$AY,column(O248)-$A$5,0)/VLOOKUP($A248,'Dados StatusInvest'!$A:$AY,2,0)*$E248</f>
        <v>55.98</v>
      </c>
      <c r="P248" s="41">
        <f>VLOOKUP($A248,'Dados StatusInvest'!$A:$AY,column(P248)-$A$5,0)-VLOOKUP($A248,'Dados StatusInvest'!$A:$AY,column(P248)-$A$5-1,0)+O248</f>
        <v>99.28</v>
      </c>
      <c r="Q248" s="44">
        <f>VLOOKUP($A248,'Dados StatusInvest'!$A:$AY,column(Q248)-$A$5,0)</f>
        <v>-1.69</v>
      </c>
      <c r="R248" s="44">
        <f>VLOOKUP($A248,'Dados StatusInvest'!$A:$AY,column(R248)-$A$5,0)</f>
        <v>0</v>
      </c>
      <c r="S248" s="41">
        <f>VLOOKUP($A248,'Dados StatusInvest'!$A:$AY,column(S248)-$A$5,0)/VLOOKUP($A248,'Dados StatusInvest'!$A:$AY,2,0)*$E248</f>
        <v>2.4</v>
      </c>
      <c r="T248" s="42">
        <f>VLOOKUP($A248,'Dados StatusInvest'!$A:$AY,column(T248)-$A$5,0)/VLOOKUP($A248,'Dados StatusInvest'!$A:$AY,2,0)*$E248</f>
        <v>30.83</v>
      </c>
      <c r="U248" s="44">
        <f>VLOOKUP($A248,'Dados StatusInvest'!$A:$AY,column(U248)-$A$5,0)</f>
        <v>-3.6</v>
      </c>
      <c r="V248" s="45">
        <f>VLOOKUP($A248,'Dados StatusInvest'!$A:$AY,column(V248)-$A$5,0)</f>
        <v>1.13</v>
      </c>
      <c r="W248" s="45">
        <f>VLOOKUP($A248,'Dados StatusInvest'!$A:$AY,column(W248)-$A$5,0)</f>
        <v>-1.59</v>
      </c>
      <c r="X248" s="45">
        <f>VLOOKUP($A248,'Dados StatusInvest'!$A:$AY,column(X248)-$A$5,0)</f>
        <v>1.17</v>
      </c>
      <c r="Y248" s="48">
        <f>VLOOKUP($A248,'Dados StatusInvest'!$A:$AY,column(Y248)-$A$5,0)</f>
        <v>-4.29</v>
      </c>
      <c r="Z248" s="44">
        <f>VLOOKUP($A248,'Dados StatusInvest'!$A:$AY,column(Z248)-$A$5,0)</f>
        <v>-0.73</v>
      </c>
      <c r="AA248" s="44">
        <f>VLOOKUP($A248,'Dados StatusInvest'!$A:$AY,column(AA248)-$A$5,0)</f>
        <v>1.73</v>
      </c>
      <c r="AB248" s="44">
        <f>VLOOKUP($A248,'Dados StatusInvest'!$A:$AY,column(AB248)-$A$5,0)</f>
        <v>0.73</v>
      </c>
      <c r="AC248" s="44">
        <f>VLOOKUP($A248,'Dados StatusInvest'!$A:$AY,column(AC248)-$A$5,0)</f>
        <v>117.05</v>
      </c>
      <c r="AD248" s="45">
        <f>VLOOKUP($A248,'Dados StatusInvest'!$A:$AY,column(AD248)-$A$5,0)</f>
        <v>0</v>
      </c>
      <c r="AE248" s="46">
        <f>VLOOKUP($A248,'Dados StatusInvest'!$A:$AY,column(AE248)-$A$5,0)</f>
        <v>2989293.17</v>
      </c>
      <c r="AF248" s="18"/>
    </row>
    <row r="249">
      <c r="A249" s="10" t="s">
        <v>295</v>
      </c>
      <c r="B249" s="39" t="str">
        <f>VLOOKUP(lEFT($A249,4),Setor!$A:$E,3,0)</f>
        <v>Bens Industriais</v>
      </c>
      <c r="C249" s="39" t="str">
        <f>VLOOKUP(lEFT($A249,4),Setor!$A:$E,4,0)</f>
        <v>Serviços Diversos</v>
      </c>
      <c r="D249" s="39" t="str">
        <f>VLOOKUP(lEFT($A249,4),Setor!$A:$E,5,0)</f>
        <v>Serviços Diversos</v>
      </c>
      <c r="E249" s="17">
        <f>IFERROR(__xludf.DUMMYFUNCTION("GOOGLEFINANCE(A249)"),8.12)</f>
        <v>8.12</v>
      </c>
      <c r="F249" s="17">
        <f>IFERROR(__xludf.DUMMYFUNCTION("GOOGLEFINANCE($A249,""high52"")"),11.25)</f>
        <v>11.25</v>
      </c>
      <c r="G249" s="16">
        <f t="shared" si="1"/>
        <v>-0.2782222222</v>
      </c>
      <c r="H249" s="40">
        <f>VLOOKUP($A249,'Dados StatusInvest'!$A:$AY,column(H249)-$A$5,0)*VLOOKUP($A249,'Dados StatusInvest'!$A:$AY,2,0)/$E249/100</f>
        <v>0</v>
      </c>
      <c r="I249" s="41">
        <f>VLOOKUP($A249,'Dados StatusInvest'!$A:$AY,column(I249)-$A$5,0)/VLOOKUP($A249,'Dados StatusInvest'!$A:$AY,2,0)*$E249</f>
        <v>-8.418164015</v>
      </c>
      <c r="J249" s="41">
        <f>VLOOKUP($A249,'Dados StatusInvest'!$A:$AY,column(J249)-$A$5,0)/VLOOKUP($A249,'Dados StatusInvest'!$A:$AY,2,0)*$E249</f>
        <v>0.5963280294</v>
      </c>
      <c r="K249" s="42">
        <f>VLOOKUP($A249,'Dados StatusInvest'!$A:$AY,column(K249)-$A$5,0)/VLOOKUP($A249,'Dados StatusInvest'!$A:$AY,2,0)*$E249</f>
        <v>0.2285924113</v>
      </c>
      <c r="L249" s="43">
        <f>VLOOKUP($A249,'Dados StatusInvest'!$A:$AY,column(L249)-$A$5,0)/100</f>
        <v>0.2167</v>
      </c>
      <c r="M249" s="44">
        <f>VLOOKUP($A249,'Dados StatusInvest'!$A:$AY,column(M249)-$A$5,0)</f>
        <v>1.68</v>
      </c>
      <c r="N249" s="44">
        <f>VLOOKUP($A249,'Dados StatusInvest'!$A:$AY,column(N249)-$A$5,0)</f>
        <v>-3.78</v>
      </c>
      <c r="O249" s="41">
        <f>VLOOKUP($A249,'Dados StatusInvest'!$A:$AY,column(O249)-$A$5,0)/VLOOKUP($A249,'Dados StatusInvest'!$A:$AY,2,0)*$E249</f>
        <v>18.89365973</v>
      </c>
      <c r="P249" s="41">
        <f>VLOOKUP($A249,'Dados StatusInvest'!$A:$AY,column(P249)-$A$5,0)-VLOOKUP($A249,'Dados StatusInvest'!$A:$AY,column(P249)-$A$5-1,0)+O249</f>
        <v>44.80365973</v>
      </c>
      <c r="Q249" s="44">
        <f>VLOOKUP($A249,'Dados StatusInvest'!$A:$AY,column(Q249)-$A$5,0)</f>
        <v>25.75</v>
      </c>
      <c r="R249" s="44">
        <f>VLOOKUP($A249,'Dados StatusInvest'!$A:$AY,column(R249)-$A$5,0)</f>
        <v>0.81</v>
      </c>
      <c r="S249" s="41">
        <f>VLOOKUP($A249,'Dados StatusInvest'!$A:$AY,column(S249)-$A$5,0)/VLOOKUP($A249,'Dados StatusInvest'!$A:$AY,2,0)*$E249</f>
        <v>0.3180416157</v>
      </c>
      <c r="T249" s="42">
        <f>VLOOKUP($A249,'Dados StatusInvest'!$A:$AY,column(T249)-$A$5,0)/VLOOKUP($A249,'Dados StatusInvest'!$A:$AY,2,0)*$E249</f>
        <v>1.431187271</v>
      </c>
      <c r="U249" s="44">
        <f>VLOOKUP($A249,'Dados StatusInvest'!$A:$AY,column(U249)-$A$5,0)</f>
        <v>-0.4</v>
      </c>
      <c r="V249" s="45">
        <f>VLOOKUP($A249,'Dados StatusInvest'!$A:$AY,column(V249)-$A$5,0)</f>
        <v>1.63</v>
      </c>
      <c r="W249" s="45">
        <f>VLOOKUP($A249,'Dados StatusInvest'!$A:$AY,column(W249)-$A$5,0)</f>
        <v>-7.03</v>
      </c>
      <c r="X249" s="45">
        <f>VLOOKUP($A249,'Dados StatusInvest'!$A:$AY,column(X249)-$A$5,0)</f>
        <v>-2.73</v>
      </c>
      <c r="Y249" s="45">
        <f>VLOOKUP($A249,'Dados StatusInvest'!$A:$AY,column(Y249)-$A$5,0)</f>
        <v>1.02</v>
      </c>
      <c r="Z249" s="44">
        <f>VLOOKUP($A249,'Dados StatusInvest'!$A:$AY,column(Z249)-$A$5,0)</f>
        <v>0.39</v>
      </c>
      <c r="AA249" s="44">
        <f>VLOOKUP($A249,'Dados StatusInvest'!$A:$AY,column(AA249)-$A$5,0)</f>
        <v>0.6</v>
      </c>
      <c r="AB249" s="44">
        <f>VLOOKUP($A249,'Dados StatusInvest'!$A:$AY,column(AB249)-$A$5,0)</f>
        <v>0.72</v>
      </c>
      <c r="AC249" s="44">
        <f>VLOOKUP($A249,'Dados StatusInvest'!$A:$AY,column(AC249)-$A$5,0)</f>
        <v>3.44</v>
      </c>
      <c r="AD249" s="45">
        <f>VLOOKUP($A249,'Dados StatusInvest'!$A:$AY,column(AD249)-$A$5,0)</f>
        <v>0</v>
      </c>
      <c r="AE249" s="46">
        <f>VLOOKUP($A249,'Dados StatusInvest'!$A:$AY,column(AE249)-$A$5,0)</f>
        <v>2657956.79</v>
      </c>
      <c r="AF249" s="18"/>
    </row>
    <row r="250">
      <c r="A250" s="10" t="s">
        <v>296</v>
      </c>
      <c r="B250" s="52" t="str">
        <f>VLOOKUP(LEFT($A250,4),Setor!$A:$E,3,0)</f>
        <v>Materiais Básicos</v>
      </c>
      <c r="C250" s="52" t="str">
        <f>VLOOKUP(LEFT($A250,4),Setor!$A:$E,4,0)</f>
        <v>Químicos</v>
      </c>
      <c r="D250" s="52" t="str">
        <f>VLOOKUP(LEFT($A250,4),Setor!$A:$E,5,0)</f>
        <v>Químicos Diversos</v>
      </c>
      <c r="E250" s="53">
        <f>IFERROR(__xludf.DUMMYFUNCTION("GOOGLEFINANCE(A250)"),84.26)</f>
        <v>84.26</v>
      </c>
      <c r="F250" s="53">
        <f>IFERROR(__xludf.DUMMYFUNCTION("GOOGLEFINANCE($A250,""high52"")"),122.0)</f>
        <v>122</v>
      </c>
      <c r="G250" s="54">
        <f t="shared" si="1"/>
        <v>-0.3093442623</v>
      </c>
      <c r="H250" s="55">
        <f>VLOOKUP($A250,'Dados StatusInvest'!$A:$AY,COLUMN(H250)-$A$5,0)*VLOOKUP($A250,'Dados StatusInvest'!$A:$AY,2,0)/$E250/100</f>
        <v>0.0379770235</v>
      </c>
      <c r="I250" s="56">
        <f>VLOOKUP($A250,'Dados StatusInvest'!$A:$AY,COLUMN(I250)-$A$5,0)/VLOOKUP($A250,'Dados StatusInvest'!$A:$AY,2,0)*$E250</f>
        <v>8.444263675</v>
      </c>
      <c r="J250" s="56">
        <f>VLOOKUP($A250,'Dados StatusInvest'!$A:$AY,COLUMN(J250)-$A$5,0)/VLOOKUP($A250,'Dados StatusInvest'!$A:$AY,2,0)*$E250</f>
        <v>2.868471248</v>
      </c>
      <c r="K250" s="57">
        <f>VLOOKUP($A250,'Dados StatusInvest'!$A:$AY,COLUMN(K250)-$A$5,0)/VLOOKUP($A250,'Dados StatusInvest'!$A:$AY,2,0)*$E250</f>
        <v>2.094950912</v>
      </c>
      <c r="L250" s="58">
        <f>VLOOKUP($A250,'Dados StatusInvest'!$A:$AY,COLUMN(L250)-$A$5,0)/100</f>
        <v>0.3741</v>
      </c>
      <c r="M250" s="63">
        <f>VLOOKUP($A250,'Dados StatusInvest'!$A:$AY,COLUMN(M250)-$A$5,0)</f>
        <v>25.9</v>
      </c>
      <c r="N250" s="63">
        <f>VLOOKUP($A250,'Dados StatusInvest'!$A:$AY,COLUMN(N250)-$A$5,0)</f>
        <v>29.95</v>
      </c>
      <c r="O250" s="56">
        <f>VLOOKUP($A250,'Dados StatusInvest'!$A:$AY,COLUMN(O250)-$A$5,0)/VLOOKUP($A250,'Dados StatusInvest'!$A:$AY,2,0)*$E250</f>
        <v>9.76569425</v>
      </c>
      <c r="P250" s="56">
        <f>VLOOKUP($A250,'Dados StatusInvest'!$A:$AY,COLUMN(P250)-$A$5,0)-VLOOKUP($A250,'Dados StatusInvest'!$A:$AY,COLUMN(P250)-$A$5-1,0)+O250</f>
        <v>9.41569425</v>
      </c>
      <c r="Q250" s="59">
        <f>VLOOKUP($A250,'Dados StatusInvest'!$A:$AY,COLUMN(Q250)-$A$5,0)</f>
        <v>-1.67</v>
      </c>
      <c r="R250" s="59">
        <f>VLOOKUP($A250,'Dados StatusInvest'!$A:$AY,COLUMN(R250)-$A$5,0)</f>
        <v>-0.49</v>
      </c>
      <c r="S250" s="56">
        <f>VLOOKUP($A250,'Dados StatusInvest'!$A:$AY,COLUMN(S250)-$A$5,0)/VLOOKUP($A250,'Dados StatusInvest'!$A:$AY,2,0)*$E250</f>
        <v>2.524684432</v>
      </c>
      <c r="T250" s="57">
        <f>VLOOKUP($A250,'Dados StatusInvest'!$A:$AY,COLUMN(T250)-$A$5,0)/VLOOKUP($A250,'Dados StatusInvest'!$A:$AY,2,0)*$E250</f>
        <v>3.008134642</v>
      </c>
      <c r="U250" s="59">
        <f>VLOOKUP($A250,'Dados StatusInvest'!$A:$AY,COLUMN(U250)-$A$5,0)</f>
        <v>-10.09</v>
      </c>
      <c r="V250" s="60">
        <f>VLOOKUP($A250,'Dados StatusInvest'!$A:$AY,COLUMN(V250)-$A$5,0)</f>
        <v>7.38</v>
      </c>
      <c r="W250" s="60">
        <f>VLOOKUP($A250,'Dados StatusInvest'!$A:$AY,COLUMN(W250)-$A$5,0)</f>
        <v>33.94</v>
      </c>
      <c r="X250" s="60">
        <f>VLOOKUP($A250,'Dados StatusInvest'!$A:$AY,COLUMN(X250)-$A$5,0)</f>
        <v>24.85</v>
      </c>
      <c r="Y250" s="60">
        <f>VLOOKUP($A250,'Dados StatusInvest'!$A:$AY,COLUMN(Y250)-$A$5,0)</f>
        <v>23.94</v>
      </c>
      <c r="Z250" s="59">
        <f>VLOOKUP($A250,'Dados StatusInvest'!$A:$AY,COLUMN(Z250)-$A$5,0)</f>
        <v>0.73</v>
      </c>
      <c r="AA250" s="59">
        <f>VLOOKUP($A250,'Dados StatusInvest'!$A:$AY,COLUMN(AA250)-$A$5,0)</f>
        <v>0.27</v>
      </c>
      <c r="AB250" s="59">
        <f>VLOOKUP($A250,'Dados StatusInvest'!$A:$AY,COLUMN(AB250)-$A$5,0)</f>
        <v>0.83</v>
      </c>
      <c r="AC250" s="59">
        <f>VLOOKUP($A250,'Dados StatusInvest'!$A:$AY,COLUMN(AC250)-$A$5,0)</f>
        <v>15.93</v>
      </c>
      <c r="AD250" s="60">
        <f>VLOOKUP($A250,'Dados StatusInvest'!$A:$AY,COLUMN(AD250)-$A$5,0)</f>
        <v>0</v>
      </c>
      <c r="AE250" s="62">
        <f>VLOOKUP($A250,'Dados StatusInvest'!$A:$AY,COLUMN(AE250)-$A$5,0)</f>
        <v>2920497</v>
      </c>
      <c r="AF250" s="18"/>
    </row>
    <row r="251">
      <c r="A251" s="10" t="s">
        <v>297</v>
      </c>
      <c r="B251" s="39" t="str">
        <f>VLOOKUP(lEFT($A251,4),Setor!$A:$E,3,0)</f>
        <v>Financeiro</v>
      </c>
      <c r="C251" s="39" t="str">
        <f>VLOOKUP(lEFT($A251,4),Setor!$A:$E,4,0)</f>
        <v>Serviços Financeiros Diversos</v>
      </c>
      <c r="D251" s="39" t="str">
        <f>VLOOKUP(lEFT($A251,4),Setor!$A:$E,5,0)</f>
        <v>Gestão de Recursos e Investimentos</v>
      </c>
      <c r="E251" s="17">
        <f>IFERROR(__xludf.DUMMYFUNCTION("GOOGLEFINANCE(A251)"),6.5)</f>
        <v>6.5</v>
      </c>
      <c r="F251" s="17">
        <f>IFERROR(__xludf.DUMMYFUNCTION("GOOGLEFINANCE($A251,""high52"")"),7.2)</f>
        <v>7.2</v>
      </c>
      <c r="G251" s="16">
        <f t="shared" si="1"/>
        <v>-0.09722222222</v>
      </c>
      <c r="H251" s="40">
        <f>VLOOKUP($A251,'Dados StatusInvest'!$A:$AY,column(H251)-$A$5,0)*VLOOKUP($A251,'Dados StatusInvest'!$A:$AY,2,0)/$E251/100</f>
        <v>0</v>
      </c>
      <c r="I251" s="41">
        <f>VLOOKUP($A251,'Dados StatusInvest'!$A:$AY,column(I251)-$A$5,0)/VLOOKUP($A251,'Dados StatusInvest'!$A:$AY,2,0)*$E251</f>
        <v>1.650154799</v>
      </c>
      <c r="J251" s="41">
        <f>VLOOKUP($A251,'Dados StatusInvest'!$A:$AY,column(J251)-$A$5,0)/VLOOKUP($A251,'Dados StatusInvest'!$A:$AY,2,0)*$E251</f>
        <v>0.2213622291</v>
      </c>
      <c r="K251" s="42">
        <f>VLOOKUP($A251,'Dados StatusInvest'!$A:$AY,column(K251)-$A$5,0)/VLOOKUP($A251,'Dados StatusInvest'!$A:$AY,2,0)*$E251</f>
        <v>0.100619195</v>
      </c>
      <c r="L251" s="43">
        <f>VLOOKUP($A251,'Dados StatusInvest'!$A:$AY,column(L251)-$A$5,0)/100</f>
        <v>1</v>
      </c>
      <c r="M251" s="47">
        <f>VLOOKUP($A251,'Dados StatusInvest'!$A:$AY,column(M251)-$A$5,0)</f>
        <v>78.94</v>
      </c>
      <c r="N251" s="47">
        <f>VLOOKUP($A251,'Dados StatusInvest'!$A:$AY,column(N251)-$A$5,0)</f>
        <v>36.2</v>
      </c>
      <c r="O251" s="41">
        <f>VLOOKUP($A251,'Dados StatusInvest'!$A:$AY,column(O251)-$A$5,0)/VLOOKUP($A251,'Dados StatusInvest'!$A:$AY,2,0)*$E251</f>
        <v>0.7546439628</v>
      </c>
      <c r="P251" s="41">
        <f>VLOOKUP($A251,'Dados StatusInvest'!$A:$AY,column(P251)-$A$5,0)-VLOOKUP($A251,'Dados StatusInvest'!$A:$AY,column(P251)-$A$5-1,0)+O251</f>
        <v>-1.335356037</v>
      </c>
      <c r="Q251" s="44">
        <f>VLOOKUP($A251,'Dados StatusInvest'!$A:$AY,column(Q251)-$A$5,0)</f>
        <v>-2.08</v>
      </c>
      <c r="R251" s="44">
        <f>VLOOKUP($A251,'Dados StatusInvest'!$A:$AY,column(R251)-$A$5,0)</f>
        <v>-0.61</v>
      </c>
      <c r="S251" s="41">
        <f>VLOOKUP($A251,'Dados StatusInvest'!$A:$AY,column(S251)-$A$5,0)/VLOOKUP($A251,'Dados StatusInvest'!$A:$AY,2,0)*$E251</f>
        <v>0.5936532508</v>
      </c>
      <c r="T251" s="42">
        <f>VLOOKUP($A251,'Dados StatusInvest'!$A:$AY,column(T251)-$A$5,0)/VLOOKUP($A251,'Dados StatusInvest'!$A:$AY,2,0)*$E251</f>
        <v>0.3521671827</v>
      </c>
      <c r="U251" s="44">
        <f>VLOOKUP($A251,'Dados StatusInvest'!$A:$AY,column(U251)-$A$5,0)</f>
        <v>-0.14</v>
      </c>
      <c r="V251" s="45">
        <f>VLOOKUP($A251,'Dados StatusInvest'!$A:$AY,column(V251)-$A$5,0)</f>
        <v>7.82</v>
      </c>
      <c r="W251" s="48">
        <f>VLOOKUP($A251,'Dados StatusInvest'!$A:$AY,column(W251)-$A$5,0)</f>
        <v>13.44</v>
      </c>
      <c r="X251" s="48">
        <f>VLOOKUP($A251,'Dados StatusInvest'!$A:$AY,column(X251)-$A$5,0)</f>
        <v>5.89</v>
      </c>
      <c r="Y251" s="48">
        <f>VLOOKUP($A251,'Dados StatusInvest'!$A:$AY,column(Y251)-$A$5,0)</f>
        <v>15.3</v>
      </c>
      <c r="Z251" s="44">
        <f>VLOOKUP($A251,'Dados StatusInvest'!$A:$AY,column(Z251)-$A$5,0)</f>
        <v>0.44</v>
      </c>
      <c r="AA251" s="44">
        <f>VLOOKUP($A251,'Dados StatusInvest'!$A:$AY,column(AA251)-$A$5,0)</f>
        <v>0.19</v>
      </c>
      <c r="AB251" s="44">
        <f>VLOOKUP($A251,'Dados StatusInvest'!$A:$AY,column(AB251)-$A$5,0)</f>
        <v>0.16</v>
      </c>
      <c r="AC251" s="44">
        <f>VLOOKUP($A251,'Dados StatusInvest'!$A:$AY,column(AC251)-$A$5,0)</f>
        <v>0</v>
      </c>
      <c r="AD251" s="45">
        <f>VLOOKUP($A251,'Dados StatusInvest'!$A:$AY,column(AD251)-$A$5,0)</f>
        <v>0</v>
      </c>
      <c r="AE251" s="46">
        <f>VLOOKUP($A251,'Dados StatusInvest'!$A:$AY,column(AE251)-$A$5,0)</f>
        <v>5481450.79</v>
      </c>
      <c r="AF251" s="50"/>
    </row>
    <row r="252">
      <c r="A252" s="10" t="s">
        <v>298</v>
      </c>
      <c r="B252" s="39" t="str">
        <f>VLOOKUP(lEFT($A252,4),Setor!$A:$E,3,0)</f>
        <v>Financeiro</v>
      </c>
      <c r="C252" s="39" t="str">
        <f>VLOOKUP(lEFT($A252,4),Setor!$A:$E,4,0)</f>
        <v>Exploração de Imóveis</v>
      </c>
      <c r="D252" s="39" t="str">
        <f>VLOOKUP(lEFT($A252,4),Setor!$A:$E,5,0)</f>
        <v>Intermediação Imobiliária</v>
      </c>
      <c r="E252" s="17">
        <f>IFERROR(__xludf.DUMMYFUNCTION("GOOGLEFINANCE(A252)"),2.85)</f>
        <v>2.85</v>
      </c>
      <c r="F252" s="17">
        <f>IFERROR(__xludf.DUMMYFUNCTION("GOOGLEFINANCE($A252,""high52"")"),6.06)</f>
        <v>6.06</v>
      </c>
      <c r="G252" s="16">
        <f t="shared" si="1"/>
        <v>-0.5297029703</v>
      </c>
      <c r="H252" s="40">
        <f>VLOOKUP($A252,'Dados StatusInvest'!$A:$AY,column(H252)-$A$5,0)*VLOOKUP($A252,'Dados StatusInvest'!$A:$AY,2,0)/$E252/100</f>
        <v>0</v>
      </c>
      <c r="I252" s="41">
        <f>VLOOKUP($A252,'Dados StatusInvest'!$A:$AY,column(I252)-$A$5,0)/VLOOKUP($A252,'Dados StatusInvest'!$A:$AY,2,0)*$E252</f>
        <v>21.90487365</v>
      </c>
      <c r="J252" s="41">
        <f>VLOOKUP($A252,'Dados StatusInvest'!$A:$AY,column(J252)-$A$5,0)/VLOOKUP($A252,'Dados StatusInvest'!$A:$AY,2,0)*$E252</f>
        <v>2.284115523</v>
      </c>
      <c r="K252" s="42">
        <f>VLOOKUP($A252,'Dados StatusInvest'!$A:$AY,column(K252)-$A$5,0)/VLOOKUP($A252,'Dados StatusInvest'!$A:$AY,2,0)*$E252</f>
        <v>1.059747292</v>
      </c>
      <c r="L252" s="43">
        <f>VLOOKUP($A252,'Dados StatusInvest'!$A:$AY,column(L252)-$A$5,0)/100</f>
        <v>0.8536</v>
      </c>
      <c r="M252" s="47">
        <f>VLOOKUP($A252,'Dados StatusInvest'!$A:$AY,column(M252)-$A$5,0)</f>
        <v>30.82</v>
      </c>
      <c r="N252" s="47">
        <f>VLOOKUP($A252,'Dados StatusInvest'!$A:$AY,column(N252)-$A$5,0)</f>
        <v>9</v>
      </c>
      <c r="O252" s="41">
        <f>VLOOKUP($A252,'Dados StatusInvest'!$A:$AY,column(O252)-$A$5,0)/VLOOKUP($A252,'Dados StatusInvest'!$A:$AY,2,0)*$E252</f>
        <v>6.399638989</v>
      </c>
      <c r="P252" s="41">
        <f>VLOOKUP($A252,'Dados StatusInvest'!$A:$AY,column(P252)-$A$5,0)-VLOOKUP($A252,'Dados StatusInvest'!$A:$AY,column(P252)-$A$5-1,0)+O252</f>
        <v>4.439638989</v>
      </c>
      <c r="Q252" s="44">
        <f>VLOOKUP($A252,'Dados StatusInvest'!$A:$AY,column(Q252)-$A$5,0)</f>
        <v>-2</v>
      </c>
      <c r="R252" s="44">
        <f>VLOOKUP($A252,'Dados StatusInvest'!$A:$AY,column(R252)-$A$5,0)</f>
        <v>-0.71</v>
      </c>
      <c r="S252" s="41">
        <f>VLOOKUP($A252,'Dados StatusInvest'!$A:$AY,column(S252)-$A$5,0)/VLOOKUP($A252,'Dados StatusInvest'!$A:$AY,2,0)*$E252</f>
        <v>1.975451264</v>
      </c>
      <c r="T252" s="42">
        <f>VLOOKUP($A252,'Dados StatusInvest'!$A:$AY,column(T252)-$A$5,0)/VLOOKUP($A252,'Dados StatusInvest'!$A:$AY,2,0)*$E252</f>
        <v>4.125812274</v>
      </c>
      <c r="U252" s="44">
        <f>VLOOKUP($A252,'Dados StatusInvest'!$A:$AY,column(U252)-$A$5,0)</f>
        <v>-1.84</v>
      </c>
      <c r="V252" s="45">
        <f>VLOOKUP($A252,'Dados StatusInvest'!$A:$AY,column(V252)-$A$5,0)</f>
        <v>2.4</v>
      </c>
      <c r="W252" s="45">
        <f>VLOOKUP($A252,'Dados StatusInvest'!$A:$AY,column(W252)-$A$5,0)</f>
        <v>10.41</v>
      </c>
      <c r="X252" s="45">
        <f>VLOOKUP($A252,'Dados StatusInvest'!$A:$AY,column(X252)-$A$5,0)</f>
        <v>4.84</v>
      </c>
      <c r="Y252" s="45">
        <f>VLOOKUP($A252,'Dados StatusInvest'!$A:$AY,column(Y252)-$A$5,0)</f>
        <v>29.88</v>
      </c>
      <c r="Z252" s="44">
        <f>VLOOKUP($A252,'Dados StatusInvest'!$A:$AY,column(Z252)-$A$5,0)</f>
        <v>0.47</v>
      </c>
      <c r="AA252" s="44">
        <f>VLOOKUP($A252,'Dados StatusInvest'!$A:$AY,column(AA252)-$A$5,0)</f>
        <v>0.55</v>
      </c>
      <c r="AB252" s="44">
        <f>VLOOKUP($A252,'Dados StatusInvest'!$A:$AY,column(AB252)-$A$5,0)</f>
        <v>0.54</v>
      </c>
      <c r="AC252" s="44">
        <f>VLOOKUP($A252,'Dados StatusInvest'!$A:$AY,column(AC252)-$A$5,0)</f>
        <v>-3.97</v>
      </c>
      <c r="AD252" s="45">
        <f>VLOOKUP($A252,'Dados StatusInvest'!$A:$AY,column(AD252)-$A$5,0)</f>
        <v>0</v>
      </c>
      <c r="AE252" s="46">
        <f>VLOOKUP($A252,'Dados StatusInvest'!$A:$AY,column(AE252)-$A$5,0)</f>
        <v>3540864.79</v>
      </c>
      <c r="AF252" s="49"/>
    </row>
    <row r="253">
      <c r="A253" s="10" t="s">
        <v>299</v>
      </c>
      <c r="B253" s="39" t="str">
        <f>VLOOKUP(lEFT($A253,4),Setor!$A:$E,3,0)</f>
        <v>Consumo Cíclico</v>
      </c>
      <c r="C253" s="39" t="str">
        <f>VLOOKUP(lEFT($A253,4),Setor!$A:$E,4,0)</f>
        <v>Construção Civil</v>
      </c>
      <c r="D253" s="39" t="str">
        <f>VLOOKUP(lEFT($A253,4),Setor!$A:$E,5,0)</f>
        <v>Incorporações</v>
      </c>
      <c r="E253" s="17">
        <f>IFERROR(__xludf.DUMMYFUNCTION("GOOGLEFINANCE(A253)"),4.47)</f>
        <v>4.47</v>
      </c>
      <c r="F253" s="17">
        <f>IFERROR(__xludf.DUMMYFUNCTION("GOOGLEFINANCE($A253,""high52"")"),8.5)</f>
        <v>8.5</v>
      </c>
      <c r="G253" s="16">
        <f t="shared" si="1"/>
        <v>-0.4741176471</v>
      </c>
      <c r="H253" s="40">
        <f>VLOOKUP($A253,'Dados StatusInvest'!$A:$AY,column(H253)-$A$5,0)*VLOOKUP($A253,'Dados StatusInvest'!$A:$AY,2,0)/$E253/100</f>
        <v>0.001395973154</v>
      </c>
      <c r="I253" s="41">
        <f>VLOOKUP($A253,'Dados StatusInvest'!$A:$AY,column(I253)-$A$5,0)/VLOOKUP($A253,'Dados StatusInvest'!$A:$AY,2,0)*$E253</f>
        <v>21.10355769</v>
      </c>
      <c r="J253" s="41">
        <f>VLOOKUP($A253,'Dados StatusInvest'!$A:$AY,column(J253)-$A$5,0)/VLOOKUP($A253,'Dados StatusInvest'!$A:$AY,2,0)*$E253</f>
        <v>0.7951442308</v>
      </c>
      <c r="K253" s="42">
        <f>VLOOKUP($A253,'Dados StatusInvest'!$A:$AY,column(K253)-$A$5,0)/VLOOKUP($A253,'Dados StatusInvest'!$A:$AY,2,0)*$E253</f>
        <v>0.5050240385</v>
      </c>
      <c r="L253" s="43">
        <f>VLOOKUP($A253,'Dados StatusInvest'!$A:$AY,column(L253)-$A$5,0)/100</f>
        <v>0.2274</v>
      </c>
      <c r="M253" s="44">
        <f>VLOOKUP($A253,'Dados StatusInvest'!$A:$AY,column(M253)-$A$5,0)</f>
        <v>7.5</v>
      </c>
      <c r="N253" s="47">
        <f>VLOOKUP($A253,'Dados StatusInvest'!$A:$AY,column(N253)-$A$5,0)</f>
        <v>7.24</v>
      </c>
      <c r="O253" s="41">
        <f>VLOOKUP($A253,'Dados StatusInvest'!$A:$AY,column(O253)-$A$5,0)/VLOOKUP($A253,'Dados StatusInvest'!$A:$AY,2,0)*$E253</f>
        <v>20.36213942</v>
      </c>
      <c r="P253" s="41">
        <f>VLOOKUP($A253,'Dados StatusInvest'!$A:$AY,column(P253)-$A$5,0)-VLOOKUP($A253,'Dados StatusInvest'!$A:$AY,column(P253)-$A$5-1,0)+O253</f>
        <v>7.962139423</v>
      </c>
      <c r="Q253" s="44">
        <f>VLOOKUP($A253,'Dados StatusInvest'!$A:$AY,column(Q253)-$A$5,0)</f>
        <v>-12.45</v>
      </c>
      <c r="R253" s="44">
        <f>VLOOKUP($A253,'Dados StatusInvest'!$A:$AY,column(R253)-$A$5,0)</f>
        <v>-0.49</v>
      </c>
      <c r="S253" s="41">
        <f>VLOOKUP($A253,'Dados StatusInvest'!$A:$AY,column(S253)-$A$5,0)/VLOOKUP($A253,'Dados StatusInvest'!$A:$AY,2,0)*$E253</f>
        <v>1.525817308</v>
      </c>
      <c r="T253" s="42">
        <f>VLOOKUP($A253,'Dados StatusInvest'!$A:$AY,column(T253)-$A$5,0)/VLOOKUP($A253,'Dados StatusInvest'!$A:$AY,2,0)*$E253</f>
        <v>0.838125</v>
      </c>
      <c r="U253" s="44">
        <f>VLOOKUP($A253,'Dados StatusInvest'!$A:$AY,column(U253)-$A$5,0)</f>
        <v>-4.11</v>
      </c>
      <c r="V253" s="45">
        <f>VLOOKUP($A253,'Dados StatusInvest'!$A:$AY,column(V253)-$A$5,0)</f>
        <v>3.08</v>
      </c>
      <c r="W253" s="45">
        <f>VLOOKUP($A253,'Dados StatusInvest'!$A:$AY,column(W253)-$A$5,0)</f>
        <v>3.79</v>
      </c>
      <c r="X253" s="45">
        <f>VLOOKUP($A253,'Dados StatusInvest'!$A:$AY,column(X253)-$A$5,0)</f>
        <v>2.39</v>
      </c>
      <c r="Y253" s="45">
        <f>VLOOKUP($A253,'Dados StatusInvest'!$A:$AY,column(Y253)-$A$5,0)</f>
        <v>2.62</v>
      </c>
      <c r="Z253" s="44">
        <f>VLOOKUP($A253,'Dados StatusInvest'!$A:$AY,column(Z253)-$A$5,0)</f>
        <v>0.63</v>
      </c>
      <c r="AA253" s="44">
        <f>VLOOKUP($A253,'Dados StatusInvest'!$A:$AY,column(AA253)-$A$5,0)</f>
        <v>0.34</v>
      </c>
      <c r="AB253" s="44">
        <f>VLOOKUP($A253,'Dados StatusInvest'!$A:$AY,column(AB253)-$A$5,0)</f>
        <v>0.33</v>
      </c>
      <c r="AC253" s="44">
        <f>VLOOKUP($A253,'Dados StatusInvest'!$A:$AY,column(AC253)-$A$5,0)</f>
        <v>0</v>
      </c>
      <c r="AD253" s="45">
        <f>VLOOKUP($A253,'Dados StatusInvest'!$A:$AY,column(AD253)-$A$5,0)</f>
        <v>0</v>
      </c>
      <c r="AE253" s="46">
        <f>VLOOKUP($A253,'Dados StatusInvest'!$A:$AY,column(AE253)-$A$5,0)</f>
        <v>3581052.13</v>
      </c>
      <c r="AF253" s="49"/>
    </row>
    <row r="254">
      <c r="A254" s="10" t="s">
        <v>300</v>
      </c>
      <c r="B254" s="39" t="str">
        <f>VLOOKUP(lEFT($A254,4),Setor!$A:$E,3,0)</f>
        <v>Bens Industriais</v>
      </c>
      <c r="C254" s="39" t="str">
        <f>VLOOKUP(lEFT($A254,4),Setor!$A:$E,4,0)</f>
        <v>Máquinas e Equipamentos</v>
      </c>
      <c r="D254" s="39" t="str">
        <f>VLOOKUP(lEFT($A254,4),Setor!$A:$E,5,0)</f>
        <v>Máq. e Equip. Industriais</v>
      </c>
      <c r="E254" s="17">
        <f>IFERROR(__xludf.DUMMYFUNCTION("GOOGLEFINANCE(A254)"),1.7)</f>
        <v>1.7</v>
      </c>
      <c r="F254" s="17">
        <f>IFERROR(__xludf.DUMMYFUNCTION("GOOGLEFINANCE($A254,""high52"")"),4.15)</f>
        <v>4.15</v>
      </c>
      <c r="G254" s="16">
        <f t="shared" si="1"/>
        <v>-0.5903614458</v>
      </c>
      <c r="H254" s="40">
        <f>VLOOKUP($A254,'Dados StatusInvest'!$A:$AY,column(H254)-$A$5,0)*VLOOKUP($A254,'Dados StatusInvest'!$A:$AY,2,0)/$E254/100</f>
        <v>0</v>
      </c>
      <c r="I254" s="41">
        <f>VLOOKUP($A254,'Dados StatusInvest'!$A:$AY,column(I254)-$A$5,0)/VLOOKUP($A254,'Dados StatusInvest'!$A:$AY,2,0)*$E254</f>
        <v>-0.8814814815</v>
      </c>
      <c r="J254" s="41">
        <f>VLOOKUP($A254,'Dados StatusInvest'!$A:$AY,column(J254)-$A$5,0)/VLOOKUP($A254,'Dados StatusInvest'!$A:$AY,2,0)*$E254</f>
        <v>-0.1049382716</v>
      </c>
      <c r="K254" s="42">
        <f>VLOOKUP($A254,'Dados StatusInvest'!$A:$AY,column(K254)-$A$5,0)/VLOOKUP($A254,'Dados StatusInvest'!$A:$AY,2,0)*$E254</f>
        <v>0.1888888889</v>
      </c>
      <c r="L254" s="43">
        <f>VLOOKUP($A254,'Dados StatusInvest'!$A:$AY,column(L254)-$A$5,0)/100</f>
        <v>-0.507</v>
      </c>
      <c r="M254" s="47">
        <f>VLOOKUP($A254,'Dados StatusInvest'!$A:$AY,column(M254)-$A$5,0)</f>
        <v>-3490.56</v>
      </c>
      <c r="N254" s="47">
        <f>VLOOKUP($A254,'Dados StatusInvest'!$A:$AY,column(N254)-$A$5,0)</f>
        <v>-8412.24</v>
      </c>
      <c r="O254" s="41">
        <f>VLOOKUP($A254,'Dados StatusInvest'!$A:$AY,column(O254)-$A$5,0)/VLOOKUP($A254,'Dados StatusInvest'!$A:$AY,2,0)*$E254</f>
        <v>-2.130246914</v>
      </c>
      <c r="P254" s="41">
        <f>VLOOKUP($A254,'Dados StatusInvest'!$A:$AY,column(P254)-$A$5,0)-VLOOKUP($A254,'Dados StatusInvest'!$A:$AY,column(P254)-$A$5-1,0)+O254</f>
        <v>-8.430246914</v>
      </c>
      <c r="Q254" s="44">
        <f>VLOOKUP($A254,'Dados StatusInvest'!$A:$AY,column(Q254)-$A$5,0)</f>
        <v>-6.26</v>
      </c>
      <c r="R254" s="44">
        <f>VLOOKUP($A254,'Dados StatusInvest'!$A:$AY,column(R254)-$A$5,0)</f>
        <v>0</v>
      </c>
      <c r="S254" s="41">
        <f>VLOOKUP($A254,'Dados StatusInvest'!$A:$AY,column(S254)-$A$5,0)/VLOOKUP($A254,'Dados StatusInvest'!$A:$AY,2,0)*$E254</f>
        <v>74.47469136</v>
      </c>
      <c r="T254" s="42">
        <f>VLOOKUP($A254,'Dados StatusInvest'!$A:$AY,column(T254)-$A$5,0)/VLOOKUP($A254,'Dados StatusInvest'!$A:$AY,2,0)*$E254</f>
        <v>-0.1259259259</v>
      </c>
      <c r="U254" s="44">
        <f>VLOOKUP($A254,'Dados StatusInvest'!$A:$AY,column(U254)-$A$5,0)</f>
        <v>-0.19</v>
      </c>
      <c r="V254" s="45">
        <f>VLOOKUP($A254,'Dados StatusInvest'!$A:$AY,column(V254)-$A$5,0)</f>
        <v>0.02</v>
      </c>
      <c r="W254" s="45">
        <f>VLOOKUP($A254,'Dados StatusInvest'!$A:$AY,column(W254)-$A$5,0)</f>
        <v>-12.38</v>
      </c>
      <c r="X254" s="45">
        <f>VLOOKUP($A254,'Dados StatusInvest'!$A:$AY,column(X254)-$A$5,0)</f>
        <v>-21.87</v>
      </c>
      <c r="Y254" s="45">
        <f>VLOOKUP($A254,'Dados StatusInvest'!$A:$AY,column(Y254)-$A$5,0)</f>
        <v>9.26</v>
      </c>
      <c r="Z254" s="44">
        <f>VLOOKUP($A254,'Dados StatusInvest'!$A:$AY,column(Z254)-$A$5,0)</f>
        <v>-1.77</v>
      </c>
      <c r="AA254" s="44">
        <f>VLOOKUP($A254,'Dados StatusInvest'!$A:$AY,column(AA254)-$A$5,0)</f>
        <v>2.77</v>
      </c>
      <c r="AB254" s="44">
        <f>VLOOKUP($A254,'Dados StatusInvest'!$A:$AY,column(AB254)-$A$5,0)</f>
        <v>0</v>
      </c>
      <c r="AC254" s="44">
        <f>VLOOKUP($A254,'Dados StatusInvest'!$A:$AY,column(AC254)-$A$5,0)</f>
        <v>-55.72</v>
      </c>
      <c r="AD254" s="45">
        <f>VLOOKUP($A254,'Dados StatusInvest'!$A:$AY,column(AD254)-$A$5,0)</f>
        <v>0</v>
      </c>
      <c r="AE254" s="46">
        <f>VLOOKUP($A254,'Dados StatusInvest'!$A:$AY,column(AE254)-$A$5,0)</f>
        <v>2983329.17</v>
      </c>
      <c r="AF254" s="49"/>
    </row>
    <row r="255">
      <c r="A255" s="10" t="s">
        <v>301</v>
      </c>
      <c r="B255" s="39" t="str">
        <f>VLOOKUP(lEFT($A255,4),Setor!$A:$E,3,0)</f>
        <v>#N/A</v>
      </c>
      <c r="C255" s="39" t="str">
        <f>VLOOKUP(lEFT($A255,4),Setor!$A:$E,4,0)</f>
        <v>#N/A</v>
      </c>
      <c r="D255" s="39" t="str">
        <f>VLOOKUP(lEFT($A255,4),Setor!$A:$E,5,0)</f>
        <v>#N/A</v>
      </c>
      <c r="E255" s="17">
        <f>IFERROR(__xludf.DUMMYFUNCTION("GOOGLEFINANCE(A255)"),14.78)</f>
        <v>14.78</v>
      </c>
      <c r="F255" s="17">
        <f>IFERROR(__xludf.DUMMYFUNCTION("GOOGLEFINANCE($A255,""high52"")"),16.61)</f>
        <v>16.61</v>
      </c>
      <c r="G255" s="16">
        <f t="shared" si="1"/>
        <v>-0.1101745936</v>
      </c>
      <c r="H255" s="40">
        <f>VLOOKUP($A255,'Dados StatusInvest'!$A:$AY,column(H255)-$A$5,0)*VLOOKUP($A255,'Dados StatusInvest'!$A:$AY,2,0)/$E255/100</f>
        <v>0.002643978349</v>
      </c>
      <c r="I255" s="41">
        <f>VLOOKUP($A255,'Dados StatusInvest'!$A:$AY,column(I255)-$A$5,0)/VLOOKUP($A255,'Dados StatusInvest'!$A:$AY,2,0)*$E255</f>
        <v>290.535662</v>
      </c>
      <c r="J255" s="41">
        <f>VLOOKUP($A255,'Dados StatusInvest'!$A:$AY,column(J255)-$A$5,0)/VLOOKUP($A255,'Dados StatusInvest'!$A:$AY,2,0)*$E255</f>
        <v>63.25013972</v>
      </c>
      <c r="K255" s="42">
        <f>VLOOKUP($A255,'Dados StatusInvest'!$A:$AY,column(K255)-$A$5,0)/VLOOKUP($A255,'Dados StatusInvest'!$A:$AY,2,0)*$E255</f>
        <v>36.9647505</v>
      </c>
      <c r="L255" s="43">
        <f>VLOOKUP($A255,'Dados StatusInvest'!$A:$AY,column(L255)-$A$5,0)/100</f>
        <v>0.6064</v>
      </c>
      <c r="M255" s="44">
        <f>VLOOKUP($A255,'Dados StatusInvest'!$A:$AY,column(M255)-$A$5,0)</f>
        <v>19.41</v>
      </c>
      <c r="N255" s="44">
        <f>VLOOKUP($A255,'Dados StatusInvest'!$A:$AY,column(N255)-$A$5,0)</f>
        <v>13.99</v>
      </c>
      <c r="O255" s="41">
        <f>VLOOKUP($A255,'Dados StatusInvest'!$A:$AY,column(O255)-$A$5,0)/VLOOKUP($A255,'Dados StatusInvest'!$A:$AY,2,0)*$E255</f>
        <v>209.3980838</v>
      </c>
      <c r="P255" s="41">
        <f>VLOOKUP($A255,'Dados StatusInvest'!$A:$AY,column(P255)-$A$5,0)-VLOOKUP($A255,'Dados StatusInvest'!$A:$AY,column(P255)-$A$5-1,0)+O255</f>
        <v>32.58808383</v>
      </c>
      <c r="Q255" s="44">
        <f>VLOOKUP($A255,'Dados StatusInvest'!$A:$AY,column(Q255)-$A$5,0)</f>
        <v>0.18</v>
      </c>
      <c r="R255" s="44">
        <f>VLOOKUP($A255,'Dados StatusInvest'!$A:$AY,column(R255)-$A$5,0)</f>
        <v>0.05</v>
      </c>
      <c r="S255" s="41">
        <f>VLOOKUP($A255,'Dados StatusInvest'!$A:$AY,column(S255)-$A$5,0)/VLOOKUP($A255,'Dados StatusInvest'!$A:$AY,2,0)*$E255</f>
        <v>40.63270792</v>
      </c>
      <c r="T255" s="42">
        <f>VLOOKUP($A255,'Dados StatusInvest'!$A:$AY,column(T255)-$A$5,0)/VLOOKUP($A255,'Dados StatusInvest'!$A:$AY,2,0)*$E255</f>
        <v>69.70102462</v>
      </c>
      <c r="U255" s="44">
        <f>VLOOKUP($A255,'Dados StatusInvest'!$A:$AY,column(U255)-$A$5,0)</f>
        <v>-147.5</v>
      </c>
      <c r="V255" s="45">
        <f>VLOOKUP($A255,'Dados StatusInvest'!$A:$AY,column(V255)-$A$5,0)</f>
        <v>3.47</v>
      </c>
      <c r="W255" s="45">
        <f>VLOOKUP($A255,'Dados StatusInvest'!$A:$AY,column(W255)-$A$5,0)</f>
        <v>21.77</v>
      </c>
      <c r="X255" s="45">
        <f>VLOOKUP($A255,'Dados StatusInvest'!$A:$AY,column(X255)-$A$5,0)</f>
        <v>12.72</v>
      </c>
      <c r="Y255" s="45">
        <f>VLOOKUP($A255,'Dados StatusInvest'!$A:$AY,column(Y255)-$A$5,0)</f>
        <v>17.65</v>
      </c>
      <c r="Z255" s="44">
        <f>VLOOKUP($A255,'Dados StatusInvest'!$A:$AY,column(Z255)-$A$5,0)</f>
        <v>0.58</v>
      </c>
      <c r="AA255" s="44">
        <f>VLOOKUP($A255,'Dados StatusInvest'!$A:$AY,column(AA255)-$A$5,0)</f>
        <v>0.42</v>
      </c>
      <c r="AB255" s="44">
        <f>VLOOKUP($A255,'Dados StatusInvest'!$A:$AY,column(AB255)-$A$5,0)</f>
        <v>0.91</v>
      </c>
      <c r="AC255" s="44">
        <f>VLOOKUP($A255,'Dados StatusInvest'!$A:$AY,column(AC255)-$A$5,0)</f>
        <v>0</v>
      </c>
      <c r="AD255" s="45">
        <f>VLOOKUP($A255,'Dados StatusInvest'!$A:$AY,column(AD255)-$A$5,0)</f>
        <v>0</v>
      </c>
      <c r="AE255" s="46">
        <f>VLOOKUP($A255,'Dados StatusInvest'!$A:$AY,column(AE255)-$A$5,0)</f>
        <v>2915091.58</v>
      </c>
      <c r="AF255" s="18"/>
    </row>
    <row r="256">
      <c r="A256" s="10" t="s">
        <v>302</v>
      </c>
      <c r="B256" s="39" t="str">
        <f>VLOOKUP(lEFT($A256,4),Setor!$A:$E,3,0)</f>
        <v>#N/A</v>
      </c>
      <c r="C256" s="39" t="str">
        <f>VLOOKUP(lEFT($A256,4),Setor!$A:$E,4,0)</f>
        <v>#N/A</v>
      </c>
      <c r="D256" s="39" t="str">
        <f>VLOOKUP(lEFT($A256,4),Setor!$A:$E,5,0)</f>
        <v>#N/A</v>
      </c>
      <c r="E256" s="17">
        <f>IFERROR(__xludf.DUMMYFUNCTION("GOOGLEFINANCE(A256)"),9.41)</f>
        <v>9.41</v>
      </c>
      <c r="F256" s="17">
        <f>IFERROR(__xludf.DUMMYFUNCTION("GOOGLEFINANCE($A256,""high52"")"),11.1)</f>
        <v>11.1</v>
      </c>
      <c r="G256" s="16">
        <f t="shared" si="1"/>
        <v>-0.1522522523</v>
      </c>
      <c r="H256" s="40">
        <f>VLOOKUP($A256,'Dados StatusInvest'!$A:$AY,column(H256)-$A$5,0)*VLOOKUP($A256,'Dados StatusInvest'!$A:$AY,2,0)/$E256/100</f>
        <v>0</v>
      </c>
      <c r="I256" s="41">
        <f>VLOOKUP($A256,'Dados StatusInvest'!$A:$AY,column(I256)-$A$5,0)/VLOOKUP($A256,'Dados StatusInvest'!$A:$AY,2,0)*$E256</f>
        <v>0</v>
      </c>
      <c r="J256" s="41">
        <f>VLOOKUP($A256,'Dados StatusInvest'!$A:$AY,column(J256)-$A$5,0)/VLOOKUP($A256,'Dados StatusInvest'!$A:$AY,2,0)*$E256</f>
        <v>0</v>
      </c>
      <c r="K256" s="42">
        <f>VLOOKUP($A256,'Dados StatusInvest'!$A:$AY,column(K256)-$A$5,0)/VLOOKUP($A256,'Dados StatusInvest'!$A:$AY,2,0)*$E256</f>
        <v>0</v>
      </c>
      <c r="L256" s="43">
        <f>VLOOKUP($A256,'Dados StatusInvest'!$A:$AY,column(L256)-$A$5,0)/100</f>
        <v>0</v>
      </c>
      <c r="M256" s="44">
        <f>VLOOKUP($A256,'Dados StatusInvest'!$A:$AY,column(M256)-$A$5,0)</f>
        <v>0</v>
      </c>
      <c r="N256" s="44">
        <f>VLOOKUP($A256,'Dados StatusInvest'!$A:$AY,column(N256)-$A$5,0)</f>
        <v>0</v>
      </c>
      <c r="O256" s="41">
        <f>VLOOKUP($A256,'Dados StatusInvest'!$A:$AY,column(O256)-$A$5,0)/VLOOKUP($A256,'Dados StatusInvest'!$A:$AY,2,0)*$E256</f>
        <v>0</v>
      </c>
      <c r="P256" s="41">
        <f>VLOOKUP($A256,'Dados StatusInvest'!$A:$AY,column(P256)-$A$5,0)-VLOOKUP($A256,'Dados StatusInvest'!$A:$AY,column(P256)-$A$5-1,0)+O256</f>
        <v>0</v>
      </c>
      <c r="Q256" s="44">
        <f>VLOOKUP($A256,'Dados StatusInvest'!$A:$AY,column(Q256)-$A$5,0)</f>
        <v>0</v>
      </c>
      <c r="R256" s="44">
        <f>VLOOKUP($A256,'Dados StatusInvest'!$A:$AY,column(R256)-$A$5,0)</f>
        <v>0</v>
      </c>
      <c r="S256" s="41">
        <f>VLOOKUP($A256,'Dados StatusInvest'!$A:$AY,column(S256)-$A$5,0)/VLOOKUP($A256,'Dados StatusInvest'!$A:$AY,2,0)*$E256</f>
        <v>0</v>
      </c>
      <c r="T256" s="42">
        <f>VLOOKUP($A256,'Dados StatusInvest'!$A:$AY,column(T256)-$A$5,0)/VLOOKUP($A256,'Dados StatusInvest'!$A:$AY,2,0)*$E256</f>
        <v>0</v>
      </c>
      <c r="U256" s="44">
        <f>VLOOKUP($A256,'Dados StatusInvest'!$A:$AY,column(U256)-$A$5,0)</f>
        <v>0</v>
      </c>
      <c r="V256" s="45">
        <f>VLOOKUP($A256,'Dados StatusInvest'!$A:$AY,column(V256)-$A$5,0)</f>
        <v>0</v>
      </c>
      <c r="W256" s="45">
        <f>VLOOKUP($A256,'Dados StatusInvest'!$A:$AY,column(W256)-$A$5,0)</f>
        <v>0</v>
      </c>
      <c r="X256" s="45">
        <f>VLOOKUP($A256,'Dados StatusInvest'!$A:$AY,column(X256)-$A$5,0)</f>
        <v>0</v>
      </c>
      <c r="Y256" s="45">
        <f>VLOOKUP($A256,'Dados StatusInvest'!$A:$AY,column(Y256)-$A$5,0)</f>
        <v>0</v>
      </c>
      <c r="Z256" s="44">
        <f>VLOOKUP($A256,'Dados StatusInvest'!$A:$AY,column(Z256)-$A$5,0)</f>
        <v>0</v>
      </c>
      <c r="AA256" s="44">
        <f>VLOOKUP($A256,'Dados StatusInvest'!$A:$AY,column(AA256)-$A$5,0)</f>
        <v>0</v>
      </c>
      <c r="AB256" s="44">
        <f>VLOOKUP($A256,'Dados StatusInvest'!$A:$AY,column(AB256)-$A$5,0)</f>
        <v>0</v>
      </c>
      <c r="AC256" s="44">
        <f>VLOOKUP($A256,'Dados StatusInvest'!$A:$AY,column(AC256)-$A$5,0)</f>
        <v>0</v>
      </c>
      <c r="AD256" s="45">
        <f>VLOOKUP($A256,'Dados StatusInvest'!$A:$AY,column(AD256)-$A$5,0)</f>
        <v>0</v>
      </c>
      <c r="AE256" s="46">
        <f>VLOOKUP($A256,'Dados StatusInvest'!$A:$AY,column(AE256)-$A$5,0)</f>
        <v>2727580.43</v>
      </c>
      <c r="AF256" s="18"/>
    </row>
    <row r="257">
      <c r="A257" s="10" t="s">
        <v>303</v>
      </c>
      <c r="B257" s="39" t="str">
        <f>VLOOKUP(lEFT($A257,4),Setor!$A:$E,3,0)</f>
        <v>Petróleo, Gás e Biocombustíveis</v>
      </c>
      <c r="C257" s="39" t="str">
        <f>VLOOKUP(lEFT($A257,4),Setor!$A:$E,4,0)</f>
        <v>Petróleo, Gás e Biocombustíveis</v>
      </c>
      <c r="D257" s="39" t="str">
        <f>VLOOKUP(lEFT($A257,4),Setor!$A:$E,5,0)</f>
        <v>Exploração, Refino e Distribuição</v>
      </c>
      <c r="E257" s="17">
        <f>IFERROR(__xludf.DUMMYFUNCTION("GOOGLEFINANCE(A257)"),0.75)</f>
        <v>0.75</v>
      </c>
      <c r="F257" s="17">
        <f>IFERROR(__xludf.DUMMYFUNCTION("GOOGLEFINANCE($A257,""high52"")"),2.39)</f>
        <v>2.39</v>
      </c>
      <c r="G257" s="16">
        <f t="shared" si="1"/>
        <v>-0.6861924686</v>
      </c>
      <c r="H257" s="40">
        <f>VLOOKUP($A257,'Dados StatusInvest'!$A:$AY,column(H257)-$A$5,0)*VLOOKUP($A257,'Dados StatusInvest'!$A:$AY,2,0)/$E257/100</f>
        <v>0</v>
      </c>
      <c r="I257" s="41">
        <f>VLOOKUP($A257,'Dados StatusInvest'!$A:$AY,column(I257)-$A$5,0)/VLOOKUP($A257,'Dados StatusInvest'!$A:$AY,2,0)*$E257</f>
        <v>0.5865384615</v>
      </c>
      <c r="J257" s="41">
        <f>VLOOKUP($A257,'Dados StatusInvest'!$A:$AY,column(J257)-$A$5,0)/VLOOKUP($A257,'Dados StatusInvest'!$A:$AY,2,0)*$E257</f>
        <v>-0.3653846154</v>
      </c>
      <c r="K257" s="42">
        <f>VLOOKUP($A257,'Dados StatusInvest'!$A:$AY,column(K257)-$A$5,0)/VLOOKUP($A257,'Dados StatusInvest'!$A:$AY,2,0)*$E257</f>
        <v>1.076923077</v>
      </c>
      <c r="L257" s="43">
        <f>VLOOKUP($A257,'Dados StatusInvest'!$A:$AY,column(L257)-$A$5,0)/100</f>
        <v>0.2725</v>
      </c>
      <c r="M257" s="44">
        <f>VLOOKUP($A257,'Dados StatusInvest'!$A:$AY,column(M257)-$A$5,0)</f>
        <v>182.55</v>
      </c>
      <c r="N257" s="44">
        <f>VLOOKUP($A257,'Dados StatusInvest'!$A:$AY,column(N257)-$A$5,0)</f>
        <v>194.38</v>
      </c>
      <c r="O257" s="41">
        <f>VLOOKUP($A257,'Dados StatusInvest'!$A:$AY,column(O257)-$A$5,0)/VLOOKUP($A257,'Dados StatusInvest'!$A:$AY,2,0)*$E257</f>
        <v>0.625</v>
      </c>
      <c r="P257" s="41">
        <f>VLOOKUP($A257,'Dados StatusInvest'!$A:$AY,column(P257)-$A$5,0)-VLOOKUP($A257,'Dados StatusInvest'!$A:$AY,column(P257)-$A$5-1,0)+O257</f>
        <v>0.545</v>
      </c>
      <c r="Q257" s="44">
        <f>VLOOKUP($A257,'Dados StatusInvest'!$A:$AY,column(Q257)-$A$5,0)</f>
        <v>-0.08</v>
      </c>
      <c r="R257" s="44">
        <f>VLOOKUP($A257,'Dados StatusInvest'!$A:$AY,column(R257)-$A$5,0)</f>
        <v>0</v>
      </c>
      <c r="S257" s="41">
        <f>VLOOKUP($A257,'Dados StatusInvest'!$A:$AY,column(S257)-$A$5,0)/VLOOKUP($A257,'Dados StatusInvest'!$A:$AY,2,0)*$E257</f>
        <v>1.144230769</v>
      </c>
      <c r="T257" s="42">
        <f>VLOOKUP($A257,'Dados StatusInvest'!$A:$AY,column(T257)-$A$5,0)/VLOOKUP($A257,'Dados StatusInvest'!$A:$AY,2,0)*$E257</f>
        <v>-1.884615385</v>
      </c>
      <c r="U257" s="44">
        <f>VLOOKUP($A257,'Dados StatusInvest'!$A:$AY,column(U257)-$A$5,0)</f>
        <v>-1.7</v>
      </c>
      <c r="V257" s="45">
        <f>VLOOKUP($A257,'Dados StatusInvest'!$A:$AY,column(V257)-$A$5,0)</f>
        <v>0.37</v>
      </c>
      <c r="W257" s="45">
        <f>VLOOKUP($A257,'Dados StatusInvest'!$A:$AY,column(W257)-$A$5,0)</f>
        <v>-62.74</v>
      </c>
      <c r="X257" s="45">
        <f>VLOOKUP($A257,'Dados StatusInvest'!$A:$AY,column(X257)-$A$5,0)</f>
        <v>182.78</v>
      </c>
      <c r="Y257" s="45">
        <f>VLOOKUP($A257,'Dados StatusInvest'!$A:$AY,column(Y257)-$A$5,0)</f>
        <v>-58.94</v>
      </c>
      <c r="Z257" s="44">
        <f>VLOOKUP($A257,'Dados StatusInvest'!$A:$AY,column(Z257)-$A$5,0)</f>
        <v>-2.91</v>
      </c>
      <c r="AA257" s="44">
        <f>VLOOKUP($A257,'Dados StatusInvest'!$A:$AY,column(AA257)-$A$5,0)</f>
        <v>3.91</v>
      </c>
      <c r="AB257" s="44">
        <f>VLOOKUP($A257,'Dados StatusInvest'!$A:$AY,column(AB257)-$A$5,0)</f>
        <v>0.94</v>
      </c>
      <c r="AC257" s="44">
        <f>VLOOKUP($A257,'Dados StatusInvest'!$A:$AY,column(AC257)-$A$5,0)</f>
        <v>-10.63</v>
      </c>
      <c r="AD257" s="45">
        <f>VLOOKUP($A257,'Dados StatusInvest'!$A:$AY,column(AD257)-$A$5,0)</f>
        <v>0</v>
      </c>
      <c r="AE257" s="46">
        <f>VLOOKUP($A257,'Dados StatusInvest'!$A:$AY,column(AE257)-$A$5,0)</f>
        <v>2860215.58</v>
      </c>
      <c r="AF257" s="50"/>
    </row>
    <row r="258">
      <c r="A258" s="10" t="s">
        <v>304</v>
      </c>
      <c r="B258" s="39" t="str">
        <f>VLOOKUP(lEFT($A258,4),Setor!$A:$E,3,0)</f>
        <v>Bens Industriais</v>
      </c>
      <c r="C258" s="39" t="str">
        <f>VLOOKUP(lEFT($A258,4),Setor!$A:$E,4,0)</f>
        <v>Material de Transporte</v>
      </c>
      <c r="D258" s="39" t="str">
        <f>VLOOKUP(lEFT($A258,4),Setor!$A:$E,5,0)</f>
        <v>Material Rodoviário</v>
      </c>
      <c r="E258" s="17">
        <f>IFERROR(__xludf.DUMMYFUNCTION("GOOGLEFINANCE(A258)"),14.21)</f>
        <v>14.21</v>
      </c>
      <c r="F258" s="17">
        <f>IFERROR(__xludf.DUMMYFUNCTION("GOOGLEFINANCE($A258,""high52"")"),17.65)</f>
        <v>17.65</v>
      </c>
      <c r="G258" s="16">
        <f t="shared" si="1"/>
        <v>-0.1949008499</v>
      </c>
      <c r="H258" s="40">
        <f>VLOOKUP($A258,'Dados StatusInvest'!$A:$AY,column(H258)-$A$5,0)*VLOOKUP($A258,'Dados StatusInvest'!$A:$AY,2,0)/$E258/100</f>
        <v>0.02586995074</v>
      </c>
      <c r="I258" s="41">
        <f>VLOOKUP($A258,'Dados StatusInvest'!$A:$AY,column(I258)-$A$5,0)/VLOOKUP($A258,'Dados StatusInvest'!$A:$AY,2,0)*$E258</f>
        <v>11.19731548</v>
      </c>
      <c r="J258" s="41">
        <f>VLOOKUP($A258,'Dados StatusInvest'!$A:$AY,column(J258)-$A$5,0)/VLOOKUP($A258,'Dados StatusInvest'!$A:$AY,2,0)*$E258</f>
        <v>3.033248915</v>
      </c>
      <c r="K258" s="42">
        <f>VLOOKUP($A258,'Dados StatusInvest'!$A:$AY,column(K258)-$A$5,0)/VLOOKUP($A258,'Dados StatusInvest'!$A:$AY,2,0)*$E258</f>
        <v>1.110477569</v>
      </c>
      <c r="L258" s="43">
        <f>VLOOKUP($A258,'Dados StatusInvest'!$A:$AY,column(L258)-$A$5,0)/100</f>
        <v>0.3012</v>
      </c>
      <c r="M258" s="44">
        <f>VLOOKUP($A258,'Dados StatusInvest'!$A:$AY,column(M258)-$A$5,0)</f>
        <v>16.24</v>
      </c>
      <c r="N258" s="44">
        <f>VLOOKUP($A258,'Dados StatusInvest'!$A:$AY,column(N258)-$A$5,0)</f>
        <v>12.06</v>
      </c>
      <c r="O258" s="41">
        <f>VLOOKUP($A258,'Dados StatusInvest'!$A:$AY,column(O258)-$A$5,0)/VLOOKUP($A258,'Dados StatusInvest'!$A:$AY,2,0)*$E258</f>
        <v>8.318299566</v>
      </c>
      <c r="P258" s="41">
        <f>VLOOKUP($A258,'Dados StatusInvest'!$A:$AY,column(P258)-$A$5,0)-VLOOKUP($A258,'Dados StatusInvest'!$A:$AY,column(P258)-$A$5-1,0)+O258</f>
        <v>9.798299566</v>
      </c>
      <c r="Q258" s="44">
        <f>VLOOKUP($A258,'Dados StatusInvest'!$A:$AY,column(Q258)-$A$5,0)</f>
        <v>1.46</v>
      </c>
      <c r="R258" s="44">
        <f>VLOOKUP($A258,'Dados StatusInvest'!$A:$AY,column(R258)-$A$5,0)</f>
        <v>0.53</v>
      </c>
      <c r="S258" s="41">
        <f>VLOOKUP($A258,'Dados StatusInvest'!$A:$AY,column(S258)-$A$5,0)/VLOOKUP($A258,'Dados StatusInvest'!$A:$AY,2,0)*$E258</f>
        <v>1.346968162</v>
      </c>
      <c r="T258" s="42">
        <f>VLOOKUP($A258,'Dados StatusInvest'!$A:$AY,column(T258)-$A$5,0)/VLOOKUP($A258,'Dados StatusInvest'!$A:$AY,2,0)*$E258</f>
        <v>4.544732272</v>
      </c>
      <c r="U258" s="44">
        <f>VLOOKUP($A258,'Dados StatusInvest'!$A:$AY,column(U258)-$A$5,0)</f>
        <v>-2.11</v>
      </c>
      <c r="V258" s="45">
        <f>VLOOKUP($A258,'Dados StatusInvest'!$A:$AY,column(V258)-$A$5,0)</f>
        <v>2</v>
      </c>
      <c r="W258" s="45">
        <f>VLOOKUP($A258,'Dados StatusInvest'!$A:$AY,column(W258)-$A$5,0)</f>
        <v>27.09</v>
      </c>
      <c r="X258" s="45">
        <f>VLOOKUP($A258,'Dados StatusInvest'!$A:$AY,column(X258)-$A$5,0)</f>
        <v>9.93</v>
      </c>
      <c r="Y258" s="45">
        <f>VLOOKUP($A258,'Dados StatusInvest'!$A:$AY,column(Y258)-$A$5,0)</f>
        <v>14.52</v>
      </c>
      <c r="Z258" s="44">
        <f>VLOOKUP($A258,'Dados StatusInvest'!$A:$AY,column(Z258)-$A$5,0)</f>
        <v>0.37</v>
      </c>
      <c r="AA258" s="44">
        <f>VLOOKUP($A258,'Dados StatusInvest'!$A:$AY,column(AA258)-$A$5,0)</f>
        <v>0.63</v>
      </c>
      <c r="AB258" s="44">
        <f>VLOOKUP($A258,'Dados StatusInvest'!$A:$AY,column(AB258)-$A$5,0)</f>
        <v>0.82</v>
      </c>
      <c r="AC258" s="44">
        <f>VLOOKUP($A258,'Dados StatusInvest'!$A:$AY,column(AC258)-$A$5,0)</f>
        <v>13.81</v>
      </c>
      <c r="AD258" s="45">
        <f>VLOOKUP($A258,'Dados StatusInvest'!$A:$AY,column(AD258)-$A$5,0)</f>
        <v>39.56</v>
      </c>
      <c r="AE258" s="46">
        <f>VLOOKUP($A258,'Dados StatusInvest'!$A:$AY,column(AE258)-$A$5,0)</f>
        <v>2377381.83</v>
      </c>
      <c r="AF258" s="18"/>
    </row>
    <row r="259">
      <c r="A259" s="10" t="s">
        <v>305</v>
      </c>
      <c r="B259" s="39" t="str">
        <f>VLOOKUP(lEFT($A259,4),Setor!$A:$E,3,0)</f>
        <v>Bens Industriais</v>
      </c>
      <c r="C259" s="39" t="str">
        <f>VLOOKUP(lEFT($A259,4),Setor!$A:$E,4,0)</f>
        <v>Máquinas e Equipamentos</v>
      </c>
      <c r="D259" s="39" t="str">
        <f>VLOOKUP(lEFT($A259,4),Setor!$A:$E,5,0)</f>
        <v>Máq. e Equip. Industriais</v>
      </c>
      <c r="E259" s="17">
        <f>IFERROR(__xludf.DUMMYFUNCTION("GOOGLEFINANCE(A259)"),1.71)</f>
        <v>1.71</v>
      </c>
      <c r="F259" s="17">
        <f>IFERROR(__xludf.DUMMYFUNCTION("GOOGLEFINANCE($A259,""high52"")"),4.07)</f>
        <v>4.07</v>
      </c>
      <c r="G259" s="16">
        <f t="shared" si="1"/>
        <v>-0.5798525799</v>
      </c>
      <c r="H259" s="40">
        <f>VLOOKUP($A259,'Dados StatusInvest'!$A:$AY,column(H259)-$A$5,0)*VLOOKUP($A259,'Dados StatusInvest'!$A:$AY,2,0)/$E259/100</f>
        <v>0</v>
      </c>
      <c r="I259" s="41">
        <f>VLOOKUP($A259,'Dados StatusInvest'!$A:$AY,column(I259)-$A$5,0)/VLOOKUP($A259,'Dados StatusInvest'!$A:$AY,2,0)*$E259</f>
        <v>-0.8912727273</v>
      </c>
      <c r="J259" s="41">
        <f>VLOOKUP($A259,'Dados StatusInvest'!$A:$AY,column(J259)-$A$5,0)/VLOOKUP($A259,'Dados StatusInvest'!$A:$AY,2,0)*$E259</f>
        <v>-0.114</v>
      </c>
      <c r="K259" s="42">
        <f>VLOOKUP($A259,'Dados StatusInvest'!$A:$AY,column(K259)-$A$5,0)/VLOOKUP($A259,'Dados StatusInvest'!$A:$AY,2,0)*$E259</f>
        <v>0.1969090909</v>
      </c>
      <c r="L259" s="43">
        <f>VLOOKUP($A259,'Dados StatusInvest'!$A:$AY,column(L259)-$A$5,0)/100</f>
        <v>-0.507</v>
      </c>
      <c r="M259" s="47">
        <f>VLOOKUP($A259,'Dados StatusInvest'!$A:$AY,column(M259)-$A$5,0)</f>
        <v>-3490.56</v>
      </c>
      <c r="N259" s="47">
        <f>VLOOKUP($A259,'Dados StatusInvest'!$A:$AY,column(N259)-$A$5,0)</f>
        <v>-8412.24</v>
      </c>
      <c r="O259" s="41">
        <f>VLOOKUP($A259,'Dados StatusInvest'!$A:$AY,column(O259)-$A$5,0)/VLOOKUP($A259,'Dados StatusInvest'!$A:$AY,2,0)*$E259</f>
        <v>-2.145272727</v>
      </c>
      <c r="P259" s="41">
        <f>VLOOKUP($A259,'Dados StatusInvest'!$A:$AY,column(P259)-$A$5,0)-VLOOKUP($A259,'Dados StatusInvest'!$A:$AY,column(P259)-$A$5-1,0)+O259</f>
        <v>-8.405272727</v>
      </c>
      <c r="Q259" s="44">
        <f>VLOOKUP($A259,'Dados StatusInvest'!$A:$AY,column(Q259)-$A$5,0)</f>
        <v>-6.26</v>
      </c>
      <c r="R259" s="44">
        <f>VLOOKUP($A259,'Dados StatusInvest'!$A:$AY,column(R259)-$A$5,0)</f>
        <v>0</v>
      </c>
      <c r="S259" s="41">
        <f>VLOOKUP($A259,'Dados StatusInvest'!$A:$AY,column(S259)-$A$5,0)/VLOOKUP($A259,'Dados StatusInvest'!$A:$AY,2,0)*$E259</f>
        <v>74.91872727</v>
      </c>
      <c r="T259" s="42">
        <f>VLOOKUP($A259,'Dados StatusInvest'!$A:$AY,column(T259)-$A$5,0)/VLOOKUP($A259,'Dados StatusInvest'!$A:$AY,2,0)*$E259</f>
        <v>-0.1243636364</v>
      </c>
      <c r="U259" s="44">
        <f>VLOOKUP($A259,'Dados StatusInvest'!$A:$AY,column(U259)-$A$5,0)</f>
        <v>-0.2</v>
      </c>
      <c r="V259" s="45">
        <f>VLOOKUP($A259,'Dados StatusInvest'!$A:$AY,column(V259)-$A$5,0)</f>
        <v>0.02</v>
      </c>
      <c r="W259" s="45">
        <f>VLOOKUP($A259,'Dados StatusInvest'!$A:$AY,column(W259)-$A$5,0)</f>
        <v>-12.38</v>
      </c>
      <c r="X259" s="45">
        <f>VLOOKUP($A259,'Dados StatusInvest'!$A:$AY,column(X259)-$A$5,0)</f>
        <v>-21.87</v>
      </c>
      <c r="Y259" s="45">
        <f>VLOOKUP($A259,'Dados StatusInvest'!$A:$AY,column(Y259)-$A$5,0)</f>
        <v>9.26</v>
      </c>
      <c r="Z259" s="44">
        <f>VLOOKUP($A259,'Dados StatusInvest'!$A:$AY,column(Z259)-$A$5,0)</f>
        <v>-1.77</v>
      </c>
      <c r="AA259" s="44">
        <f>VLOOKUP($A259,'Dados StatusInvest'!$A:$AY,column(AA259)-$A$5,0)</f>
        <v>2.77</v>
      </c>
      <c r="AB259" s="44">
        <f>VLOOKUP($A259,'Dados StatusInvest'!$A:$AY,column(AB259)-$A$5,0)</f>
        <v>0</v>
      </c>
      <c r="AC259" s="44">
        <f>VLOOKUP($A259,'Dados StatusInvest'!$A:$AY,column(AC259)-$A$5,0)</f>
        <v>-55.72</v>
      </c>
      <c r="AD259" s="45">
        <f>VLOOKUP($A259,'Dados StatusInvest'!$A:$AY,column(AD259)-$A$5,0)</f>
        <v>0</v>
      </c>
      <c r="AE259" s="46">
        <f>VLOOKUP($A259,'Dados StatusInvest'!$A:$AY,column(AE259)-$A$5,0)</f>
        <v>2629636.79</v>
      </c>
      <c r="AF259" s="49"/>
    </row>
    <row r="260">
      <c r="A260" s="10" t="s">
        <v>306</v>
      </c>
      <c r="B260" s="39" t="str">
        <f>VLOOKUP(lEFT($A260,4),Setor!$A:$E,3,0)</f>
        <v>Materiais Básicos</v>
      </c>
      <c r="C260" s="39" t="str">
        <f>VLOOKUP(lEFT($A260,4),Setor!$A:$E,4,0)</f>
        <v>Químicos</v>
      </c>
      <c r="D260" s="39" t="str">
        <f>VLOOKUP(lEFT($A260,4),Setor!$A:$E,5,0)</f>
        <v>Químicos Diversos</v>
      </c>
      <c r="E260" s="17">
        <f>IFERROR(__xludf.DUMMYFUNCTION("GOOGLEFINANCE(A260)"),81.99)</f>
        <v>81.99</v>
      </c>
      <c r="F260" s="17">
        <f>IFERROR(__xludf.DUMMYFUNCTION("GOOGLEFINANCE($A260,""high52"")"),108.96)</f>
        <v>108.96</v>
      </c>
      <c r="G260" s="16">
        <f t="shared" si="1"/>
        <v>-0.2475220264</v>
      </c>
      <c r="H260" s="40">
        <f>VLOOKUP($A260,'Dados StatusInvest'!$A:$AY,column(H260)-$A$5,0)*VLOOKUP($A260,'Dados StatusInvest'!$A:$AY,2,0)/$E260/100</f>
        <v>0.08957775338</v>
      </c>
      <c r="I260" s="41">
        <f>VLOOKUP($A260,'Dados StatusInvest'!$A:$AY,column(I260)-$A$5,0)/VLOOKUP($A260,'Dados StatusInvest'!$A:$AY,2,0)*$E260</f>
        <v>7.986804457</v>
      </c>
      <c r="J260" s="41">
        <f>VLOOKUP($A260,'Dados StatusInvest'!$A:$AY,column(J260)-$A$5,0)/VLOOKUP($A260,'Dados StatusInvest'!$A:$AY,2,0)*$E260</f>
        <v>3.88042775</v>
      </c>
      <c r="K260" s="42">
        <f>VLOOKUP($A260,'Dados StatusInvest'!$A:$AY,column(K260)-$A$5,0)/VLOOKUP($A260,'Dados StatusInvest'!$A:$AY,2,0)*$E260</f>
        <v>1.571818835</v>
      </c>
      <c r="L260" s="43">
        <f>VLOOKUP($A260,'Dados StatusInvest'!$A:$AY,column(L260)-$A$5,0)/100</f>
        <v>0.4228</v>
      </c>
      <c r="M260" s="44">
        <f>VLOOKUP($A260,'Dados StatusInvest'!$A:$AY,column(M260)-$A$5,0)</f>
        <v>31.44</v>
      </c>
      <c r="N260" s="44">
        <f>VLOOKUP($A260,'Dados StatusInvest'!$A:$AY,column(N260)-$A$5,0)</f>
        <v>20.02</v>
      </c>
      <c r="O260" s="41">
        <f>VLOOKUP($A260,'Dados StatusInvest'!$A:$AY,column(O260)-$A$5,0)/VLOOKUP($A260,'Dados StatusInvest'!$A:$AY,2,0)*$E260</f>
        <v>5.08876348</v>
      </c>
      <c r="P260" s="41">
        <f>VLOOKUP($A260,'Dados StatusInvest'!$A:$AY,column(P260)-$A$5,0)-VLOOKUP($A260,'Dados StatusInvest'!$A:$AY,column(P260)-$A$5-1,0)+O260</f>
        <v>4.75876348</v>
      </c>
      <c r="Q260" s="44">
        <f>VLOOKUP($A260,'Dados StatusInvest'!$A:$AY,column(Q260)-$A$5,0)</f>
        <v>-0.21</v>
      </c>
      <c r="R260" s="44">
        <f>VLOOKUP($A260,'Dados StatusInvest'!$A:$AY,column(R260)-$A$5,0)</f>
        <v>-0.16</v>
      </c>
      <c r="S260" s="41">
        <f>VLOOKUP($A260,'Dados StatusInvest'!$A:$AY,column(S260)-$A$5,0)/VLOOKUP($A260,'Dados StatusInvest'!$A:$AY,2,0)*$E260</f>
        <v>1.601290439</v>
      </c>
      <c r="T260" s="42">
        <f>VLOOKUP($A260,'Dados StatusInvest'!$A:$AY,column(T260)-$A$5,0)/VLOOKUP($A260,'Dados StatusInvest'!$A:$AY,2,0)*$E260</f>
        <v>6.346218548</v>
      </c>
      <c r="U260" s="44">
        <f>VLOOKUP($A260,'Dados StatusInvest'!$A:$AY,column(U260)-$A$5,0)</f>
        <v>-2.95</v>
      </c>
      <c r="V260" s="45">
        <f>VLOOKUP($A260,'Dados StatusInvest'!$A:$AY,column(V260)-$A$5,0)</f>
        <v>2.17</v>
      </c>
      <c r="W260" s="45">
        <f>VLOOKUP($A260,'Dados StatusInvest'!$A:$AY,column(W260)-$A$5,0)</f>
        <v>48.58</v>
      </c>
      <c r="X260" s="45">
        <f>VLOOKUP($A260,'Dados StatusInvest'!$A:$AY,column(X260)-$A$5,0)</f>
        <v>19.62</v>
      </c>
      <c r="Y260" s="45">
        <f>VLOOKUP($A260,'Dados StatusInvest'!$A:$AY,column(Y260)-$A$5,0)</f>
        <v>36.14</v>
      </c>
      <c r="Z260" s="44">
        <f>VLOOKUP($A260,'Dados StatusInvest'!$A:$AY,column(Z260)-$A$5,0)</f>
        <v>0.4</v>
      </c>
      <c r="AA260" s="44">
        <f>VLOOKUP($A260,'Dados StatusInvest'!$A:$AY,column(AA260)-$A$5,0)</f>
        <v>0.59</v>
      </c>
      <c r="AB260" s="44">
        <f>VLOOKUP($A260,'Dados StatusInvest'!$A:$AY,column(AB260)-$A$5,0)</f>
        <v>0.98</v>
      </c>
      <c r="AC260" s="44">
        <f>VLOOKUP($A260,'Dados StatusInvest'!$A:$AY,column(AC260)-$A$5,0)</f>
        <v>35.12</v>
      </c>
      <c r="AD260" s="45">
        <f>VLOOKUP($A260,'Dados StatusInvest'!$A:$AY,column(AD260)-$A$5,0)</f>
        <v>61.42</v>
      </c>
      <c r="AE260" s="46">
        <f>VLOOKUP($A260,'Dados StatusInvest'!$A:$AY,column(AE260)-$A$5,0)</f>
        <v>2199858.92</v>
      </c>
      <c r="AF260" s="18"/>
    </row>
    <row r="261">
      <c r="A261" s="10" t="s">
        <v>307</v>
      </c>
      <c r="B261" s="39" t="str">
        <f>VLOOKUP(lEFT($A261,4),Setor!$A:$E,3,0)</f>
        <v>Consumo Cíclico</v>
      </c>
      <c r="C261" s="39" t="str">
        <f>VLOOKUP(lEFT($A261,4),Setor!$A:$E,4,0)</f>
        <v>Construção Civil</v>
      </c>
      <c r="D261" s="39" t="str">
        <f>VLOOKUP(lEFT($A261,4),Setor!$A:$E,5,0)</f>
        <v>Incorporações</v>
      </c>
      <c r="E261" s="17">
        <f>IFERROR(__xludf.DUMMYFUNCTION("GOOGLEFINANCE(A261)"),6.83)</f>
        <v>6.83</v>
      </c>
      <c r="F261" s="17">
        <f>IFERROR(__xludf.DUMMYFUNCTION("GOOGLEFINANCE($A261,""high52"")"),12.11)</f>
        <v>12.11</v>
      </c>
      <c r="G261" s="16">
        <f t="shared" si="1"/>
        <v>-0.4360033031</v>
      </c>
      <c r="H261" s="40">
        <f>VLOOKUP($A261,'Dados StatusInvest'!$A:$AY,column(H261)-$A$5,0)*VLOOKUP($A261,'Dados StatusInvest'!$A:$AY,2,0)/$E261/100</f>
        <v>0</v>
      </c>
      <c r="I261" s="41">
        <f>VLOOKUP($A261,'Dados StatusInvest'!$A:$AY,column(I261)-$A$5,0)/VLOOKUP($A261,'Dados StatusInvest'!$A:$AY,2,0)*$E261</f>
        <v>9.122928571</v>
      </c>
      <c r="J261" s="41">
        <f>VLOOKUP($A261,'Dados StatusInvest'!$A:$AY,column(J261)-$A$5,0)/VLOOKUP($A261,'Dados StatusInvest'!$A:$AY,2,0)*$E261</f>
        <v>0.5561571429</v>
      </c>
      <c r="K261" s="42">
        <f>VLOOKUP($A261,'Dados StatusInvest'!$A:$AY,column(K261)-$A$5,0)/VLOOKUP($A261,'Dados StatusInvest'!$A:$AY,2,0)*$E261</f>
        <v>0.2536857143</v>
      </c>
      <c r="L261" s="43">
        <f>VLOOKUP($A261,'Dados StatusInvest'!$A:$AY,column(L261)-$A$5,0)/100</f>
        <v>0.3082</v>
      </c>
      <c r="M261" s="47">
        <f>VLOOKUP($A261,'Dados StatusInvest'!$A:$AY,column(M261)-$A$5,0)</f>
        <v>9.15</v>
      </c>
      <c r="N261" s="47">
        <f>VLOOKUP($A261,'Dados StatusInvest'!$A:$AY,column(N261)-$A$5,0)</f>
        <v>9.01</v>
      </c>
      <c r="O261" s="41">
        <f>VLOOKUP($A261,'Dados StatusInvest'!$A:$AY,column(O261)-$A$5,0)/VLOOKUP($A261,'Dados StatusInvest'!$A:$AY,2,0)*$E261</f>
        <v>8.986328571</v>
      </c>
      <c r="P261" s="41">
        <f>VLOOKUP($A261,'Dados StatusInvest'!$A:$AY,column(P261)-$A$5,0)-VLOOKUP($A261,'Dados StatusInvest'!$A:$AY,column(P261)-$A$5-1,0)+O261</f>
        <v>8.966328571</v>
      </c>
      <c r="Q261" s="44">
        <f>VLOOKUP($A261,'Dados StatusInvest'!$A:$AY,column(Q261)-$A$5,0)</f>
        <v>-0.04</v>
      </c>
      <c r="R261" s="44">
        <f>VLOOKUP($A261,'Dados StatusInvest'!$A:$AY,column(R261)-$A$5,0)</f>
        <v>0</v>
      </c>
      <c r="S261" s="41">
        <f>VLOOKUP($A261,'Dados StatusInvest'!$A:$AY,column(S261)-$A$5,0)/VLOOKUP($A261,'Dados StatusInvest'!$A:$AY,2,0)*$E261</f>
        <v>0.8196</v>
      </c>
      <c r="T261" s="42">
        <f>VLOOKUP($A261,'Dados StatusInvest'!$A:$AY,column(T261)-$A$5,0)/VLOOKUP($A261,'Dados StatusInvest'!$A:$AY,2,0)*$E261</f>
        <v>1.073285714</v>
      </c>
      <c r="U261" s="44">
        <f>VLOOKUP($A261,'Dados StatusInvest'!$A:$AY,column(U261)-$A$5,0)</f>
        <v>-0.45</v>
      </c>
      <c r="V261" s="45">
        <f>VLOOKUP($A261,'Dados StatusInvest'!$A:$AY,column(V261)-$A$5,0)</f>
        <v>2.2</v>
      </c>
      <c r="W261" s="45">
        <f>VLOOKUP($A261,'Dados StatusInvest'!$A:$AY,column(W261)-$A$5,0)</f>
        <v>6.08</v>
      </c>
      <c r="X261" s="45">
        <f>VLOOKUP($A261,'Dados StatusInvest'!$A:$AY,column(X261)-$A$5,0)</f>
        <v>2.73</v>
      </c>
      <c r="Y261" s="45">
        <f>VLOOKUP($A261,'Dados StatusInvest'!$A:$AY,column(Y261)-$A$5,0)</f>
        <v>4.39</v>
      </c>
      <c r="Z261" s="44">
        <f>VLOOKUP($A261,'Dados StatusInvest'!$A:$AY,column(Z261)-$A$5,0)</f>
        <v>0.45</v>
      </c>
      <c r="AA261" s="44">
        <f>VLOOKUP($A261,'Dados StatusInvest'!$A:$AY,column(AA261)-$A$5,0)</f>
        <v>0.55</v>
      </c>
      <c r="AB261" s="44">
        <f>VLOOKUP($A261,'Dados StatusInvest'!$A:$AY,column(AB261)-$A$5,0)</f>
        <v>0.3</v>
      </c>
      <c r="AC261" s="44">
        <f>VLOOKUP($A261,'Dados StatusInvest'!$A:$AY,column(AC261)-$A$5,0)</f>
        <v>-8.09</v>
      </c>
      <c r="AD261" s="45">
        <f>VLOOKUP($A261,'Dados StatusInvest'!$A:$AY,column(AD261)-$A$5,0)</f>
        <v>11.74</v>
      </c>
      <c r="AE261" s="46">
        <f>VLOOKUP($A261,'Dados StatusInvest'!$A:$AY,column(AE261)-$A$5,0)</f>
        <v>2499167.17</v>
      </c>
      <c r="AF261" s="49"/>
    </row>
    <row r="262">
      <c r="A262" s="10" t="s">
        <v>308</v>
      </c>
      <c r="B262" s="39" t="str">
        <f>VLOOKUP(lEFT($A262,4),Setor!$A:$E,3,0)</f>
        <v>Utilidade Pública</v>
      </c>
      <c r="C262" s="39" t="str">
        <f>VLOOKUP(lEFT($A262,4),Setor!$A:$E,4,0)</f>
        <v>Água e Saneamento</v>
      </c>
      <c r="D262" s="39" t="str">
        <f>VLOOKUP(lEFT($A262,4),Setor!$A:$E,5,0)</f>
        <v>Água e Saneamento</v>
      </c>
      <c r="E262" s="17">
        <f>IFERROR(__xludf.DUMMYFUNCTION("GOOGLEFINANCE(A262)"),3.75)</f>
        <v>3.75</v>
      </c>
      <c r="F262" s="17">
        <f>IFERROR(__xludf.DUMMYFUNCTION("GOOGLEFINANCE($A262,""high52"")"),7.0)</f>
        <v>7</v>
      </c>
      <c r="G262" s="16">
        <f t="shared" si="1"/>
        <v>-0.4642857143</v>
      </c>
      <c r="H262" s="40">
        <f>VLOOKUP($A262,'Dados StatusInvest'!$A:$AY,column(H262)-$A$5,0)*VLOOKUP($A262,'Dados StatusInvest'!$A:$AY,2,0)/$E262/100</f>
        <v>0.04893866667</v>
      </c>
      <c r="I262" s="41">
        <f>VLOOKUP($A262,'Dados StatusInvest'!$A:$AY,column(I262)-$A$5,0)/VLOOKUP($A262,'Dados StatusInvest'!$A:$AY,2,0)*$E262</f>
        <v>5.493243243</v>
      </c>
      <c r="J262" s="41">
        <f>VLOOKUP($A262,'Dados StatusInvest'!$A:$AY,column(J262)-$A$5,0)/VLOOKUP($A262,'Dados StatusInvest'!$A:$AY,2,0)*$E262</f>
        <v>0.7804054054</v>
      </c>
      <c r="K262" s="42">
        <f>VLOOKUP($A262,'Dados StatusInvest'!$A:$AY,column(K262)-$A$5,0)/VLOOKUP($A262,'Dados StatusInvest'!$A:$AY,2,0)*$E262</f>
        <v>0.4054054054</v>
      </c>
      <c r="L262" s="43">
        <f>VLOOKUP($A262,'Dados StatusInvest'!$A:$AY,column(L262)-$A$5,0)/100</f>
        <v>0.6003</v>
      </c>
      <c r="M262" s="44">
        <f>VLOOKUP($A262,'Dados StatusInvest'!$A:$AY,column(M262)-$A$5,0)</f>
        <v>33.99</v>
      </c>
      <c r="N262" s="47">
        <f>VLOOKUP($A262,'Dados StatusInvest'!$A:$AY,column(N262)-$A$5,0)</f>
        <v>21.09</v>
      </c>
      <c r="O262" s="41">
        <f>VLOOKUP($A262,'Dados StatusInvest'!$A:$AY,column(O262)-$A$5,0)/VLOOKUP($A262,'Dados StatusInvest'!$A:$AY,2,0)*$E262</f>
        <v>3.405405405</v>
      </c>
      <c r="P262" s="41">
        <f>VLOOKUP($A262,'Dados StatusInvest'!$A:$AY,column(P262)-$A$5,0)-VLOOKUP($A262,'Dados StatusInvest'!$A:$AY,column(P262)-$A$5-1,0)+O262</f>
        <v>5.255405405</v>
      </c>
      <c r="Q262" s="44">
        <f>VLOOKUP($A262,'Dados StatusInvest'!$A:$AY,column(Q262)-$A$5,0)</f>
        <v>1.83</v>
      </c>
      <c r="R262" s="44">
        <f>VLOOKUP($A262,'Dados StatusInvest'!$A:$AY,column(R262)-$A$5,0)</f>
        <v>0.42</v>
      </c>
      <c r="S262" s="41">
        <f>VLOOKUP($A262,'Dados StatusInvest'!$A:$AY,column(S262)-$A$5,0)/VLOOKUP($A262,'Dados StatusInvest'!$A:$AY,2,0)*$E262</f>
        <v>1.155405405</v>
      </c>
      <c r="T262" s="42">
        <f>VLOOKUP($A262,'Dados StatusInvest'!$A:$AY,column(T262)-$A$5,0)/VLOOKUP($A262,'Dados StatusInvest'!$A:$AY,2,0)*$E262</f>
        <v>7.47972973</v>
      </c>
      <c r="U262" s="47">
        <f>VLOOKUP($A262,'Dados StatusInvest'!$A:$AY,column(U262)-$A$5,0)</f>
        <v>-0.47</v>
      </c>
      <c r="V262" s="45">
        <f>VLOOKUP($A262,'Dados StatusInvest'!$A:$AY,column(V262)-$A$5,0)</f>
        <v>1.62</v>
      </c>
      <c r="W262" s="45">
        <f>VLOOKUP($A262,'Dados StatusInvest'!$A:$AY,column(W262)-$A$5,0)</f>
        <v>14.15</v>
      </c>
      <c r="X262" s="48">
        <f>VLOOKUP($A262,'Dados StatusInvest'!$A:$AY,column(X262)-$A$5,0)</f>
        <v>7.46</v>
      </c>
      <c r="Y262" s="45">
        <f>VLOOKUP($A262,'Dados StatusInvest'!$A:$AY,column(Y262)-$A$5,0)</f>
        <v>11.19</v>
      </c>
      <c r="Z262" s="44">
        <f>VLOOKUP($A262,'Dados StatusInvest'!$A:$AY,column(Z262)-$A$5,0)</f>
        <v>0.53</v>
      </c>
      <c r="AA262" s="44">
        <f>VLOOKUP($A262,'Dados StatusInvest'!$A:$AY,column(AA262)-$A$5,0)</f>
        <v>0.47</v>
      </c>
      <c r="AB262" s="44">
        <f>VLOOKUP($A262,'Dados StatusInvest'!$A:$AY,column(AB262)-$A$5,0)</f>
        <v>0.35</v>
      </c>
      <c r="AC262" s="44">
        <f>VLOOKUP($A262,'Dados StatusInvest'!$A:$AY,column(AC262)-$A$5,0)</f>
        <v>10.07</v>
      </c>
      <c r="AD262" s="45">
        <f>VLOOKUP($A262,'Dados StatusInvest'!$A:$AY,column(AD262)-$A$5,0)</f>
        <v>18.72</v>
      </c>
      <c r="AE262" s="46">
        <f>VLOOKUP($A262,'Dados StatusInvest'!$A:$AY,column(AE262)-$A$5,0)</f>
        <v>2285509.79</v>
      </c>
      <c r="AF262" s="18"/>
    </row>
    <row r="263">
      <c r="A263" s="10" t="s">
        <v>309</v>
      </c>
      <c r="B263" s="39" t="str">
        <f>VLOOKUP(lEFT($A263,4),Setor!$A:$E,3,0)</f>
        <v>Consumo Cíclico</v>
      </c>
      <c r="C263" s="39" t="str">
        <f>VLOOKUP(lEFT($A263,4),Setor!$A:$E,4,0)</f>
        <v>Construção Civil</v>
      </c>
      <c r="D263" s="39" t="str">
        <f>VLOOKUP(lEFT($A263,4),Setor!$A:$E,5,0)</f>
        <v>Incorporações</v>
      </c>
      <c r="E263" s="17">
        <f>IFERROR(__xludf.DUMMYFUNCTION("GOOGLEFINANCE(A263)"),1.88)</f>
        <v>1.88</v>
      </c>
      <c r="F263" s="17">
        <f>IFERROR(__xludf.DUMMYFUNCTION("GOOGLEFINANCE($A263,""high52"")"),7.73)</f>
        <v>7.73</v>
      </c>
      <c r="G263" s="16">
        <f t="shared" si="1"/>
        <v>-0.7567917206</v>
      </c>
      <c r="H263" s="40">
        <f>VLOOKUP($A263,'Dados StatusInvest'!$A:$AY,column(H263)-$A$5,0)*VLOOKUP($A263,'Dados StatusInvest'!$A:$AY,2,0)/$E263/100</f>
        <v>0</v>
      </c>
      <c r="I263" s="41">
        <f>VLOOKUP($A263,'Dados StatusInvest'!$A:$AY,column(I263)-$A$5,0)/VLOOKUP($A263,'Dados StatusInvest'!$A:$AY,2,0)*$E263</f>
        <v>-1.325245902</v>
      </c>
      <c r="J263" s="41">
        <f>VLOOKUP($A263,'Dados StatusInvest'!$A:$AY,column(J263)-$A$5,0)/VLOOKUP($A263,'Dados StatusInvest'!$A:$AY,2,0)*$E263</f>
        <v>-0.4828415301</v>
      </c>
      <c r="K263" s="42">
        <f>VLOOKUP($A263,'Dados StatusInvest'!$A:$AY,column(K263)-$A$5,0)/VLOOKUP($A263,'Dados StatusInvest'!$A:$AY,2,0)*$E263</f>
        <v>0.1540983607</v>
      </c>
      <c r="L263" s="43">
        <f>VLOOKUP($A263,'Dados StatusInvest'!$A:$AY,column(L263)-$A$5,0)/100</f>
        <v>2.6881</v>
      </c>
      <c r="M263" s="47">
        <f>VLOOKUP($A263,'Dados StatusInvest'!$A:$AY,column(M263)-$A$5,0)</f>
        <v>6496.46</v>
      </c>
      <c r="N263" s="47">
        <f>VLOOKUP($A263,'Dados StatusInvest'!$A:$AY,column(N263)-$A$5,0)</f>
        <v>5724.19</v>
      </c>
      <c r="O263" s="41">
        <f>VLOOKUP($A263,'Dados StatusInvest'!$A:$AY,column(O263)-$A$5,0)/VLOOKUP($A263,'Dados StatusInvest'!$A:$AY,2,0)*$E263</f>
        <v>-1.171147541</v>
      </c>
      <c r="P263" s="41">
        <f>VLOOKUP($A263,'Dados StatusInvest'!$A:$AY,column(P263)-$A$5,0)-VLOOKUP($A263,'Dados StatusInvest'!$A:$AY,column(P263)-$A$5-1,0)+O263</f>
        <v>-4.571147541</v>
      </c>
      <c r="Q263" s="44">
        <f>VLOOKUP($A263,'Dados StatusInvest'!$A:$AY,column(Q263)-$A$5,0)</f>
        <v>-3.37</v>
      </c>
      <c r="R263" s="44">
        <f>VLOOKUP($A263,'Dados StatusInvest'!$A:$AY,column(R263)-$A$5,0)</f>
        <v>0</v>
      </c>
      <c r="S263" s="41">
        <f>VLOOKUP($A263,'Dados StatusInvest'!$A:$AY,column(S263)-$A$5,0)/VLOOKUP($A263,'Dados StatusInvest'!$A:$AY,2,0)*$E263</f>
        <v>0</v>
      </c>
      <c r="T263" s="42">
        <f>VLOOKUP($A263,'Dados StatusInvest'!$A:$AY,column(T263)-$A$5,0)/VLOOKUP($A263,'Dados StatusInvest'!$A:$AY,2,0)*$E263</f>
        <v>-1.695081967</v>
      </c>
      <c r="U263" s="44">
        <f>VLOOKUP($A263,'Dados StatusInvest'!$A:$AY,column(U263)-$A$5,0)</f>
        <v>-0.98</v>
      </c>
      <c r="V263" s="45">
        <f>VLOOKUP($A263,'Dados StatusInvest'!$A:$AY,column(V263)-$A$5,0)</f>
        <v>0.9</v>
      </c>
      <c r="W263" s="45">
        <f>VLOOKUP($A263,'Dados StatusInvest'!$A:$AY,column(W263)-$A$5,0)</f>
        <v>-36.44</v>
      </c>
      <c r="X263" s="48">
        <f>VLOOKUP($A263,'Dados StatusInvest'!$A:$AY,column(X263)-$A$5,0)</f>
        <v>-11.74</v>
      </c>
      <c r="Y263" s="45">
        <f>VLOOKUP($A263,'Dados StatusInvest'!$A:$AY,column(Y263)-$A$5,0)</f>
        <v>-280.83</v>
      </c>
      <c r="Z263" s="44">
        <f>VLOOKUP($A263,'Dados StatusInvest'!$A:$AY,column(Z263)-$A$5,0)</f>
        <v>-0.32</v>
      </c>
      <c r="AA263" s="44">
        <f>VLOOKUP($A263,'Dados StatusInvest'!$A:$AY,column(AA263)-$A$5,0)</f>
        <v>1.41</v>
      </c>
      <c r="AB263" s="44">
        <f>VLOOKUP($A263,'Dados StatusInvest'!$A:$AY,column(AB263)-$A$5,0)</f>
        <v>0</v>
      </c>
      <c r="AC263" s="44">
        <f>VLOOKUP($A263,'Dados StatusInvest'!$A:$AY,column(AC263)-$A$5,0)</f>
        <v>-44.72</v>
      </c>
      <c r="AD263" s="45">
        <f>VLOOKUP($A263,'Dados StatusInvest'!$A:$AY,column(AD263)-$A$5,0)</f>
        <v>0</v>
      </c>
      <c r="AE263" s="46">
        <f>VLOOKUP($A263,'Dados StatusInvest'!$A:$AY,column(AE263)-$A$5,0)</f>
        <v>1157941.04</v>
      </c>
      <c r="AF263" s="50"/>
    </row>
    <row r="264">
      <c r="A264" s="10" t="s">
        <v>310</v>
      </c>
      <c r="B264" s="39" t="str">
        <f>VLOOKUP(lEFT($A264,4),Setor!$A:$E,3,0)</f>
        <v>Materiais Básicos</v>
      </c>
      <c r="C264" s="39" t="str">
        <f>VLOOKUP(lEFT($A264,4),Setor!$A:$E,4,0)</f>
        <v>Siderurgia e Metalurgia</v>
      </c>
      <c r="D264" s="39" t="str">
        <f>VLOOKUP(lEFT($A264,4),Setor!$A:$E,5,0)</f>
        <v>Siderurgia</v>
      </c>
      <c r="E264" s="17">
        <f>IFERROR(__xludf.DUMMYFUNCTION("GOOGLEFINANCE(A264)"),22.41)</f>
        <v>22.41</v>
      </c>
      <c r="F264" s="17">
        <f>IFERROR(__xludf.DUMMYFUNCTION("GOOGLEFINANCE($A264,""high52"")"),31.05)</f>
        <v>31.05</v>
      </c>
      <c r="G264" s="16">
        <f t="shared" si="1"/>
        <v>-0.2782608696</v>
      </c>
      <c r="H264" s="40">
        <f>VLOOKUP($A264,'Dados StatusInvest'!$A:$AY,column(H264)-$A$5,0)*VLOOKUP($A264,'Dados StatusInvest'!$A:$AY,2,0)/$E264/100</f>
        <v>0.07762427488</v>
      </c>
      <c r="I264" s="41">
        <f>VLOOKUP($A264,'Dados StatusInvest'!$A:$AY,column(I264)-$A$5,0)/VLOOKUP($A264,'Dados StatusInvest'!$A:$AY,2,0)*$E264</f>
        <v>4.702459386</v>
      </c>
      <c r="J264" s="41">
        <f>VLOOKUP($A264,'Dados StatusInvest'!$A:$AY,column(J264)-$A$5,0)/VLOOKUP($A264,'Dados StatusInvest'!$A:$AY,2,0)*$E264</f>
        <v>1.071958484</v>
      </c>
      <c r="K264" s="42">
        <f>VLOOKUP($A264,'Dados StatusInvest'!$A:$AY,column(K264)-$A$5,0)/VLOOKUP($A264,'Dados StatusInvest'!$A:$AY,2,0)*$E264</f>
        <v>0.5764305054</v>
      </c>
      <c r="L264" s="43">
        <f>VLOOKUP($A264,'Dados StatusInvest'!$A:$AY,column(L264)-$A$5,0)/100</f>
        <v>0.2213</v>
      </c>
      <c r="M264" s="44">
        <f>VLOOKUP($A264,'Dados StatusInvest'!$A:$AY,column(M264)-$A$5,0)</f>
        <v>21.31</v>
      </c>
      <c r="N264" s="44">
        <f>VLOOKUP($A264,'Dados StatusInvest'!$A:$AY,column(N264)-$A$5,0)</f>
        <v>13.38</v>
      </c>
      <c r="O264" s="41">
        <f>VLOOKUP($A264,'Dados StatusInvest'!$A:$AY,column(O264)-$A$5,0)/VLOOKUP($A264,'Dados StatusInvest'!$A:$AY,2,0)*$E264</f>
        <v>2.952942238</v>
      </c>
      <c r="P264" s="41">
        <f>VLOOKUP($A264,'Dados StatusInvest'!$A:$AY,column(P264)-$A$5,0)-VLOOKUP($A264,'Dados StatusInvest'!$A:$AY,column(P264)-$A$5-1,0)+O264</f>
        <v>4.182942238</v>
      </c>
      <c r="Q264" s="44">
        <f>VLOOKUP($A264,'Dados StatusInvest'!$A:$AY,column(Q264)-$A$5,0)</f>
        <v>0.78</v>
      </c>
      <c r="R264" s="44">
        <f>VLOOKUP($A264,'Dados StatusInvest'!$A:$AY,column(R264)-$A$5,0)</f>
        <v>0.28</v>
      </c>
      <c r="S264" s="41">
        <f>VLOOKUP($A264,'Dados StatusInvest'!$A:$AY,column(S264)-$A$5,0)/VLOOKUP($A264,'Dados StatusInvest'!$A:$AY,2,0)*$E264</f>
        <v>0.6269945848</v>
      </c>
      <c r="T264" s="42">
        <f>VLOOKUP($A264,'Dados StatusInvest'!$A:$AY,column(T264)-$A$5,0)/VLOOKUP($A264,'Dados StatusInvest'!$A:$AY,2,0)*$E264</f>
        <v>2.224819495</v>
      </c>
      <c r="U264" s="44">
        <f>VLOOKUP($A264,'Dados StatusInvest'!$A:$AY,column(U264)-$A$5,0)</f>
        <v>-0.99</v>
      </c>
      <c r="V264" s="45">
        <f>VLOOKUP($A264,'Dados StatusInvest'!$A:$AY,column(V264)-$A$5,0)</f>
        <v>2.58</v>
      </c>
      <c r="W264" s="45">
        <f>VLOOKUP($A264,'Dados StatusInvest'!$A:$AY,column(W264)-$A$5,0)</f>
        <v>22.84</v>
      </c>
      <c r="X264" s="45">
        <f>VLOOKUP($A264,'Dados StatusInvest'!$A:$AY,column(X264)-$A$5,0)</f>
        <v>12.26</v>
      </c>
      <c r="Y264" s="45">
        <f>VLOOKUP($A264,'Dados StatusInvest'!$A:$AY,column(Y264)-$A$5,0)</f>
        <v>18.49</v>
      </c>
      <c r="Z264" s="44">
        <f>VLOOKUP($A264,'Dados StatusInvest'!$A:$AY,column(Z264)-$A$5,0)</f>
        <v>0.54</v>
      </c>
      <c r="AA264" s="44">
        <f>VLOOKUP($A264,'Dados StatusInvest'!$A:$AY,column(AA264)-$A$5,0)</f>
        <v>0.46</v>
      </c>
      <c r="AB264" s="44">
        <f>VLOOKUP($A264,'Dados StatusInvest'!$A:$AY,column(AB264)-$A$5,0)</f>
        <v>0.92</v>
      </c>
      <c r="AC264" s="44">
        <f>VLOOKUP($A264,'Dados StatusInvest'!$A:$AY,column(AC264)-$A$5,0)</f>
        <v>0.11</v>
      </c>
      <c r="AD264" s="45">
        <f>VLOOKUP($A264,'Dados StatusInvest'!$A:$AY,column(AD264)-$A$5,0)</f>
        <v>0</v>
      </c>
      <c r="AE264" s="46">
        <f>VLOOKUP($A264,'Dados StatusInvest'!$A:$AY,column(AE264)-$A$5,0)</f>
        <v>2887612.33</v>
      </c>
      <c r="AF264" s="50"/>
    </row>
    <row r="265">
      <c r="A265" s="10" t="s">
        <v>311</v>
      </c>
      <c r="B265" s="39" t="str">
        <f>VLOOKUP(lEFT($A265,4),Setor!$A:$E,3,0)</f>
        <v>#N/A</v>
      </c>
      <c r="C265" s="39" t="str">
        <f>VLOOKUP(lEFT($A265,4),Setor!$A:$E,4,0)</f>
        <v>#N/A</v>
      </c>
      <c r="D265" s="39" t="str">
        <f>VLOOKUP(lEFT($A265,4),Setor!$A:$E,5,0)</f>
        <v>#N/A</v>
      </c>
      <c r="E265" s="17">
        <f>IFERROR(__xludf.DUMMYFUNCTION("GOOGLEFINANCE(A265)"),6.76)</f>
        <v>6.76</v>
      </c>
      <c r="F265" s="17">
        <f>IFERROR(__xludf.DUMMYFUNCTION("GOOGLEFINANCE($A265,""high52"")"),9.46)</f>
        <v>9.46</v>
      </c>
      <c r="G265" s="16">
        <f t="shared" si="1"/>
        <v>-0.2854122622</v>
      </c>
      <c r="H265" s="40">
        <f>VLOOKUP($A265,'Dados StatusInvest'!$A:$AY,column(H265)-$A$5,0)*VLOOKUP($A265,'Dados StatusInvest'!$A:$AY,2,0)/$E265/100</f>
        <v>0</v>
      </c>
      <c r="I265" s="41">
        <f>VLOOKUP($A265,'Dados StatusInvest'!$A:$AY,column(I265)-$A$5,0)/VLOOKUP($A265,'Dados StatusInvest'!$A:$AY,2,0)*$E265</f>
        <v>218.0025769</v>
      </c>
      <c r="J265" s="41">
        <f>VLOOKUP($A265,'Dados StatusInvest'!$A:$AY,column(J265)-$A$5,0)/VLOOKUP($A265,'Dados StatusInvest'!$A:$AY,2,0)*$E265</f>
        <v>12.41147877</v>
      </c>
      <c r="K265" s="42">
        <f>VLOOKUP($A265,'Dados StatusInvest'!$A:$AY,column(K265)-$A$5,0)/VLOOKUP($A265,'Dados StatusInvest'!$A:$AY,2,0)*$E265</f>
        <v>1.791449488</v>
      </c>
      <c r="L265" s="43">
        <f>VLOOKUP($A265,'Dados StatusInvest'!$A:$AY,column(L265)-$A$5,0)/100</f>
        <v>0.2861</v>
      </c>
      <c r="M265" s="44">
        <f>VLOOKUP($A265,'Dados StatusInvest'!$A:$AY,column(M265)-$A$5,0)</f>
        <v>17.79</v>
      </c>
      <c r="N265" s="47">
        <f>VLOOKUP($A265,'Dados StatusInvest'!$A:$AY,column(N265)-$A$5,0)</f>
        <v>5.36</v>
      </c>
      <c r="O265" s="41">
        <f>VLOOKUP($A265,'Dados StatusInvest'!$A:$AY,column(O265)-$A$5,0)/VLOOKUP($A265,'Dados StatusInvest'!$A:$AY,2,0)*$E265</f>
        <v>65.66008785</v>
      </c>
      <c r="P265" s="41">
        <f>VLOOKUP($A265,'Dados StatusInvest'!$A:$AY,column(P265)-$A$5,0)-VLOOKUP($A265,'Dados StatusInvest'!$A:$AY,column(P265)-$A$5-1,0)+O265</f>
        <v>82.00008785</v>
      </c>
      <c r="Q265" s="44">
        <f>VLOOKUP($A265,'Dados StatusInvest'!$A:$AY,column(Q265)-$A$5,0)</f>
        <v>16.34</v>
      </c>
      <c r="R265" s="44">
        <f>VLOOKUP($A265,'Dados StatusInvest'!$A:$AY,column(R265)-$A$5,0)</f>
        <v>3.09</v>
      </c>
      <c r="S265" s="41">
        <f>VLOOKUP($A265,'Dados StatusInvest'!$A:$AY,column(S265)-$A$5,0)/VLOOKUP($A265,'Dados StatusInvest'!$A:$AY,2,0)*$E265</f>
        <v>11.67906296</v>
      </c>
      <c r="T265" s="42">
        <f>VLOOKUP($A265,'Dados StatusInvest'!$A:$AY,column(T265)-$A$5,0)/VLOOKUP($A265,'Dados StatusInvest'!$A:$AY,2,0)*$E265</f>
        <v>10.94664714</v>
      </c>
      <c r="U265" s="44">
        <f>VLOOKUP($A265,'Dados StatusInvest'!$A:$AY,column(U265)-$A$5,0)</f>
        <v>-2.78</v>
      </c>
      <c r="V265" s="45">
        <f>VLOOKUP($A265,'Dados StatusInvest'!$A:$AY,column(V265)-$A$5,0)</f>
        <v>1.89</v>
      </c>
      <c r="W265" s="45">
        <f>VLOOKUP($A265,'Dados StatusInvest'!$A:$AY,column(W265)-$A$5,0)</f>
        <v>5.69</v>
      </c>
      <c r="X265" s="45">
        <f>VLOOKUP($A265,'Dados StatusInvest'!$A:$AY,column(X265)-$A$5,0)</f>
        <v>0.82</v>
      </c>
      <c r="Y265" s="45">
        <f>VLOOKUP($A265,'Dados StatusInvest'!$A:$AY,column(Y265)-$A$5,0)</f>
        <v>3.46</v>
      </c>
      <c r="Z265" s="44">
        <f>VLOOKUP($A265,'Dados StatusInvest'!$A:$AY,column(Z265)-$A$5,0)</f>
        <v>0.14</v>
      </c>
      <c r="AA265" s="44">
        <f>VLOOKUP($A265,'Dados StatusInvest'!$A:$AY,column(AA265)-$A$5,0)</f>
        <v>0.85</v>
      </c>
      <c r="AB265" s="44">
        <f>VLOOKUP($A265,'Dados StatusInvest'!$A:$AY,column(AB265)-$A$5,0)</f>
        <v>0.15</v>
      </c>
      <c r="AC265" s="44">
        <f>VLOOKUP($A265,'Dados StatusInvest'!$A:$AY,column(AC265)-$A$5,0)</f>
        <v>0</v>
      </c>
      <c r="AD265" s="45">
        <f>VLOOKUP($A265,'Dados StatusInvest'!$A:$AY,column(AD265)-$A$5,0)</f>
        <v>0</v>
      </c>
      <c r="AE265" s="46">
        <f>VLOOKUP($A265,'Dados StatusInvest'!$A:$AY,column(AE265)-$A$5,0)</f>
        <v>1836110.96</v>
      </c>
      <c r="AF265" s="51"/>
    </row>
    <row r="266">
      <c r="A266" s="10" t="s">
        <v>312</v>
      </c>
      <c r="B266" s="39" t="str">
        <f>VLOOKUP(lEFT($A266,4),Setor!$A:$E,3,0)</f>
        <v>Utilidade Pública</v>
      </c>
      <c r="C266" s="39" t="str">
        <f>VLOOKUP(lEFT($A266,4),Setor!$A:$E,4,0)</f>
        <v>Energia Elétrica</v>
      </c>
      <c r="D266" s="39" t="str">
        <f>VLOOKUP(lEFT($A266,4),Setor!$A:$E,5,0)</f>
        <v>Energia Elétrica</v>
      </c>
      <c r="E266" s="17">
        <f>IFERROR(__xludf.DUMMYFUNCTION("GOOGLEFINANCE(A266)"),12.1)</f>
        <v>12.1</v>
      </c>
      <c r="F266" s="17">
        <f>IFERROR(__xludf.DUMMYFUNCTION("GOOGLEFINANCE($A266,""high52"")"),14.97)</f>
        <v>14.97</v>
      </c>
      <c r="G266" s="16">
        <f t="shared" si="1"/>
        <v>-0.1917167669</v>
      </c>
      <c r="H266" s="40">
        <f>VLOOKUP($A266,'Dados StatusInvest'!$A:$AY,column(H266)-$A$5,0)*VLOOKUP($A266,'Dados StatusInvest'!$A:$AY,2,0)/$E266/100</f>
        <v>0.1241080165</v>
      </c>
      <c r="I266" s="41">
        <f>VLOOKUP($A266,'Dados StatusInvest'!$A:$AY,column(I266)-$A$5,0)/VLOOKUP($A266,'Dados StatusInvest'!$A:$AY,2,0)*$E266</f>
        <v>4.61000841</v>
      </c>
      <c r="J266" s="41">
        <f>VLOOKUP($A266,'Dados StatusInvest'!$A:$AY,column(J266)-$A$5,0)/VLOOKUP($A266,'Dados StatusInvest'!$A:$AY,2,0)*$E266</f>
        <v>1.964087468</v>
      </c>
      <c r="K266" s="42">
        <f>VLOOKUP($A266,'Dados StatusInvest'!$A:$AY,column(K266)-$A$5,0)/VLOOKUP($A266,'Dados StatusInvest'!$A:$AY,2,0)*$E266</f>
        <v>0.8243061396</v>
      </c>
      <c r="L266" s="43">
        <f>VLOOKUP($A266,'Dados StatusInvest'!$A:$AY,column(L266)-$A$5,0)/100</f>
        <v>0.7773</v>
      </c>
      <c r="M266" s="47">
        <f>VLOOKUP($A266,'Dados StatusInvest'!$A:$AY,column(M266)-$A$5,0)</f>
        <v>100.37</v>
      </c>
      <c r="N266" s="47">
        <f>VLOOKUP($A266,'Dados StatusInvest'!$A:$AY,column(N266)-$A$5,0)</f>
        <v>69.11</v>
      </c>
      <c r="O266" s="41">
        <f>VLOOKUP($A266,'Dados StatusInvest'!$A:$AY,column(O266)-$A$5,0)/VLOOKUP($A266,'Dados StatusInvest'!$A:$AY,2,0)*$E266</f>
        <v>3.17510513</v>
      </c>
      <c r="P266" s="41">
        <f>VLOOKUP($A266,'Dados StatusInvest'!$A:$AY,column(P266)-$A$5,0)-VLOOKUP($A266,'Dados StatusInvest'!$A:$AY,column(P266)-$A$5-1,0)+O266</f>
        <v>4.72510513</v>
      </c>
      <c r="Q266" s="44">
        <f>VLOOKUP($A266,'Dados StatusInvest'!$A:$AY,column(Q266)-$A$5,0)</f>
        <v>1.54</v>
      </c>
      <c r="R266" s="44">
        <f>VLOOKUP($A266,'Dados StatusInvest'!$A:$AY,column(R266)-$A$5,0)</f>
        <v>0.95</v>
      </c>
      <c r="S266" s="41">
        <f>VLOOKUP($A266,'Dados StatusInvest'!$A:$AY,column(S266)-$A$5,0)/VLOOKUP($A266,'Dados StatusInvest'!$A:$AY,2,0)*$E266</f>
        <v>3.185281749</v>
      </c>
      <c r="T266" s="42">
        <f>VLOOKUP($A266,'Dados StatusInvest'!$A:$AY,column(T266)-$A$5,0)/VLOOKUP($A266,'Dados StatusInvest'!$A:$AY,2,0)*$E266</f>
        <v>11.04163162</v>
      </c>
      <c r="U266" s="44">
        <f>VLOOKUP($A266,'Dados StatusInvest'!$A:$AY,column(U266)-$A$5,0)</f>
        <v>-0.95</v>
      </c>
      <c r="V266" s="45">
        <f>VLOOKUP($A266,'Dados StatusInvest'!$A:$AY,column(V266)-$A$5,0)</f>
        <v>2.01</v>
      </c>
      <c r="W266" s="45">
        <f>VLOOKUP($A266,'Dados StatusInvest'!$A:$AY,column(W266)-$A$5,0)</f>
        <v>42.56</v>
      </c>
      <c r="X266" s="45">
        <f>VLOOKUP($A266,'Dados StatusInvest'!$A:$AY,column(X266)-$A$5,0)</f>
        <v>17.88</v>
      </c>
      <c r="Y266" s="45">
        <f>VLOOKUP($A266,'Dados StatusInvest'!$A:$AY,column(Y266)-$A$5,0)</f>
        <v>25.67</v>
      </c>
      <c r="Z266" s="44">
        <f>VLOOKUP($A266,'Dados StatusInvest'!$A:$AY,column(Z266)-$A$5,0)</f>
        <v>0.42</v>
      </c>
      <c r="AA266" s="44">
        <f>VLOOKUP($A266,'Dados StatusInvest'!$A:$AY,column(AA266)-$A$5,0)</f>
        <v>0.58</v>
      </c>
      <c r="AB266" s="44">
        <f>VLOOKUP($A266,'Dados StatusInvest'!$A:$AY,column(AB266)-$A$5,0)</f>
        <v>0.26</v>
      </c>
      <c r="AC266" s="44">
        <f>VLOOKUP($A266,'Dados StatusInvest'!$A:$AY,column(AC266)-$A$5,0)</f>
        <v>18.22</v>
      </c>
      <c r="AD266" s="45">
        <f>VLOOKUP($A266,'Dados StatusInvest'!$A:$AY,column(AD266)-$A$5,0)</f>
        <v>24.45</v>
      </c>
      <c r="AE266" s="46">
        <f>VLOOKUP($A266,'Dados StatusInvest'!$A:$AY,column(AE266)-$A$5,0)</f>
        <v>2365107.42</v>
      </c>
      <c r="AF266" s="18"/>
    </row>
    <row r="267">
      <c r="A267" s="10" t="s">
        <v>313</v>
      </c>
      <c r="B267" s="39" t="str">
        <f>VLOOKUP(lEFT($A267,4),Setor!$A:$E,3,0)</f>
        <v>Consumo Cíclico</v>
      </c>
      <c r="C267" s="39" t="str">
        <f>VLOOKUP(lEFT($A267,4),Setor!$A:$E,4,0)</f>
        <v>Comércio</v>
      </c>
      <c r="D267" s="39" t="str">
        <f>VLOOKUP(lEFT($A267,4),Setor!$A:$E,5,0)</f>
        <v>Tecidos, Vestuário e Calçados</v>
      </c>
      <c r="E267" s="17">
        <f>IFERROR(__xludf.DUMMYFUNCTION("GOOGLEFINANCE(A267)"),2.24)</f>
        <v>2.24</v>
      </c>
      <c r="F267" s="17">
        <f>IFERROR(__xludf.DUMMYFUNCTION("GOOGLEFINANCE($A267,""high52"")"),5.49)</f>
        <v>5.49</v>
      </c>
      <c r="G267" s="16">
        <f t="shared" si="1"/>
        <v>-0.5919854281</v>
      </c>
      <c r="H267" s="40">
        <f>VLOOKUP($A267,'Dados StatusInvest'!$A:$AY,column(H267)-$A$5,0)*VLOOKUP($A267,'Dados StatusInvest'!$A:$AY,2,0)/$E267/100</f>
        <v>0</v>
      </c>
      <c r="I267" s="41">
        <f>VLOOKUP($A267,'Dados StatusInvest'!$A:$AY,column(I267)-$A$5,0)/VLOOKUP($A267,'Dados StatusInvest'!$A:$AY,2,0)*$E267</f>
        <v>-0.08182648402</v>
      </c>
      <c r="J267" s="41">
        <f>VLOOKUP($A267,'Dados StatusInvest'!$A:$AY,column(J267)-$A$5,0)/VLOOKUP($A267,'Dados StatusInvest'!$A:$AY,2,0)*$E267</f>
        <v>0.8387214612</v>
      </c>
      <c r="K267" s="42">
        <f>VLOOKUP($A267,'Dados StatusInvest'!$A:$AY,column(K267)-$A$5,0)/VLOOKUP($A267,'Dados StatusInvest'!$A:$AY,2,0)*$E267</f>
        <v>0.07159817352</v>
      </c>
      <c r="L267" s="43">
        <f>VLOOKUP($A267,'Dados StatusInvest'!$A:$AY,column(L267)-$A$5,0)/100</f>
        <v>0.4663</v>
      </c>
      <c r="M267" s="44">
        <f>VLOOKUP($A267,'Dados StatusInvest'!$A:$AY,column(M267)-$A$5,0)</f>
        <v>-67.48</v>
      </c>
      <c r="N267" s="44">
        <f>VLOOKUP($A267,'Dados StatusInvest'!$A:$AY,column(N267)-$A$5,0)</f>
        <v>-270.22</v>
      </c>
      <c r="O267" s="41">
        <f>VLOOKUP($A267,'Dados StatusInvest'!$A:$AY,column(O267)-$A$5,0)/VLOOKUP($A267,'Dados StatusInvest'!$A:$AY,2,0)*$E267</f>
        <v>-0.3273059361</v>
      </c>
      <c r="P267" s="41">
        <f>VLOOKUP($A267,'Dados StatusInvest'!$A:$AY,column(P267)-$A$5,0)-VLOOKUP($A267,'Dados StatusInvest'!$A:$AY,column(P267)-$A$5-1,0)+O267</f>
        <v>-3.707305936</v>
      </c>
      <c r="Q267" s="44">
        <f>VLOOKUP($A267,'Dados StatusInvest'!$A:$AY,column(Q267)-$A$5,0)</f>
        <v>-3.39</v>
      </c>
      <c r="R267" s="44">
        <f>VLOOKUP($A267,'Dados StatusInvest'!$A:$AY,column(R267)-$A$5,0)</f>
        <v>8.85</v>
      </c>
      <c r="S267" s="41">
        <f>VLOOKUP($A267,'Dados StatusInvest'!$A:$AY,column(S267)-$A$5,0)/VLOOKUP($A267,'Dados StatusInvest'!$A:$AY,2,0)*$E267</f>
        <v>0.2147945205</v>
      </c>
      <c r="T267" s="42">
        <f>VLOOKUP($A267,'Dados StatusInvest'!$A:$AY,column(T267)-$A$5,0)/VLOOKUP($A267,'Dados StatusInvest'!$A:$AY,2,0)*$E267</f>
        <v>1.084200913</v>
      </c>
      <c r="U267" s="44">
        <f>VLOOKUP($A267,'Dados StatusInvest'!$A:$AY,column(U267)-$A$5,0)</f>
        <v>-0.09</v>
      </c>
      <c r="V267" s="45">
        <f>VLOOKUP($A267,'Dados StatusInvest'!$A:$AY,column(V267)-$A$5,0)</f>
        <v>1.38</v>
      </c>
      <c r="W267" s="48">
        <f>VLOOKUP($A267,'Dados StatusInvest'!$A:$AY,column(W267)-$A$5,0)</f>
        <v>-1046.39</v>
      </c>
      <c r="X267" s="45">
        <f>VLOOKUP($A267,'Dados StatusInvest'!$A:$AY,column(X267)-$A$5,0)</f>
        <v>-89.5</v>
      </c>
      <c r="Y267" s="45">
        <f>VLOOKUP($A267,'Dados StatusInvest'!$A:$AY,column(Y267)-$A$5,0)</f>
        <v>-28.12</v>
      </c>
      <c r="Z267" s="44">
        <f>VLOOKUP($A267,'Dados StatusInvest'!$A:$AY,column(Z267)-$A$5,0)</f>
        <v>0.09</v>
      </c>
      <c r="AA267" s="44">
        <f>VLOOKUP($A267,'Dados StatusInvest'!$A:$AY,column(AA267)-$A$5,0)</f>
        <v>0.91</v>
      </c>
      <c r="AB267" s="44">
        <f>VLOOKUP($A267,'Dados StatusInvest'!$A:$AY,column(AB267)-$A$5,0)</f>
        <v>0.33</v>
      </c>
      <c r="AC267" s="44">
        <f>VLOOKUP($A267,'Dados StatusInvest'!$A:$AY,column(AC267)-$A$5,0)</f>
        <v>-12.82</v>
      </c>
      <c r="AD267" s="45">
        <f>VLOOKUP($A267,'Dados StatusInvest'!$A:$AY,column(AD267)-$A$5,0)</f>
        <v>0</v>
      </c>
      <c r="AE267" s="46">
        <f>VLOOKUP($A267,'Dados StatusInvest'!$A:$AY,column(AE267)-$A$5,0)</f>
        <v>1403751.13</v>
      </c>
      <c r="AF267" s="50"/>
    </row>
    <row r="268">
      <c r="A268" s="10" t="s">
        <v>314</v>
      </c>
      <c r="B268" s="39" t="str">
        <f>VLOOKUP(lEFT($A268,4),Setor!$A:$E,3,0)</f>
        <v>#N/A</v>
      </c>
      <c r="C268" s="39" t="str">
        <f>VLOOKUP(lEFT($A268,4),Setor!$A:$E,4,0)</f>
        <v>#N/A</v>
      </c>
      <c r="D268" s="39" t="str">
        <f>VLOOKUP(lEFT($A268,4),Setor!$A:$E,5,0)</f>
        <v>#N/A</v>
      </c>
      <c r="E268" s="17">
        <f>IFERROR(__xludf.DUMMYFUNCTION("GOOGLEFINANCE(A268)"),9.39)</f>
        <v>9.39</v>
      </c>
      <c r="F268" s="17">
        <f>IFERROR(__xludf.DUMMYFUNCTION("GOOGLEFINANCE($A268,""high52"")"),29.0)</f>
        <v>29</v>
      </c>
      <c r="G268" s="16">
        <f t="shared" si="1"/>
        <v>-0.6762068966</v>
      </c>
      <c r="H268" s="40">
        <f>VLOOKUP($A268,'Dados StatusInvest'!$A:$AY,column(H268)-$A$5,0)*VLOOKUP($A268,'Dados StatusInvest'!$A:$AY,2,0)/$E268/100</f>
        <v>0</v>
      </c>
      <c r="I268" s="41">
        <f>VLOOKUP($A268,'Dados StatusInvest'!$A:$AY,column(I268)-$A$5,0)/VLOOKUP($A268,'Dados StatusInvest'!$A:$AY,2,0)*$E268</f>
        <v>-20.61219512</v>
      </c>
      <c r="J268" s="41">
        <f>VLOOKUP($A268,'Dados StatusInvest'!$A:$AY,column(J268)-$A$5,0)/VLOOKUP($A268,'Dados StatusInvest'!$A:$AY,2,0)*$E268</f>
        <v>1.543425239</v>
      </c>
      <c r="K268" s="42">
        <f>VLOOKUP($A268,'Dados StatusInvest'!$A:$AY,column(K268)-$A$5,0)/VLOOKUP($A268,'Dados StatusInvest'!$A:$AY,2,0)*$E268</f>
        <v>1.404019088</v>
      </c>
      <c r="L268" s="43">
        <f>VLOOKUP($A268,'Dados StatusInvest'!$A:$AY,column(L268)-$A$5,0)/100</f>
        <v>0.924</v>
      </c>
      <c r="M268" s="47">
        <f>VLOOKUP($A268,'Dados StatusInvest'!$A:$AY,column(M268)-$A$5,0)</f>
        <v>-46.51</v>
      </c>
      <c r="N268" s="47">
        <f>VLOOKUP($A268,'Dados StatusInvest'!$A:$AY,column(N268)-$A$5,0)</f>
        <v>-44.33</v>
      </c>
      <c r="O268" s="41">
        <f>VLOOKUP($A268,'Dados StatusInvest'!$A:$AY,column(O268)-$A$5,0)/VLOOKUP($A268,'Dados StatusInvest'!$A:$AY,2,0)*$E268</f>
        <v>-19.64630965</v>
      </c>
      <c r="P268" s="41">
        <f>VLOOKUP($A268,'Dados StatusInvest'!$A:$AY,column(P268)-$A$5,0)-VLOOKUP($A268,'Dados StatusInvest'!$A:$AY,column(P268)-$A$5-1,0)+O268</f>
        <v>-6.28630965</v>
      </c>
      <c r="Q268" s="44">
        <f>VLOOKUP($A268,'Dados StatusInvest'!$A:$AY,column(Q268)-$A$5,0)</f>
        <v>13.57</v>
      </c>
      <c r="R268" s="44">
        <f>VLOOKUP($A268,'Dados StatusInvest'!$A:$AY,column(R268)-$A$5,0)</f>
        <v>-1.07</v>
      </c>
      <c r="S268" s="41">
        <f>VLOOKUP($A268,'Dados StatusInvest'!$A:$AY,column(S268)-$A$5,0)/VLOOKUP($A268,'Dados StatusInvest'!$A:$AY,2,0)*$E268</f>
        <v>9.141060445</v>
      </c>
      <c r="T268" s="42">
        <f>VLOOKUP($A268,'Dados StatusInvest'!$A:$AY,column(T268)-$A$5,0)/VLOOKUP($A268,'Dados StatusInvest'!$A:$AY,2,0)*$E268</f>
        <v>1.553382821</v>
      </c>
      <c r="U268" s="44">
        <f>VLOOKUP($A268,'Dados StatusInvest'!$A:$AY,column(U268)-$A$5,0)</f>
        <v>-317.23</v>
      </c>
      <c r="V268" s="45">
        <f>VLOOKUP($A268,'Dados StatusInvest'!$A:$AY,column(V268)-$A$5,0)</f>
        <v>11.1</v>
      </c>
      <c r="W268" s="45">
        <f>VLOOKUP($A268,'Dados StatusInvest'!$A:$AY,column(W268)-$A$5,0)</f>
        <v>-7.5</v>
      </c>
      <c r="X268" s="45">
        <f>VLOOKUP($A268,'Dados StatusInvest'!$A:$AY,column(X268)-$A$5,0)</f>
        <v>-6.83</v>
      </c>
      <c r="Y268" s="45">
        <f>VLOOKUP($A268,'Dados StatusInvest'!$A:$AY,column(Y268)-$A$5,0)</f>
        <v>-7.92</v>
      </c>
      <c r="Z268" s="44">
        <f>VLOOKUP($A268,'Dados StatusInvest'!$A:$AY,column(Z268)-$A$5,0)</f>
        <v>0.91</v>
      </c>
      <c r="AA268" s="44">
        <f>VLOOKUP($A268,'Dados StatusInvest'!$A:$AY,column(AA268)-$A$5,0)</f>
        <v>0.09</v>
      </c>
      <c r="AB268" s="44">
        <f>VLOOKUP($A268,'Dados StatusInvest'!$A:$AY,column(AB268)-$A$5,0)</f>
        <v>0.15</v>
      </c>
      <c r="AC268" s="44">
        <f>VLOOKUP($A268,'Dados StatusInvest'!$A:$AY,column(AC268)-$A$5,0)</f>
        <v>0</v>
      </c>
      <c r="AD268" s="45">
        <f>VLOOKUP($A268,'Dados StatusInvest'!$A:$AY,column(AD268)-$A$5,0)</f>
        <v>0</v>
      </c>
      <c r="AE268" s="46">
        <f>VLOOKUP($A268,'Dados StatusInvest'!$A:$AY,column(AE268)-$A$5,0)</f>
        <v>1365176.25</v>
      </c>
      <c r="AF268" s="49"/>
    </row>
    <row r="269">
      <c r="A269" s="10" t="s">
        <v>315</v>
      </c>
      <c r="B269" s="39" t="str">
        <f>VLOOKUP(lEFT($A269,4),Setor!$A:$E,3,0)</f>
        <v>Financeiro</v>
      </c>
      <c r="C269" s="39" t="str">
        <f>VLOOKUP(lEFT($A269,4),Setor!$A:$E,4,0)</f>
        <v>Intermediários Financeiros</v>
      </c>
      <c r="D269" s="39" t="str">
        <f>VLOOKUP(lEFT($A269,4),Setor!$A:$E,5,0)</f>
        <v>Bancos</v>
      </c>
      <c r="E269" s="17">
        <f>IFERROR(__xludf.DUMMYFUNCTION("GOOGLEFINANCE(A269)"),11.33)</f>
        <v>11.33</v>
      </c>
      <c r="F269" s="17">
        <f>IFERROR(__xludf.DUMMYFUNCTION("GOOGLEFINANCE($A269,""high52"")"),12.77)</f>
        <v>12.77</v>
      </c>
      <c r="G269" s="16">
        <f t="shared" si="1"/>
        <v>-0.1127642913</v>
      </c>
      <c r="H269" s="40">
        <f>VLOOKUP($A269,'Dados StatusInvest'!$A:$AY,column(H269)-$A$5,0)*VLOOKUP($A269,'Dados StatusInvest'!$A:$AY,2,0)/$E269/100</f>
        <v>0.02769744042</v>
      </c>
      <c r="I269" s="41">
        <f>VLOOKUP($A269,'Dados StatusInvest'!$A:$AY,column(I269)-$A$5,0)/VLOOKUP($A269,'Dados StatusInvest'!$A:$AY,2,0)*$E269</f>
        <v>8.529885664</v>
      </c>
      <c r="J269" s="41">
        <f>VLOOKUP($A269,'Dados StatusInvest'!$A:$AY,column(J269)-$A$5,0)/VLOOKUP($A269,'Dados StatusInvest'!$A:$AY,2,0)*$E269</f>
        <v>1.554511873</v>
      </c>
      <c r="K269" s="42">
        <f>VLOOKUP($A269,'Dados StatusInvest'!$A:$AY,column(K269)-$A$5,0)/VLOOKUP($A269,'Dados StatusInvest'!$A:$AY,2,0)*$E269</f>
        <v>1.205743184</v>
      </c>
      <c r="L269" s="43">
        <f>VLOOKUP($A269,'Dados StatusInvest'!$A:$AY,column(L269)-$A$5,0)/100</f>
        <v>0.3402</v>
      </c>
      <c r="M269" s="44">
        <f>VLOOKUP($A269,'Dados StatusInvest'!$A:$AY,column(M269)-$A$5,0)</f>
        <v>167.26</v>
      </c>
      <c r="N269" s="44">
        <f>VLOOKUP($A269,'Dados StatusInvest'!$A:$AY,column(N269)-$A$5,0)</f>
        <v>150.62</v>
      </c>
      <c r="O269" s="41">
        <f>VLOOKUP($A269,'Dados StatusInvest'!$A:$AY,column(O269)-$A$5,0)/VLOOKUP($A269,'Dados StatusInvest'!$A:$AY,2,0)*$E269</f>
        <v>7.682875989</v>
      </c>
      <c r="P269" s="41">
        <f>VLOOKUP($A269,'Dados StatusInvest'!$A:$AY,column(P269)-$A$5,0)-VLOOKUP($A269,'Dados StatusInvest'!$A:$AY,column(P269)-$A$5-1,0)+O269</f>
        <v>7.812875989</v>
      </c>
      <c r="Q269" s="44">
        <f>VLOOKUP($A269,'Dados StatusInvest'!$A:$AY,column(Q269)-$A$5,0)</f>
        <v>0.13</v>
      </c>
      <c r="R269" s="44">
        <f>VLOOKUP($A269,'Dados StatusInvest'!$A:$AY,column(R269)-$A$5,0)</f>
        <v>0.03</v>
      </c>
      <c r="S269" s="41">
        <f>VLOOKUP($A269,'Dados StatusInvest'!$A:$AY,column(S269)-$A$5,0)/VLOOKUP($A269,'Dados StatusInvest'!$A:$AY,2,0)*$E269</f>
        <v>12.85461741</v>
      </c>
      <c r="T269" s="42">
        <f>VLOOKUP($A269,'Dados StatusInvest'!$A:$AY,column(T269)-$A$5,0)/VLOOKUP($A269,'Dados StatusInvest'!$A:$AY,2,0)*$E269</f>
        <v>16.99001759</v>
      </c>
      <c r="U269" s="44">
        <f>VLOOKUP($A269,'Dados StatusInvest'!$A:$AY,column(U269)-$A$5,0)</f>
        <v>-1.39</v>
      </c>
      <c r="V269" s="45">
        <f>VLOOKUP($A269,'Dados StatusInvest'!$A:$AY,column(V269)-$A$5,0)</f>
        <v>2.16</v>
      </c>
      <c r="W269" s="45">
        <f>VLOOKUP($A269,'Dados StatusInvest'!$A:$AY,column(W269)-$A$5,0)</f>
        <v>18.27</v>
      </c>
      <c r="X269" s="45">
        <f>VLOOKUP($A269,'Dados StatusInvest'!$A:$AY,column(X269)-$A$5,0)</f>
        <v>14.09</v>
      </c>
      <c r="Y269" s="45">
        <f>VLOOKUP($A269,'Dados StatusInvest'!$A:$AY,column(Y269)-$A$5,0)</f>
        <v>16.23</v>
      </c>
      <c r="Z269" s="44">
        <f>VLOOKUP($A269,'Dados StatusInvest'!$A:$AY,column(Z269)-$A$5,0)</f>
        <v>0.77</v>
      </c>
      <c r="AA269" s="44">
        <f>VLOOKUP($A269,'Dados StatusInvest'!$A:$AY,column(AA269)-$A$5,0)</f>
        <v>0.18</v>
      </c>
      <c r="AB269" s="44">
        <f>VLOOKUP($A269,'Dados StatusInvest'!$A:$AY,column(AB269)-$A$5,0)</f>
        <v>0.09</v>
      </c>
      <c r="AC269" s="44">
        <f>VLOOKUP($A269,'Dados StatusInvest'!$A:$AY,column(AC269)-$A$5,0)</f>
        <v>3.78</v>
      </c>
      <c r="AD269" s="45">
        <f>VLOOKUP($A269,'Dados StatusInvest'!$A:$AY,column(AD269)-$A$5,0)</f>
        <v>4.72</v>
      </c>
      <c r="AE269" s="46">
        <f>VLOOKUP($A269,'Dados StatusInvest'!$A:$AY,column(AE269)-$A$5,0)</f>
        <v>2601895.29</v>
      </c>
      <c r="AF269" s="49"/>
    </row>
    <row r="270">
      <c r="A270" s="10" t="s">
        <v>316</v>
      </c>
      <c r="B270" s="39" t="str">
        <f>VLOOKUP(lEFT($A270,4),Setor!$A:$E,3,0)</f>
        <v>Consumo Cíclico</v>
      </c>
      <c r="C270" s="39" t="str">
        <f>VLOOKUP(lEFT($A270,4),Setor!$A:$E,4,0)</f>
        <v>Construção Civil</v>
      </c>
      <c r="D270" s="39" t="str">
        <f>VLOOKUP(lEFT($A270,4),Setor!$A:$E,5,0)</f>
        <v>Incorporações</v>
      </c>
      <c r="E270" s="17">
        <f>IFERROR(__xludf.DUMMYFUNCTION("GOOGLEFINANCE(A270)"),1.65)</f>
        <v>1.65</v>
      </c>
      <c r="F270" s="17">
        <f>IFERROR(__xludf.DUMMYFUNCTION("GOOGLEFINANCE($A270,""high52"")"),8.75)</f>
        <v>8.75</v>
      </c>
      <c r="G270" s="16">
        <f t="shared" si="1"/>
        <v>-0.8114285714</v>
      </c>
      <c r="H270" s="40">
        <f>VLOOKUP($A270,'Dados StatusInvest'!$A:$AY,column(H270)-$A$5,0)*VLOOKUP($A270,'Dados StatusInvest'!$A:$AY,2,0)/$E270/100</f>
        <v>0</v>
      </c>
      <c r="I270" s="41">
        <f>VLOOKUP($A270,'Dados StatusInvest'!$A:$AY,column(I270)-$A$5,0)/VLOOKUP($A270,'Dados StatusInvest'!$A:$AY,2,0)*$E270</f>
        <v>-0.1518404908</v>
      </c>
      <c r="J270" s="41">
        <f>VLOOKUP($A270,'Dados StatusInvest'!$A:$AY,column(J270)-$A$5,0)/VLOOKUP($A270,'Dados StatusInvest'!$A:$AY,2,0)*$E270</f>
        <v>-0.02024539877</v>
      </c>
      <c r="K270" s="42">
        <f>VLOOKUP($A270,'Dados StatusInvest'!$A:$AY,column(K270)-$A$5,0)/VLOOKUP($A270,'Dados StatusInvest'!$A:$AY,2,0)*$E270</f>
        <v>0.06073619632</v>
      </c>
      <c r="L270" s="43">
        <f>VLOOKUP($A270,'Dados StatusInvest'!$A:$AY,column(L270)-$A$5,0)/100</f>
        <v>0.245</v>
      </c>
      <c r="M270" s="44">
        <f>VLOOKUP($A270,'Dados StatusInvest'!$A:$AY,column(M270)-$A$5,0)</f>
        <v>-124</v>
      </c>
      <c r="N270" s="44">
        <f>VLOOKUP($A270,'Dados StatusInvest'!$A:$AY,column(N270)-$A$5,0)</f>
        <v>-199.11</v>
      </c>
      <c r="O270" s="41">
        <f>VLOOKUP($A270,'Dados StatusInvest'!$A:$AY,column(O270)-$A$5,0)/VLOOKUP($A270,'Dados StatusInvest'!$A:$AY,2,0)*$E270</f>
        <v>-0.2530674847</v>
      </c>
      <c r="P270" s="41">
        <f>VLOOKUP($A270,'Dados StatusInvest'!$A:$AY,column(P270)-$A$5,0)-VLOOKUP($A270,'Dados StatusInvest'!$A:$AY,column(P270)-$A$5-1,0)+O270</f>
        <v>-3.403067485</v>
      </c>
      <c r="Q270" s="44">
        <f>VLOOKUP($A270,'Dados StatusInvest'!$A:$AY,column(Q270)-$A$5,0)</f>
        <v>-3.15</v>
      </c>
      <c r="R270" s="44">
        <f>VLOOKUP($A270,'Dados StatusInvest'!$A:$AY,column(R270)-$A$5,0)</f>
        <v>0</v>
      </c>
      <c r="S270" s="41">
        <f>VLOOKUP($A270,'Dados StatusInvest'!$A:$AY,column(S270)-$A$5,0)/VLOOKUP($A270,'Dados StatusInvest'!$A:$AY,2,0)*$E270</f>
        <v>0.3036809816</v>
      </c>
      <c r="T270" s="42">
        <f>VLOOKUP($A270,'Dados StatusInvest'!$A:$AY,column(T270)-$A$5,0)/VLOOKUP($A270,'Dados StatusInvest'!$A:$AY,2,0)*$E270</f>
        <v>-0.04049079755</v>
      </c>
      <c r="U270" s="44">
        <f>VLOOKUP($A270,'Dados StatusInvest'!$A:$AY,column(U270)-$A$5,0)</f>
        <v>-0.26</v>
      </c>
      <c r="V270" s="45">
        <f>VLOOKUP($A270,'Dados StatusInvest'!$A:$AY,column(V270)-$A$5,0)</f>
        <v>0.32</v>
      </c>
      <c r="W270" s="45">
        <f>VLOOKUP($A270,'Dados StatusInvest'!$A:$AY,column(W270)-$A$5,0)</f>
        <v>-10.81</v>
      </c>
      <c r="X270" s="45">
        <f>VLOOKUP($A270,'Dados StatusInvest'!$A:$AY,column(X270)-$A$5,0)</f>
        <v>-38.53</v>
      </c>
      <c r="Y270" s="45">
        <f>VLOOKUP($A270,'Dados StatusInvest'!$A:$AY,column(Y270)-$A$5,0)</f>
        <v>9.78</v>
      </c>
      <c r="Z270" s="44">
        <f>VLOOKUP($A270,'Dados StatusInvest'!$A:$AY,column(Z270)-$A$5,0)</f>
        <v>-3.56</v>
      </c>
      <c r="AA270" s="44">
        <f>VLOOKUP($A270,'Dados StatusInvest'!$A:$AY,column(AA270)-$A$5,0)</f>
        <v>4.61</v>
      </c>
      <c r="AB270" s="44">
        <f>VLOOKUP($A270,'Dados StatusInvest'!$A:$AY,column(AB270)-$A$5,0)</f>
        <v>0.19</v>
      </c>
      <c r="AC270" s="44">
        <f>VLOOKUP($A270,'Dados StatusInvest'!$A:$AY,column(AC270)-$A$5,0)</f>
        <v>-35.22</v>
      </c>
      <c r="AD270" s="45">
        <f>VLOOKUP($A270,'Dados StatusInvest'!$A:$AY,column(AD270)-$A$5,0)</f>
        <v>0</v>
      </c>
      <c r="AE270" s="46">
        <f>VLOOKUP($A270,'Dados StatusInvest'!$A:$AY,column(AE270)-$A$5,0)</f>
        <v>1258780.42</v>
      </c>
      <c r="AF270" s="51"/>
    </row>
    <row r="271">
      <c r="A271" s="10" t="s">
        <v>317</v>
      </c>
      <c r="B271" s="39" t="str">
        <f>VLOOKUP(lEFT($A271,4),Setor!$A:$E,3,0)</f>
        <v>Bens Industriais</v>
      </c>
      <c r="C271" s="39" t="str">
        <f>VLOOKUP(lEFT($A271,4),Setor!$A:$E,4,0)</f>
        <v>Transporte</v>
      </c>
      <c r="D271" s="39" t="str">
        <f>VLOOKUP(lEFT($A271,4),Setor!$A:$E,5,0)</f>
        <v>Serviços de Apoio e Armazenagem</v>
      </c>
      <c r="E271" s="17">
        <f>IFERROR(__xludf.DUMMYFUNCTION("GOOGLEFINANCE(A271)"),67.39)</f>
        <v>67.39</v>
      </c>
      <c r="F271" s="17">
        <f>IFERROR(__xludf.DUMMYFUNCTION("GOOGLEFINANCE($A271,""high52"")"),70.0)</f>
        <v>70</v>
      </c>
      <c r="G271" s="16">
        <f t="shared" si="1"/>
        <v>-0.03728571429</v>
      </c>
      <c r="H271" s="40">
        <f>VLOOKUP($A271,'Dados StatusInvest'!$A:$AY,column(H271)-$A$5,0)*VLOOKUP($A271,'Dados StatusInvest'!$A:$AY,2,0)/$E271/100</f>
        <v>0.07066075085</v>
      </c>
      <c r="I271" s="41">
        <f>VLOOKUP($A271,'Dados StatusInvest'!$A:$AY,column(I271)-$A$5,0)/VLOOKUP($A271,'Dados StatusInvest'!$A:$AY,2,0)*$E271</f>
        <v>18.76644366</v>
      </c>
      <c r="J271" s="41">
        <f>VLOOKUP($A271,'Dados StatusInvest'!$A:$AY,column(J271)-$A$5,0)/VLOOKUP($A271,'Dados StatusInvest'!$A:$AY,2,0)*$E271</f>
        <v>2.280035211</v>
      </c>
      <c r="K271" s="42">
        <f>VLOOKUP($A271,'Dados StatusInvest'!$A:$AY,column(K271)-$A$5,0)/VLOOKUP($A271,'Dados StatusInvest'!$A:$AY,2,0)*$E271</f>
        <v>0.9285211268</v>
      </c>
      <c r="L271" s="43">
        <f>VLOOKUP($A271,'Dados StatusInvest'!$A:$AY,column(L271)-$A$5,0)/100</f>
        <v>0.5258</v>
      </c>
      <c r="M271" s="44">
        <f>VLOOKUP($A271,'Dados StatusInvest'!$A:$AY,column(M271)-$A$5,0)</f>
        <v>25.2</v>
      </c>
      <c r="N271" s="44">
        <f>VLOOKUP($A271,'Dados StatusInvest'!$A:$AY,column(N271)-$A$5,0)</f>
        <v>13.21</v>
      </c>
      <c r="O271" s="41">
        <f>VLOOKUP($A271,'Dados StatusInvest'!$A:$AY,column(O271)-$A$5,0)/VLOOKUP($A271,'Dados StatusInvest'!$A:$AY,2,0)*$E271</f>
        <v>9.842323944</v>
      </c>
      <c r="P271" s="41">
        <f>VLOOKUP($A271,'Dados StatusInvest'!$A:$AY,column(P271)-$A$5,0)-VLOOKUP($A271,'Dados StatusInvest'!$A:$AY,column(P271)-$A$5-1,0)+O271</f>
        <v>14.58232394</v>
      </c>
      <c r="Q271" s="44">
        <f>VLOOKUP($A271,'Dados StatusInvest'!$A:$AY,column(Q271)-$A$5,0)</f>
        <v>4.67</v>
      </c>
      <c r="R271" s="44">
        <f>VLOOKUP($A271,'Dados StatusInvest'!$A:$AY,column(R271)-$A$5,0)</f>
        <v>1.08</v>
      </c>
      <c r="S271" s="41">
        <f>VLOOKUP($A271,'Dados StatusInvest'!$A:$AY,column(S271)-$A$5,0)/VLOOKUP($A271,'Dados StatusInvest'!$A:$AY,2,0)*$E271</f>
        <v>2.476056338</v>
      </c>
      <c r="T271" s="42">
        <f>VLOOKUP($A271,'Dados StatusInvest'!$A:$AY,column(T271)-$A$5,0)/VLOOKUP($A271,'Dados StatusInvest'!$A:$AY,2,0)*$E271</f>
        <v>31.17767606</v>
      </c>
      <c r="U271" s="44">
        <f>VLOOKUP($A271,'Dados StatusInvest'!$A:$AY,column(U271)-$A$5,0)</f>
        <v>-1.05</v>
      </c>
      <c r="V271" s="45">
        <f>VLOOKUP($A271,'Dados StatusInvest'!$A:$AY,column(V271)-$A$5,0)</f>
        <v>1.26</v>
      </c>
      <c r="W271" s="45">
        <f>VLOOKUP($A271,'Dados StatusInvest'!$A:$AY,column(W271)-$A$5,0)</f>
        <v>12.17</v>
      </c>
      <c r="X271" s="45">
        <f>VLOOKUP($A271,'Dados StatusInvest'!$A:$AY,column(X271)-$A$5,0)</f>
        <v>4.96</v>
      </c>
      <c r="Y271" s="45">
        <f>VLOOKUP($A271,'Dados StatusInvest'!$A:$AY,column(Y271)-$A$5,0)</f>
        <v>7.71</v>
      </c>
      <c r="Z271" s="44">
        <f>VLOOKUP($A271,'Dados StatusInvest'!$A:$AY,column(Z271)-$A$5,0)</f>
        <v>0.41</v>
      </c>
      <c r="AA271" s="44">
        <f>VLOOKUP($A271,'Dados StatusInvest'!$A:$AY,column(AA271)-$A$5,0)</f>
        <v>0.59</v>
      </c>
      <c r="AB271" s="44">
        <f>VLOOKUP($A271,'Dados StatusInvest'!$A:$AY,column(AB271)-$A$5,0)</f>
        <v>0.38</v>
      </c>
      <c r="AC271" s="44">
        <f>VLOOKUP($A271,'Dados StatusInvest'!$A:$AY,column(AC271)-$A$5,0)</f>
        <v>1.54</v>
      </c>
      <c r="AD271" s="45">
        <f>VLOOKUP($A271,'Dados StatusInvest'!$A:$AY,column(AD271)-$A$5,0)</f>
        <v>19.99</v>
      </c>
      <c r="AE271" s="46">
        <f>VLOOKUP($A271,'Dados StatusInvest'!$A:$AY,column(AE271)-$A$5,0)</f>
        <v>1640306.13</v>
      </c>
      <c r="AF271" s="18"/>
    </row>
    <row r="272">
      <c r="A272" s="10" t="s">
        <v>318</v>
      </c>
      <c r="B272" s="39" t="str">
        <f>VLOOKUP(lEFT($A272,4),Setor!$A:$E,3,0)</f>
        <v>Comunicações</v>
      </c>
      <c r="C272" s="39" t="str">
        <f>VLOOKUP(lEFT($A272,4),Setor!$A:$E,4,0)</f>
        <v>Telecomunicações</v>
      </c>
      <c r="D272" s="39" t="str">
        <f>VLOOKUP(lEFT($A272,4),Setor!$A:$E,5,0)</f>
        <v>Telecomunicações</v>
      </c>
      <c r="E272" s="17">
        <f>IFERROR(__xludf.DUMMYFUNCTION("GOOGLEFINANCE(A272)"),1.62)</f>
        <v>1.62</v>
      </c>
      <c r="F272" s="17">
        <f>IFERROR(__xludf.DUMMYFUNCTION("GOOGLEFINANCE($A272,""high52"")"),3.74)</f>
        <v>3.74</v>
      </c>
      <c r="G272" s="16">
        <f t="shared" si="1"/>
        <v>-0.5668449198</v>
      </c>
      <c r="H272" s="40">
        <f>VLOOKUP($A272,'Dados StatusInvest'!$A:$AY,column(H272)-$A$5,0)*VLOOKUP($A272,'Dados StatusInvest'!$A:$AY,2,0)/$E272/100</f>
        <v>0</v>
      </c>
      <c r="I272" s="41">
        <f>VLOOKUP($A272,'Dados StatusInvest'!$A:$AY,column(I272)-$A$5,0)/VLOOKUP($A272,'Dados StatusInvest'!$A:$AY,2,0)*$E272</f>
        <v>-3.005783133</v>
      </c>
      <c r="J272" s="41">
        <f>VLOOKUP($A272,'Dados StatusInvest'!$A:$AY,column(J272)-$A$5,0)/VLOOKUP($A272,'Dados StatusInvest'!$A:$AY,2,0)*$E272</f>
        <v>1.649277108</v>
      </c>
      <c r="K272" s="42">
        <f>VLOOKUP($A272,'Dados StatusInvest'!$A:$AY,column(K272)-$A$5,0)/VLOOKUP($A272,'Dados StatusInvest'!$A:$AY,2,0)*$E272</f>
        <v>0.1268674699</v>
      </c>
      <c r="L272" s="43">
        <f>VLOOKUP($A272,'Dados StatusInvest'!$A:$AY,column(L272)-$A$5,0)/100</f>
        <v>0.2623</v>
      </c>
      <c r="M272" s="44">
        <f>VLOOKUP($A272,'Dados StatusInvest'!$A:$AY,column(M272)-$A$5,0)</f>
        <v>-37.34</v>
      </c>
      <c r="N272" s="44">
        <f>VLOOKUP($A272,'Dados StatusInvest'!$A:$AY,column(N272)-$A$5,0)</f>
        <v>-71.79</v>
      </c>
      <c r="O272" s="41">
        <f>VLOOKUP($A272,'Dados StatusInvest'!$A:$AY,column(O272)-$A$5,0)/VLOOKUP($A272,'Dados StatusInvest'!$A:$AY,2,0)*$E272</f>
        <v>-5.787108434</v>
      </c>
      <c r="P272" s="41">
        <f>VLOOKUP($A272,'Dados StatusInvest'!$A:$AY,column(P272)-$A$5,0)-VLOOKUP($A272,'Dados StatusInvest'!$A:$AY,column(P272)-$A$5-1,0)+O272</f>
        <v>-18.33710843</v>
      </c>
      <c r="Q272" s="44">
        <f>VLOOKUP($A272,'Dados StatusInvest'!$A:$AY,column(Q272)-$A$5,0)</f>
        <v>-14.95</v>
      </c>
      <c r="R272" s="44">
        <f>VLOOKUP($A272,'Dados StatusInvest'!$A:$AY,column(R272)-$A$5,0)</f>
        <v>4.25</v>
      </c>
      <c r="S272" s="41">
        <f>VLOOKUP($A272,'Dados StatusInvest'!$A:$AY,column(S272)-$A$5,0)/VLOOKUP($A272,'Dados StatusInvest'!$A:$AY,2,0)*$E272</f>
        <v>2.156746988</v>
      </c>
      <c r="T272" s="42">
        <f>VLOOKUP($A272,'Dados StatusInvest'!$A:$AY,column(T272)-$A$5,0)/VLOOKUP($A272,'Dados StatusInvest'!$A:$AY,2,0)*$E272</f>
        <v>0.5465060241</v>
      </c>
      <c r="U272" s="44">
        <f>VLOOKUP($A272,'Dados StatusInvest'!$A:$AY,column(U272)-$A$5,0)</f>
        <v>-0.32</v>
      </c>
      <c r="V272" s="45">
        <f>VLOOKUP($A272,'Dados StatusInvest'!$A:$AY,column(V272)-$A$5,0)</f>
        <v>1.67</v>
      </c>
      <c r="W272" s="48">
        <f>VLOOKUP($A272,'Dados StatusInvest'!$A:$AY,column(W272)-$A$5,0)</f>
        <v>-54.69</v>
      </c>
      <c r="X272" s="48">
        <f>VLOOKUP($A272,'Dados StatusInvest'!$A:$AY,column(X272)-$A$5,0)</f>
        <v>-4.28</v>
      </c>
      <c r="Y272" s="48">
        <f>VLOOKUP($A272,'Dados StatusInvest'!$A:$AY,column(Y272)-$A$5,0)</f>
        <v>-15.96</v>
      </c>
      <c r="Z272" s="44">
        <f>VLOOKUP($A272,'Dados StatusInvest'!$A:$AY,column(Z272)-$A$5,0)</f>
        <v>0.08</v>
      </c>
      <c r="AA272" s="44">
        <f>VLOOKUP($A272,'Dados StatusInvest'!$A:$AY,column(AA272)-$A$5,0)</f>
        <v>0.92</v>
      </c>
      <c r="AB272" s="44">
        <f>VLOOKUP($A272,'Dados StatusInvest'!$A:$AY,column(AB272)-$A$5,0)</f>
        <v>0.06</v>
      </c>
      <c r="AC272" s="44">
        <f>VLOOKUP($A272,'Dados StatusInvest'!$A:$AY,column(AC272)-$A$5,0)</f>
        <v>-19.43</v>
      </c>
      <c r="AD272" s="45">
        <f>VLOOKUP($A272,'Dados StatusInvest'!$A:$AY,column(AD272)-$A$5,0)</f>
        <v>0</v>
      </c>
      <c r="AE272" s="46">
        <f>VLOOKUP($A272,'Dados StatusInvest'!$A:$AY,column(AE272)-$A$5,0)</f>
        <v>1228634.5</v>
      </c>
      <c r="AF272" s="49"/>
    </row>
    <row r="273">
      <c r="A273" s="10" t="s">
        <v>319</v>
      </c>
      <c r="B273" s="52" t="str">
        <f>VLOOKUP(LEFT($A273,4),Setor!$A:$E,3,0)</f>
        <v>#N/A</v>
      </c>
      <c r="C273" s="52" t="str">
        <f>VLOOKUP(LEFT($A273,4),Setor!$A:$E,4,0)</f>
        <v>#N/A</v>
      </c>
      <c r="D273" s="52" t="str">
        <f>VLOOKUP(LEFT($A273,4),Setor!$A:$E,5,0)</f>
        <v>#N/A</v>
      </c>
      <c r="E273" s="53">
        <f>IFERROR(__xludf.DUMMYFUNCTION("GOOGLEFINANCE(A273)"),6.74)</f>
        <v>6.74</v>
      </c>
      <c r="F273" s="53">
        <f>IFERROR(__xludf.DUMMYFUNCTION("GOOGLEFINANCE($A273,""high52"")"),7.56)</f>
        <v>7.56</v>
      </c>
      <c r="G273" s="54">
        <f t="shared" si="1"/>
        <v>-0.1084656085</v>
      </c>
      <c r="H273" s="55">
        <f>VLOOKUP($A273,'Dados StatusInvest'!$A:$AY,COLUMN(H273)-$A$5,0)*VLOOKUP($A273,'Dados StatusInvest'!$A:$AY,2,0)/$E273/100</f>
        <v>0</v>
      </c>
      <c r="I273" s="56">
        <f>VLOOKUP($A273,'Dados StatusInvest'!$A:$AY,COLUMN(I273)-$A$5,0)/VLOOKUP($A273,'Dados StatusInvest'!$A:$AY,2,0)*$E273</f>
        <v>21.98247126</v>
      </c>
      <c r="J273" s="56">
        <f>VLOOKUP($A273,'Dados StatusInvest'!$A:$AY,COLUMN(J273)-$A$5,0)/VLOOKUP($A273,'Dados StatusInvest'!$A:$AY,2,0)*$E273</f>
        <v>1.074913793</v>
      </c>
      <c r="K273" s="57">
        <f>VLOOKUP($A273,'Dados StatusInvest'!$A:$AY,COLUMN(K273)-$A$5,0)/VLOOKUP($A273,'Dados StatusInvest'!$A:$AY,2,0)*$E273</f>
        <v>0.9199712644</v>
      </c>
      <c r="L273" s="58">
        <f>VLOOKUP($A273,'Dados StatusInvest'!$A:$AY,COLUMN(L273)-$A$5,0)/100</f>
        <v>1</v>
      </c>
      <c r="M273" s="63">
        <f>VLOOKUP($A273,'Dados StatusInvest'!$A:$AY,COLUMN(M273)-$A$5,0)</f>
        <v>96.43</v>
      </c>
      <c r="N273" s="63">
        <f>VLOOKUP($A273,'Dados StatusInvest'!$A:$AY,COLUMN(N273)-$A$5,0)</f>
        <v>90.86</v>
      </c>
      <c r="O273" s="56">
        <f>VLOOKUP($A273,'Dados StatusInvest'!$A:$AY,COLUMN(O273)-$A$5,0)/VLOOKUP($A273,'Dados StatusInvest'!$A:$AY,2,0)*$E273</f>
        <v>20.71387931</v>
      </c>
      <c r="P273" s="56">
        <f>VLOOKUP($A273,'Dados StatusInvest'!$A:$AY,COLUMN(P273)-$A$5,0)-VLOOKUP($A273,'Dados StatusInvest'!$A:$AY,COLUMN(P273)-$A$5-1,0)+O273</f>
        <v>17.77387931</v>
      </c>
      <c r="Q273" s="59">
        <f>VLOOKUP($A273,'Dados StatusInvest'!$A:$AY,COLUMN(Q273)-$A$5,0)</f>
        <v>-2.91</v>
      </c>
      <c r="R273" s="59">
        <f>VLOOKUP($A273,'Dados StatusInvest'!$A:$AY,COLUMN(R273)-$A$5,0)</f>
        <v>-0.15</v>
      </c>
      <c r="S273" s="56">
        <f>VLOOKUP($A273,'Dados StatusInvest'!$A:$AY,COLUMN(S273)-$A$5,0)/VLOOKUP($A273,'Dados StatusInvest'!$A:$AY,2,0)*$E273</f>
        <v>19.9779023</v>
      </c>
      <c r="T273" s="57">
        <f>VLOOKUP($A273,'Dados StatusInvest'!$A:$AY,COLUMN(T273)-$A$5,0)/VLOOKUP($A273,'Dados StatusInvest'!$A:$AY,2,0)*$E273</f>
        <v>7.417873563</v>
      </c>
      <c r="U273" s="59">
        <f>VLOOKUP($A273,'Dados StatusInvest'!$A:$AY,COLUMN(U273)-$A$5,0)</f>
        <v>-1.3</v>
      </c>
      <c r="V273" s="60">
        <f>VLOOKUP($A273,'Dados StatusInvest'!$A:$AY,COLUMN(V273)-$A$5,0)</f>
        <v>1.87</v>
      </c>
      <c r="W273" s="60">
        <f>VLOOKUP($A273,'Dados StatusInvest'!$A:$AY,COLUMN(W273)-$A$5,0)</f>
        <v>4.9</v>
      </c>
      <c r="X273" s="60">
        <f>VLOOKUP($A273,'Dados StatusInvest'!$A:$AY,COLUMN(X273)-$A$5,0)</f>
        <v>4.2</v>
      </c>
      <c r="Y273" s="60">
        <f>VLOOKUP($A273,'Dados StatusInvest'!$A:$AY,COLUMN(Y273)-$A$5,0)</f>
        <v>4.48</v>
      </c>
      <c r="Z273" s="59">
        <f>VLOOKUP($A273,'Dados StatusInvest'!$A:$AY,COLUMN(Z273)-$A$5,0)</f>
        <v>0.86</v>
      </c>
      <c r="AA273" s="59">
        <f>VLOOKUP($A273,'Dados StatusInvest'!$A:$AY,COLUMN(AA273)-$A$5,0)</f>
        <v>0.14</v>
      </c>
      <c r="AB273" s="59">
        <f>VLOOKUP($A273,'Dados StatusInvest'!$A:$AY,COLUMN(AB273)-$A$5,0)</f>
        <v>0.05</v>
      </c>
      <c r="AC273" s="59">
        <f>VLOOKUP($A273,'Dados StatusInvest'!$A:$AY,COLUMN(AC273)-$A$5,0)</f>
        <v>0</v>
      </c>
      <c r="AD273" s="60">
        <f>VLOOKUP($A273,'Dados StatusInvest'!$A:$AY,COLUMN(AD273)-$A$5,0)</f>
        <v>0</v>
      </c>
      <c r="AE273" s="62">
        <f>VLOOKUP($A273,'Dados StatusInvest'!$A:$AY,COLUMN(AE273)-$A$5,0)</f>
        <v>1167131.75</v>
      </c>
      <c r="AF273" s="18"/>
    </row>
    <row r="274">
      <c r="A274" s="10" t="s">
        <v>320</v>
      </c>
      <c r="B274" s="39" t="str">
        <f>VLOOKUP(lEFT($A274,4),Setor!$A:$E,3,0)</f>
        <v>#N/A</v>
      </c>
      <c r="C274" s="39" t="str">
        <f>VLOOKUP(lEFT($A274,4),Setor!$A:$E,4,0)</f>
        <v>#N/A</v>
      </c>
      <c r="D274" s="39" t="str">
        <f>VLOOKUP(lEFT($A274,4),Setor!$A:$E,5,0)</f>
        <v>#N/A</v>
      </c>
      <c r="E274" s="17">
        <f>IFERROR(__xludf.DUMMYFUNCTION("GOOGLEFINANCE(A274)"),7.8)</f>
        <v>7.8</v>
      </c>
      <c r="F274" s="17">
        <f>IFERROR(__xludf.DUMMYFUNCTION("GOOGLEFINANCE($A274,""high52"")"),12.19)</f>
        <v>12.19</v>
      </c>
      <c r="G274" s="16">
        <f t="shared" si="1"/>
        <v>-0.3601312551</v>
      </c>
      <c r="H274" s="40">
        <f>VLOOKUP($A274,'Dados StatusInvest'!$A:$AY,column(H274)-$A$5,0)*VLOOKUP($A274,'Dados StatusInvest'!$A:$AY,2,0)/$E274/100</f>
        <v>0</v>
      </c>
      <c r="I274" s="41">
        <f>VLOOKUP($A274,'Dados StatusInvest'!$A:$AY,column(I274)-$A$5,0)/VLOOKUP($A274,'Dados StatusInvest'!$A:$AY,2,0)*$E274</f>
        <v>-20.71034483</v>
      </c>
      <c r="J274" s="41">
        <f>VLOOKUP($A274,'Dados StatusInvest'!$A:$AY,column(J274)-$A$5,0)/VLOOKUP($A274,'Dados StatusInvest'!$A:$AY,2,0)*$E274</f>
        <v>1.344827586</v>
      </c>
      <c r="K274" s="42">
        <f>VLOOKUP($A274,'Dados StatusInvest'!$A:$AY,column(K274)-$A$5,0)/VLOOKUP($A274,'Dados StatusInvest'!$A:$AY,2,0)*$E274</f>
        <v>0.2967895363</v>
      </c>
      <c r="L274" s="43">
        <f>VLOOKUP($A274,'Dados StatusInvest'!$A:$AY,column(L274)-$A$5,0)/100</f>
        <v>-0.0268</v>
      </c>
      <c r="M274" s="44">
        <f>VLOOKUP($A274,'Dados StatusInvest'!$A:$AY,column(M274)-$A$5,0)</f>
        <v>-12.69</v>
      </c>
      <c r="N274" s="44">
        <f>VLOOKUP($A274,'Dados StatusInvest'!$A:$AY,column(N274)-$A$5,0)</f>
        <v>-4.1</v>
      </c>
      <c r="O274" s="41">
        <f>VLOOKUP($A274,'Dados StatusInvest'!$A:$AY,column(O274)-$A$5,0)/VLOOKUP($A274,'Dados StatusInvest'!$A:$AY,2,0)*$E274</f>
        <v>-6.696313912</v>
      </c>
      <c r="P274" s="41">
        <f>VLOOKUP($A274,'Dados StatusInvest'!$A:$AY,column(P274)-$A$5,0)-VLOOKUP($A274,'Dados StatusInvest'!$A:$AY,column(P274)-$A$5-1,0)+O274</f>
        <v>-10.88631391</v>
      </c>
      <c r="Q274" s="44">
        <f>VLOOKUP($A274,'Dados StatusInvest'!$A:$AY,column(Q274)-$A$5,0)</f>
        <v>-3.99</v>
      </c>
      <c r="R274" s="44">
        <f>VLOOKUP($A274,'Dados StatusInvest'!$A:$AY,column(R274)-$A$5,0)</f>
        <v>0.8</v>
      </c>
      <c r="S274" s="41">
        <f>VLOOKUP($A274,'Dados StatusInvest'!$A:$AY,column(S274)-$A$5,0)/VLOOKUP($A274,'Dados StatusInvest'!$A:$AY,2,0)*$E274</f>
        <v>0.8532699168</v>
      </c>
      <c r="T274" s="42">
        <f>VLOOKUP($A274,'Dados StatusInvest'!$A:$AY,column(T274)-$A$5,0)/VLOOKUP($A274,'Dados StatusInvest'!$A:$AY,2,0)*$E274</f>
        <v>11.46349584</v>
      </c>
      <c r="U274" s="44">
        <f>VLOOKUP($A274,'Dados StatusInvest'!$A:$AY,column(U274)-$A$5,0)</f>
        <v>-1.24</v>
      </c>
      <c r="V274" s="45">
        <f>VLOOKUP($A274,'Dados StatusInvest'!$A:$AY,column(V274)-$A$5,0)</f>
        <v>1.04</v>
      </c>
      <c r="W274" s="45">
        <f>VLOOKUP($A274,'Dados StatusInvest'!$A:$AY,column(W274)-$A$5,0)</f>
        <v>-6.51</v>
      </c>
      <c r="X274" s="45">
        <f>VLOOKUP($A274,'Dados StatusInvest'!$A:$AY,column(X274)-$A$5,0)</f>
        <v>-1.43</v>
      </c>
      <c r="Y274" s="45">
        <f>VLOOKUP($A274,'Dados StatusInvest'!$A:$AY,column(Y274)-$A$5,0)</f>
        <v>-10.47</v>
      </c>
      <c r="Z274" s="44">
        <f>VLOOKUP($A274,'Dados StatusInvest'!$A:$AY,column(Z274)-$A$5,0)</f>
        <v>0.22</v>
      </c>
      <c r="AA274" s="44">
        <f>VLOOKUP($A274,'Dados StatusInvest'!$A:$AY,column(AA274)-$A$5,0)</f>
        <v>0.78</v>
      </c>
      <c r="AB274" s="44">
        <f>VLOOKUP($A274,'Dados StatusInvest'!$A:$AY,column(AB274)-$A$5,0)</f>
        <v>0.35</v>
      </c>
      <c r="AC274" s="44">
        <f>VLOOKUP($A274,'Dados StatusInvest'!$A:$AY,column(AC274)-$A$5,0)</f>
        <v>0</v>
      </c>
      <c r="AD274" s="45">
        <f>VLOOKUP($A274,'Dados StatusInvest'!$A:$AY,column(AD274)-$A$5,0)</f>
        <v>0</v>
      </c>
      <c r="AE274" s="46">
        <f>VLOOKUP($A274,'Dados StatusInvest'!$A:$AY,column(AE274)-$A$5,0)</f>
        <v>1596641.67</v>
      </c>
      <c r="AF274" s="51"/>
    </row>
    <row r="275">
      <c r="A275" s="10" t="s">
        <v>321</v>
      </c>
      <c r="B275" s="39" t="str">
        <f>VLOOKUP(lEFT($A275,4),Setor!$A:$E,3,0)</f>
        <v>Saúde</v>
      </c>
      <c r="C275" s="39" t="str">
        <f>VLOOKUP(lEFT($A275,4),Setor!$A:$E,4,0)</f>
        <v>Comércio e Distribuição</v>
      </c>
      <c r="D275" s="39" t="str">
        <f>VLOOKUP(lEFT($A275,4),Setor!$A:$E,5,0)</f>
        <v>Medicamentos e Outros Produtos</v>
      </c>
      <c r="E275" s="17">
        <f>IFERROR(__xludf.DUMMYFUNCTION("GOOGLEFINANCE(A275)"),5.8)</f>
        <v>5.8</v>
      </c>
      <c r="F275" s="17">
        <f>IFERROR(__xludf.DUMMYFUNCTION("GOOGLEFINANCE($A275,""high52"")"),7.25)</f>
        <v>7.25</v>
      </c>
      <c r="G275" s="16">
        <f t="shared" si="1"/>
        <v>-0.2</v>
      </c>
      <c r="H275" s="40">
        <f>VLOOKUP($A275,'Dados StatusInvest'!$A:$AY,column(H275)-$A$5,0)*VLOOKUP($A275,'Dados StatusInvest'!$A:$AY,2,0)/$E275/100</f>
        <v>0</v>
      </c>
      <c r="I275" s="41">
        <f>VLOOKUP($A275,'Dados StatusInvest'!$A:$AY,column(I275)-$A$5,0)/VLOOKUP($A275,'Dados StatusInvest'!$A:$AY,2,0)*$E275</f>
        <v>7.285865724</v>
      </c>
      <c r="J275" s="41">
        <f>VLOOKUP($A275,'Dados StatusInvest'!$A:$AY,column(J275)-$A$5,0)/VLOOKUP($A275,'Dados StatusInvest'!$A:$AY,2,0)*$E275</f>
        <v>0.6558303887</v>
      </c>
      <c r="K275" s="42">
        <f>VLOOKUP($A275,'Dados StatusInvest'!$A:$AY,column(K275)-$A$5,0)/VLOOKUP($A275,'Dados StatusInvest'!$A:$AY,2,0)*$E275</f>
        <v>0.1844522968</v>
      </c>
      <c r="L275" s="43">
        <f>VLOOKUP($A275,'Dados StatusInvest'!$A:$AY,column(L275)-$A$5,0)/100</f>
        <v>0.1434</v>
      </c>
      <c r="M275" s="44">
        <f>VLOOKUP($A275,'Dados StatusInvest'!$A:$AY,column(M275)-$A$5,0)</f>
        <v>2.42</v>
      </c>
      <c r="N275" s="47">
        <f>VLOOKUP($A275,'Dados StatusInvest'!$A:$AY,column(N275)-$A$5,0)</f>
        <v>1.67</v>
      </c>
      <c r="O275" s="41">
        <f>VLOOKUP($A275,'Dados StatusInvest'!$A:$AY,column(O275)-$A$5,0)/VLOOKUP($A275,'Dados StatusInvest'!$A:$AY,2,0)*$E275</f>
        <v>5.031448763</v>
      </c>
      <c r="P275" s="41">
        <f>VLOOKUP($A275,'Dados StatusInvest'!$A:$AY,column(P275)-$A$5,0)-VLOOKUP($A275,'Dados StatusInvest'!$A:$AY,column(P275)-$A$5-1,0)+O275</f>
        <v>8.911448763</v>
      </c>
      <c r="Q275" s="44">
        <f>VLOOKUP($A275,'Dados StatusInvest'!$A:$AY,column(Q275)-$A$5,0)</f>
        <v>3.84</v>
      </c>
      <c r="R275" s="44">
        <f>VLOOKUP($A275,'Dados StatusInvest'!$A:$AY,column(R275)-$A$5,0)</f>
        <v>0.5</v>
      </c>
      <c r="S275" s="41">
        <f>VLOOKUP($A275,'Dados StatusInvest'!$A:$AY,column(S275)-$A$5,0)/VLOOKUP($A275,'Dados StatusInvest'!$A:$AY,2,0)*$E275</f>
        <v>0.1229681979</v>
      </c>
      <c r="T275" s="42">
        <f>VLOOKUP($A275,'Dados StatusInvest'!$A:$AY,column(T275)-$A$5,0)/VLOOKUP($A275,'Dados StatusInvest'!$A:$AY,2,0)*$E275</f>
        <v>0.8607773852</v>
      </c>
      <c r="U275" s="47">
        <f>VLOOKUP($A275,'Dados StatusInvest'!$A:$AY,column(U275)-$A$5,0)</f>
        <v>-0.52</v>
      </c>
      <c r="V275" s="45">
        <f>VLOOKUP($A275,'Dados StatusInvest'!$A:$AY,column(V275)-$A$5,0)</f>
        <v>1.48</v>
      </c>
      <c r="W275" s="45">
        <f>VLOOKUP($A275,'Dados StatusInvest'!$A:$AY,column(W275)-$A$5,0)</f>
        <v>9.05</v>
      </c>
      <c r="X275" s="45">
        <f>VLOOKUP($A275,'Dados StatusInvest'!$A:$AY,column(X275)-$A$5,0)</f>
        <v>2.5</v>
      </c>
      <c r="Y275" s="45">
        <f>VLOOKUP($A275,'Dados StatusInvest'!$A:$AY,column(Y275)-$A$5,0)</f>
        <v>5.07</v>
      </c>
      <c r="Z275" s="44">
        <f>VLOOKUP($A275,'Dados StatusInvest'!$A:$AY,column(Z275)-$A$5,0)</f>
        <v>0.28</v>
      </c>
      <c r="AA275" s="44">
        <f>VLOOKUP($A275,'Dados StatusInvest'!$A:$AY,column(AA275)-$A$5,0)</f>
        <v>0.63</v>
      </c>
      <c r="AB275" s="44">
        <f>VLOOKUP($A275,'Dados StatusInvest'!$A:$AY,column(AB275)-$A$5,0)</f>
        <v>1.49</v>
      </c>
      <c r="AC275" s="44">
        <f>VLOOKUP($A275,'Dados StatusInvest'!$A:$AY,column(AC275)-$A$5,0)</f>
        <v>9.61</v>
      </c>
      <c r="AD275" s="45">
        <f>VLOOKUP($A275,'Dados StatusInvest'!$A:$AY,column(AD275)-$A$5,0)</f>
        <v>0</v>
      </c>
      <c r="AE275" s="46">
        <f>VLOOKUP($A275,'Dados StatusInvest'!$A:$AY,column(AE275)-$A$5,0)</f>
        <v>1120493.58</v>
      </c>
      <c r="AF275" s="18"/>
    </row>
    <row r="276">
      <c r="A276" s="10" t="s">
        <v>322</v>
      </c>
      <c r="B276" s="39" t="str">
        <f>VLOOKUP(lEFT($A276,4),Setor!$A:$E,3,0)</f>
        <v>Bens Industriais</v>
      </c>
      <c r="C276" s="39" t="str">
        <f>VLOOKUP(lEFT($A276,4),Setor!$A:$E,4,0)</f>
        <v>Construção e Engenharia</v>
      </c>
      <c r="D276" s="39" t="str">
        <f>VLOOKUP(lEFT($A276,4),Setor!$A:$E,5,0)</f>
        <v>Construção Pesada</v>
      </c>
      <c r="E276" s="17">
        <f>IFERROR(__xludf.DUMMYFUNCTION("GOOGLEFINANCE(A276)"),4.86)</f>
        <v>4.86</v>
      </c>
      <c r="F276" s="17">
        <f>IFERROR(__xludf.DUMMYFUNCTION("GOOGLEFINANCE($A276,""high52"")"),14.0)</f>
        <v>14</v>
      </c>
      <c r="G276" s="16">
        <f t="shared" si="1"/>
        <v>-0.6528571429</v>
      </c>
      <c r="H276" s="40">
        <f>VLOOKUP($A276,'Dados StatusInvest'!$A:$AY,column(H276)-$A$5,0)*VLOOKUP($A276,'Dados StatusInvest'!$A:$AY,2,0)/$E276/100</f>
        <v>0</v>
      </c>
      <c r="I276" s="41">
        <f>VLOOKUP($A276,'Dados StatusInvest'!$A:$AY,column(I276)-$A$5,0)/VLOOKUP($A276,'Dados StatusInvest'!$A:$AY,2,0)*$E276</f>
        <v>1.654249471</v>
      </c>
      <c r="J276" s="41">
        <f>VLOOKUP($A276,'Dados StatusInvest'!$A:$AY,column(J276)-$A$5,0)/VLOOKUP($A276,'Dados StatusInvest'!$A:$AY,2,0)*$E276</f>
        <v>-3.524270613</v>
      </c>
      <c r="K276" s="42">
        <f>VLOOKUP($A276,'Dados StatusInvest'!$A:$AY,column(K276)-$A$5,0)/VLOOKUP($A276,'Dados StatusInvest'!$A:$AY,2,0)*$E276</f>
        <v>5.918308668</v>
      </c>
      <c r="L276" s="43">
        <f>VLOOKUP($A276,'Dados StatusInvest'!$A:$AY,column(L276)-$A$5,0)/100</f>
        <v>0.0794</v>
      </c>
      <c r="M276" s="47">
        <f>VLOOKUP($A276,'Dados StatusInvest'!$A:$AY,column(M276)-$A$5,0)</f>
        <v>1110.11</v>
      </c>
      <c r="N276" s="47">
        <f>VLOOKUP($A276,'Dados StatusInvest'!$A:$AY,column(N276)-$A$5,0)</f>
        <v>1088.63</v>
      </c>
      <c r="O276" s="41">
        <f>VLOOKUP($A276,'Dados StatusInvest'!$A:$AY,column(O276)-$A$5,0)/VLOOKUP($A276,'Dados StatusInvest'!$A:$AY,2,0)*$E276</f>
        <v>1.623424947</v>
      </c>
      <c r="P276" s="41">
        <f>VLOOKUP($A276,'Dados StatusInvest'!$A:$AY,column(P276)-$A$5,0)-VLOOKUP($A276,'Dados StatusInvest'!$A:$AY,column(P276)-$A$5-1,0)+O276</f>
        <v>1.503424947</v>
      </c>
      <c r="Q276" s="44">
        <f>VLOOKUP($A276,'Dados StatusInvest'!$A:$AY,column(Q276)-$A$5,0)</f>
        <v>-0.01</v>
      </c>
      <c r="R276" s="44">
        <f>VLOOKUP($A276,'Dados StatusInvest'!$A:$AY,column(R276)-$A$5,0)</f>
        <v>0</v>
      </c>
      <c r="S276" s="41">
        <f>VLOOKUP($A276,'Dados StatusInvest'!$A:$AY,column(S276)-$A$5,0)/VLOOKUP($A276,'Dados StatusInvest'!$A:$AY,2,0)*$E276</f>
        <v>17.98097252</v>
      </c>
      <c r="T276" s="42">
        <f>VLOOKUP($A276,'Dados StatusInvest'!$A:$AY,column(T276)-$A$5,0)/VLOOKUP($A276,'Dados StatusInvest'!$A:$AY,2,0)*$E276</f>
        <v>163.4521776</v>
      </c>
      <c r="U276" s="44">
        <f>VLOOKUP($A276,'Dados StatusInvest'!$A:$AY,column(U276)-$A$5,0)</f>
        <v>-15.37</v>
      </c>
      <c r="V276" s="45">
        <f>VLOOKUP($A276,'Dados StatusInvest'!$A:$AY,column(V276)-$A$5,0)</f>
        <v>1.06</v>
      </c>
      <c r="W276" s="45">
        <f>VLOOKUP($A276,'Dados StatusInvest'!$A:$AY,column(W276)-$A$5,0)</f>
        <v>-213.22</v>
      </c>
      <c r="X276" s="45">
        <f>VLOOKUP($A276,'Dados StatusInvest'!$A:$AY,column(X276)-$A$5,0)</f>
        <v>358.22</v>
      </c>
      <c r="Y276" s="45">
        <f>VLOOKUP($A276,'Dados StatusInvest'!$A:$AY,column(Y276)-$A$5,0)</f>
        <v>-217.35</v>
      </c>
      <c r="Z276" s="44">
        <f>VLOOKUP($A276,'Dados StatusInvest'!$A:$AY,column(Z276)-$A$5,0)</f>
        <v>-1.68</v>
      </c>
      <c r="AA276" s="44">
        <f>VLOOKUP($A276,'Dados StatusInvest'!$A:$AY,column(AA276)-$A$5,0)</f>
        <v>2.68</v>
      </c>
      <c r="AB276" s="44">
        <f>VLOOKUP($A276,'Dados StatusInvest'!$A:$AY,column(AB276)-$A$5,0)</f>
        <v>0.33</v>
      </c>
      <c r="AC276" s="44">
        <f>VLOOKUP($A276,'Dados StatusInvest'!$A:$AY,column(AC276)-$A$5,0)</f>
        <v>-38.42</v>
      </c>
      <c r="AD276" s="45">
        <f>VLOOKUP($A276,'Dados StatusInvest'!$A:$AY,column(AD276)-$A$5,0)</f>
        <v>164.18</v>
      </c>
      <c r="AE276" s="46">
        <f>VLOOKUP($A276,'Dados StatusInvest'!$A:$AY,column(AE276)-$A$5,0)</f>
        <v>1167976.33</v>
      </c>
      <c r="AF276" s="50"/>
    </row>
    <row r="277">
      <c r="A277" s="10" t="s">
        <v>323</v>
      </c>
      <c r="B277" s="39" t="str">
        <f>VLOOKUP(lEFT($A277,4),Setor!$A:$E,3,0)</f>
        <v>#N/A</v>
      </c>
      <c r="C277" s="39" t="str">
        <f>VLOOKUP(lEFT($A277,4),Setor!$A:$E,4,0)</f>
        <v>#N/A</v>
      </c>
      <c r="D277" s="39" t="str">
        <f>VLOOKUP(lEFT($A277,4),Setor!$A:$E,5,0)</f>
        <v>#N/A</v>
      </c>
      <c r="E277" s="17">
        <f>IFERROR(__xludf.DUMMYFUNCTION("GOOGLEFINANCE(A277)"),6.05)</f>
        <v>6.05</v>
      </c>
      <c r="F277" s="17">
        <f>IFERROR(__xludf.DUMMYFUNCTION("GOOGLEFINANCE($A277,""high52"")"),28.33)</f>
        <v>28.33</v>
      </c>
      <c r="G277" s="16">
        <f t="shared" si="1"/>
        <v>-0.7864454642</v>
      </c>
      <c r="H277" s="40">
        <f>VLOOKUP($A277,'Dados StatusInvest'!$A:$AY,column(H277)-$A$5,0)*VLOOKUP($A277,'Dados StatusInvest'!$A:$AY,2,0)/$E277/100</f>
        <v>0</v>
      </c>
      <c r="I277" s="41">
        <f>VLOOKUP($A277,'Dados StatusInvest'!$A:$AY,column(I277)-$A$5,0)/VLOOKUP($A277,'Dados StatusInvest'!$A:$AY,2,0)*$E277</f>
        <v>-10.01808824</v>
      </c>
      <c r="J277" s="41">
        <f>VLOOKUP($A277,'Dados StatusInvest'!$A:$AY,column(J277)-$A$5,0)/VLOOKUP($A277,'Dados StatusInvest'!$A:$AY,2,0)*$E277</f>
        <v>0.9430882353</v>
      </c>
      <c r="K277" s="42">
        <f>VLOOKUP($A277,'Dados StatusInvest'!$A:$AY,column(K277)-$A$5,0)/VLOOKUP($A277,'Dados StatusInvest'!$A:$AY,2,0)*$E277</f>
        <v>0.7028676471</v>
      </c>
      <c r="L277" s="43">
        <f>VLOOKUP($A277,'Dados StatusInvest'!$A:$AY,column(L277)-$A$5,0)/100</f>
        <v>0.3976</v>
      </c>
      <c r="M277" s="47">
        <f>VLOOKUP($A277,'Dados StatusInvest'!$A:$AY,column(M277)-$A$5,0)</f>
        <v>-6.95</v>
      </c>
      <c r="N277" s="47">
        <f>VLOOKUP($A277,'Dados StatusInvest'!$A:$AY,column(N277)-$A$5,0)</f>
        <v>-9.09</v>
      </c>
      <c r="O277" s="41">
        <f>VLOOKUP($A277,'Dados StatusInvest'!$A:$AY,column(O277)-$A$5,0)/VLOOKUP($A277,'Dados StatusInvest'!$A:$AY,2,0)*$E277</f>
        <v>-13.10536765</v>
      </c>
      <c r="P277" s="41">
        <f>VLOOKUP($A277,'Dados StatusInvest'!$A:$AY,column(P277)-$A$5,0)-VLOOKUP($A277,'Dados StatusInvest'!$A:$AY,column(P277)-$A$5-1,0)+O277</f>
        <v>-6.085367647</v>
      </c>
      <c r="Q277" s="44">
        <f>VLOOKUP($A277,'Dados StatusInvest'!$A:$AY,column(Q277)-$A$5,0)</f>
        <v>7.2</v>
      </c>
      <c r="R277" s="44">
        <f>VLOOKUP($A277,'Dados StatusInvest'!$A:$AY,column(R277)-$A$5,0)</f>
        <v>-0.52</v>
      </c>
      <c r="S277" s="41">
        <f>VLOOKUP($A277,'Dados StatusInvest'!$A:$AY,column(S277)-$A$5,0)/VLOOKUP($A277,'Dados StatusInvest'!$A:$AY,2,0)*$E277</f>
        <v>0.9075</v>
      </c>
      <c r="T277" s="42">
        <f>VLOOKUP($A277,'Dados StatusInvest'!$A:$AY,column(T277)-$A$5,0)/VLOOKUP($A277,'Dados StatusInvest'!$A:$AY,2,0)*$E277</f>
        <v>1.094338235</v>
      </c>
      <c r="U277" s="44">
        <f>VLOOKUP($A277,'Dados StatusInvest'!$A:$AY,column(U277)-$A$5,0)</f>
        <v>-4.46</v>
      </c>
      <c r="V277" s="45">
        <f>VLOOKUP($A277,'Dados StatusInvest'!$A:$AY,column(V277)-$A$5,0)</f>
        <v>4.62</v>
      </c>
      <c r="W277" s="45">
        <f>VLOOKUP($A277,'Dados StatusInvest'!$A:$AY,column(W277)-$A$5,0)</f>
        <v>-9.44</v>
      </c>
      <c r="X277" s="45">
        <f>VLOOKUP($A277,'Dados StatusInvest'!$A:$AY,column(X277)-$A$5,0)</f>
        <v>-7.02</v>
      </c>
      <c r="Y277" s="45">
        <f>VLOOKUP($A277,'Dados StatusInvest'!$A:$AY,column(Y277)-$A$5,0)</f>
        <v>-6.47</v>
      </c>
      <c r="Z277" s="44">
        <f>VLOOKUP($A277,'Dados StatusInvest'!$A:$AY,column(Z277)-$A$5,0)</f>
        <v>0.74</v>
      </c>
      <c r="AA277" s="44">
        <f>VLOOKUP($A277,'Dados StatusInvest'!$A:$AY,column(AA277)-$A$5,0)</f>
        <v>0.26</v>
      </c>
      <c r="AB277" s="44">
        <f>VLOOKUP($A277,'Dados StatusInvest'!$A:$AY,column(AB277)-$A$5,0)</f>
        <v>0.77</v>
      </c>
      <c r="AC277" s="44">
        <f>VLOOKUP($A277,'Dados StatusInvest'!$A:$AY,column(AC277)-$A$5,0)</f>
        <v>0</v>
      </c>
      <c r="AD277" s="45">
        <f>VLOOKUP($A277,'Dados StatusInvest'!$A:$AY,column(AD277)-$A$5,0)</f>
        <v>0</v>
      </c>
      <c r="AE277" s="46">
        <f>VLOOKUP($A277,'Dados StatusInvest'!$A:$AY,column(AE277)-$A$5,0)</f>
        <v>1718821.21</v>
      </c>
      <c r="AF277" s="49"/>
    </row>
    <row r="278">
      <c r="A278" s="10" t="s">
        <v>324</v>
      </c>
      <c r="B278" s="39" t="str">
        <f>VLOOKUP(lEFT($A278,4),Setor!$A:$E,3,0)</f>
        <v>Utilidade Pública</v>
      </c>
      <c r="C278" s="39" t="str">
        <f>VLOOKUP(lEFT($A278,4),Setor!$A:$E,4,0)</f>
        <v>Energia Elétrica</v>
      </c>
      <c r="D278" s="39" t="str">
        <f>VLOOKUP(lEFT($A278,4),Setor!$A:$E,5,0)</f>
        <v>Energia Elétrica</v>
      </c>
      <c r="E278" s="17">
        <f>IFERROR(__xludf.DUMMYFUNCTION("GOOGLEFINANCE(A278)"),58.15)</f>
        <v>58.15</v>
      </c>
      <c r="F278" s="17">
        <f>IFERROR(__xludf.DUMMYFUNCTION("GOOGLEFINANCE($A278,""high52"")"),62.98)</f>
        <v>62.98</v>
      </c>
      <c r="G278" s="16">
        <f t="shared" si="1"/>
        <v>-0.07669101302</v>
      </c>
      <c r="H278" s="40">
        <f>VLOOKUP($A278,'Dados StatusInvest'!$A:$AY,column(H278)-$A$5,0)*VLOOKUP($A278,'Dados StatusInvest'!$A:$AY,2,0)/$E278/100</f>
        <v>0.03636371453</v>
      </c>
      <c r="I278" s="41">
        <f>VLOOKUP($A278,'Dados StatusInvest'!$A:$AY,column(I278)-$A$5,0)/VLOOKUP($A278,'Dados StatusInvest'!$A:$AY,2,0)*$E278</f>
        <v>10.45987752</v>
      </c>
      <c r="J278" s="41">
        <f>VLOOKUP($A278,'Dados StatusInvest'!$A:$AY,column(J278)-$A$5,0)/VLOOKUP($A278,'Dados StatusInvest'!$A:$AY,2,0)*$E278</f>
        <v>1.332922135</v>
      </c>
      <c r="K278" s="42">
        <f>VLOOKUP($A278,'Dados StatusInvest'!$A:$AY,column(K278)-$A$5,0)/VLOOKUP($A278,'Dados StatusInvest'!$A:$AY,2,0)*$E278</f>
        <v>0.4476990376</v>
      </c>
      <c r="L278" s="43">
        <f>VLOOKUP($A278,'Dados StatusInvest'!$A:$AY,column(L278)-$A$5,0)/100</f>
        <v>0.1253</v>
      </c>
      <c r="M278" s="44">
        <f>VLOOKUP($A278,'Dados StatusInvest'!$A:$AY,column(M278)-$A$5,0)</f>
        <v>8.52</v>
      </c>
      <c r="N278" s="44">
        <f>VLOOKUP($A278,'Dados StatusInvest'!$A:$AY,column(N278)-$A$5,0)</f>
        <v>6.71</v>
      </c>
      <c r="O278" s="41">
        <f>VLOOKUP($A278,'Dados StatusInvest'!$A:$AY,column(O278)-$A$5,0)/VLOOKUP($A278,'Dados StatusInvest'!$A:$AY,2,0)*$E278</f>
        <v>8.241732283</v>
      </c>
      <c r="P278" s="41">
        <f>VLOOKUP($A278,'Dados StatusInvest'!$A:$AY,column(P278)-$A$5,0)-VLOOKUP($A278,'Dados StatusInvest'!$A:$AY,column(P278)-$A$5-1,0)+O278</f>
        <v>11.91173228</v>
      </c>
      <c r="Q278" s="44">
        <f>VLOOKUP($A278,'Dados StatusInvest'!$A:$AY,column(Q278)-$A$5,0)</f>
        <v>4.96</v>
      </c>
      <c r="R278" s="44">
        <f>VLOOKUP($A278,'Dados StatusInvest'!$A:$AY,column(R278)-$A$5,0)</f>
        <v>0.8</v>
      </c>
      <c r="S278" s="41">
        <f>VLOOKUP($A278,'Dados StatusInvest'!$A:$AY,column(S278)-$A$5,0)/VLOOKUP($A278,'Dados StatusInvest'!$A:$AY,2,0)*$E278</f>
        <v>0.7020734908</v>
      </c>
      <c r="T278" s="42">
        <f>VLOOKUP($A278,'Dados StatusInvest'!$A:$AY,column(T278)-$A$5,0)/VLOOKUP($A278,'Dados StatusInvest'!$A:$AY,2,0)*$E278</f>
        <v>-621.7929134</v>
      </c>
      <c r="U278" s="44">
        <f>VLOOKUP($A278,'Dados StatusInvest'!$A:$AY,column(U278)-$A$5,0)</f>
        <v>-0.6</v>
      </c>
      <c r="V278" s="45">
        <f>VLOOKUP($A278,'Dados StatusInvest'!$A:$AY,column(V278)-$A$5,0)</f>
        <v>1</v>
      </c>
      <c r="W278" s="48">
        <f>VLOOKUP($A278,'Dados StatusInvest'!$A:$AY,column(W278)-$A$5,0)</f>
        <v>12.7</v>
      </c>
      <c r="X278" s="45">
        <f>VLOOKUP($A278,'Dados StatusInvest'!$A:$AY,column(X278)-$A$5,0)</f>
        <v>4.23</v>
      </c>
      <c r="Y278" s="48">
        <f>VLOOKUP($A278,'Dados StatusInvest'!$A:$AY,column(Y278)-$A$5,0)</f>
        <v>5.86</v>
      </c>
      <c r="Z278" s="44">
        <f>VLOOKUP($A278,'Dados StatusInvest'!$A:$AY,column(Z278)-$A$5,0)</f>
        <v>0.33</v>
      </c>
      <c r="AA278" s="44">
        <f>VLOOKUP($A278,'Dados StatusInvest'!$A:$AY,column(AA278)-$A$5,0)</f>
        <v>0.67</v>
      </c>
      <c r="AB278" s="44">
        <f>VLOOKUP($A278,'Dados StatusInvest'!$A:$AY,column(AB278)-$A$5,0)</f>
        <v>0.63</v>
      </c>
      <c r="AC278" s="44">
        <f>VLOOKUP($A278,'Dados StatusInvest'!$A:$AY,column(AC278)-$A$5,0)</f>
        <v>7.29</v>
      </c>
      <c r="AD278" s="45">
        <f>VLOOKUP($A278,'Dados StatusInvest'!$A:$AY,column(AD278)-$A$5,0)</f>
        <v>3.57</v>
      </c>
      <c r="AE278" s="46">
        <f>VLOOKUP($A278,'Dados StatusInvest'!$A:$AY,column(AE278)-$A$5,0)</f>
        <v>1238695.75</v>
      </c>
      <c r="AF278" s="50"/>
    </row>
    <row r="279">
      <c r="A279" s="10" t="s">
        <v>325</v>
      </c>
      <c r="B279" s="39" t="str">
        <f>VLOOKUP(lEFT($A279,4),Setor!$A:$E,3,0)</f>
        <v>Financeiro</v>
      </c>
      <c r="C279" s="39" t="str">
        <f>VLOOKUP(lEFT($A279,4),Setor!$A:$E,4,0)</f>
        <v>Holdings Diversificadas</v>
      </c>
      <c r="D279" s="39" t="str">
        <f>VLOOKUP(lEFT($A279,4),Setor!$A:$E,5,0)</f>
        <v>Holdings Diversificadas</v>
      </c>
      <c r="E279" s="17">
        <f>IFERROR(__xludf.DUMMYFUNCTION("GOOGLEFINANCE(A279)"),432.0)</f>
        <v>432</v>
      </c>
      <c r="F279" s="17">
        <f>IFERROR(__xludf.DUMMYFUNCTION("GOOGLEFINANCE($A279,""high52"")"),440.0)</f>
        <v>440</v>
      </c>
      <c r="G279" s="16">
        <f t="shared" si="1"/>
        <v>-0.01818181818</v>
      </c>
      <c r="H279" s="40">
        <f>VLOOKUP($A279,'Dados StatusInvest'!$A:$AY,column(H279)-$A$5,0)*VLOOKUP($A279,'Dados StatusInvest'!$A:$AY,2,0)/$E279/100</f>
        <v>0.03345339583</v>
      </c>
      <c r="I279" s="41">
        <f>VLOOKUP($A279,'Dados StatusInvest'!$A:$AY,column(I279)-$A$5,0)/VLOOKUP($A279,'Dados StatusInvest'!$A:$AY,2,0)*$E279</f>
        <v>8.132537616</v>
      </c>
      <c r="J279" s="41">
        <f>VLOOKUP($A279,'Dados StatusInvest'!$A:$AY,column(J279)-$A$5,0)/VLOOKUP($A279,'Dados StatusInvest'!$A:$AY,2,0)*$E279</f>
        <v>3.653171732</v>
      </c>
      <c r="K279" s="42">
        <f>VLOOKUP($A279,'Dados StatusInvest'!$A:$AY,column(K279)-$A$5,0)/VLOOKUP($A279,'Dados StatusInvest'!$A:$AY,2,0)*$E279</f>
        <v>2.379040992</v>
      </c>
      <c r="L279" s="43">
        <f>VLOOKUP($A279,'Dados StatusInvest'!$A:$AY,column(L279)-$A$5,0)/100</f>
        <v>-0.017</v>
      </c>
      <c r="M279" s="44">
        <f>VLOOKUP($A279,'Dados StatusInvest'!$A:$AY,column(M279)-$A$5,0)</f>
        <v>669.48</v>
      </c>
      <c r="N279" s="44">
        <f>VLOOKUP($A279,'Dados StatusInvest'!$A:$AY,column(N279)-$A$5,0)</f>
        <v>592.49</v>
      </c>
      <c r="O279" s="41">
        <f>VLOOKUP($A279,'Dados StatusInvest'!$A:$AY,column(O279)-$A$5,0)/VLOOKUP($A279,'Dados StatusInvest'!$A:$AY,2,0)*$E279</f>
        <v>7.196847854</v>
      </c>
      <c r="P279" s="41">
        <f>VLOOKUP($A279,'Dados StatusInvest'!$A:$AY,column(P279)-$A$5,0)-VLOOKUP($A279,'Dados StatusInvest'!$A:$AY,column(P279)-$A$5-1,0)+O279</f>
        <v>6.986847854</v>
      </c>
      <c r="Q279" s="44">
        <f>VLOOKUP($A279,'Dados StatusInvest'!$A:$AY,column(Q279)-$A$5,0)</f>
        <v>-0.21</v>
      </c>
      <c r="R279" s="44">
        <f>VLOOKUP($A279,'Dados StatusInvest'!$A:$AY,column(R279)-$A$5,0)</f>
        <v>-0.11</v>
      </c>
      <c r="S279" s="41">
        <f>VLOOKUP($A279,'Dados StatusInvest'!$A:$AY,column(S279)-$A$5,0)/VLOOKUP($A279,'Dados StatusInvest'!$A:$AY,2,0)*$E279</f>
        <v>48.20793106</v>
      </c>
      <c r="T279" s="42">
        <f>VLOOKUP($A279,'Dados StatusInvest'!$A:$AY,column(T279)-$A$5,0)/VLOOKUP($A279,'Dados StatusInvest'!$A:$AY,2,0)*$E279</f>
        <v>12.92048204</v>
      </c>
      <c r="U279" s="44">
        <f>VLOOKUP($A279,'Dados StatusInvest'!$A:$AY,column(U279)-$A$5,0)</f>
        <v>-3.3</v>
      </c>
      <c r="V279" s="45">
        <f>VLOOKUP($A279,'Dados StatusInvest'!$A:$AY,column(V279)-$A$5,0)</f>
        <v>2.98</v>
      </c>
      <c r="W279" s="48">
        <f>VLOOKUP($A279,'Dados StatusInvest'!$A:$AY,column(W279)-$A$5,0)</f>
        <v>44.94</v>
      </c>
      <c r="X279" s="45">
        <f>VLOOKUP($A279,'Dados StatusInvest'!$A:$AY,column(X279)-$A$5,0)</f>
        <v>29.19</v>
      </c>
      <c r="Y279" s="45">
        <f>VLOOKUP($A279,'Dados StatusInvest'!$A:$AY,column(Y279)-$A$5,0)</f>
        <v>32.84</v>
      </c>
      <c r="Z279" s="44">
        <f>VLOOKUP($A279,'Dados StatusInvest'!$A:$AY,column(Z279)-$A$5,0)</f>
        <v>0.65</v>
      </c>
      <c r="AA279" s="44">
        <f>VLOOKUP($A279,'Dados StatusInvest'!$A:$AY,column(AA279)-$A$5,0)</f>
        <v>0.35</v>
      </c>
      <c r="AB279" s="44">
        <f>VLOOKUP($A279,'Dados StatusInvest'!$A:$AY,column(AB279)-$A$5,0)</f>
        <v>0.05</v>
      </c>
      <c r="AC279" s="44">
        <f>VLOOKUP($A279,'Dados StatusInvest'!$A:$AY,column(AC279)-$A$5,0)</f>
        <v>94.65</v>
      </c>
      <c r="AD279" s="45">
        <f>VLOOKUP($A279,'Dados StatusInvest'!$A:$AY,column(AD279)-$A$5,0)</f>
        <v>46.63</v>
      </c>
      <c r="AE279" s="46">
        <f>VLOOKUP($A279,'Dados StatusInvest'!$A:$AY,column(AE279)-$A$5,0)</f>
        <v>1238536</v>
      </c>
      <c r="AF279" s="49"/>
    </row>
    <row r="280">
      <c r="A280" s="10" t="s">
        <v>326</v>
      </c>
      <c r="B280" s="52" t="str">
        <f>VLOOKUP(LEFT($A280,4),Setor!$A:$E,3,0)</f>
        <v>Materiais Básicos</v>
      </c>
      <c r="C280" s="52" t="str">
        <f>VLOOKUP(LEFT($A280,4),Setor!$A:$E,4,0)</f>
        <v>Madeira e Papel</v>
      </c>
      <c r="D280" s="52" t="str">
        <f>VLOOKUP(LEFT($A280,4),Setor!$A:$E,5,0)</f>
        <v>Madeira</v>
      </c>
      <c r="E280" s="53">
        <f>IFERROR(__xludf.DUMMYFUNCTION("GOOGLEFINANCE(A280)"),9.09)</f>
        <v>9.09</v>
      </c>
      <c r="F280" s="53">
        <f>IFERROR(__xludf.DUMMYFUNCTION("GOOGLEFINANCE($A280,""high52"")"),13.3)</f>
        <v>13.3</v>
      </c>
      <c r="G280" s="54">
        <f t="shared" si="1"/>
        <v>-0.3165413534</v>
      </c>
      <c r="H280" s="55">
        <f>VLOOKUP($A280,'Dados StatusInvest'!$A:$AY,COLUMN(H280)-$A$5,0)*VLOOKUP($A280,'Dados StatusInvest'!$A:$AY,2,0)/$E280/100</f>
        <v>0.04504158416</v>
      </c>
      <c r="I280" s="56">
        <f>VLOOKUP($A280,'Dados StatusInvest'!$A:$AY,COLUMN(I280)-$A$5,0)/VLOOKUP($A280,'Dados StatusInvest'!$A:$AY,2,0)*$E280</f>
        <v>2.863553812</v>
      </c>
      <c r="J280" s="56">
        <f>VLOOKUP($A280,'Dados StatusInvest'!$A:$AY,COLUMN(J280)-$A$5,0)/VLOOKUP($A280,'Dados StatusInvest'!$A:$AY,2,0)*$E280</f>
        <v>0.4891479821</v>
      </c>
      <c r="K280" s="57">
        <f>VLOOKUP($A280,'Dados StatusInvest'!$A:$AY,COLUMN(K280)-$A$5,0)/VLOOKUP($A280,'Dados StatusInvest'!$A:$AY,2,0)*$E280</f>
        <v>0.2853363229</v>
      </c>
      <c r="L280" s="58">
        <f>VLOOKUP($A280,'Dados StatusInvest'!$A:$AY,COLUMN(L280)-$A$5,0)/100</f>
        <v>0.3404</v>
      </c>
      <c r="M280" s="59">
        <f>VLOOKUP($A280,'Dados StatusInvest'!$A:$AY,COLUMN(M280)-$A$5,0)</f>
        <v>18.13</v>
      </c>
      <c r="N280" s="59">
        <f>VLOOKUP($A280,'Dados StatusInvest'!$A:$AY,COLUMN(N280)-$A$5,0)</f>
        <v>13.71</v>
      </c>
      <c r="O280" s="56">
        <f>VLOOKUP($A280,'Dados StatusInvest'!$A:$AY,COLUMN(O280)-$A$5,0)/VLOOKUP($A280,'Dados StatusInvest'!$A:$AY,2,0)*$E280</f>
        <v>2.160403587</v>
      </c>
      <c r="P280" s="56">
        <f>VLOOKUP($A280,'Dados StatusInvest'!$A:$AY,COLUMN(P280)-$A$5,0)-VLOOKUP($A280,'Dados StatusInvest'!$A:$AY,COLUMN(P280)-$A$5-1,0)+O280</f>
        <v>3.520403587</v>
      </c>
      <c r="Q280" s="59">
        <f>VLOOKUP($A280,'Dados StatusInvest'!$A:$AY,COLUMN(Q280)-$A$5,0)</f>
        <v>0.94</v>
      </c>
      <c r="R280" s="59">
        <f>VLOOKUP($A280,'Dados StatusInvest'!$A:$AY,COLUMN(R280)-$A$5,0)</f>
        <v>0.21</v>
      </c>
      <c r="S280" s="56">
        <f>VLOOKUP($A280,'Dados StatusInvest'!$A:$AY,COLUMN(S280)-$A$5,0)/VLOOKUP($A280,'Dados StatusInvest'!$A:$AY,2,0)*$E280</f>
        <v>0.3974327354</v>
      </c>
      <c r="T280" s="57">
        <f>VLOOKUP($A280,'Dados StatusInvest'!$A:$AY,COLUMN(T280)-$A$5,0)/VLOOKUP($A280,'Dados StatusInvest'!$A:$AY,2,0)*$E280</f>
        <v>2.99603139</v>
      </c>
      <c r="U280" s="59">
        <f>VLOOKUP($A280,'Dados StatusInvest'!$A:$AY,COLUMN(U280)-$A$5,0)</f>
        <v>-0.43</v>
      </c>
      <c r="V280" s="60">
        <f>VLOOKUP($A280,'Dados StatusInvest'!$A:$AY,COLUMN(V280)-$A$5,0)</f>
        <v>1.36</v>
      </c>
      <c r="W280" s="61">
        <f>VLOOKUP($A280,'Dados StatusInvest'!$A:$AY,COLUMN(W280)-$A$5,0)</f>
        <v>17.23</v>
      </c>
      <c r="X280" s="60">
        <f>VLOOKUP($A280,'Dados StatusInvest'!$A:$AY,COLUMN(X280)-$A$5,0)</f>
        <v>9.79</v>
      </c>
      <c r="Y280" s="60">
        <f>VLOOKUP($A280,'Dados StatusInvest'!$A:$AY,COLUMN(Y280)-$A$5,0)</f>
        <v>11.96</v>
      </c>
      <c r="Z280" s="59">
        <f>VLOOKUP($A280,'Dados StatusInvest'!$A:$AY,COLUMN(Z280)-$A$5,0)</f>
        <v>0.57</v>
      </c>
      <c r="AA280" s="59">
        <f>VLOOKUP($A280,'Dados StatusInvest'!$A:$AY,COLUMN(AA280)-$A$5,0)</f>
        <v>0.43</v>
      </c>
      <c r="AB280" s="59">
        <f>VLOOKUP($A280,'Dados StatusInvest'!$A:$AY,COLUMN(AB280)-$A$5,0)</f>
        <v>0.71</v>
      </c>
      <c r="AC280" s="59">
        <f>VLOOKUP($A280,'Dados StatusInvest'!$A:$AY,COLUMN(AC280)-$A$5,0)</f>
        <v>9.47</v>
      </c>
      <c r="AD280" s="60">
        <f>VLOOKUP($A280,'Dados StatusInvest'!$A:$AY,COLUMN(AD280)-$A$5,0)</f>
        <v>94.72</v>
      </c>
      <c r="AE280" s="62">
        <f>VLOOKUP($A280,'Dados StatusInvest'!$A:$AY,COLUMN(AE280)-$A$5,0)</f>
        <v>1369854.5</v>
      </c>
      <c r="AF280" s="18"/>
    </row>
    <row r="281">
      <c r="A281" s="10" t="s">
        <v>327</v>
      </c>
      <c r="B281" s="39" t="str">
        <f>VLOOKUP(lEFT($A281,4),Setor!$A:$E,3,0)</f>
        <v>Financeiro</v>
      </c>
      <c r="C281" s="39" t="str">
        <f>VLOOKUP(lEFT($A281,4),Setor!$A:$E,4,0)</f>
        <v>Serviços Financeiros Diversos</v>
      </c>
      <c r="D281" s="39" t="str">
        <f>VLOOKUP(lEFT($A281,4),Setor!$A:$E,5,0)</f>
        <v>Gestão de Recursos e Investimentos</v>
      </c>
      <c r="E281" s="17">
        <f>IFERROR(__xludf.DUMMYFUNCTION("GOOGLEFINANCE(A281)"),7.06)</f>
        <v>7.06</v>
      </c>
      <c r="F281" s="17">
        <f>IFERROR(__xludf.DUMMYFUNCTION("GOOGLEFINANCE($A281,""high52"")"),10.79)</f>
        <v>10.79</v>
      </c>
      <c r="G281" s="16">
        <f t="shared" si="1"/>
        <v>-0.3456904541</v>
      </c>
      <c r="H281" s="40">
        <f>VLOOKUP($A281,'Dados StatusInvest'!$A:$AY,column(H281)-$A$5,0)*VLOOKUP($A281,'Dados StatusInvest'!$A:$AY,2,0)/$E281/100</f>
        <v>0</v>
      </c>
      <c r="I281" s="41">
        <f>VLOOKUP($A281,'Dados StatusInvest'!$A:$AY,column(I281)-$A$5,0)/VLOOKUP($A281,'Dados StatusInvest'!$A:$AY,2,0)*$E281</f>
        <v>14.47042336</v>
      </c>
      <c r="J281" s="41">
        <f>VLOOKUP($A281,'Dados StatusInvest'!$A:$AY,column(J281)-$A$5,0)/VLOOKUP($A281,'Dados StatusInvest'!$A:$AY,2,0)*$E281</f>
        <v>4.411211679</v>
      </c>
      <c r="K281" s="42">
        <f>VLOOKUP($A281,'Dados StatusInvest'!$A:$AY,column(K281)-$A$5,0)/VLOOKUP($A281,'Dados StatusInvest'!$A:$AY,2,0)*$E281</f>
        <v>1.401693431</v>
      </c>
      <c r="L281" s="43">
        <f>VLOOKUP($A281,'Dados StatusInvest'!$A:$AY,column(L281)-$A$5,0)/100</f>
        <v>0.3563</v>
      </c>
      <c r="M281" s="47">
        <f>VLOOKUP($A281,'Dados StatusInvest'!$A:$AY,column(M281)-$A$5,0)</f>
        <v>10.56</v>
      </c>
      <c r="N281" s="47">
        <f>VLOOKUP($A281,'Dados StatusInvest'!$A:$AY,column(N281)-$A$5,0)</f>
        <v>12.71</v>
      </c>
      <c r="O281" s="41">
        <f>VLOOKUP($A281,'Dados StatusInvest'!$A:$AY,column(O281)-$A$5,0)/VLOOKUP($A281,'Dados StatusInvest'!$A:$AY,2,0)*$E281</f>
        <v>17.41810219</v>
      </c>
      <c r="P281" s="41">
        <f>VLOOKUP($A281,'Dados StatusInvest'!$A:$AY,column(P281)-$A$5,0)-VLOOKUP($A281,'Dados StatusInvest'!$A:$AY,column(P281)-$A$5-1,0)+O281</f>
        <v>18.13810219</v>
      </c>
      <c r="Q281" s="44">
        <f>VLOOKUP($A281,'Dados StatusInvest'!$A:$AY,column(Q281)-$A$5,0)</f>
        <v>0.55</v>
      </c>
      <c r="R281" s="44">
        <f>VLOOKUP($A281,'Dados StatusInvest'!$A:$AY,column(R281)-$A$5,0)</f>
        <v>0.14</v>
      </c>
      <c r="S281" s="41">
        <f>VLOOKUP($A281,'Dados StatusInvest'!$A:$AY,column(S281)-$A$5,0)/VLOOKUP($A281,'Dados StatusInvest'!$A:$AY,2,0)*$E281</f>
        <v>1.834569343</v>
      </c>
      <c r="T281" s="42">
        <f>VLOOKUP($A281,'Dados StatusInvest'!$A:$AY,column(T281)-$A$5,0)/VLOOKUP($A281,'Dados StatusInvest'!$A:$AY,2,0)*$E281</f>
        <v>3.60729927</v>
      </c>
      <c r="U281" s="44">
        <f>VLOOKUP($A281,'Dados StatusInvest'!$A:$AY,column(U281)-$A$5,0)</f>
        <v>-6.79</v>
      </c>
      <c r="V281" s="45">
        <f>VLOOKUP($A281,'Dados StatusInvest'!$A:$AY,column(V281)-$A$5,0)</f>
        <v>1.94</v>
      </c>
      <c r="W281" s="45">
        <f>VLOOKUP($A281,'Dados StatusInvest'!$A:$AY,column(W281)-$A$5,0)</f>
        <v>30.53</v>
      </c>
      <c r="X281" s="45">
        <f>VLOOKUP($A281,'Dados StatusInvest'!$A:$AY,column(X281)-$A$5,0)</f>
        <v>9.67</v>
      </c>
      <c r="Y281" s="45">
        <f>VLOOKUP($A281,'Dados StatusInvest'!$A:$AY,column(Y281)-$A$5,0)</f>
        <v>12.08</v>
      </c>
      <c r="Z281" s="44">
        <f>VLOOKUP($A281,'Dados StatusInvest'!$A:$AY,column(Z281)-$A$5,0)</f>
        <v>0.32</v>
      </c>
      <c r="AA281" s="44">
        <f>VLOOKUP($A281,'Dados StatusInvest'!$A:$AY,column(AA281)-$A$5,0)</f>
        <v>0.68</v>
      </c>
      <c r="AB281" s="44">
        <f>VLOOKUP($A281,'Dados StatusInvest'!$A:$AY,column(AB281)-$A$5,0)</f>
        <v>0.76</v>
      </c>
      <c r="AC281" s="44">
        <f>VLOOKUP($A281,'Dados StatusInvest'!$A:$AY,column(AC281)-$A$5,0)</f>
        <v>173.12</v>
      </c>
      <c r="AD281" s="45">
        <f>VLOOKUP($A281,'Dados StatusInvest'!$A:$AY,column(AD281)-$A$5,0)</f>
        <v>0</v>
      </c>
      <c r="AE281" s="46">
        <f>VLOOKUP($A281,'Dados StatusInvest'!$A:$AY,column(AE281)-$A$5,0)</f>
        <v>1425644.5</v>
      </c>
      <c r="AF281" s="51"/>
    </row>
    <row r="282">
      <c r="A282" s="10" t="s">
        <v>328</v>
      </c>
      <c r="B282" s="39" t="str">
        <f>VLOOKUP(lEFT($A282,4),Setor!$A:$E,3,0)</f>
        <v>Bens Industriais</v>
      </c>
      <c r="C282" s="39" t="str">
        <f>VLOOKUP(lEFT($A282,4),Setor!$A:$E,4,0)</f>
        <v>Máquinas e Equipamentos</v>
      </c>
      <c r="D282" s="39" t="str">
        <f>VLOOKUP(lEFT($A282,4),Setor!$A:$E,5,0)</f>
        <v>Armas e Munições</v>
      </c>
      <c r="E282" s="17">
        <f>IFERROR(__xludf.DUMMYFUNCTION("GOOGLEFINANCE(A282)"),23.07)</f>
        <v>23.07</v>
      </c>
      <c r="F282" s="17">
        <f>IFERROR(__xludf.DUMMYFUNCTION("GOOGLEFINANCE($A282,""high52"")"),29.59)</f>
        <v>29.59</v>
      </c>
      <c r="G282" s="16">
        <f t="shared" si="1"/>
        <v>-0.2203447111</v>
      </c>
      <c r="H282" s="40">
        <f>VLOOKUP($A282,'Dados StatusInvest'!$A:$AY,column(H282)-$A$5,0)*VLOOKUP($A282,'Dados StatusInvest'!$A:$AY,2,0)/$E282/100</f>
        <v>0</v>
      </c>
      <c r="I282" s="41">
        <f>VLOOKUP($A282,'Dados StatusInvest'!$A:$AY,column(I282)-$A$5,0)/VLOOKUP($A282,'Dados StatusInvest'!$A:$AY,2,0)*$E282</f>
        <v>3.933840111</v>
      </c>
      <c r="J282" s="41">
        <f>VLOOKUP($A282,'Dados StatusInvest'!$A:$AY,column(J282)-$A$5,0)/VLOOKUP($A282,'Dados StatusInvest'!$A:$AY,2,0)*$E282</f>
        <v>6.99349353</v>
      </c>
      <c r="K282" s="42">
        <f>VLOOKUP($A282,'Dados StatusInvest'!$A:$AY,column(K282)-$A$5,0)/VLOOKUP($A282,'Dados StatusInvest'!$A:$AY,2,0)*$E282</f>
        <v>1.535157116</v>
      </c>
      <c r="L282" s="43">
        <f>VLOOKUP($A282,'Dados StatusInvest'!$A:$AY,column(L282)-$A$5,0)/100</f>
        <v>0.4543</v>
      </c>
      <c r="M282" s="47">
        <f>VLOOKUP($A282,'Dados StatusInvest'!$A:$AY,column(M282)-$A$5,0)</f>
        <v>30.14</v>
      </c>
      <c r="N282" s="47">
        <f>VLOOKUP($A282,'Dados StatusInvest'!$A:$AY,column(N282)-$A$5,0)</f>
        <v>28.56</v>
      </c>
      <c r="O282" s="41">
        <f>VLOOKUP($A282,'Dados StatusInvest'!$A:$AY,column(O282)-$A$5,0)/VLOOKUP($A282,'Dados StatusInvest'!$A:$AY,2,0)*$E282</f>
        <v>3.720623845</v>
      </c>
      <c r="P282" s="41">
        <f>VLOOKUP($A282,'Dados StatusInvest'!$A:$AY,column(P282)-$A$5,0)-VLOOKUP($A282,'Dados StatusInvest'!$A:$AY,column(P282)-$A$5-1,0)+O282</f>
        <v>4.240623845</v>
      </c>
      <c r="Q282" s="44">
        <f>VLOOKUP($A282,'Dados StatusInvest'!$A:$AY,column(Q282)-$A$5,0)</f>
        <v>0.63</v>
      </c>
      <c r="R282" s="44">
        <f>VLOOKUP($A282,'Dados StatusInvest'!$A:$AY,column(R282)-$A$5,0)</f>
        <v>1.18</v>
      </c>
      <c r="S282" s="41">
        <f>VLOOKUP($A282,'Dados StatusInvest'!$A:$AY,column(S282)-$A$5,0)/VLOOKUP($A282,'Dados StatusInvest'!$A:$AY,2,0)*$E282</f>
        <v>1.119385397</v>
      </c>
      <c r="T282" s="42">
        <f>VLOOKUP($A282,'Dados StatusInvest'!$A:$AY,column(T282)-$A$5,0)/VLOOKUP($A282,'Dados StatusInvest'!$A:$AY,2,0)*$E282</f>
        <v>5.063886322</v>
      </c>
      <c r="U282" s="44">
        <f>VLOOKUP($A282,'Dados StatusInvest'!$A:$AY,column(U282)-$A$5,0)</f>
        <v>-4.21</v>
      </c>
      <c r="V282" s="45">
        <f>VLOOKUP($A282,'Dados StatusInvest'!$A:$AY,column(V282)-$A$5,0)</f>
        <v>1.86</v>
      </c>
      <c r="W282" s="45">
        <f>VLOOKUP($A282,'Dados StatusInvest'!$A:$AY,column(W282)-$A$5,0)</f>
        <v>177.96</v>
      </c>
      <c r="X282" s="45">
        <f>VLOOKUP($A282,'Dados StatusInvest'!$A:$AY,column(X282)-$A$5,0)</f>
        <v>39.14</v>
      </c>
      <c r="Y282" s="45">
        <f>VLOOKUP($A282,'Dados StatusInvest'!$A:$AY,column(Y282)-$A$5,0)</f>
        <v>69.02</v>
      </c>
      <c r="Z282" s="44">
        <f>VLOOKUP($A282,'Dados StatusInvest'!$A:$AY,column(Z282)-$A$5,0)</f>
        <v>0.22</v>
      </c>
      <c r="AA282" s="44">
        <f>VLOOKUP($A282,'Dados StatusInvest'!$A:$AY,column(AA282)-$A$5,0)</f>
        <v>0.78</v>
      </c>
      <c r="AB282" s="44">
        <f>VLOOKUP($A282,'Dados StatusInvest'!$A:$AY,column(AB282)-$A$5,0)</f>
        <v>1.37</v>
      </c>
      <c r="AC282" s="44">
        <f>VLOOKUP($A282,'Dados StatusInvest'!$A:$AY,column(AC282)-$A$5,0)</f>
        <v>16.57</v>
      </c>
      <c r="AD282" s="45">
        <f>VLOOKUP($A282,'Dados StatusInvest'!$A:$AY,column(AD282)-$A$5,0)</f>
        <v>0</v>
      </c>
      <c r="AE282" s="46">
        <f>VLOOKUP($A282,'Dados StatusInvest'!$A:$AY,column(AE282)-$A$5,0)</f>
        <v>1003141.08</v>
      </c>
      <c r="AF282" s="18"/>
    </row>
    <row r="283">
      <c r="A283" s="10" t="s">
        <v>329</v>
      </c>
      <c r="B283" s="39" t="str">
        <f>VLOOKUP(lEFT($A283,4),Setor!$A:$E,3,0)</f>
        <v>#N/A</v>
      </c>
      <c r="C283" s="39" t="str">
        <f>VLOOKUP(lEFT($A283,4),Setor!$A:$E,4,0)</f>
        <v>#N/A</v>
      </c>
      <c r="D283" s="39" t="str">
        <f>VLOOKUP(lEFT($A283,4),Setor!$A:$E,5,0)</f>
        <v>#N/A</v>
      </c>
      <c r="E283" s="17">
        <f>IFERROR(__xludf.DUMMYFUNCTION("GOOGLEFINANCE(A283)"),18.55)</f>
        <v>18.55</v>
      </c>
      <c r="F283" s="17">
        <f>IFERROR(__xludf.DUMMYFUNCTION("GOOGLEFINANCE($A283,""high52"")"),18.55)</f>
        <v>18.55</v>
      </c>
      <c r="G283" s="16">
        <f t="shared" si="1"/>
        <v>0</v>
      </c>
      <c r="H283" s="40">
        <f>VLOOKUP($A283,'Dados StatusInvest'!$A:$AY,column(H283)-$A$5,0)*VLOOKUP($A283,'Dados StatusInvest'!$A:$AY,2,0)/$E283/100</f>
        <v>0</v>
      </c>
      <c r="I283" s="41">
        <f>VLOOKUP($A283,'Dados StatusInvest'!$A:$AY,column(I283)-$A$5,0)/VLOOKUP($A283,'Dados StatusInvest'!$A:$AY,2,0)*$E283</f>
        <v>-232.5187941</v>
      </c>
      <c r="J283" s="41">
        <f>VLOOKUP($A283,'Dados StatusInvest'!$A:$AY,column(J283)-$A$5,0)/VLOOKUP($A283,'Dados StatusInvest'!$A:$AY,2,0)*$E283</f>
        <v>2.651558824</v>
      </c>
      <c r="K283" s="42">
        <f>VLOOKUP($A283,'Dados StatusInvest'!$A:$AY,column(K283)-$A$5,0)/VLOOKUP($A283,'Dados StatusInvest'!$A:$AY,2,0)*$E283</f>
        <v>1.931382353</v>
      </c>
      <c r="L283" s="43">
        <f>VLOOKUP($A283,'Dados StatusInvest'!$A:$AY,column(L283)-$A$5,0)/100</f>
        <v>-0.2152</v>
      </c>
      <c r="M283" s="44">
        <f>VLOOKUP($A283,'Dados StatusInvest'!$A:$AY,column(M283)-$A$5,0)</f>
        <v>-231.16</v>
      </c>
      <c r="N283" s="44">
        <f>VLOOKUP($A283,'Dados StatusInvest'!$A:$AY,column(N283)-$A$5,0)</f>
        <v>-157.61</v>
      </c>
      <c r="O283" s="41">
        <f>VLOOKUP($A283,'Dados StatusInvest'!$A:$AY,column(O283)-$A$5,0)/VLOOKUP($A283,'Dados StatusInvest'!$A:$AY,2,0)*$E283</f>
        <v>-158.5261176</v>
      </c>
      <c r="P283" s="41">
        <f>VLOOKUP($A283,'Dados StatusInvest'!$A:$AY,column(P283)-$A$5,0)-VLOOKUP($A283,'Dados StatusInvest'!$A:$AY,column(P283)-$A$5-1,0)+O283</f>
        <v>-167.3061176</v>
      </c>
      <c r="Q283" s="44">
        <f>VLOOKUP($A283,'Dados StatusInvest'!$A:$AY,column(Q283)-$A$5,0)</f>
        <v>-7.75</v>
      </c>
      <c r="R283" s="44">
        <f>VLOOKUP($A283,'Dados StatusInvest'!$A:$AY,column(R283)-$A$5,0)</f>
        <v>0.13</v>
      </c>
      <c r="S283" s="41">
        <f>VLOOKUP($A283,'Dados StatusInvest'!$A:$AY,column(S283)-$A$5,0)/VLOOKUP($A283,'Dados StatusInvest'!$A:$AY,2,0)*$E283</f>
        <v>366.4607059</v>
      </c>
      <c r="T283" s="42">
        <f>VLOOKUP($A283,'Dados StatusInvest'!$A:$AY,column(T283)-$A$5,0)/VLOOKUP($A283,'Dados StatusInvest'!$A:$AY,2,0)*$E283</f>
        <v>-25.15161765</v>
      </c>
      <c r="U283" s="44">
        <f>VLOOKUP($A283,'Dados StatusInvest'!$A:$AY,column(U283)-$A$5,0)</f>
        <v>-1.83</v>
      </c>
      <c r="V283" s="45">
        <f>VLOOKUP($A283,'Dados StatusInvest'!$A:$AY,column(V283)-$A$5,0)</f>
        <v>0.31</v>
      </c>
      <c r="W283" s="45">
        <f>VLOOKUP($A283,'Dados StatusInvest'!$A:$AY,column(W283)-$A$5,0)</f>
        <v>-1.14</v>
      </c>
      <c r="X283" s="45">
        <f>VLOOKUP($A283,'Dados StatusInvest'!$A:$AY,column(X283)-$A$5,0)</f>
        <v>-0.83</v>
      </c>
      <c r="Y283" s="45">
        <f>VLOOKUP($A283,'Dados StatusInvest'!$A:$AY,column(Y283)-$A$5,0)</f>
        <v>-1.7</v>
      </c>
      <c r="Z283" s="44">
        <f>VLOOKUP($A283,'Dados StatusInvest'!$A:$AY,column(Z283)-$A$5,0)</f>
        <v>0.73</v>
      </c>
      <c r="AA283" s="44">
        <f>VLOOKUP($A283,'Dados StatusInvest'!$A:$AY,column(AA283)-$A$5,0)</f>
        <v>0.27</v>
      </c>
      <c r="AB283" s="44">
        <f>VLOOKUP($A283,'Dados StatusInvest'!$A:$AY,column(AB283)-$A$5,0)</f>
        <v>0.01</v>
      </c>
      <c r="AC283" s="44">
        <f>VLOOKUP($A283,'Dados StatusInvest'!$A:$AY,column(AC283)-$A$5,0)</f>
        <v>0</v>
      </c>
      <c r="AD283" s="45">
        <f>VLOOKUP($A283,'Dados StatusInvest'!$A:$AY,column(AD283)-$A$5,0)</f>
        <v>0</v>
      </c>
      <c r="AE283" s="46">
        <f>VLOOKUP($A283,'Dados StatusInvest'!$A:$AY,column(AE283)-$A$5,0)</f>
        <v>1128778.46</v>
      </c>
      <c r="AF283" s="49"/>
    </row>
    <row r="284">
      <c r="A284" s="10" t="s">
        <v>330</v>
      </c>
      <c r="B284" s="39" t="str">
        <f>VLOOKUP(lEFT($A284,4),Setor!$A:$E,3,0)</f>
        <v>Materiais Básicos</v>
      </c>
      <c r="C284" s="39" t="str">
        <f>VLOOKUP(lEFT($A284,4),Setor!$A:$E,4,0)</f>
        <v>Madeira e Papel</v>
      </c>
      <c r="D284" s="39" t="str">
        <f>VLOOKUP(lEFT($A284,4),Setor!$A:$E,5,0)</f>
        <v>Papel e Celulose</v>
      </c>
      <c r="E284" s="17">
        <f>IFERROR(__xludf.DUMMYFUNCTION("GOOGLEFINANCE(A284)"),5.71)</f>
        <v>5.71</v>
      </c>
      <c r="F284" s="17">
        <f>IFERROR(__xludf.DUMMYFUNCTION("GOOGLEFINANCE($A284,""high52"")"),6.89)</f>
        <v>6.89</v>
      </c>
      <c r="G284" s="16">
        <f t="shared" si="1"/>
        <v>-0.1712626996</v>
      </c>
      <c r="H284" s="40">
        <f>VLOOKUP($A284,'Dados StatusInvest'!$A:$AY,column(H284)-$A$5,0)*VLOOKUP($A284,'Dados StatusInvest'!$A:$AY,2,0)/$E284/100</f>
        <v>0</v>
      </c>
      <c r="I284" s="41">
        <f>VLOOKUP($A284,'Dados StatusInvest'!$A:$AY,column(I284)-$A$5,0)/VLOOKUP($A284,'Dados StatusInvest'!$A:$AY,2,0)*$E284</f>
        <v>14.91591837</v>
      </c>
      <c r="J284" s="41">
        <f>VLOOKUP($A284,'Dados StatusInvest'!$A:$AY,column(J284)-$A$5,0)/VLOOKUP($A284,'Dados StatusInvest'!$A:$AY,2,0)*$E284</f>
        <v>6.011037415</v>
      </c>
      <c r="K284" s="42">
        <f>VLOOKUP($A284,'Dados StatusInvest'!$A:$AY,column(K284)-$A$5,0)/VLOOKUP($A284,'Dados StatusInvest'!$A:$AY,2,0)*$E284</f>
        <v>0.8351360544</v>
      </c>
      <c r="L284" s="43">
        <f>VLOOKUP($A284,'Dados StatusInvest'!$A:$AY,column(L284)-$A$5,0)/100</f>
        <v>0.3963</v>
      </c>
      <c r="M284" s="44">
        <f>VLOOKUP($A284,'Dados StatusInvest'!$A:$AY,column(M284)-$A$5,0)</f>
        <v>27.42</v>
      </c>
      <c r="N284" s="44">
        <f>VLOOKUP($A284,'Dados StatusInvest'!$A:$AY,column(N284)-$A$5,0)</f>
        <v>15.46</v>
      </c>
      <c r="O284" s="41">
        <f>VLOOKUP($A284,'Dados StatusInvest'!$A:$AY,column(O284)-$A$5,0)/VLOOKUP($A284,'Dados StatusInvest'!$A:$AY,2,0)*$E284</f>
        <v>8.40962585</v>
      </c>
      <c r="P284" s="41">
        <f>VLOOKUP($A284,'Dados StatusInvest'!$A:$AY,column(P284)-$A$5,0)-VLOOKUP($A284,'Dados StatusInvest'!$A:$AY,column(P284)-$A$5-1,0)+O284</f>
        <v>11.59962585</v>
      </c>
      <c r="Q284" s="44">
        <f>VLOOKUP($A284,'Dados StatusInvest'!$A:$AY,column(Q284)-$A$5,0)</f>
        <v>4.92</v>
      </c>
      <c r="R284" s="44">
        <f>VLOOKUP($A284,'Dados StatusInvest'!$A:$AY,column(R284)-$A$5,0)</f>
        <v>3.52</v>
      </c>
      <c r="S284" s="41">
        <f>VLOOKUP($A284,'Dados StatusInvest'!$A:$AY,column(S284)-$A$5,0)/VLOOKUP($A284,'Dados StatusInvest'!$A:$AY,2,0)*$E284</f>
        <v>2.301479592</v>
      </c>
      <c r="T284" s="42">
        <f>VLOOKUP($A284,'Dados StatusInvest'!$A:$AY,column(T284)-$A$5,0)/VLOOKUP($A284,'Dados StatusInvest'!$A:$AY,2,0)*$E284</f>
        <v>3.855221088</v>
      </c>
      <c r="U284" s="47">
        <f>VLOOKUP($A284,'Dados StatusInvest'!$A:$AY,column(U284)-$A$5,0)</f>
        <v>-1.31</v>
      </c>
      <c r="V284" s="45">
        <f>VLOOKUP($A284,'Dados StatusInvest'!$A:$AY,column(V284)-$A$5,0)</f>
        <v>2.79</v>
      </c>
      <c r="W284" s="48">
        <f>VLOOKUP($A284,'Dados StatusInvest'!$A:$AY,column(W284)-$A$5,0)</f>
        <v>40.32</v>
      </c>
      <c r="X284" s="48">
        <f>VLOOKUP($A284,'Dados StatusInvest'!$A:$AY,column(X284)-$A$5,0)</f>
        <v>5.62</v>
      </c>
      <c r="Y284" s="45">
        <f>VLOOKUP($A284,'Dados StatusInvest'!$A:$AY,column(Y284)-$A$5,0)</f>
        <v>8.48</v>
      </c>
      <c r="Z284" s="44">
        <f>VLOOKUP($A284,'Dados StatusInvest'!$A:$AY,column(Z284)-$A$5,0)</f>
        <v>0.14</v>
      </c>
      <c r="AA284" s="44">
        <f>VLOOKUP($A284,'Dados StatusInvest'!$A:$AY,column(AA284)-$A$5,0)</f>
        <v>0.83</v>
      </c>
      <c r="AB284" s="44">
        <f>VLOOKUP($A284,'Dados StatusInvest'!$A:$AY,column(AB284)-$A$5,0)</f>
        <v>0.36</v>
      </c>
      <c r="AC284" s="44">
        <f>VLOOKUP($A284,'Dados StatusInvest'!$A:$AY,column(AC284)-$A$5,0)</f>
        <v>16.01</v>
      </c>
      <c r="AD284" s="45">
        <f>VLOOKUP($A284,'Dados StatusInvest'!$A:$AY,column(AD284)-$A$5,0)</f>
        <v>0</v>
      </c>
      <c r="AE284" s="46">
        <f>VLOOKUP($A284,'Dados StatusInvest'!$A:$AY,column(AE284)-$A$5,0)</f>
        <v>771603.04</v>
      </c>
      <c r="AF284" s="51"/>
    </row>
    <row r="285">
      <c r="A285" s="10" t="s">
        <v>331</v>
      </c>
      <c r="B285" s="39" t="str">
        <f>VLOOKUP(lEFT($A285,4),Setor!$A:$E,3,0)</f>
        <v>Utilidade Pública</v>
      </c>
      <c r="C285" s="39" t="str">
        <f>VLOOKUP(lEFT($A285,4),Setor!$A:$E,4,0)</f>
        <v>Energia Elétrica</v>
      </c>
      <c r="D285" s="39" t="str">
        <f>VLOOKUP(lEFT($A285,4),Setor!$A:$E,5,0)</f>
        <v>Energia Elétrica</v>
      </c>
      <c r="E285" s="17">
        <f>IFERROR(__xludf.DUMMYFUNCTION("GOOGLEFINANCE(A285)"),12.13)</f>
        <v>12.13</v>
      </c>
      <c r="F285" s="17">
        <f>IFERROR(__xludf.DUMMYFUNCTION("GOOGLEFINANCE($A285,""high52"")"),14.5)</f>
        <v>14.5</v>
      </c>
      <c r="G285" s="16">
        <f t="shared" si="1"/>
        <v>-0.1634482759</v>
      </c>
      <c r="H285" s="40">
        <f>VLOOKUP($A285,'Dados StatusInvest'!$A:$AY,column(H285)-$A$5,0)*VLOOKUP($A285,'Dados StatusInvest'!$A:$AY,2,0)/$E285/100</f>
        <v>0.1237633965</v>
      </c>
      <c r="I285" s="41">
        <f>VLOOKUP($A285,'Dados StatusInvest'!$A:$AY,column(I285)-$A$5,0)/VLOOKUP($A285,'Dados StatusInvest'!$A:$AY,2,0)*$E285</f>
        <v>4.615661948</v>
      </c>
      <c r="J285" s="41">
        <f>VLOOKUP($A285,'Dados StatusInvest'!$A:$AY,column(J285)-$A$5,0)/VLOOKUP($A285,'Dados StatusInvest'!$A:$AY,2,0)*$E285</f>
        <v>1.969483764</v>
      </c>
      <c r="K285" s="42">
        <f>VLOOKUP($A285,'Dados StatusInvest'!$A:$AY,column(K285)-$A$5,0)/VLOOKUP($A285,'Dados StatusInvest'!$A:$AY,2,0)*$E285</f>
        <v>0.8281931724</v>
      </c>
      <c r="L285" s="43">
        <f>VLOOKUP($A285,'Dados StatusInvest'!$A:$AY,column(L285)-$A$5,0)/100</f>
        <v>0.7773</v>
      </c>
      <c r="M285" s="44">
        <f>VLOOKUP($A285,'Dados StatusInvest'!$A:$AY,column(M285)-$A$5,0)</f>
        <v>100.37</v>
      </c>
      <c r="N285" s="44">
        <f>VLOOKUP($A285,'Dados StatusInvest'!$A:$AY,column(N285)-$A$5,0)</f>
        <v>69.11</v>
      </c>
      <c r="O285" s="41">
        <f>VLOOKUP($A285,'Dados StatusInvest'!$A:$AY,column(O285)-$A$5,0)/VLOOKUP($A285,'Dados StatusInvest'!$A:$AY,2,0)*$E285</f>
        <v>3.181473772</v>
      </c>
      <c r="P285" s="41">
        <f>VLOOKUP($A285,'Dados StatusInvest'!$A:$AY,column(P285)-$A$5,0)-VLOOKUP($A285,'Dados StatusInvest'!$A:$AY,column(P285)-$A$5-1,0)+O285</f>
        <v>4.701473772</v>
      </c>
      <c r="Q285" s="44">
        <f>VLOOKUP($A285,'Dados StatusInvest'!$A:$AY,column(Q285)-$A$5,0)</f>
        <v>1.54</v>
      </c>
      <c r="R285" s="44">
        <f>VLOOKUP($A285,'Dados StatusInvest'!$A:$AY,column(R285)-$A$5,0)</f>
        <v>0.95</v>
      </c>
      <c r="S285" s="41">
        <f>VLOOKUP($A285,'Dados StatusInvest'!$A:$AY,column(S285)-$A$5,0)/VLOOKUP($A285,'Dados StatusInvest'!$A:$AY,2,0)*$E285</f>
        <v>3.191573689</v>
      </c>
      <c r="T285" s="42">
        <f>VLOOKUP($A285,'Dados StatusInvest'!$A:$AY,column(T285)-$A$5,0)/VLOOKUP($A285,'Dados StatusInvest'!$A:$AY,2,0)*$E285</f>
        <v>11.06950874</v>
      </c>
      <c r="U285" s="44">
        <f>VLOOKUP($A285,'Dados StatusInvest'!$A:$AY,column(U285)-$A$5,0)</f>
        <v>-0.96</v>
      </c>
      <c r="V285" s="45">
        <f>VLOOKUP($A285,'Dados StatusInvest'!$A:$AY,column(V285)-$A$5,0)</f>
        <v>2.01</v>
      </c>
      <c r="W285" s="45">
        <f>VLOOKUP($A285,'Dados StatusInvest'!$A:$AY,column(W285)-$A$5,0)</f>
        <v>42.56</v>
      </c>
      <c r="X285" s="45">
        <f>VLOOKUP($A285,'Dados StatusInvest'!$A:$AY,column(X285)-$A$5,0)</f>
        <v>17.88</v>
      </c>
      <c r="Y285" s="45">
        <f>VLOOKUP($A285,'Dados StatusInvest'!$A:$AY,column(Y285)-$A$5,0)</f>
        <v>25.67</v>
      </c>
      <c r="Z285" s="44">
        <f>VLOOKUP($A285,'Dados StatusInvest'!$A:$AY,column(Z285)-$A$5,0)</f>
        <v>0.42</v>
      </c>
      <c r="AA285" s="44">
        <f>VLOOKUP($A285,'Dados StatusInvest'!$A:$AY,column(AA285)-$A$5,0)</f>
        <v>0.58</v>
      </c>
      <c r="AB285" s="44">
        <f>VLOOKUP($A285,'Dados StatusInvest'!$A:$AY,column(AB285)-$A$5,0)</f>
        <v>0.26</v>
      </c>
      <c r="AC285" s="44">
        <f>VLOOKUP($A285,'Dados StatusInvest'!$A:$AY,column(AC285)-$A$5,0)</f>
        <v>18.22</v>
      </c>
      <c r="AD285" s="45">
        <f>VLOOKUP($A285,'Dados StatusInvest'!$A:$AY,column(AD285)-$A$5,0)</f>
        <v>24.45</v>
      </c>
      <c r="AE285" s="46">
        <f>VLOOKUP($A285,'Dados StatusInvest'!$A:$AY,column(AE285)-$A$5,0)</f>
        <v>1000341</v>
      </c>
      <c r="AF285" s="18"/>
    </row>
    <row r="286">
      <c r="A286" s="10" t="s">
        <v>332</v>
      </c>
      <c r="B286" s="39" t="str">
        <f>VLOOKUP(lEFT($A286,4),Setor!$A:$E,3,0)</f>
        <v>Saúde</v>
      </c>
      <c r="C286" s="39" t="str">
        <f>VLOOKUP(lEFT($A286,4),Setor!$A:$E,4,0)</f>
        <v>Comércio e Distribuição</v>
      </c>
      <c r="D286" s="39" t="str">
        <f>VLOOKUP(lEFT($A286,4),Setor!$A:$E,5,0)</f>
        <v>Medicamentos e Outros Produtos</v>
      </c>
      <c r="E286" s="17">
        <f>IFERROR(__xludf.DUMMYFUNCTION("GOOGLEFINANCE(A286)"),6.34)</f>
        <v>6.34</v>
      </c>
      <c r="F286" s="17">
        <f>IFERROR(__xludf.DUMMYFUNCTION("GOOGLEFINANCE($A286,""high52"")"),13.2)</f>
        <v>13.2</v>
      </c>
      <c r="G286" s="16">
        <f t="shared" si="1"/>
        <v>-0.5196969697</v>
      </c>
      <c r="H286" s="40">
        <f>VLOOKUP($A286,'Dados StatusInvest'!$A:$AY,column(H286)-$A$5,0)*VLOOKUP($A286,'Dados StatusInvest'!$A:$AY,2,0)/$E286/100</f>
        <v>0</v>
      </c>
      <c r="I286" s="41">
        <f>VLOOKUP($A286,'Dados StatusInvest'!$A:$AY,column(I286)-$A$5,0)/VLOOKUP($A286,'Dados StatusInvest'!$A:$AY,2,0)*$E286</f>
        <v>29.18335878</v>
      </c>
      <c r="J286" s="41">
        <f>VLOOKUP($A286,'Dados StatusInvest'!$A:$AY,column(J286)-$A$5,0)/VLOOKUP($A286,'Dados StatusInvest'!$A:$AY,2,0)*$E286</f>
        <v>0.3871755725</v>
      </c>
      <c r="K286" s="42">
        <f>VLOOKUP($A286,'Dados StatusInvest'!$A:$AY,column(K286)-$A$5,0)/VLOOKUP($A286,'Dados StatusInvest'!$A:$AY,2,0)*$E286</f>
        <v>0.2226259542</v>
      </c>
      <c r="L286" s="43">
        <f>VLOOKUP($A286,'Dados StatusInvest'!$A:$AY,column(L286)-$A$5,0)/100</f>
        <v>0.3363</v>
      </c>
      <c r="M286" s="44">
        <f>VLOOKUP($A286,'Dados StatusInvest'!$A:$AY,column(M286)-$A$5,0)</f>
        <v>0.9</v>
      </c>
      <c r="N286" s="44">
        <f>VLOOKUP($A286,'Dados StatusInvest'!$A:$AY,column(N286)-$A$5,0)</f>
        <v>1.06</v>
      </c>
      <c r="O286" s="41">
        <f>VLOOKUP($A286,'Dados StatusInvest'!$A:$AY,column(O286)-$A$5,0)/VLOOKUP($A286,'Dados StatusInvest'!$A:$AY,2,0)*$E286</f>
        <v>34.19728244</v>
      </c>
      <c r="P286" s="41">
        <f>VLOOKUP($A286,'Dados StatusInvest'!$A:$AY,column(P286)-$A$5,0)-VLOOKUP($A286,'Dados StatusInvest'!$A:$AY,column(P286)-$A$5-1,0)+O286</f>
        <v>27.77728244</v>
      </c>
      <c r="Q286" s="44">
        <f>VLOOKUP($A286,'Dados StatusInvest'!$A:$AY,column(Q286)-$A$5,0)</f>
        <v>-6.52</v>
      </c>
      <c r="R286" s="44">
        <f>VLOOKUP($A286,'Dados StatusInvest'!$A:$AY,column(R286)-$A$5,0)</f>
        <v>-0.07</v>
      </c>
      <c r="S286" s="41">
        <f>VLOOKUP($A286,'Dados StatusInvest'!$A:$AY,column(S286)-$A$5,0)/VLOOKUP($A286,'Dados StatusInvest'!$A:$AY,2,0)*$E286</f>
        <v>0.309740458</v>
      </c>
      <c r="T286" s="42">
        <f>VLOOKUP($A286,'Dados StatusInvest'!$A:$AY,column(T286)-$A$5,0)/VLOOKUP($A286,'Dados StatusInvest'!$A:$AY,2,0)*$E286</f>
        <v>3.223236641</v>
      </c>
      <c r="U286" s="44">
        <f>VLOOKUP($A286,'Dados StatusInvest'!$A:$AY,column(U286)-$A$5,0)</f>
        <v>-0.32</v>
      </c>
      <c r="V286" s="45">
        <f>VLOOKUP($A286,'Dados StatusInvest'!$A:$AY,column(V286)-$A$5,0)</f>
        <v>1.31</v>
      </c>
      <c r="W286" s="45">
        <f>VLOOKUP($A286,'Dados StatusInvest'!$A:$AY,column(W286)-$A$5,0)</f>
        <v>1.33</v>
      </c>
      <c r="X286" s="45">
        <f>VLOOKUP($A286,'Dados StatusInvest'!$A:$AY,column(X286)-$A$5,0)</f>
        <v>0.76</v>
      </c>
      <c r="Y286" s="45">
        <f>VLOOKUP($A286,'Dados StatusInvest'!$A:$AY,column(Y286)-$A$5,0)</f>
        <v>-0.52</v>
      </c>
      <c r="Z286" s="44">
        <f>VLOOKUP($A286,'Dados StatusInvest'!$A:$AY,column(Z286)-$A$5,0)</f>
        <v>0.57</v>
      </c>
      <c r="AA286" s="44">
        <f>VLOOKUP($A286,'Dados StatusInvest'!$A:$AY,column(AA286)-$A$5,0)</f>
        <v>0.43</v>
      </c>
      <c r="AB286" s="44">
        <f>VLOOKUP($A286,'Dados StatusInvest'!$A:$AY,column(AB286)-$A$5,0)</f>
        <v>0.72</v>
      </c>
      <c r="AC286" s="44">
        <f>VLOOKUP($A286,'Dados StatusInvest'!$A:$AY,column(AC286)-$A$5,0)</f>
        <v>0</v>
      </c>
      <c r="AD286" s="45">
        <f>VLOOKUP($A286,'Dados StatusInvest'!$A:$AY,column(AD286)-$A$5,0)</f>
        <v>0</v>
      </c>
      <c r="AE286" s="46">
        <f>VLOOKUP($A286,'Dados StatusInvest'!$A:$AY,column(AE286)-$A$5,0)</f>
        <v>663515.75</v>
      </c>
      <c r="AF286" s="51"/>
    </row>
    <row r="287">
      <c r="A287" s="10" t="s">
        <v>333</v>
      </c>
      <c r="B287" s="39" t="str">
        <f>VLOOKUP(lEFT($A287,4),Setor!$A:$E,3,0)</f>
        <v>Consumo Cíclico</v>
      </c>
      <c r="C287" s="39" t="str">
        <f>VLOOKUP(lEFT($A287,4),Setor!$A:$E,4,0)</f>
        <v>Construção Civil</v>
      </c>
      <c r="D287" s="39" t="str">
        <f>VLOOKUP(lEFT($A287,4),Setor!$A:$E,5,0)</f>
        <v>Incorporações</v>
      </c>
      <c r="E287" s="17">
        <f>IFERROR(__xludf.DUMMYFUNCTION("GOOGLEFINANCE(A287)"),8.42)</f>
        <v>8.42</v>
      </c>
      <c r="F287" s="17">
        <f>IFERROR(__xludf.DUMMYFUNCTION("GOOGLEFINANCE($A287,""high52"")"),15.08)</f>
        <v>15.08</v>
      </c>
      <c r="G287" s="16">
        <f t="shared" si="1"/>
        <v>-0.4416445623</v>
      </c>
      <c r="H287" s="40">
        <f>VLOOKUP($A287,'Dados StatusInvest'!$A:$AY,column(H287)-$A$5,0)*VLOOKUP($A287,'Dados StatusInvest'!$A:$AY,2,0)/$E287/100</f>
        <v>0</v>
      </c>
      <c r="I287" s="41">
        <f>VLOOKUP($A287,'Dados StatusInvest'!$A:$AY,column(I287)-$A$5,0)/VLOOKUP($A287,'Dados StatusInvest'!$A:$AY,2,0)*$E287</f>
        <v>0.7512630359</v>
      </c>
      <c r="J287" s="41">
        <f>VLOOKUP($A287,'Dados StatusInvest'!$A:$AY,column(J287)-$A$5,0)/VLOOKUP($A287,'Dados StatusInvest'!$A:$AY,2,0)*$E287</f>
        <v>-0.3122132097</v>
      </c>
      <c r="K287" s="42">
        <f>VLOOKUP($A287,'Dados StatusInvest'!$A:$AY,column(K287)-$A$5,0)/VLOOKUP($A287,'Dados StatusInvest'!$A:$AY,2,0)*$E287</f>
        <v>0.09756662804</v>
      </c>
      <c r="L287" s="43">
        <f>VLOOKUP($A287,'Dados StatusInvest'!$A:$AY,column(L287)-$A$5,0)/100</f>
        <v>0.5571</v>
      </c>
      <c r="M287" s="44">
        <f>VLOOKUP($A287,'Dados StatusInvest'!$A:$AY,column(M287)-$A$5,0)</f>
        <v>-276.71</v>
      </c>
      <c r="N287" s="47">
        <f>VLOOKUP($A287,'Dados StatusInvest'!$A:$AY,column(N287)-$A$5,0)</f>
        <v>167.04</v>
      </c>
      <c r="O287" s="41">
        <f>VLOOKUP($A287,'Dados StatusInvest'!$A:$AY,column(O287)-$A$5,0)/VLOOKUP($A287,'Dados StatusInvest'!$A:$AY,2,0)*$E287</f>
        <v>-0.4585631518</v>
      </c>
      <c r="P287" s="41">
        <f>VLOOKUP($A287,'Dados StatusInvest'!$A:$AY,column(P287)-$A$5,0)-VLOOKUP($A287,'Dados StatusInvest'!$A:$AY,column(P287)-$A$5-1,0)+O287</f>
        <v>-2.168563152</v>
      </c>
      <c r="Q287" s="44">
        <f>VLOOKUP($A287,'Dados StatusInvest'!$A:$AY,column(Q287)-$A$5,0)</f>
        <v>-1.71</v>
      </c>
      <c r="R287" s="44">
        <f>VLOOKUP($A287,'Dados StatusInvest'!$A:$AY,column(R287)-$A$5,0)</f>
        <v>0</v>
      </c>
      <c r="S287" s="41">
        <f>VLOOKUP($A287,'Dados StatusInvest'!$A:$AY,column(S287)-$A$5,0)/VLOOKUP($A287,'Dados StatusInvest'!$A:$AY,2,0)*$E287</f>
        <v>1.258609502</v>
      </c>
      <c r="T287" s="42">
        <f>VLOOKUP($A287,'Dados StatusInvest'!$A:$AY,column(T287)-$A$5,0)/VLOOKUP($A287,'Dados StatusInvest'!$A:$AY,2,0)*$E287</f>
        <v>-0.1268366165</v>
      </c>
      <c r="U287" s="44">
        <f>VLOOKUP($A287,'Dados StatusInvest'!$A:$AY,column(U287)-$A$5,0)</f>
        <v>-0.15</v>
      </c>
      <c r="V287" s="45">
        <f>VLOOKUP($A287,'Dados StatusInvest'!$A:$AY,column(V287)-$A$5,0)</f>
        <v>0.31</v>
      </c>
      <c r="W287" s="48">
        <f>VLOOKUP($A287,'Dados StatusInvest'!$A:$AY,column(W287)-$A$5,0)</f>
        <v>-41.7</v>
      </c>
      <c r="X287" s="45">
        <f>VLOOKUP($A287,'Dados StatusInvest'!$A:$AY,column(X287)-$A$5,0)</f>
        <v>12.87</v>
      </c>
      <c r="Y287" s="45">
        <f>VLOOKUP($A287,'Dados StatusInvest'!$A:$AY,column(Y287)-$A$5,0)</f>
        <v>-419.29</v>
      </c>
      <c r="Z287" s="44">
        <f>VLOOKUP($A287,'Dados StatusInvest'!$A:$AY,column(Z287)-$A$5,0)</f>
        <v>-0.31</v>
      </c>
      <c r="AA287" s="44">
        <f>VLOOKUP($A287,'Dados StatusInvest'!$A:$AY,column(AA287)-$A$5,0)</f>
        <v>1.32</v>
      </c>
      <c r="AB287" s="44">
        <f>VLOOKUP($A287,'Dados StatusInvest'!$A:$AY,column(AB287)-$A$5,0)</f>
        <v>0.08</v>
      </c>
      <c r="AC287" s="44">
        <f>VLOOKUP($A287,'Dados StatusInvest'!$A:$AY,column(AC287)-$A$5,0)</f>
        <v>-42.64</v>
      </c>
      <c r="AD287" s="45">
        <f>VLOOKUP($A287,'Dados StatusInvest'!$A:$AY,column(AD287)-$A$5,0)</f>
        <v>0</v>
      </c>
      <c r="AE287" s="46">
        <f>VLOOKUP($A287,'Dados StatusInvest'!$A:$AY,column(AE287)-$A$5,0)</f>
        <v>959146.75</v>
      </c>
      <c r="AF287" s="18"/>
    </row>
    <row r="288">
      <c r="A288" s="10" t="s">
        <v>334</v>
      </c>
      <c r="B288" s="39" t="str">
        <f>VLOOKUP(lEFT($A288,4),Setor!$A:$E,3,0)</f>
        <v>Financeiro</v>
      </c>
      <c r="C288" s="39" t="str">
        <f>VLOOKUP(lEFT($A288,4),Setor!$A:$E,4,0)</f>
        <v>Intermediários Financeiros</v>
      </c>
      <c r="D288" s="39" t="str">
        <f>VLOOKUP(lEFT($A288,4),Setor!$A:$E,5,0)</f>
        <v>Bancos</v>
      </c>
      <c r="E288" s="17">
        <f>IFERROR(__xludf.DUMMYFUNCTION("GOOGLEFINANCE(A288)"),19.96)</f>
        <v>19.96</v>
      </c>
      <c r="F288" s="17">
        <f>IFERROR(__xludf.DUMMYFUNCTION("GOOGLEFINANCE($A288,""high52"")"),25.0)</f>
        <v>25</v>
      </c>
      <c r="G288" s="16">
        <f t="shared" si="1"/>
        <v>-0.2016</v>
      </c>
      <c r="H288" s="40">
        <f>VLOOKUP($A288,'Dados StatusInvest'!$A:$AY,column(H288)-$A$5,0)*VLOOKUP($A288,'Dados StatusInvest'!$A:$AY,2,0)/$E288/100</f>
        <v>0.06019433868</v>
      </c>
      <c r="I288" s="41">
        <f>VLOOKUP($A288,'Dados StatusInvest'!$A:$AY,column(I288)-$A$5,0)/VLOOKUP($A288,'Dados StatusInvest'!$A:$AY,2,0)*$E288</f>
        <v>9.265306543</v>
      </c>
      <c r="J288" s="41">
        <f>VLOOKUP($A288,'Dados StatusInvest'!$A:$AY,column(J288)-$A$5,0)/VLOOKUP($A288,'Dados StatusInvest'!$A:$AY,2,0)*$E288</f>
        <v>1.419103555</v>
      </c>
      <c r="K288" s="42">
        <f>VLOOKUP($A288,'Dados StatusInvest'!$A:$AY,column(K288)-$A$5,0)/VLOOKUP($A288,'Dados StatusInvest'!$A:$AY,2,0)*$E288</f>
        <v>0.1645337455</v>
      </c>
      <c r="L288" s="43">
        <f>VLOOKUP($A288,'Dados StatusInvest'!$A:$AY,column(L288)-$A$5,0)/100</f>
        <v>0.1812</v>
      </c>
      <c r="M288" s="44">
        <f>VLOOKUP($A288,'Dados StatusInvest'!$A:$AY,column(M288)-$A$5,0)</f>
        <v>29.72</v>
      </c>
      <c r="N288" s="44">
        <f>VLOOKUP($A288,'Dados StatusInvest'!$A:$AY,column(N288)-$A$5,0)</f>
        <v>16.22</v>
      </c>
      <c r="O288" s="41">
        <f>VLOOKUP($A288,'Dados StatusInvest'!$A:$AY,column(O288)-$A$5,0)/VLOOKUP($A288,'Dados StatusInvest'!$A:$AY,2,0)*$E288</f>
        <v>5.059412674</v>
      </c>
      <c r="P288" s="41">
        <f>VLOOKUP($A288,'Dados StatusInvest'!$A:$AY,column(P288)-$A$5,0)-VLOOKUP($A288,'Dados StatusInvest'!$A:$AY,column(P288)-$A$5-1,0)+O288</f>
        <v>4.809412674</v>
      </c>
      <c r="Q288" s="44">
        <f>VLOOKUP($A288,'Dados StatusInvest'!$A:$AY,column(Q288)-$A$5,0)</f>
        <v>0</v>
      </c>
      <c r="R288" s="44">
        <f>VLOOKUP($A288,'Dados StatusInvest'!$A:$AY,column(R288)-$A$5,0)</f>
        <v>0</v>
      </c>
      <c r="S288" s="41">
        <f>VLOOKUP($A288,'Dados StatusInvest'!$A:$AY,column(S288)-$A$5,0)/VLOOKUP($A288,'Dados StatusInvest'!$A:$AY,2,0)*$E288</f>
        <v>1.501370428</v>
      </c>
      <c r="T288" s="42">
        <f>VLOOKUP($A288,'Dados StatusInvest'!$A:$AY,column(T288)-$A$5,0)/VLOOKUP($A288,'Dados StatusInvest'!$A:$AY,2,0)*$E288</f>
        <v>0</v>
      </c>
      <c r="U288" s="44">
        <f>VLOOKUP($A288,'Dados StatusInvest'!$A:$AY,column(U288)-$A$5,0)</f>
        <v>-0.16</v>
      </c>
      <c r="V288" s="45">
        <f>VLOOKUP($A288,'Dados StatusInvest'!$A:$AY,column(V288)-$A$5,0)</f>
        <v>0</v>
      </c>
      <c r="W288" s="48">
        <f>VLOOKUP($A288,'Dados StatusInvest'!$A:$AY,column(W288)-$A$5,0)</f>
        <v>15.26</v>
      </c>
      <c r="X288" s="45">
        <f>VLOOKUP($A288,'Dados StatusInvest'!$A:$AY,column(X288)-$A$5,0)</f>
        <v>1.74</v>
      </c>
      <c r="Y288" s="45">
        <f>VLOOKUP($A288,'Dados StatusInvest'!$A:$AY,column(Y288)-$A$5,0)</f>
        <v>0</v>
      </c>
      <c r="Z288" s="44">
        <f>VLOOKUP($A288,'Dados StatusInvest'!$A:$AY,column(Z288)-$A$5,0)</f>
        <v>0.11</v>
      </c>
      <c r="AA288" s="44">
        <f>VLOOKUP($A288,'Dados StatusInvest'!$A:$AY,column(AA288)-$A$5,0)</f>
        <v>0.89</v>
      </c>
      <c r="AB288" s="44">
        <f>VLOOKUP($A288,'Dados StatusInvest'!$A:$AY,column(AB288)-$A$5,0)</f>
        <v>0.11</v>
      </c>
      <c r="AC288" s="44">
        <f>VLOOKUP($A288,'Dados StatusInvest'!$A:$AY,column(AC288)-$A$5,0)</f>
        <v>-2.12</v>
      </c>
      <c r="AD288" s="45">
        <f>VLOOKUP($A288,'Dados StatusInvest'!$A:$AY,column(AD288)-$A$5,0)</f>
        <v>10.58</v>
      </c>
      <c r="AE288" s="46">
        <f>VLOOKUP($A288,'Dados StatusInvest'!$A:$AY,column(AE288)-$A$5,0)</f>
        <v>930221.63</v>
      </c>
      <c r="AF288" s="18"/>
    </row>
    <row r="289">
      <c r="A289" s="10" t="s">
        <v>335</v>
      </c>
      <c r="B289" s="39" t="str">
        <f>VLOOKUP(lEFT($A289,4),Setor!$A:$E,3,0)</f>
        <v>#N/A</v>
      </c>
      <c r="C289" s="39" t="str">
        <f>VLOOKUP(lEFT($A289,4),Setor!$A:$E,4,0)</f>
        <v>#N/A</v>
      </c>
      <c r="D289" s="39" t="str">
        <f>VLOOKUP(lEFT($A289,4),Setor!$A:$E,5,0)</f>
        <v>#N/A</v>
      </c>
      <c r="E289" s="17">
        <f>IFERROR(__xludf.DUMMYFUNCTION("GOOGLEFINANCE(A289)"),6.97)</f>
        <v>6.97</v>
      </c>
      <c r="F289" s="17">
        <f>IFERROR(__xludf.DUMMYFUNCTION("GOOGLEFINANCE($A289,""high52"")"),18.45)</f>
        <v>18.45</v>
      </c>
      <c r="G289" s="16">
        <f t="shared" si="1"/>
        <v>-0.6222222222</v>
      </c>
      <c r="H289" s="40">
        <f>VLOOKUP($A289,'Dados StatusInvest'!$A:$AY,column(H289)-$A$5,0)*VLOOKUP($A289,'Dados StatusInvest'!$A:$AY,2,0)/$E289/100</f>
        <v>0</v>
      </c>
      <c r="I289" s="41">
        <f>VLOOKUP($A289,'Dados StatusInvest'!$A:$AY,column(I289)-$A$5,0)/VLOOKUP($A289,'Dados StatusInvest'!$A:$AY,2,0)*$E289</f>
        <v>-13.11047896</v>
      </c>
      <c r="J289" s="41">
        <f>VLOOKUP($A289,'Dados StatusInvest'!$A:$AY,column(J289)-$A$5,0)/VLOOKUP($A289,'Dados StatusInvest'!$A:$AY,2,0)*$E289</f>
        <v>-24.56191582</v>
      </c>
      <c r="K289" s="42">
        <f>VLOOKUP($A289,'Dados StatusInvest'!$A:$AY,column(K289)-$A$5,0)/VLOOKUP($A289,'Dados StatusInvest'!$A:$AY,2,0)*$E289</f>
        <v>2.286240929</v>
      </c>
      <c r="L289" s="43">
        <f>VLOOKUP($A289,'Dados StatusInvest'!$A:$AY,column(L289)-$A$5,0)/100</f>
        <v>0.8963</v>
      </c>
      <c r="M289" s="44">
        <f>VLOOKUP($A289,'Dados StatusInvest'!$A:$AY,column(M289)-$A$5,0)</f>
        <v>-29.6</v>
      </c>
      <c r="N289" s="44">
        <f>VLOOKUP($A289,'Dados StatusInvest'!$A:$AY,column(N289)-$A$5,0)</f>
        <v>-59.32</v>
      </c>
      <c r="O289" s="41">
        <f>VLOOKUP($A289,'Dados StatusInvest'!$A:$AY,column(O289)-$A$5,0)/VLOOKUP($A289,'Dados StatusInvest'!$A:$AY,2,0)*$E289</f>
        <v>-26.27153846</v>
      </c>
      <c r="P289" s="41">
        <f>VLOOKUP($A289,'Dados StatusInvest'!$A:$AY,column(P289)-$A$5,0)-VLOOKUP($A289,'Dados StatusInvest'!$A:$AY,column(P289)-$A$5-1,0)+O289</f>
        <v>-18.19153846</v>
      </c>
      <c r="Q289" s="44">
        <f>VLOOKUP($A289,'Dados StatusInvest'!$A:$AY,column(Q289)-$A$5,0)</f>
        <v>8</v>
      </c>
      <c r="R289" s="44">
        <f>VLOOKUP($A289,'Dados StatusInvest'!$A:$AY,column(R289)-$A$5,0)</f>
        <v>0</v>
      </c>
      <c r="S289" s="41">
        <f>VLOOKUP($A289,'Dados StatusInvest'!$A:$AY,column(S289)-$A$5,0)/VLOOKUP($A289,'Dados StatusInvest'!$A:$AY,2,0)*$E289</f>
        <v>7.779288824</v>
      </c>
      <c r="T289" s="42">
        <f>VLOOKUP($A289,'Dados StatusInvest'!$A:$AY,column(T289)-$A$5,0)/VLOOKUP($A289,'Dados StatusInvest'!$A:$AY,2,0)*$E289</f>
        <v>19.58478955</v>
      </c>
      <c r="U289" s="44">
        <f>VLOOKUP($A289,'Dados StatusInvest'!$A:$AY,column(U289)-$A$5,0)</f>
        <v>-16.39</v>
      </c>
      <c r="V289" s="45">
        <f>VLOOKUP($A289,'Dados StatusInvest'!$A:$AY,column(V289)-$A$5,0)</f>
        <v>1.16</v>
      </c>
      <c r="W289" s="45">
        <f>VLOOKUP($A289,'Dados StatusInvest'!$A:$AY,column(W289)-$A$5,0)</f>
        <v>-187.36</v>
      </c>
      <c r="X289" s="45">
        <f>VLOOKUP($A289,'Dados StatusInvest'!$A:$AY,column(X289)-$A$5,0)</f>
        <v>-17.45</v>
      </c>
      <c r="Y289" s="45">
        <f>VLOOKUP($A289,'Dados StatusInvest'!$A:$AY,column(Y289)-$A$5,0)</f>
        <v>737.8</v>
      </c>
      <c r="Z289" s="44">
        <f>VLOOKUP($A289,'Dados StatusInvest'!$A:$AY,column(Z289)-$A$5,0)</f>
        <v>-0.09</v>
      </c>
      <c r="AA289" s="44">
        <f>VLOOKUP($A289,'Dados StatusInvest'!$A:$AY,column(AA289)-$A$5,0)</f>
        <v>1.09</v>
      </c>
      <c r="AB289" s="44">
        <f>VLOOKUP($A289,'Dados StatusInvest'!$A:$AY,column(AB289)-$A$5,0)</f>
        <v>0.29</v>
      </c>
      <c r="AC289" s="44">
        <f>VLOOKUP($A289,'Dados StatusInvest'!$A:$AY,column(AC289)-$A$5,0)</f>
        <v>0</v>
      </c>
      <c r="AD289" s="45">
        <f>VLOOKUP($A289,'Dados StatusInvest'!$A:$AY,column(AD289)-$A$5,0)</f>
        <v>0</v>
      </c>
      <c r="AE289" s="46">
        <f>VLOOKUP($A289,'Dados StatusInvest'!$A:$AY,column(AE289)-$A$5,0)</f>
        <v>970027.96</v>
      </c>
      <c r="AF289" s="51"/>
    </row>
    <row r="290">
      <c r="A290" s="10" t="s">
        <v>336</v>
      </c>
      <c r="B290" s="39" t="str">
        <f>VLOOKUP(lEFT($A290,4),Setor!$A:$E,3,0)</f>
        <v>Bens Industriais</v>
      </c>
      <c r="C290" s="39" t="str">
        <f>VLOOKUP(lEFT($A290,4),Setor!$A:$E,4,0)</f>
        <v>Material de Transporte</v>
      </c>
      <c r="D290" s="39" t="str">
        <f>VLOOKUP(lEFT($A290,4),Setor!$A:$E,5,0)</f>
        <v>Material Rodoviário</v>
      </c>
      <c r="E290" s="17">
        <f>IFERROR(__xludf.DUMMYFUNCTION("GOOGLEFINANCE(A290)"),2.49)</f>
        <v>2.49</v>
      </c>
      <c r="F290" s="17">
        <f>IFERROR(__xludf.DUMMYFUNCTION("GOOGLEFINANCE($A290,""high52"")"),3.4)</f>
        <v>3.4</v>
      </c>
      <c r="G290" s="16">
        <f t="shared" si="1"/>
        <v>-0.2676470588</v>
      </c>
      <c r="H290" s="40">
        <f>VLOOKUP($A290,'Dados StatusInvest'!$A:$AY,column(H290)-$A$5,0)*VLOOKUP($A290,'Dados StatusInvest'!$A:$AY,2,0)/$E290/100</f>
        <v>0.03613012048</v>
      </c>
      <c r="I290" s="41">
        <f>VLOOKUP($A290,'Dados StatusInvest'!$A:$AY,column(I290)-$A$5,0)/VLOOKUP($A290,'Dados StatusInvest'!$A:$AY,2,0)*$E290</f>
        <v>8.596428571</v>
      </c>
      <c r="J290" s="41">
        <f>VLOOKUP($A290,'Dados StatusInvest'!$A:$AY,column(J290)-$A$5,0)/VLOOKUP($A290,'Dados StatusInvest'!$A:$AY,2,0)*$E290</f>
        <v>0.8794047619</v>
      </c>
      <c r="K290" s="42">
        <f>VLOOKUP($A290,'Dados StatusInvest'!$A:$AY,column(K290)-$A$5,0)/VLOOKUP($A290,'Dados StatusInvest'!$A:$AY,2,0)*$E290</f>
        <v>0.3853571429</v>
      </c>
      <c r="L290" s="43">
        <f>VLOOKUP($A290,'Dados StatusInvest'!$A:$AY,column(L290)-$A$5,0)/100</f>
        <v>0.1349</v>
      </c>
      <c r="M290" s="47">
        <f>VLOOKUP($A290,'Dados StatusInvest'!$A:$AY,column(M290)-$A$5,0)</f>
        <v>5.27</v>
      </c>
      <c r="N290" s="47">
        <f>VLOOKUP($A290,'Dados StatusInvest'!$A:$AY,column(N290)-$A$5,0)</f>
        <v>7.77</v>
      </c>
      <c r="O290" s="41">
        <f>VLOOKUP($A290,'Dados StatusInvest'!$A:$AY,column(O290)-$A$5,0)/VLOOKUP($A290,'Dados StatusInvest'!$A:$AY,2,0)*$E290</f>
        <v>12.6772619</v>
      </c>
      <c r="P290" s="41">
        <f>VLOOKUP($A290,'Dados StatusInvest'!$A:$AY,column(P290)-$A$5,0)-VLOOKUP($A290,'Dados StatusInvest'!$A:$AY,column(P290)-$A$5-1,0)+O290</f>
        <v>19.8872619</v>
      </c>
      <c r="Q290" s="44">
        <f>VLOOKUP($A290,'Dados StatusInvest'!$A:$AY,column(Q290)-$A$5,0)</f>
        <v>5.81</v>
      </c>
      <c r="R290" s="44">
        <f>VLOOKUP($A290,'Dados StatusInvest'!$A:$AY,column(R290)-$A$5,0)</f>
        <v>0.4</v>
      </c>
      <c r="S290" s="41">
        <f>VLOOKUP($A290,'Dados StatusInvest'!$A:$AY,column(S290)-$A$5,0)/VLOOKUP($A290,'Dados StatusInvest'!$A:$AY,2,0)*$E290</f>
        <v>0.6719047619</v>
      </c>
      <c r="T290" s="42">
        <f>VLOOKUP($A290,'Dados StatusInvest'!$A:$AY,column(T290)-$A$5,0)/VLOOKUP($A290,'Dados StatusInvest'!$A:$AY,2,0)*$E290</f>
        <v>1.650119048</v>
      </c>
      <c r="U290" s="44">
        <f>VLOOKUP($A290,'Dados StatusInvest'!$A:$AY,column(U290)-$A$5,0)</f>
        <v>-0.78</v>
      </c>
      <c r="V290" s="45">
        <f>VLOOKUP($A290,'Dados StatusInvest'!$A:$AY,column(V290)-$A$5,0)</f>
        <v>1.84</v>
      </c>
      <c r="W290" s="45">
        <f>VLOOKUP($A290,'Dados StatusInvest'!$A:$AY,column(W290)-$A$5,0)</f>
        <v>10.22</v>
      </c>
      <c r="X290" s="45">
        <f>VLOOKUP($A290,'Dados StatusInvest'!$A:$AY,column(X290)-$A$5,0)</f>
        <v>4.43</v>
      </c>
      <c r="Y290" s="45">
        <f>VLOOKUP($A290,'Dados StatusInvest'!$A:$AY,column(Y290)-$A$5,0)</f>
        <v>2.3</v>
      </c>
      <c r="Z290" s="44">
        <f>VLOOKUP($A290,'Dados StatusInvest'!$A:$AY,column(Z290)-$A$5,0)</f>
        <v>0.43</v>
      </c>
      <c r="AA290" s="44">
        <f>VLOOKUP($A290,'Dados StatusInvest'!$A:$AY,column(AA290)-$A$5,0)</f>
        <v>0.56</v>
      </c>
      <c r="AB290" s="44">
        <f>VLOOKUP($A290,'Dados StatusInvest'!$A:$AY,column(AB290)-$A$5,0)</f>
        <v>0.57</v>
      </c>
      <c r="AC290" s="44">
        <f>VLOOKUP($A290,'Dados StatusInvest'!$A:$AY,column(AC290)-$A$5,0)</f>
        <v>5.56</v>
      </c>
      <c r="AD290" s="45">
        <f>VLOOKUP($A290,'Dados StatusInvest'!$A:$AY,column(AD290)-$A$5,0)</f>
        <v>25.82</v>
      </c>
      <c r="AE290" s="46">
        <f>VLOOKUP($A290,'Dados StatusInvest'!$A:$AY,column(AE290)-$A$5,0)</f>
        <v>866172.63</v>
      </c>
      <c r="AF290" s="18"/>
    </row>
    <row r="291">
      <c r="A291" s="10" t="s">
        <v>337</v>
      </c>
      <c r="B291" s="52" t="str">
        <f>VLOOKUP(LEFT($A291,4),Setor!$A:$E,3,0)</f>
        <v>Materiais Básicos</v>
      </c>
      <c r="C291" s="52" t="str">
        <f>VLOOKUP(LEFT($A291,4),Setor!$A:$E,4,0)</f>
        <v>Químicos</v>
      </c>
      <c r="D291" s="52" t="str">
        <f>VLOOKUP(LEFT($A291,4),Setor!$A:$E,5,0)</f>
        <v>Petroquímicos</v>
      </c>
      <c r="E291" s="53">
        <f>IFERROR(__xludf.DUMMYFUNCTION("GOOGLEFINANCE(A291)"),55.6)</f>
        <v>55.6</v>
      </c>
      <c r="F291" s="53">
        <f>IFERROR(__xludf.DUMMYFUNCTION("GOOGLEFINANCE($A291,""high52"")"),66.0)</f>
        <v>66</v>
      </c>
      <c r="G291" s="54">
        <f t="shared" si="1"/>
        <v>-0.1575757576</v>
      </c>
      <c r="H291" s="55">
        <f>VLOOKUP($A291,'Dados StatusInvest'!$A:$AY,COLUMN(H291)-$A$5,0)*VLOOKUP($A291,'Dados StatusInvest'!$A:$AY,2,0)/$E291/100</f>
        <v>0</v>
      </c>
      <c r="I291" s="56">
        <f>VLOOKUP($A291,'Dados StatusInvest'!$A:$AY,COLUMN(I291)-$A$5,0)/VLOOKUP($A291,'Dados StatusInvest'!$A:$AY,2,0)*$E291</f>
        <v>4.736655052</v>
      </c>
      <c r="J291" s="56">
        <f>VLOOKUP($A291,'Dados StatusInvest'!$A:$AY,COLUMN(J291)-$A$5,0)/VLOOKUP($A291,'Dados StatusInvest'!$A:$AY,2,0)*$E291</f>
        <v>5.114425087</v>
      </c>
      <c r="K291" s="57">
        <f>VLOOKUP($A291,'Dados StatusInvest'!$A:$AY,COLUMN(K291)-$A$5,0)/VLOOKUP($A291,'Dados StatusInvest'!$A:$AY,2,0)*$E291</f>
        <v>0.5036933798</v>
      </c>
      <c r="L291" s="58">
        <f>VLOOKUP($A291,'Dados StatusInvest'!$A:$AY,COLUMN(L291)-$A$5,0)/100</f>
        <v>0.3048</v>
      </c>
      <c r="M291" s="59">
        <f>VLOOKUP($A291,'Dados StatusInvest'!$A:$AY,COLUMN(M291)-$A$5,0)</f>
        <v>19.5</v>
      </c>
      <c r="N291" s="59">
        <f>VLOOKUP($A291,'Dados StatusInvest'!$A:$AY,COLUMN(N291)-$A$5,0)</f>
        <v>11.15</v>
      </c>
      <c r="O291" s="56">
        <f>VLOOKUP($A291,'Dados StatusInvest'!$A:$AY,COLUMN(O291)-$A$5,0)/VLOOKUP($A291,'Dados StatusInvest'!$A:$AY,2,0)*$E291</f>
        <v>2.712195122</v>
      </c>
      <c r="P291" s="56">
        <f>VLOOKUP($A291,'Dados StatusInvest'!$A:$AY,COLUMN(P291)-$A$5,0)-VLOOKUP($A291,'Dados StatusInvest'!$A:$AY,COLUMN(P291)-$A$5-1,0)+O291</f>
        <v>4.052195122</v>
      </c>
      <c r="Q291" s="59">
        <f>VLOOKUP($A291,'Dados StatusInvest'!$A:$AY,COLUMN(Q291)-$A$5,0)</f>
        <v>1.26</v>
      </c>
      <c r="R291" s="59">
        <f>VLOOKUP($A291,'Dados StatusInvest'!$A:$AY,COLUMN(R291)-$A$5,0)</f>
        <v>2.37</v>
      </c>
      <c r="S291" s="56">
        <f>VLOOKUP($A291,'Dados StatusInvest'!$A:$AY,COLUMN(S291)-$A$5,0)/VLOOKUP($A291,'Dados StatusInvest'!$A:$AY,2,0)*$E291</f>
        <v>0.5327526132</v>
      </c>
      <c r="T291" s="57">
        <f>VLOOKUP($A291,'Dados StatusInvest'!$A:$AY,COLUMN(T291)-$A$5,0)/VLOOKUP($A291,'Dados StatusInvest'!$A:$AY,2,0)*$E291</f>
        <v>5.540627178</v>
      </c>
      <c r="U291" s="63">
        <f>VLOOKUP($A291,'Dados StatusInvest'!$A:$AY,COLUMN(U291)-$A$5,0)</f>
        <v>-0.94</v>
      </c>
      <c r="V291" s="60">
        <f>VLOOKUP($A291,'Dados StatusInvest'!$A:$AY,COLUMN(V291)-$A$5,0)</f>
        <v>1.26</v>
      </c>
      <c r="W291" s="60">
        <f>VLOOKUP($A291,'Dados StatusInvest'!$A:$AY,COLUMN(W291)-$A$5,0)</f>
        <v>107.98</v>
      </c>
      <c r="X291" s="60">
        <f>VLOOKUP($A291,'Dados StatusInvest'!$A:$AY,COLUMN(X291)-$A$5,0)</f>
        <v>10.63</v>
      </c>
      <c r="Y291" s="60">
        <f>VLOOKUP($A291,'Dados StatusInvest'!$A:$AY,COLUMN(Y291)-$A$5,0)</f>
        <v>31.39</v>
      </c>
      <c r="Z291" s="59">
        <f>VLOOKUP($A291,'Dados StatusInvest'!$A:$AY,COLUMN(Z291)-$A$5,0)</f>
        <v>0.1</v>
      </c>
      <c r="AA291" s="59">
        <f>VLOOKUP($A291,'Dados StatusInvest'!$A:$AY,COLUMN(AA291)-$A$5,0)</f>
        <v>0.92</v>
      </c>
      <c r="AB291" s="59">
        <f>VLOOKUP($A291,'Dados StatusInvest'!$A:$AY,COLUMN(AB291)-$A$5,0)</f>
        <v>0.95</v>
      </c>
      <c r="AC291" s="59">
        <f>VLOOKUP($A291,'Dados StatusInvest'!$A:$AY,COLUMN(AC291)-$A$5,0)</f>
        <v>4.54</v>
      </c>
      <c r="AD291" s="60">
        <f>VLOOKUP($A291,'Dados StatusInvest'!$A:$AY,COLUMN(AD291)-$A$5,0)</f>
        <v>25.52</v>
      </c>
      <c r="AE291" s="62">
        <f>VLOOKUP($A291,'Dados StatusInvest'!$A:$AY,COLUMN(AE291)-$A$5,0)</f>
        <v>757701.08</v>
      </c>
      <c r="AF291" s="18"/>
    </row>
    <row r="292">
      <c r="A292" s="10" t="s">
        <v>338</v>
      </c>
      <c r="B292" s="39" t="str">
        <f>VLOOKUP(lEFT($A292,4),Setor!$A:$E,3,0)</f>
        <v>Consumo Cíclico</v>
      </c>
      <c r="C292" s="39" t="str">
        <f>VLOOKUP(lEFT($A292,4),Setor!$A:$E,4,0)</f>
        <v>Tecidos, Vestuário e Calçados</v>
      </c>
      <c r="D292" s="39" t="str">
        <f>VLOOKUP(lEFT($A292,4),Setor!$A:$E,5,0)</f>
        <v>Fios e Tecidos</v>
      </c>
      <c r="E292" s="17">
        <f>IFERROR(__xludf.DUMMYFUNCTION("GOOGLEFINANCE(A292)"),25.3)</f>
        <v>25.3</v>
      </c>
      <c r="F292" s="17">
        <f>IFERROR(__xludf.DUMMYFUNCTION("GOOGLEFINANCE($A292,""high52"")"),28.0)</f>
        <v>28</v>
      </c>
      <c r="G292" s="16">
        <f t="shared" si="1"/>
        <v>-0.09642857143</v>
      </c>
      <c r="H292" s="40">
        <f>VLOOKUP($A292,'Dados StatusInvest'!$A:$AY,column(H292)-$A$5,0)*VLOOKUP($A292,'Dados StatusInvest'!$A:$AY,2,0)/$E292/100</f>
        <v>0</v>
      </c>
      <c r="I292" s="41">
        <f>VLOOKUP($A292,'Dados StatusInvest'!$A:$AY,column(I292)-$A$5,0)/VLOOKUP($A292,'Dados StatusInvest'!$A:$AY,2,0)*$E292</f>
        <v>22.89341463</v>
      </c>
      <c r="J292" s="41">
        <f>VLOOKUP($A292,'Dados StatusInvest'!$A:$AY,column(J292)-$A$5,0)/VLOOKUP($A292,'Dados StatusInvest'!$A:$AY,2,0)*$E292</f>
        <v>3.548170732</v>
      </c>
      <c r="K292" s="42">
        <f>VLOOKUP($A292,'Dados StatusInvest'!$A:$AY,column(K292)-$A$5,0)/VLOOKUP($A292,'Dados StatusInvest'!$A:$AY,2,0)*$E292</f>
        <v>1.686666667</v>
      </c>
      <c r="L292" s="43">
        <f>VLOOKUP($A292,'Dados StatusInvest'!$A:$AY,column(L292)-$A$5,0)/100</f>
        <v>0.1795</v>
      </c>
      <c r="M292" s="47">
        <f>VLOOKUP($A292,'Dados StatusInvest'!$A:$AY,column(M292)-$A$5,0)</f>
        <v>12.2</v>
      </c>
      <c r="N292" s="47">
        <f>VLOOKUP($A292,'Dados StatusInvest'!$A:$AY,column(N292)-$A$5,0)</f>
        <v>7.01</v>
      </c>
      <c r="O292" s="41">
        <f>VLOOKUP($A292,'Dados StatusInvest'!$A:$AY,column(O292)-$A$5,0)/VLOOKUP($A292,'Dados StatusInvest'!$A:$AY,2,0)*$E292</f>
        <v>13.14365854</v>
      </c>
      <c r="P292" s="41">
        <f>VLOOKUP($A292,'Dados StatusInvest'!$A:$AY,column(P292)-$A$5,0)-VLOOKUP($A292,'Dados StatusInvest'!$A:$AY,column(P292)-$A$5-1,0)+O292</f>
        <v>7.993658537</v>
      </c>
      <c r="Q292" s="44">
        <f>VLOOKUP($A292,'Dados StatusInvest'!$A:$AY,column(Q292)-$A$5,0)</f>
        <v>1.17</v>
      </c>
      <c r="R292" s="44">
        <f>VLOOKUP($A292,'Dados StatusInvest'!$A:$AY,column(R292)-$A$5,0)</f>
        <v>0.32</v>
      </c>
      <c r="S292" s="41">
        <f>VLOOKUP($A292,'Dados StatusInvest'!$A:$AY,column(S292)-$A$5,0)/VLOOKUP($A292,'Dados StatusInvest'!$A:$AY,2,0)*$E292</f>
        <v>1.604390244</v>
      </c>
      <c r="T292" s="42">
        <f>VLOOKUP($A292,'Dados StatusInvest'!$A:$AY,column(T292)-$A$5,0)/VLOOKUP($A292,'Dados StatusInvest'!$A:$AY,2,0)*$E292</f>
        <v>8.237926829</v>
      </c>
      <c r="U292" s="44">
        <f>VLOOKUP($A292,'Dados StatusInvest'!$A:$AY,column(U292)-$A$5,0)</f>
        <v>-3.47</v>
      </c>
      <c r="V292" s="45">
        <f>VLOOKUP($A292,'Dados StatusInvest'!$A:$AY,column(V292)-$A$5,0)</f>
        <v>1.63</v>
      </c>
      <c r="W292" s="45">
        <f>VLOOKUP($A292,'Dados StatusInvest'!$A:$AY,column(W292)-$A$5,0)</f>
        <v>15.51</v>
      </c>
      <c r="X292" s="45">
        <f>VLOOKUP($A292,'Dados StatusInvest'!$A:$AY,column(X292)-$A$5,0)</f>
        <v>7.35</v>
      </c>
      <c r="Y292" s="45">
        <f>VLOOKUP($A292,'Dados StatusInvest'!$A:$AY,column(Y292)-$A$5,0)</f>
        <v>14.32</v>
      </c>
      <c r="Z292" s="44">
        <f>VLOOKUP($A292,'Dados StatusInvest'!$A:$AY,column(Z292)-$A$5,0)</f>
        <v>0.47</v>
      </c>
      <c r="AA292" s="44">
        <f>VLOOKUP($A292,'Dados StatusInvest'!$A:$AY,column(AA292)-$A$5,0)</f>
        <v>0.53</v>
      </c>
      <c r="AB292" s="44">
        <f>VLOOKUP($A292,'Dados StatusInvest'!$A:$AY,column(AB292)-$A$5,0)</f>
        <v>1.05</v>
      </c>
      <c r="AC292" s="44">
        <f>VLOOKUP($A292,'Dados StatusInvest'!$A:$AY,column(AC292)-$A$5,0)</f>
        <v>8.13</v>
      </c>
      <c r="AD292" s="45">
        <f>VLOOKUP($A292,'Dados StatusInvest'!$A:$AY,column(AD292)-$A$5,0)</f>
        <v>39.63</v>
      </c>
      <c r="AE292" s="46">
        <f>VLOOKUP($A292,'Dados StatusInvest'!$A:$AY,column(AE292)-$A$5,0)</f>
        <v>1188136.58</v>
      </c>
      <c r="AF292" s="18"/>
    </row>
    <row r="293">
      <c r="A293" s="10" t="s">
        <v>339</v>
      </c>
      <c r="B293" s="39" t="str">
        <f>VLOOKUP(lEFT($A293,4),Setor!$A:$E,3,0)</f>
        <v>Consumo Cíclico</v>
      </c>
      <c r="C293" s="39" t="str">
        <f>VLOOKUP(lEFT($A293,4),Setor!$A:$E,4,0)</f>
        <v>Tecidos, Vestuário e Calçados</v>
      </c>
      <c r="D293" s="39" t="str">
        <f>VLOOKUP(lEFT($A293,4),Setor!$A:$E,5,0)</f>
        <v>Fios e Tecidos</v>
      </c>
      <c r="E293" s="17">
        <f>IFERROR(__xludf.DUMMYFUNCTION("GOOGLEFINANCE(A293)"),7.19)</f>
        <v>7.19</v>
      </c>
      <c r="F293" s="17">
        <f>IFERROR(__xludf.DUMMYFUNCTION("GOOGLEFINANCE($A293,""high52"")"),15.69)</f>
        <v>15.69</v>
      </c>
      <c r="G293" s="16">
        <f t="shared" si="1"/>
        <v>-0.5417463352</v>
      </c>
      <c r="H293" s="40">
        <f>VLOOKUP($A293,'Dados StatusInvest'!$A:$AY,column(H293)-$A$5,0)*VLOOKUP($A293,'Dados StatusInvest'!$A:$AY,2,0)/$E293/100</f>
        <v>0</v>
      </c>
      <c r="I293" s="41">
        <f>VLOOKUP($A293,'Dados StatusInvest'!$A:$AY,column(I293)-$A$5,0)/VLOOKUP($A293,'Dados StatusInvest'!$A:$AY,2,0)*$E293</f>
        <v>-3.054710983</v>
      </c>
      <c r="J293" s="41">
        <f>VLOOKUP($A293,'Dados StatusInvest'!$A:$AY,column(J293)-$A$5,0)/VLOOKUP($A293,'Dados StatusInvest'!$A:$AY,2,0)*$E293</f>
        <v>0.3428757225</v>
      </c>
      <c r="K293" s="42">
        <f>VLOOKUP($A293,'Dados StatusInvest'!$A:$AY,column(K293)-$A$5,0)/VLOOKUP($A293,'Dados StatusInvest'!$A:$AY,2,0)*$E293</f>
        <v>0.1142919075</v>
      </c>
      <c r="L293" s="43">
        <f>VLOOKUP($A293,'Dados StatusInvest'!$A:$AY,column(L293)-$A$5,0)/100</f>
        <v>0.3438</v>
      </c>
      <c r="M293" s="44">
        <f>VLOOKUP($A293,'Dados StatusInvest'!$A:$AY,column(M293)-$A$5,0)</f>
        <v>9.52</v>
      </c>
      <c r="N293" s="47">
        <f>VLOOKUP($A293,'Dados StatusInvest'!$A:$AY,column(N293)-$A$5,0)</f>
        <v>-6.65</v>
      </c>
      <c r="O293" s="41">
        <f>VLOOKUP($A293,'Dados StatusInvest'!$A:$AY,column(O293)-$A$5,0)/VLOOKUP($A293,'Dados StatusInvest'!$A:$AY,2,0)*$E293</f>
        <v>2.129985549</v>
      </c>
      <c r="P293" s="41">
        <f>VLOOKUP($A293,'Dados StatusInvest'!$A:$AY,column(P293)-$A$5,0)-VLOOKUP($A293,'Dados StatusInvest'!$A:$AY,column(P293)-$A$5-1,0)+O293</f>
        <v>6.519985549</v>
      </c>
      <c r="Q293" s="44">
        <f>VLOOKUP($A293,'Dados StatusInvest'!$A:$AY,column(Q293)-$A$5,0)</f>
        <v>4.36</v>
      </c>
      <c r="R293" s="44">
        <f>VLOOKUP($A293,'Dados StatusInvest'!$A:$AY,column(R293)-$A$5,0)</f>
        <v>0.71</v>
      </c>
      <c r="S293" s="41">
        <f>VLOOKUP($A293,'Dados StatusInvest'!$A:$AY,column(S293)-$A$5,0)/VLOOKUP($A293,'Dados StatusInvest'!$A:$AY,2,0)*$E293</f>
        <v>0.2078034682</v>
      </c>
      <c r="T293" s="42">
        <f>VLOOKUP($A293,'Dados StatusInvest'!$A:$AY,column(T293)-$A$5,0)/VLOOKUP($A293,'Dados StatusInvest'!$A:$AY,2,0)*$E293</f>
        <v>1.589696532</v>
      </c>
      <c r="U293" s="47">
        <f>VLOOKUP($A293,'Dados StatusInvest'!$A:$AY,column(U293)-$A$5,0)</f>
        <v>-0.2</v>
      </c>
      <c r="V293" s="45">
        <f>VLOOKUP($A293,'Dados StatusInvest'!$A:$AY,column(V293)-$A$5,0)</f>
        <v>1.2</v>
      </c>
      <c r="W293" s="45">
        <f>VLOOKUP($A293,'Dados StatusInvest'!$A:$AY,column(W293)-$A$5,0)</f>
        <v>-11.37</v>
      </c>
      <c r="X293" s="48">
        <f>VLOOKUP($A293,'Dados StatusInvest'!$A:$AY,column(X293)-$A$5,0)</f>
        <v>-3.87</v>
      </c>
      <c r="Y293" s="45">
        <f>VLOOKUP($A293,'Dados StatusInvest'!$A:$AY,column(Y293)-$A$5,0)</f>
        <v>8.45</v>
      </c>
      <c r="Z293" s="44">
        <f>VLOOKUP($A293,'Dados StatusInvest'!$A:$AY,column(Z293)-$A$5,0)</f>
        <v>0.34</v>
      </c>
      <c r="AA293" s="44">
        <f>VLOOKUP($A293,'Dados StatusInvest'!$A:$AY,column(AA293)-$A$5,0)</f>
        <v>0.66</v>
      </c>
      <c r="AB293" s="44">
        <f>VLOOKUP($A293,'Dados StatusInvest'!$A:$AY,column(AB293)-$A$5,0)</f>
        <v>0.58</v>
      </c>
      <c r="AC293" s="44">
        <f>VLOOKUP($A293,'Dados StatusInvest'!$A:$AY,column(AC293)-$A$5,0)</f>
        <v>-7.5</v>
      </c>
      <c r="AD293" s="45">
        <f>VLOOKUP($A293,'Dados StatusInvest'!$A:$AY,column(AD293)-$A$5,0)</f>
        <v>0</v>
      </c>
      <c r="AE293" s="46">
        <f>VLOOKUP($A293,'Dados StatusInvest'!$A:$AY,column(AE293)-$A$5,0)</f>
        <v>753920.71</v>
      </c>
      <c r="AF293" s="18"/>
    </row>
    <row r="294">
      <c r="A294" s="10" t="s">
        <v>340</v>
      </c>
      <c r="B294" s="39" t="str">
        <f>VLOOKUP(lEFT($A294,4),Setor!$A:$E,3,0)</f>
        <v>Bens Industriais</v>
      </c>
      <c r="C294" s="39" t="str">
        <f>VLOOKUP(lEFT($A294,4),Setor!$A:$E,4,0)</f>
        <v>Serviços Diversos</v>
      </c>
      <c r="D294" s="39" t="str">
        <f>VLOOKUP(lEFT($A294,4),Setor!$A:$E,5,0)</f>
        <v>Serviços Diversos</v>
      </c>
      <c r="E294" s="17">
        <f>IFERROR(__xludf.DUMMYFUNCTION("GOOGLEFINANCE(A294)"),8.35)</f>
        <v>8.35</v>
      </c>
      <c r="F294" s="17">
        <f>IFERROR(__xludf.DUMMYFUNCTION("GOOGLEFINANCE($A294,""high52"")"),10.78)</f>
        <v>10.78</v>
      </c>
      <c r="G294" s="16">
        <f t="shared" si="1"/>
        <v>-0.2254174397</v>
      </c>
      <c r="H294" s="40">
        <f>VLOOKUP($A294,'Dados StatusInvest'!$A:$AY,column(H294)-$A$5,0)*VLOOKUP($A294,'Dados StatusInvest'!$A:$AY,2,0)/$E294/100</f>
        <v>0</v>
      </c>
      <c r="I294" s="41">
        <f>VLOOKUP($A294,'Dados StatusInvest'!$A:$AY,column(I294)-$A$5,0)/VLOOKUP($A294,'Dados StatusInvest'!$A:$AY,2,0)*$E294</f>
        <v>20.36027397</v>
      </c>
      <c r="J294" s="41">
        <f>VLOOKUP($A294,'Dados StatusInvest'!$A:$AY,column(J294)-$A$5,0)/VLOOKUP($A294,'Dados StatusInvest'!$A:$AY,2,0)*$E294</f>
        <v>1.414196762</v>
      </c>
      <c r="K294" s="42">
        <f>VLOOKUP($A294,'Dados StatusInvest'!$A:$AY,column(K294)-$A$5,0)/VLOOKUP($A294,'Dados StatusInvest'!$A:$AY,2,0)*$E294</f>
        <v>0.9254669988</v>
      </c>
      <c r="L294" s="43">
        <f>VLOOKUP($A294,'Dados StatusInvest'!$A:$AY,column(L294)-$A$5,0)/100</f>
        <v>0.1754</v>
      </c>
      <c r="M294" s="47">
        <f>VLOOKUP($A294,'Dados StatusInvest'!$A:$AY,column(M294)-$A$5,0)</f>
        <v>2.82</v>
      </c>
      <c r="N294" s="47">
        <f>VLOOKUP($A294,'Dados StatusInvest'!$A:$AY,column(N294)-$A$5,0)</f>
        <v>5.09</v>
      </c>
      <c r="O294" s="41">
        <f>VLOOKUP($A294,'Dados StatusInvest'!$A:$AY,column(O294)-$A$5,0)/VLOOKUP($A294,'Dados StatusInvest'!$A:$AY,2,0)*$E294</f>
        <v>36.70672478</v>
      </c>
      <c r="P294" s="41">
        <f>VLOOKUP($A294,'Dados StatusInvest'!$A:$AY,column(P294)-$A$5,0)-VLOOKUP($A294,'Dados StatusInvest'!$A:$AY,column(P294)-$A$5-1,0)+O294</f>
        <v>34.94672478</v>
      </c>
      <c r="Q294" s="44">
        <f>VLOOKUP($A294,'Dados StatusInvest'!$A:$AY,column(Q294)-$A$5,0)</f>
        <v>-1.84</v>
      </c>
      <c r="R294" s="44">
        <f>VLOOKUP($A294,'Dados StatusInvest'!$A:$AY,column(R294)-$A$5,0)</f>
        <v>-0.07</v>
      </c>
      <c r="S294" s="41">
        <f>VLOOKUP($A294,'Dados StatusInvest'!$A:$AY,column(S294)-$A$5,0)/VLOOKUP($A294,'Dados StatusInvest'!$A:$AY,2,0)*$E294</f>
        <v>1.03985056</v>
      </c>
      <c r="T294" s="42">
        <f>VLOOKUP($A294,'Dados StatusInvest'!$A:$AY,column(T294)-$A$5,0)/VLOOKUP($A294,'Dados StatusInvest'!$A:$AY,2,0)*$E294</f>
        <v>2.911581569</v>
      </c>
      <c r="U294" s="44">
        <f>VLOOKUP($A294,'Dados StatusInvest'!$A:$AY,column(U294)-$A$5,0)</f>
        <v>-2.1</v>
      </c>
      <c r="V294" s="45">
        <f>VLOOKUP($A294,'Dados StatusInvest'!$A:$AY,column(V294)-$A$5,0)</f>
        <v>2.22</v>
      </c>
      <c r="W294" s="45">
        <f>VLOOKUP($A294,'Dados StatusInvest'!$A:$AY,column(W294)-$A$5,0)</f>
        <v>6.96</v>
      </c>
      <c r="X294" s="45">
        <f>VLOOKUP($A294,'Dados StatusInvest'!$A:$AY,column(X294)-$A$5,0)</f>
        <v>4.53</v>
      </c>
      <c r="Y294" s="45">
        <f>VLOOKUP($A294,'Dados StatusInvest'!$A:$AY,column(Y294)-$A$5,0)</f>
        <v>-1.33</v>
      </c>
      <c r="Z294" s="44">
        <f>VLOOKUP($A294,'Dados StatusInvest'!$A:$AY,column(Z294)-$A$5,0)</f>
        <v>0.65</v>
      </c>
      <c r="AA294" s="44">
        <f>VLOOKUP($A294,'Dados StatusInvest'!$A:$AY,column(AA294)-$A$5,0)</f>
        <v>0.35</v>
      </c>
      <c r="AB294" s="44">
        <f>VLOOKUP($A294,'Dados StatusInvest'!$A:$AY,column(AB294)-$A$5,0)</f>
        <v>0.89</v>
      </c>
      <c r="AC294" s="44">
        <f>VLOOKUP($A294,'Dados StatusInvest'!$A:$AY,column(AC294)-$A$5,0)</f>
        <v>0</v>
      </c>
      <c r="AD294" s="45">
        <f>VLOOKUP($A294,'Dados StatusInvest'!$A:$AY,column(AD294)-$A$5,0)</f>
        <v>0</v>
      </c>
      <c r="AE294" s="46">
        <f>VLOOKUP($A294,'Dados StatusInvest'!$A:$AY,column(AE294)-$A$5,0)</f>
        <v>721020.71</v>
      </c>
      <c r="AF294" s="18"/>
    </row>
    <row r="295">
      <c r="A295" s="10" t="s">
        <v>341</v>
      </c>
      <c r="B295" s="39" t="str">
        <f>VLOOKUP(lEFT($A295,4),Setor!$A:$E,3,0)</f>
        <v>Saúde</v>
      </c>
      <c r="C295" s="39" t="str">
        <f>VLOOKUP(lEFT($A295,4),Setor!$A:$E,4,0)</f>
        <v>Medicamentos e Outros Produtos</v>
      </c>
      <c r="D295" s="39" t="str">
        <f>VLOOKUP(lEFT($A295,4),Setor!$A:$E,5,0)</f>
        <v>Medicamentos e Outros Produtos</v>
      </c>
      <c r="E295" s="17">
        <f>IFERROR(__xludf.DUMMYFUNCTION("GOOGLEFINANCE(A295)"),27.99)</f>
        <v>27.99</v>
      </c>
      <c r="F295" s="17">
        <f>IFERROR(__xludf.DUMMYFUNCTION("GOOGLEFINANCE($A295,""high52"")"),42.0)</f>
        <v>42</v>
      </c>
      <c r="G295" s="16">
        <f t="shared" si="1"/>
        <v>-0.3335714286</v>
      </c>
      <c r="H295" s="40">
        <f>VLOOKUP($A295,'Dados StatusInvest'!$A:$AY,column(H295)-$A$5,0)*VLOOKUP($A295,'Dados StatusInvest'!$A:$AY,2,0)/$E295/100</f>
        <v>0.02181629153</v>
      </c>
      <c r="I295" s="41">
        <f>VLOOKUP($A295,'Dados StatusInvest'!$A:$AY,column(I295)-$A$5,0)/VLOOKUP($A295,'Dados StatusInvest'!$A:$AY,2,0)*$E295</f>
        <v>12.73176972</v>
      </c>
      <c r="J295" s="41">
        <f>VLOOKUP($A295,'Dados StatusInvest'!$A:$AY,column(J295)-$A$5,0)/VLOOKUP($A295,'Dados StatusInvest'!$A:$AY,2,0)*$E295</f>
        <v>2.506567164</v>
      </c>
      <c r="K295" s="42">
        <f>VLOOKUP($A295,'Dados StatusInvest'!$A:$AY,column(K295)-$A$5,0)/VLOOKUP($A295,'Dados StatusInvest'!$A:$AY,2,0)*$E295</f>
        <v>1.422377399</v>
      </c>
      <c r="L295" s="43">
        <f>VLOOKUP($A295,'Dados StatusInvest'!$A:$AY,column(L295)-$A$5,0)/100</f>
        <v>0.5102</v>
      </c>
      <c r="M295" s="47">
        <f>VLOOKUP($A295,'Dados StatusInvest'!$A:$AY,column(M295)-$A$5,0)</f>
        <v>17.9</v>
      </c>
      <c r="N295" s="47">
        <f>VLOOKUP($A295,'Dados StatusInvest'!$A:$AY,column(N295)-$A$5,0)</f>
        <v>14.03</v>
      </c>
      <c r="O295" s="41">
        <f>VLOOKUP($A295,'Dados StatusInvest'!$A:$AY,column(O295)-$A$5,0)/VLOOKUP($A295,'Dados StatusInvest'!$A:$AY,2,0)*$E295</f>
        <v>9.976535181</v>
      </c>
      <c r="P295" s="41">
        <f>VLOOKUP($A295,'Dados StatusInvest'!$A:$AY,column(P295)-$A$5,0)-VLOOKUP($A295,'Dados StatusInvest'!$A:$AY,column(P295)-$A$5-1,0)+O295</f>
        <v>11.22653518</v>
      </c>
      <c r="Q295" s="44">
        <f>VLOOKUP($A295,'Dados StatusInvest'!$A:$AY,column(Q295)-$A$5,0)</f>
        <v>1.12</v>
      </c>
      <c r="R295" s="44">
        <f>VLOOKUP($A295,'Dados StatusInvest'!$A:$AY,column(R295)-$A$5,0)</f>
        <v>0.28</v>
      </c>
      <c r="S295" s="41">
        <f>VLOOKUP($A295,'Dados StatusInvest'!$A:$AY,column(S295)-$A$5,0)/VLOOKUP($A295,'Dados StatusInvest'!$A:$AY,2,0)*$E295</f>
        <v>1.790405117</v>
      </c>
      <c r="T295" s="42">
        <f>VLOOKUP($A295,'Dados StatusInvest'!$A:$AY,column(T295)-$A$5,0)/VLOOKUP($A295,'Dados StatusInvest'!$A:$AY,2,0)*$E295</f>
        <v>3.242622601</v>
      </c>
      <c r="U295" s="44">
        <f>VLOOKUP($A295,'Dados StatusInvest'!$A:$AY,column(U295)-$A$5,0)</f>
        <v>-3.52</v>
      </c>
      <c r="V295" s="45">
        <f>VLOOKUP($A295,'Dados StatusInvest'!$A:$AY,column(V295)-$A$5,0)</f>
        <v>3.82</v>
      </c>
      <c r="W295" s="45">
        <f>VLOOKUP($A295,'Dados StatusInvest'!$A:$AY,column(W295)-$A$5,0)</f>
        <v>19.69</v>
      </c>
      <c r="X295" s="45">
        <f>VLOOKUP($A295,'Dados StatusInvest'!$A:$AY,column(X295)-$A$5,0)</f>
        <v>11.17</v>
      </c>
      <c r="Y295" s="48">
        <f>VLOOKUP($A295,'Dados StatusInvest'!$A:$AY,column(Y295)-$A$5,0)</f>
        <v>14.12</v>
      </c>
      <c r="Z295" s="44">
        <f>VLOOKUP($A295,'Dados StatusInvest'!$A:$AY,column(Z295)-$A$5,0)</f>
        <v>0.57</v>
      </c>
      <c r="AA295" s="44">
        <f>VLOOKUP($A295,'Dados StatusInvest'!$A:$AY,column(AA295)-$A$5,0)</f>
        <v>0.43</v>
      </c>
      <c r="AB295" s="44">
        <f>VLOOKUP($A295,'Dados StatusInvest'!$A:$AY,column(AB295)-$A$5,0)</f>
        <v>0.8</v>
      </c>
      <c r="AC295" s="44">
        <f>VLOOKUP($A295,'Dados StatusInvest'!$A:$AY,column(AC295)-$A$5,0)</f>
        <v>6.45</v>
      </c>
      <c r="AD295" s="45">
        <f>VLOOKUP($A295,'Dados StatusInvest'!$A:$AY,column(AD295)-$A$5,0)</f>
        <v>11.38</v>
      </c>
      <c r="AE295" s="46">
        <f>VLOOKUP($A295,'Dados StatusInvest'!$A:$AY,column(AE295)-$A$5,0)</f>
        <v>489417.96</v>
      </c>
      <c r="AF295" s="51"/>
    </row>
    <row r="296">
      <c r="A296" s="10" t="s">
        <v>342</v>
      </c>
      <c r="B296" s="39" t="str">
        <f>VLOOKUP(lEFT($A296,4),Setor!$A:$E,3,0)</f>
        <v>Utilidade Pública</v>
      </c>
      <c r="C296" s="39" t="str">
        <f>VLOOKUP(lEFT($A296,4),Setor!$A:$E,4,0)</f>
        <v>Energia Elétrica</v>
      </c>
      <c r="D296" s="39" t="str">
        <f>VLOOKUP(lEFT($A296,4),Setor!$A:$E,5,0)</f>
        <v>Energia Elétrica</v>
      </c>
      <c r="E296" s="17">
        <f>IFERROR(__xludf.DUMMYFUNCTION("GOOGLEFINANCE(A296)"),2.89)</f>
        <v>2.89</v>
      </c>
      <c r="F296" s="17">
        <f>IFERROR(__xludf.DUMMYFUNCTION("GOOGLEFINANCE($A296,""high52"")"),9.96)</f>
        <v>9.96</v>
      </c>
      <c r="G296" s="16">
        <f t="shared" si="1"/>
        <v>-0.7098393574</v>
      </c>
      <c r="H296" s="40">
        <f>VLOOKUP($A296,'Dados StatusInvest'!$A:$AY,column(H296)-$A$5,0)*VLOOKUP($A296,'Dados StatusInvest'!$A:$AY,2,0)/$E296/100</f>
        <v>0</v>
      </c>
      <c r="I296" s="41">
        <f>VLOOKUP($A296,'Dados StatusInvest'!$A:$AY,column(I296)-$A$5,0)/VLOOKUP($A296,'Dados StatusInvest'!$A:$AY,2,0)*$E296</f>
        <v>7.381080139</v>
      </c>
      <c r="J296" s="41">
        <f>VLOOKUP($A296,'Dados StatusInvest'!$A:$AY,column(J296)-$A$5,0)/VLOOKUP($A296,'Dados StatusInvest'!$A:$AY,2,0)*$E296</f>
        <v>-0.3725783972</v>
      </c>
      <c r="K296" s="42">
        <f>VLOOKUP($A296,'Dados StatusInvest'!$A:$AY,column(K296)-$A$5,0)/VLOOKUP($A296,'Dados StatusInvest'!$A:$AY,2,0)*$E296</f>
        <v>0.1208362369</v>
      </c>
      <c r="L296" s="43">
        <f>VLOOKUP($A296,'Dados StatusInvest'!$A:$AY,column(L296)-$A$5,0)/100</f>
        <v>0.2154</v>
      </c>
      <c r="M296" s="47">
        <f>VLOOKUP($A296,'Dados StatusInvest'!$A:$AY,column(M296)-$A$5,0)</f>
        <v>-57.95</v>
      </c>
      <c r="N296" s="47">
        <f>VLOOKUP($A296,'Dados StatusInvest'!$A:$AY,column(N296)-$A$5,0)</f>
        <v>44.91</v>
      </c>
      <c r="O296" s="41">
        <f>VLOOKUP($A296,'Dados StatusInvest'!$A:$AY,column(O296)-$A$5,0)/VLOOKUP($A296,'Dados StatusInvest'!$A:$AY,2,0)*$E296</f>
        <v>-5.719581882</v>
      </c>
      <c r="P296" s="41">
        <f>VLOOKUP($A296,'Dados StatusInvest'!$A:$AY,column(P296)-$A$5,0)-VLOOKUP($A296,'Dados StatusInvest'!$A:$AY,column(P296)-$A$5-1,0)+O296</f>
        <v>-32.84958188</v>
      </c>
      <c r="Q296" s="44">
        <f>VLOOKUP($A296,'Dados StatusInvest'!$A:$AY,column(Q296)-$A$5,0)</f>
        <v>-26.98</v>
      </c>
      <c r="R296" s="44">
        <f>VLOOKUP($A296,'Dados StatusInvest'!$A:$AY,column(R296)-$A$5,0)</f>
        <v>0</v>
      </c>
      <c r="S296" s="41">
        <f>VLOOKUP($A296,'Dados StatusInvest'!$A:$AY,column(S296)-$A$5,0)/VLOOKUP($A296,'Dados StatusInvest'!$A:$AY,2,0)*$E296</f>
        <v>3.312926829</v>
      </c>
      <c r="T296" s="42">
        <f>VLOOKUP($A296,'Dados StatusInvest'!$A:$AY,column(T296)-$A$5,0)/VLOOKUP($A296,'Dados StatusInvest'!$A:$AY,2,0)*$E296</f>
        <v>0.6948083624</v>
      </c>
      <c r="U296" s="44">
        <f>VLOOKUP($A296,'Dados StatusInvest'!$A:$AY,column(U296)-$A$5,0)</f>
        <v>-0.22</v>
      </c>
      <c r="V296" s="45">
        <f>VLOOKUP($A296,'Dados StatusInvest'!$A:$AY,column(V296)-$A$5,0)</f>
        <v>1.58</v>
      </c>
      <c r="W296" s="45">
        <f>VLOOKUP($A296,'Dados StatusInvest'!$A:$AY,column(W296)-$A$5,0)</f>
        <v>-5.06</v>
      </c>
      <c r="X296" s="45">
        <f>VLOOKUP($A296,'Dados StatusInvest'!$A:$AY,column(X296)-$A$5,0)</f>
        <v>1.62</v>
      </c>
      <c r="Y296" s="45">
        <f>VLOOKUP($A296,'Dados StatusInvest'!$A:$AY,column(Y296)-$A$5,0)</f>
        <v>-5.69</v>
      </c>
      <c r="Z296" s="44">
        <f>VLOOKUP($A296,'Dados StatusInvest'!$A:$AY,column(Z296)-$A$5,0)</f>
        <v>-0.32</v>
      </c>
      <c r="AA296" s="44">
        <f>VLOOKUP($A296,'Dados StatusInvest'!$A:$AY,column(AA296)-$A$5,0)</f>
        <v>1.32</v>
      </c>
      <c r="AB296" s="44">
        <f>VLOOKUP($A296,'Dados StatusInvest'!$A:$AY,column(AB296)-$A$5,0)</f>
        <v>0.04</v>
      </c>
      <c r="AC296" s="44">
        <f>VLOOKUP($A296,'Dados StatusInvest'!$A:$AY,column(AC296)-$A$5,0)</f>
        <v>-29.67</v>
      </c>
      <c r="AD296" s="45">
        <f>VLOOKUP($A296,'Dados StatusInvest'!$A:$AY,column(AD296)-$A$5,0)</f>
        <v>-18.42</v>
      </c>
      <c r="AE296" s="46">
        <f>VLOOKUP($A296,'Dados StatusInvest'!$A:$AY,column(AE296)-$A$5,0)</f>
        <v>774705.83</v>
      </c>
      <c r="AF296" s="18"/>
    </row>
    <row r="297">
      <c r="A297" s="10" t="s">
        <v>343</v>
      </c>
      <c r="B297" s="39" t="str">
        <f>VLOOKUP(lEFT($A297,4),Setor!$A:$E,3,0)</f>
        <v>Financeiro</v>
      </c>
      <c r="C297" s="39" t="str">
        <f>VLOOKUP(lEFT($A297,4),Setor!$A:$E,4,0)</f>
        <v>Intermediários Financeiros</v>
      </c>
      <c r="D297" s="39" t="str">
        <f>VLOOKUP(lEFT($A297,4),Setor!$A:$E,5,0)</f>
        <v>Bancos</v>
      </c>
      <c r="E297" s="17">
        <f>IFERROR(__xludf.DUMMYFUNCTION("GOOGLEFINANCE(A297)"),2.01)</f>
        <v>2.01</v>
      </c>
      <c r="F297" s="17">
        <f>IFERROR(__xludf.DUMMYFUNCTION("GOOGLEFINANCE($A297,""high52"")"),3.59)</f>
        <v>3.59</v>
      </c>
      <c r="G297" s="16">
        <f t="shared" si="1"/>
        <v>-0.4401114206</v>
      </c>
      <c r="H297" s="40">
        <f>VLOOKUP($A297,'Dados StatusInvest'!$A:$AY,column(H297)-$A$5,0)*VLOOKUP($A297,'Dados StatusInvest'!$A:$AY,2,0)/$E297/100</f>
        <v>0</v>
      </c>
      <c r="I297" s="41">
        <f>VLOOKUP($A297,'Dados StatusInvest'!$A:$AY,column(I297)-$A$5,0)/VLOOKUP($A297,'Dados StatusInvest'!$A:$AY,2,0)*$E297</f>
        <v>-4.745257732</v>
      </c>
      <c r="J297" s="41">
        <f>VLOOKUP($A297,'Dados StatusInvest'!$A:$AY,column(J297)-$A$5,0)/VLOOKUP($A297,'Dados StatusInvest'!$A:$AY,2,0)*$E297</f>
        <v>0.3833505155</v>
      </c>
      <c r="K297" s="42">
        <f>VLOOKUP($A297,'Dados StatusInvest'!$A:$AY,column(K297)-$A$5,0)/VLOOKUP($A297,'Dados StatusInvest'!$A:$AY,2,0)*$E297</f>
        <v>0.02072164948</v>
      </c>
      <c r="L297" s="43">
        <f>VLOOKUP($A297,'Dados StatusInvest'!$A:$AY,column(L297)-$A$5,0)/100</f>
        <v>0.1529</v>
      </c>
      <c r="M297" s="47">
        <f>VLOOKUP($A297,'Dados StatusInvest'!$A:$AY,column(M297)-$A$5,0)</f>
        <v>-13.94</v>
      </c>
      <c r="N297" s="47">
        <f>VLOOKUP($A297,'Dados StatusInvest'!$A:$AY,column(N297)-$A$5,0)</f>
        <v>-8.49</v>
      </c>
      <c r="O297" s="41">
        <f>VLOOKUP($A297,'Dados StatusInvest'!$A:$AY,column(O297)-$A$5,0)/VLOOKUP($A297,'Dados StatusInvest'!$A:$AY,2,0)*$E297</f>
        <v>-2.890670103</v>
      </c>
      <c r="P297" s="41">
        <f>VLOOKUP($A297,'Dados StatusInvest'!$A:$AY,column(P297)-$A$5,0)-VLOOKUP($A297,'Dados StatusInvest'!$A:$AY,column(P297)-$A$5-1,0)+O297</f>
        <v>-1.480670103</v>
      </c>
      <c r="Q297" s="44">
        <f>VLOOKUP($A297,'Dados StatusInvest'!$A:$AY,column(Q297)-$A$5,0)</f>
        <v>0</v>
      </c>
      <c r="R297" s="44">
        <f>VLOOKUP($A297,'Dados StatusInvest'!$A:$AY,column(R297)-$A$5,0)</f>
        <v>0</v>
      </c>
      <c r="S297" s="41">
        <f>VLOOKUP($A297,'Dados StatusInvest'!$A:$AY,column(S297)-$A$5,0)/VLOOKUP($A297,'Dados StatusInvest'!$A:$AY,2,0)*$E297</f>
        <v>0.4040721649</v>
      </c>
      <c r="T297" s="42">
        <f>VLOOKUP($A297,'Dados StatusInvest'!$A:$AY,column(T297)-$A$5,0)/VLOOKUP($A297,'Dados StatusInvest'!$A:$AY,2,0)*$E297</f>
        <v>-0.1139690722</v>
      </c>
      <c r="U297" s="47">
        <f>VLOOKUP($A297,'Dados StatusInvest'!$A:$AY,column(U297)-$A$5,0)</f>
        <v>-0.03</v>
      </c>
      <c r="V297" s="45">
        <f>VLOOKUP($A297,'Dados StatusInvest'!$A:$AY,column(V297)-$A$5,0)</f>
        <v>0.58</v>
      </c>
      <c r="W297" s="45">
        <f>VLOOKUP($A297,'Dados StatusInvest'!$A:$AY,column(W297)-$A$5,0)</f>
        <v>-8.09</v>
      </c>
      <c r="X297" s="45">
        <f>VLOOKUP($A297,'Dados StatusInvest'!$A:$AY,column(X297)-$A$5,0)</f>
        <v>-0.42</v>
      </c>
      <c r="Y297" s="45">
        <f>VLOOKUP($A297,'Dados StatusInvest'!$A:$AY,column(Y297)-$A$5,0)</f>
        <v>0</v>
      </c>
      <c r="Z297" s="44">
        <f>VLOOKUP($A297,'Dados StatusInvest'!$A:$AY,column(Z297)-$A$5,0)</f>
        <v>0.05</v>
      </c>
      <c r="AA297" s="44">
        <f>VLOOKUP($A297,'Dados StatusInvest'!$A:$AY,column(AA297)-$A$5,0)</f>
        <v>0.95</v>
      </c>
      <c r="AB297" s="44">
        <f>VLOOKUP($A297,'Dados StatusInvest'!$A:$AY,column(AB297)-$A$5,0)</f>
        <v>0.05</v>
      </c>
      <c r="AC297" s="44">
        <f>VLOOKUP($A297,'Dados StatusInvest'!$A:$AY,column(AC297)-$A$5,0)</f>
        <v>4.73</v>
      </c>
      <c r="AD297" s="45">
        <f>VLOOKUP($A297,'Dados StatusInvest'!$A:$AY,column(AD297)-$A$5,0)</f>
        <v>0</v>
      </c>
      <c r="AE297" s="46">
        <f>VLOOKUP($A297,'Dados StatusInvest'!$A:$AY,column(AE297)-$A$5,0)</f>
        <v>399978.63</v>
      </c>
      <c r="AF297" s="18"/>
    </row>
    <row r="298">
      <c r="A298" s="10" t="s">
        <v>344</v>
      </c>
      <c r="B298" s="39" t="str">
        <f>VLOOKUP(lEFT($A298,4),Setor!$A:$E,3,0)</f>
        <v>Bens Industriais</v>
      </c>
      <c r="C298" s="39" t="str">
        <f>VLOOKUP(lEFT($A298,4),Setor!$A:$E,4,0)</f>
        <v>Material de Transporte</v>
      </c>
      <c r="D298" s="39" t="str">
        <f>VLOOKUP(lEFT($A298,4),Setor!$A:$E,5,0)</f>
        <v>Material Rodoviário</v>
      </c>
      <c r="E298" s="17">
        <f>IFERROR(__xludf.DUMMYFUNCTION("GOOGLEFINANCE(A298)"),83.98)</f>
        <v>83.98</v>
      </c>
      <c r="F298" s="17">
        <f>IFERROR(__xludf.DUMMYFUNCTION("GOOGLEFINANCE($A298,""high52"")"),99.32)</f>
        <v>99.32</v>
      </c>
      <c r="G298" s="16">
        <f t="shared" si="1"/>
        <v>-0.1544502618</v>
      </c>
      <c r="H298" s="40">
        <f>VLOOKUP($A298,'Dados StatusInvest'!$A:$AY,column(H298)-$A$5,0)*VLOOKUP($A298,'Dados StatusInvest'!$A:$AY,2,0)/$E298/100</f>
        <v>0</v>
      </c>
      <c r="I298" s="41">
        <f>VLOOKUP($A298,'Dados StatusInvest'!$A:$AY,column(I298)-$A$5,0)/VLOOKUP($A298,'Dados StatusInvest'!$A:$AY,2,0)*$E298</f>
        <v>11.10735476</v>
      </c>
      <c r="J298" s="41">
        <f>VLOOKUP($A298,'Dados StatusInvest'!$A:$AY,column(J298)-$A$5,0)/VLOOKUP($A298,'Dados StatusInvest'!$A:$AY,2,0)*$E298</f>
        <v>9.717685714</v>
      </c>
      <c r="K298" s="42">
        <f>VLOOKUP($A298,'Dados StatusInvest'!$A:$AY,column(K298)-$A$5,0)/VLOOKUP($A298,'Dados StatusInvest'!$A:$AY,2,0)*$E298</f>
        <v>1.879552381</v>
      </c>
      <c r="L298" s="43">
        <f>VLOOKUP($A298,'Dados StatusInvest'!$A:$AY,column(L298)-$A$5,0)/100</f>
        <v>0.3824</v>
      </c>
      <c r="M298" s="44">
        <f>VLOOKUP($A298,'Dados StatusInvest'!$A:$AY,column(M298)-$A$5,0)</f>
        <v>28.3</v>
      </c>
      <c r="N298" s="47">
        <f>VLOOKUP($A298,'Dados StatusInvest'!$A:$AY,column(N298)-$A$5,0)</f>
        <v>16.49</v>
      </c>
      <c r="O298" s="41">
        <f>VLOOKUP($A298,'Dados StatusInvest'!$A:$AY,column(O298)-$A$5,0)/VLOOKUP($A298,'Dados StatusInvest'!$A:$AY,2,0)*$E298</f>
        <v>6.478457143</v>
      </c>
      <c r="P298" s="41">
        <f>VLOOKUP($A298,'Dados StatusInvest'!$A:$AY,column(P298)-$A$5,0)-VLOOKUP($A298,'Dados StatusInvest'!$A:$AY,column(P298)-$A$5-1,0)+O298</f>
        <v>2.668457143</v>
      </c>
      <c r="Q298" s="44">
        <f>VLOOKUP($A298,'Dados StatusInvest'!$A:$AY,column(Q298)-$A$5,0)</f>
        <v>0</v>
      </c>
      <c r="R298" s="44">
        <f>VLOOKUP($A298,'Dados StatusInvest'!$A:$AY,column(R298)-$A$5,0)</f>
        <v>0</v>
      </c>
      <c r="S298" s="41">
        <f>VLOOKUP($A298,'Dados StatusInvest'!$A:$AY,column(S298)-$A$5,0)/VLOOKUP($A298,'Dados StatusInvest'!$A:$AY,2,0)*$E298</f>
        <v>1.829564286</v>
      </c>
      <c r="T298" s="42">
        <f>VLOOKUP($A298,'Dados StatusInvest'!$A:$AY,column(T298)-$A$5,0)/VLOOKUP($A298,'Dados StatusInvest'!$A:$AY,2,0)*$E298</f>
        <v>14.79647619</v>
      </c>
      <c r="U298" s="44">
        <f>VLOOKUP($A298,'Dados StatusInvest'!$A:$AY,column(U298)-$A$5,0)</f>
        <v>-3.25</v>
      </c>
      <c r="V298" s="45">
        <f>VLOOKUP($A298,'Dados StatusInvest'!$A:$AY,column(V298)-$A$5,0)</f>
        <v>1.43</v>
      </c>
      <c r="W298" s="48">
        <f>VLOOKUP($A298,'Dados StatusInvest'!$A:$AY,column(W298)-$A$5,0)</f>
        <v>87.48</v>
      </c>
      <c r="X298" s="45">
        <f>VLOOKUP($A298,'Dados StatusInvest'!$A:$AY,column(X298)-$A$5,0)</f>
        <v>16.88</v>
      </c>
      <c r="Y298" s="45">
        <f>VLOOKUP($A298,'Dados StatusInvest'!$A:$AY,column(Y298)-$A$5,0)</f>
        <v>112.54</v>
      </c>
      <c r="Z298" s="44">
        <f>VLOOKUP($A298,'Dados StatusInvest'!$A:$AY,column(Z298)-$A$5,0)</f>
        <v>0.19</v>
      </c>
      <c r="AA298" s="44">
        <f>VLOOKUP($A298,'Dados StatusInvest'!$A:$AY,column(AA298)-$A$5,0)</f>
        <v>0.81</v>
      </c>
      <c r="AB298" s="44">
        <f>VLOOKUP($A298,'Dados StatusInvest'!$A:$AY,column(AB298)-$A$5,0)</f>
        <v>1.02</v>
      </c>
      <c r="AC298" s="44">
        <f>VLOOKUP($A298,'Dados StatusInvest'!$A:$AY,column(AC298)-$A$5,0)</f>
        <v>11.33</v>
      </c>
      <c r="AD298" s="45">
        <f>VLOOKUP($A298,'Dados StatusInvest'!$A:$AY,column(AD298)-$A$5,0)</f>
        <v>0</v>
      </c>
      <c r="AE298" s="46">
        <f>VLOOKUP($A298,'Dados StatusInvest'!$A:$AY,column(AE298)-$A$5,0)</f>
        <v>462291.5</v>
      </c>
      <c r="AF298" s="18"/>
    </row>
    <row r="299">
      <c r="A299" s="10" t="s">
        <v>345</v>
      </c>
      <c r="B299" s="39" t="str">
        <f>VLOOKUP(lEFT($A299,4),Setor!$A:$E,3,0)</f>
        <v>Consumo Cíclico</v>
      </c>
      <c r="C299" s="39" t="str">
        <f>VLOOKUP(lEFT($A299,4),Setor!$A:$E,4,0)</f>
        <v>Comércio</v>
      </c>
      <c r="D299" s="39" t="str">
        <f>VLOOKUP(lEFT($A299,4),Setor!$A:$E,5,0)</f>
        <v>Tecidos, Vestuário e Calçados</v>
      </c>
      <c r="E299" s="17">
        <f>IFERROR(__xludf.DUMMYFUNCTION("GOOGLEFINANCE(A299)"),46.34)</f>
        <v>46.34</v>
      </c>
      <c r="F299" s="17">
        <f>IFERROR(__xludf.DUMMYFUNCTION("GOOGLEFINANCE($A299,""high52"")"),47.0)</f>
        <v>47</v>
      </c>
      <c r="G299" s="16">
        <f t="shared" si="1"/>
        <v>-0.01404255319</v>
      </c>
      <c r="H299" s="40">
        <f>VLOOKUP($A299,'Dados StatusInvest'!$A:$AY,column(H299)-$A$5,0)*VLOOKUP($A299,'Dados StatusInvest'!$A:$AY,2,0)/$E299/100</f>
        <v>0.04098817436</v>
      </c>
      <c r="I299" s="41">
        <f>VLOOKUP($A299,'Dados StatusInvest'!$A:$AY,column(I299)-$A$5,0)/VLOOKUP($A299,'Dados StatusInvest'!$A:$AY,2,0)*$E299</f>
        <v>14.22629842</v>
      </c>
      <c r="J299" s="41">
        <f>VLOOKUP($A299,'Dados StatusInvest'!$A:$AY,column(J299)-$A$5,0)/VLOOKUP($A299,'Dados StatusInvest'!$A:$AY,2,0)*$E299</f>
        <v>1.305352113</v>
      </c>
      <c r="K299" s="42">
        <f>VLOOKUP($A299,'Dados StatusInvest'!$A:$AY,column(K299)-$A$5,0)/VLOOKUP($A299,'Dados StatusInvest'!$A:$AY,2,0)*$E299</f>
        <v>0.9484198944</v>
      </c>
      <c r="L299" s="43">
        <f>VLOOKUP($A299,'Dados StatusInvest'!$A:$AY,column(L299)-$A$5,0)/100</f>
        <v>0.5329</v>
      </c>
      <c r="M299" s="44">
        <f>VLOOKUP($A299,'Dados StatusInvest'!$A:$AY,column(M299)-$A$5,0)</f>
        <v>25.34</v>
      </c>
      <c r="N299" s="44">
        <f>VLOOKUP($A299,'Dados StatusInvest'!$A:$AY,column(N299)-$A$5,0)</f>
        <v>11.84</v>
      </c>
      <c r="O299" s="41">
        <f>VLOOKUP($A299,'Dados StatusInvest'!$A:$AY,column(O299)-$A$5,0)/VLOOKUP($A299,'Dados StatusInvest'!$A:$AY,2,0)*$E299</f>
        <v>6.649137324</v>
      </c>
      <c r="P299" s="41">
        <f>VLOOKUP($A299,'Dados StatusInvest'!$A:$AY,column(P299)-$A$5,0)-VLOOKUP($A299,'Dados StatusInvest'!$A:$AY,column(P299)-$A$5-1,0)+O299</f>
        <v>5.789137324</v>
      </c>
      <c r="Q299" s="44">
        <f>VLOOKUP($A299,'Dados StatusInvest'!$A:$AY,column(Q299)-$A$5,0)</f>
        <v>-0.84</v>
      </c>
      <c r="R299" s="44">
        <f>VLOOKUP($A299,'Dados StatusInvest'!$A:$AY,column(R299)-$A$5,0)</f>
        <v>-0.16</v>
      </c>
      <c r="S299" s="41">
        <f>VLOOKUP($A299,'Dados StatusInvest'!$A:$AY,column(S299)-$A$5,0)/VLOOKUP($A299,'Dados StatusInvest'!$A:$AY,2,0)*$E299</f>
        <v>1.682680458</v>
      </c>
      <c r="T299" s="42">
        <f>VLOOKUP($A299,'Dados StatusInvest'!$A:$AY,column(T299)-$A$5,0)/VLOOKUP($A299,'Dados StatusInvest'!$A:$AY,2,0)*$E299</f>
        <v>3.130805458</v>
      </c>
      <c r="U299" s="44">
        <f>VLOOKUP($A299,'Dados StatusInvest'!$A:$AY,column(U299)-$A$5,0)</f>
        <v>-1.83</v>
      </c>
      <c r="V299" s="45">
        <f>VLOOKUP($A299,'Dados StatusInvest'!$A:$AY,column(V299)-$A$5,0)</f>
        <v>2.64</v>
      </c>
      <c r="W299" s="48">
        <f>VLOOKUP($A299,'Dados StatusInvest'!$A:$AY,column(W299)-$A$5,0)</f>
        <v>9.18</v>
      </c>
      <c r="X299" s="48">
        <f>VLOOKUP($A299,'Dados StatusInvest'!$A:$AY,column(X299)-$A$5,0)</f>
        <v>6.69</v>
      </c>
      <c r="Y299" s="48">
        <f>VLOOKUP($A299,'Dados StatusInvest'!$A:$AY,column(Y299)-$A$5,0)</f>
        <v>15.95</v>
      </c>
      <c r="Z299" s="44">
        <f>VLOOKUP($A299,'Dados StatusInvest'!$A:$AY,column(Z299)-$A$5,0)</f>
        <v>0.73</v>
      </c>
      <c r="AA299" s="44">
        <f>VLOOKUP($A299,'Dados StatusInvest'!$A:$AY,column(AA299)-$A$5,0)</f>
        <v>0.27</v>
      </c>
      <c r="AB299" s="44">
        <f>VLOOKUP($A299,'Dados StatusInvest'!$A:$AY,column(AB299)-$A$5,0)</f>
        <v>0.57</v>
      </c>
      <c r="AC299" s="44">
        <f>VLOOKUP($A299,'Dados StatusInvest'!$A:$AY,column(AC299)-$A$5,0)</f>
        <v>3.76</v>
      </c>
      <c r="AD299" s="45">
        <f>VLOOKUP($A299,'Dados StatusInvest'!$A:$AY,column(AD299)-$A$5,0)</f>
        <v>6.48</v>
      </c>
      <c r="AE299" s="46">
        <f>VLOOKUP($A299,'Dados StatusInvest'!$A:$AY,column(AE299)-$A$5,0)</f>
        <v>565649.79</v>
      </c>
      <c r="AF299" s="50"/>
    </row>
    <row r="300">
      <c r="A300" s="10" t="s">
        <v>346</v>
      </c>
      <c r="B300" s="52" t="str">
        <f>VLOOKUP(LEFT($A300,4),Setor!$A:$E,3,0)</f>
        <v>#N/A</v>
      </c>
      <c r="C300" s="52" t="str">
        <f>VLOOKUP(LEFT($A300,4),Setor!$A:$E,4,0)</f>
        <v>#N/A</v>
      </c>
      <c r="D300" s="52" t="str">
        <f>VLOOKUP(LEFT($A300,4),Setor!$A:$E,5,0)</f>
        <v>#N/A</v>
      </c>
      <c r="E300" s="53">
        <f>IFERROR(__xludf.DUMMYFUNCTION("GOOGLEFINANCE(A300)"),13.55)</f>
        <v>13.55</v>
      </c>
      <c r="F300" s="53">
        <f>IFERROR(__xludf.DUMMYFUNCTION("GOOGLEFINANCE($A300,""high52"")"),19.99)</f>
        <v>19.99</v>
      </c>
      <c r="G300" s="54">
        <f t="shared" si="1"/>
        <v>-0.3221610805</v>
      </c>
      <c r="H300" s="55">
        <f>VLOOKUP($A300,'Dados StatusInvest'!$A:$AY,COLUMN(H300)-$A$5,0)*VLOOKUP($A300,'Dados StatusInvest'!$A:$AY,2,0)/$E300/100</f>
        <v>0</v>
      </c>
      <c r="I300" s="56">
        <f>VLOOKUP($A300,'Dados StatusInvest'!$A:$AY,COLUMN(I300)-$A$5,0)/VLOOKUP($A300,'Dados StatusInvest'!$A:$AY,2,0)*$E300</f>
        <v>-30.77987351</v>
      </c>
      <c r="J300" s="56">
        <f>VLOOKUP($A300,'Dados StatusInvest'!$A:$AY,COLUMN(J300)-$A$5,0)/VLOOKUP($A300,'Dados StatusInvest'!$A:$AY,2,0)*$E300</f>
        <v>0.7863839286</v>
      </c>
      <c r="K300" s="57">
        <f>VLOOKUP($A300,'Dados StatusInvest'!$A:$AY,COLUMN(K300)-$A$5,0)/VLOOKUP($A300,'Dados StatusInvest'!$A:$AY,2,0)*$E300</f>
        <v>0.4133556548</v>
      </c>
      <c r="L300" s="58">
        <f>VLOOKUP($A300,'Dados StatusInvest'!$A:$AY,COLUMN(L300)-$A$5,0)/100</f>
        <v>0.8339</v>
      </c>
      <c r="M300" s="63">
        <f>VLOOKUP($A300,'Dados StatusInvest'!$A:$AY,COLUMN(M300)-$A$5,0)</f>
        <v>97.01</v>
      </c>
      <c r="N300" s="63">
        <f>VLOOKUP($A300,'Dados StatusInvest'!$A:$AY,COLUMN(N300)-$A$5,0)</f>
        <v>-59.66</v>
      </c>
      <c r="O300" s="56">
        <f>VLOOKUP($A300,'Dados StatusInvest'!$A:$AY,COLUMN(O300)-$A$5,0)/VLOOKUP($A300,'Dados StatusInvest'!$A:$AY,2,0)*$E300</f>
        <v>18.93370536</v>
      </c>
      <c r="P300" s="56">
        <f>VLOOKUP($A300,'Dados StatusInvest'!$A:$AY,COLUMN(P300)-$A$5,0)-VLOOKUP($A300,'Dados StatusInvest'!$A:$AY,COLUMN(P300)-$A$5-1,0)+O300</f>
        <v>24.14370536</v>
      </c>
      <c r="Q300" s="59">
        <f>VLOOKUP($A300,'Dados StatusInvest'!$A:$AY,COLUMN(Q300)-$A$5,0)</f>
        <v>5.22</v>
      </c>
      <c r="R300" s="59">
        <f>VLOOKUP($A300,'Dados StatusInvest'!$A:$AY,COLUMN(R300)-$A$5,0)</f>
        <v>0.22</v>
      </c>
      <c r="S300" s="56">
        <f>VLOOKUP($A300,'Dados StatusInvest'!$A:$AY,COLUMN(S300)-$A$5,0)/VLOOKUP($A300,'Dados StatusInvest'!$A:$AY,2,0)*$E300</f>
        <v>18.35904018</v>
      </c>
      <c r="T300" s="57">
        <f>VLOOKUP($A300,'Dados StatusInvest'!$A:$AY,COLUMN(T300)-$A$5,0)/VLOOKUP($A300,'Dados StatusInvest'!$A:$AY,2,0)*$E300</f>
        <v>3.972247024</v>
      </c>
      <c r="U300" s="63">
        <f>VLOOKUP($A300,'Dados StatusInvest'!$A:$AY,COLUMN(U300)-$A$5,0)</f>
        <v>-0.5</v>
      </c>
      <c r="V300" s="60">
        <f>VLOOKUP($A300,'Dados StatusInvest'!$A:$AY,COLUMN(V300)-$A$5,0)</f>
        <v>2.25</v>
      </c>
      <c r="W300" s="61">
        <f>VLOOKUP($A300,'Dados StatusInvest'!$A:$AY,COLUMN(W300)-$A$5,0)</f>
        <v>-2.56</v>
      </c>
      <c r="X300" s="61">
        <f>VLOOKUP($A300,'Dados StatusInvest'!$A:$AY,COLUMN(X300)-$A$5,0)</f>
        <v>-1.34</v>
      </c>
      <c r="Y300" s="61">
        <f>VLOOKUP($A300,'Dados StatusInvest'!$A:$AY,COLUMN(Y300)-$A$5,0)</f>
        <v>1.26</v>
      </c>
      <c r="Z300" s="59">
        <f>VLOOKUP($A300,'Dados StatusInvest'!$A:$AY,COLUMN(Z300)-$A$5,0)</f>
        <v>0.52</v>
      </c>
      <c r="AA300" s="59">
        <f>VLOOKUP($A300,'Dados StatusInvest'!$A:$AY,COLUMN(AA300)-$A$5,0)</f>
        <v>0.39</v>
      </c>
      <c r="AB300" s="59">
        <f>VLOOKUP($A300,'Dados StatusInvest'!$A:$AY,COLUMN(AB300)-$A$5,0)</f>
        <v>0.02</v>
      </c>
      <c r="AC300" s="59">
        <f>VLOOKUP($A300,'Dados StatusInvest'!$A:$AY,COLUMN(AC300)-$A$5,0)</f>
        <v>0</v>
      </c>
      <c r="AD300" s="60">
        <f>VLOOKUP($A300,'Dados StatusInvest'!$A:$AY,COLUMN(AD300)-$A$5,0)</f>
        <v>0</v>
      </c>
      <c r="AE300" s="62">
        <f>VLOOKUP($A300,'Dados StatusInvest'!$A:$AY,COLUMN(AE300)-$A$5,0)</f>
        <v>290982.58</v>
      </c>
      <c r="AF300" s="18"/>
    </row>
    <row r="301">
      <c r="A301" s="10" t="s">
        <v>347</v>
      </c>
      <c r="B301" s="39" t="str">
        <f>VLOOKUP(lEFT($A301,4),Setor!$A:$E,3,0)</f>
        <v>Financeiro</v>
      </c>
      <c r="C301" s="39" t="str">
        <f>VLOOKUP(lEFT($A301,4),Setor!$A:$E,4,0)</f>
        <v>Intermediários Financeiros</v>
      </c>
      <c r="D301" s="39" t="str">
        <f>VLOOKUP(lEFT($A301,4),Setor!$A:$E,5,0)</f>
        <v>Bancos</v>
      </c>
      <c r="E301" s="17">
        <f>IFERROR(__xludf.DUMMYFUNCTION("GOOGLEFINANCE(A301)"),17.8)</f>
        <v>17.8</v>
      </c>
      <c r="F301" s="17">
        <f>IFERROR(__xludf.DUMMYFUNCTION("GOOGLEFINANCE($A301,""high52"")"),22.45)</f>
        <v>22.45</v>
      </c>
      <c r="G301" s="16">
        <f t="shared" si="1"/>
        <v>-0.2071269488</v>
      </c>
      <c r="H301" s="40">
        <f>VLOOKUP($A301,'Dados StatusInvest'!$A:$AY,column(H301)-$A$5,0)*VLOOKUP($A301,'Dados StatusInvest'!$A:$AY,2,0)/$E301/100</f>
        <v>0.06152185393</v>
      </c>
      <c r="I301" s="41">
        <f>VLOOKUP($A301,'Dados StatusInvest'!$A:$AY,column(I301)-$A$5,0)/VLOOKUP($A301,'Dados StatusInvest'!$A:$AY,2,0)*$E301</f>
        <v>8.250775416</v>
      </c>
      <c r="J301" s="41">
        <f>VLOOKUP($A301,'Dados StatusInvest'!$A:$AY,column(J301)-$A$5,0)/VLOOKUP($A301,'Dados StatusInvest'!$A:$AY,2,0)*$E301</f>
        <v>1.25755313</v>
      </c>
      <c r="K301" s="42">
        <f>VLOOKUP($A301,'Dados StatusInvest'!$A:$AY,column(K301)-$A$5,0)/VLOOKUP($A301,'Dados StatusInvest'!$A:$AY,2,0)*$E301</f>
        <v>0.1431361287</v>
      </c>
      <c r="L301" s="43">
        <f>VLOOKUP($A301,'Dados StatusInvest'!$A:$AY,column(L301)-$A$5,0)/100</f>
        <v>0.1812</v>
      </c>
      <c r="M301" s="44">
        <f>VLOOKUP($A301,'Dados StatusInvest'!$A:$AY,column(M301)-$A$5,0)</f>
        <v>29.72</v>
      </c>
      <c r="N301" s="47">
        <f>VLOOKUP($A301,'Dados StatusInvest'!$A:$AY,column(N301)-$A$5,0)</f>
        <v>16.22</v>
      </c>
      <c r="O301" s="41">
        <f>VLOOKUP($A301,'Dados StatusInvest'!$A:$AY,column(O301)-$A$5,0)/VLOOKUP($A301,'Dados StatusInvest'!$A:$AY,2,0)*$E301</f>
        <v>4.498564044</v>
      </c>
      <c r="P301" s="41">
        <f>VLOOKUP($A301,'Dados StatusInvest'!$A:$AY,column(P301)-$A$5,0)-VLOOKUP($A301,'Dados StatusInvest'!$A:$AY,column(P301)-$A$5-1,0)+O301</f>
        <v>4.768564044</v>
      </c>
      <c r="Q301" s="44">
        <f>VLOOKUP($A301,'Dados StatusInvest'!$A:$AY,column(Q301)-$A$5,0)</f>
        <v>0</v>
      </c>
      <c r="R301" s="44">
        <f>VLOOKUP($A301,'Dados StatusInvest'!$A:$AY,column(R301)-$A$5,0)</f>
        <v>0</v>
      </c>
      <c r="S301" s="41">
        <f>VLOOKUP($A301,'Dados StatusInvest'!$A:$AY,column(S301)-$A$5,0)/VLOOKUP($A301,'Dados StatusInvest'!$A:$AY,2,0)*$E301</f>
        <v>1.339345204</v>
      </c>
      <c r="T301" s="42">
        <f>VLOOKUP($A301,'Dados StatusInvest'!$A:$AY,column(T301)-$A$5,0)/VLOOKUP($A301,'Dados StatusInvest'!$A:$AY,2,0)*$E301</f>
        <v>0</v>
      </c>
      <c r="U301" s="47">
        <f>VLOOKUP($A301,'Dados StatusInvest'!$A:$AY,column(U301)-$A$5,0)</f>
        <v>-0.15</v>
      </c>
      <c r="V301" s="45">
        <f>VLOOKUP($A301,'Dados StatusInvest'!$A:$AY,column(V301)-$A$5,0)</f>
        <v>0</v>
      </c>
      <c r="W301" s="48">
        <f>VLOOKUP($A301,'Dados StatusInvest'!$A:$AY,column(W301)-$A$5,0)</f>
        <v>15.26</v>
      </c>
      <c r="X301" s="48">
        <f>VLOOKUP($A301,'Dados StatusInvest'!$A:$AY,column(X301)-$A$5,0)</f>
        <v>1.74</v>
      </c>
      <c r="Y301" s="45">
        <f>VLOOKUP($A301,'Dados StatusInvest'!$A:$AY,column(Y301)-$A$5,0)</f>
        <v>0</v>
      </c>
      <c r="Z301" s="44">
        <f>VLOOKUP($A301,'Dados StatusInvest'!$A:$AY,column(Z301)-$A$5,0)</f>
        <v>0.11</v>
      </c>
      <c r="AA301" s="44">
        <f>VLOOKUP($A301,'Dados StatusInvest'!$A:$AY,column(AA301)-$A$5,0)</f>
        <v>0.89</v>
      </c>
      <c r="AB301" s="44">
        <f>VLOOKUP($A301,'Dados StatusInvest'!$A:$AY,column(AB301)-$A$5,0)</f>
        <v>0.11</v>
      </c>
      <c r="AC301" s="44">
        <f>VLOOKUP($A301,'Dados StatusInvest'!$A:$AY,column(AC301)-$A$5,0)</f>
        <v>-2.12</v>
      </c>
      <c r="AD301" s="45">
        <f>VLOOKUP($A301,'Dados StatusInvest'!$A:$AY,column(AD301)-$A$5,0)</f>
        <v>10.58</v>
      </c>
      <c r="AE301" s="46">
        <f>VLOOKUP($A301,'Dados StatusInvest'!$A:$AY,column(AE301)-$A$5,0)</f>
        <v>545358.67</v>
      </c>
      <c r="AF301" s="18"/>
    </row>
    <row r="302">
      <c r="A302" s="10" t="s">
        <v>348</v>
      </c>
      <c r="B302" s="39" t="str">
        <f>VLOOKUP(lEFT($A302,4),Setor!$A:$E,3,0)</f>
        <v>Bens Industriais</v>
      </c>
      <c r="C302" s="39" t="str">
        <f>VLOOKUP(lEFT($A302,4),Setor!$A:$E,4,0)</f>
        <v>Construção e Engenharia</v>
      </c>
      <c r="D302" s="39" t="str">
        <f>VLOOKUP(lEFT($A302,4),Setor!$A:$E,5,0)</f>
        <v>Engenharia Consultiva</v>
      </c>
      <c r="E302" s="17">
        <f>IFERROR(__xludf.DUMMYFUNCTION("GOOGLEFINANCE(A302)"),2.43)</f>
        <v>2.43</v>
      </c>
      <c r="F302" s="17">
        <f>IFERROR(__xludf.DUMMYFUNCTION("GOOGLEFINANCE($A302,""high52"")"),7.69)</f>
        <v>7.69</v>
      </c>
      <c r="G302" s="16">
        <f t="shared" si="1"/>
        <v>-0.6840052016</v>
      </c>
      <c r="H302" s="40">
        <f>VLOOKUP($A302,'Dados StatusInvest'!$A:$AY,column(H302)-$A$5,0)*VLOOKUP($A302,'Dados StatusInvest'!$A:$AY,2,0)/$E302/100</f>
        <v>0</v>
      </c>
      <c r="I302" s="41">
        <f>VLOOKUP($A302,'Dados StatusInvest'!$A:$AY,column(I302)-$A$5,0)/VLOOKUP($A302,'Dados StatusInvest'!$A:$AY,2,0)*$E302</f>
        <v>-17.01</v>
      </c>
      <c r="J302" s="41">
        <f>VLOOKUP($A302,'Dados StatusInvest'!$A:$AY,column(J302)-$A$5,0)/VLOOKUP($A302,'Dados StatusInvest'!$A:$AY,2,0)*$E302</f>
        <v>72.46822314</v>
      </c>
      <c r="K302" s="42">
        <f>VLOOKUP($A302,'Dados StatusInvest'!$A:$AY,column(K302)-$A$5,0)/VLOOKUP($A302,'Dados StatusInvest'!$A:$AY,2,0)*$E302</f>
        <v>0.0702892562</v>
      </c>
      <c r="L302" s="43">
        <f>VLOOKUP($A302,'Dados StatusInvest'!$A:$AY,column(L302)-$A$5,0)/100</f>
        <v>0</v>
      </c>
      <c r="M302" s="44">
        <f>VLOOKUP($A302,'Dados StatusInvest'!$A:$AY,column(M302)-$A$5,0)</f>
        <v>0</v>
      </c>
      <c r="N302" s="44">
        <f>VLOOKUP($A302,'Dados StatusInvest'!$A:$AY,column(N302)-$A$5,0)</f>
        <v>0</v>
      </c>
      <c r="O302" s="41">
        <f>VLOOKUP($A302,'Dados StatusInvest'!$A:$AY,column(O302)-$A$5,0)/VLOOKUP($A302,'Dados StatusInvest'!$A:$AY,2,0)*$E302</f>
        <v>-19.26929752</v>
      </c>
      <c r="P302" s="41">
        <f>VLOOKUP($A302,'Dados StatusInvest'!$A:$AY,column(P302)-$A$5,0)-VLOOKUP($A302,'Dados StatusInvest'!$A:$AY,column(P302)-$A$5-1,0)+O302</f>
        <v>-61.40929752</v>
      </c>
      <c r="Q302" s="44">
        <f>VLOOKUP($A302,'Dados StatusInvest'!$A:$AY,column(Q302)-$A$5,0)</f>
        <v>-40.28</v>
      </c>
      <c r="R302" s="44">
        <f>VLOOKUP($A302,'Dados StatusInvest'!$A:$AY,column(R302)-$A$5,0)</f>
        <v>151.49</v>
      </c>
      <c r="S302" s="41">
        <f>VLOOKUP($A302,'Dados StatusInvest'!$A:$AY,column(S302)-$A$5,0)/VLOOKUP($A302,'Dados StatusInvest'!$A:$AY,2,0)*$E302</f>
        <v>0</v>
      </c>
      <c r="T302" s="42">
        <f>VLOOKUP($A302,'Dados StatusInvest'!$A:$AY,column(T302)-$A$5,0)/VLOOKUP($A302,'Dados StatusInvest'!$A:$AY,2,0)*$E302</f>
        <v>-0.160661157</v>
      </c>
      <c r="U302" s="44">
        <f>VLOOKUP($A302,'Dados StatusInvest'!$A:$AY,column(U302)-$A$5,0)</f>
        <v>-0.08</v>
      </c>
      <c r="V302" s="45">
        <f>VLOOKUP($A302,'Dados StatusInvest'!$A:$AY,column(V302)-$A$5,0)</f>
        <v>0.29</v>
      </c>
      <c r="W302" s="45">
        <f>VLOOKUP($A302,'Dados StatusInvest'!$A:$AY,column(W302)-$A$5,0)</f>
        <v>-426.13</v>
      </c>
      <c r="X302" s="45">
        <f>VLOOKUP($A302,'Dados StatusInvest'!$A:$AY,column(X302)-$A$5,0)</f>
        <v>-0.4</v>
      </c>
      <c r="Y302" s="45">
        <f>VLOOKUP($A302,'Dados StatusInvest'!$A:$AY,column(Y302)-$A$5,0)</f>
        <v>-2.47</v>
      </c>
      <c r="Z302" s="44">
        <f>VLOOKUP($A302,'Dados StatusInvest'!$A:$AY,column(Z302)-$A$5,0)</f>
        <v>0</v>
      </c>
      <c r="AA302" s="44">
        <f>VLOOKUP($A302,'Dados StatusInvest'!$A:$AY,column(AA302)-$A$5,0)</f>
        <v>1</v>
      </c>
      <c r="AB302" s="44">
        <f>VLOOKUP($A302,'Dados StatusInvest'!$A:$AY,column(AB302)-$A$5,0)</f>
        <v>0</v>
      </c>
      <c r="AC302" s="44">
        <f>VLOOKUP($A302,'Dados StatusInvest'!$A:$AY,column(AC302)-$A$5,0)</f>
        <v>0</v>
      </c>
      <c r="AD302" s="45">
        <f>VLOOKUP($A302,'Dados StatusInvest'!$A:$AY,column(AD302)-$A$5,0)</f>
        <v>0</v>
      </c>
      <c r="AE302" s="46">
        <f>VLOOKUP($A302,'Dados StatusInvest'!$A:$AY,column(AE302)-$A$5,0)</f>
        <v>363329.13</v>
      </c>
      <c r="AF302" s="18"/>
    </row>
    <row r="303">
      <c r="A303" s="10" t="s">
        <v>349</v>
      </c>
      <c r="B303" s="39" t="str">
        <f>VLOOKUP(lEFT($A303,4),Setor!$A:$E,3,0)</f>
        <v>Utilidade Pública</v>
      </c>
      <c r="C303" s="39" t="str">
        <f>VLOOKUP(lEFT($A303,4),Setor!$A:$E,4,0)</f>
        <v>Gás</v>
      </c>
      <c r="D303" s="39" t="str">
        <f>VLOOKUP(lEFT($A303,4),Setor!$A:$E,5,0)</f>
        <v>Gás</v>
      </c>
      <c r="E303" s="17">
        <f>IFERROR(__xludf.DUMMYFUNCTION("GOOGLEFINANCE(A303)"),151.83)</f>
        <v>151.83</v>
      </c>
      <c r="F303" s="17">
        <f>IFERROR(__xludf.DUMMYFUNCTION("GOOGLEFINANCE($A303,""high52"")"),196.11)</f>
        <v>196.11</v>
      </c>
      <c r="G303" s="16">
        <f t="shared" si="1"/>
        <v>-0.2257916475</v>
      </c>
      <c r="H303" s="40">
        <f>VLOOKUP($A303,'Dados StatusInvest'!$A:$AY,column(H303)-$A$5,0)*VLOOKUP($A303,'Dados StatusInvest'!$A:$AY,2,0)/$E303/100</f>
        <v>0.06152254495</v>
      </c>
      <c r="I303" s="41">
        <f>VLOOKUP($A303,'Dados StatusInvest'!$A:$AY,column(I303)-$A$5,0)/VLOOKUP($A303,'Dados StatusInvest'!$A:$AY,2,0)*$E303</f>
        <v>12.08641484</v>
      </c>
      <c r="J303" s="41">
        <f>VLOOKUP($A303,'Dados StatusInvest'!$A:$AY,column(J303)-$A$5,0)/VLOOKUP($A303,'Dados StatusInvest'!$A:$AY,2,0)*$E303</f>
        <v>13.47679945</v>
      </c>
      <c r="K303" s="42">
        <f>VLOOKUP($A303,'Dados StatusInvest'!$A:$AY,column(K303)-$A$5,0)/VLOOKUP($A303,'Dados StatusInvest'!$A:$AY,2,0)*$E303</f>
        <v>1.708186813</v>
      </c>
      <c r="L303" s="43">
        <f>VLOOKUP($A303,'Dados StatusInvest'!$A:$AY,column(L303)-$A$5,0)/100</f>
        <v>0.3139</v>
      </c>
      <c r="M303" s="44">
        <f>VLOOKUP($A303,'Dados StatusInvest'!$A:$AY,column(M303)-$A$5,0)</f>
        <v>24.74</v>
      </c>
      <c r="N303" s="44">
        <f>VLOOKUP($A303,'Dados StatusInvest'!$A:$AY,column(N303)-$A$5,0)</f>
        <v>17.35</v>
      </c>
      <c r="O303" s="41">
        <f>VLOOKUP($A303,'Dados StatusInvest'!$A:$AY,column(O303)-$A$5,0)/VLOOKUP($A303,'Dados StatusInvest'!$A:$AY,2,0)*$E303</f>
        <v>8.481346154</v>
      </c>
      <c r="P303" s="41">
        <f>VLOOKUP($A303,'Dados StatusInvest'!$A:$AY,column(P303)-$A$5,0)-VLOOKUP($A303,'Dados StatusInvest'!$A:$AY,column(P303)-$A$5-1,0)+O303</f>
        <v>10.78134615</v>
      </c>
      <c r="Q303" s="44">
        <f>VLOOKUP($A303,'Dados StatusInvest'!$A:$AY,column(Q303)-$A$5,0)</f>
        <v>1.93</v>
      </c>
      <c r="R303" s="44">
        <f>VLOOKUP($A303,'Dados StatusInvest'!$A:$AY,column(R303)-$A$5,0)</f>
        <v>3.07</v>
      </c>
      <c r="S303" s="41">
        <f>VLOOKUP($A303,'Dados StatusInvest'!$A:$AY,column(S303)-$A$5,0)/VLOOKUP($A303,'Dados StatusInvest'!$A:$AY,2,0)*$E303</f>
        <v>2.095508242</v>
      </c>
      <c r="T303" s="42">
        <f>VLOOKUP($A303,'Dados StatusInvest'!$A:$AY,column(T303)-$A$5,0)/VLOOKUP($A303,'Dados StatusInvest'!$A:$AY,2,0)*$E303</f>
        <v>14.10247253</v>
      </c>
      <c r="U303" s="44">
        <f>VLOOKUP($A303,'Dados StatusInvest'!$A:$AY,column(U303)-$A$5,0)</f>
        <v>-2.62</v>
      </c>
      <c r="V303" s="45">
        <f>VLOOKUP($A303,'Dados StatusInvest'!$A:$AY,column(V303)-$A$5,0)</f>
        <v>1.55</v>
      </c>
      <c r="W303" s="45">
        <f>VLOOKUP($A303,'Dados StatusInvest'!$A:$AY,column(W303)-$A$5,0)</f>
        <v>111.49</v>
      </c>
      <c r="X303" s="45">
        <f>VLOOKUP($A303,'Dados StatusInvest'!$A:$AY,column(X303)-$A$5,0)</f>
        <v>14.16</v>
      </c>
      <c r="Y303" s="45">
        <f>VLOOKUP($A303,'Dados StatusInvest'!$A:$AY,column(Y303)-$A$5,0)</f>
        <v>25.2</v>
      </c>
      <c r="Z303" s="44">
        <f>VLOOKUP($A303,'Dados StatusInvest'!$A:$AY,column(Z303)-$A$5,0)</f>
        <v>0.13</v>
      </c>
      <c r="AA303" s="44">
        <f>VLOOKUP($A303,'Dados StatusInvest'!$A:$AY,column(AA303)-$A$5,0)</f>
        <v>0.87</v>
      </c>
      <c r="AB303" s="44">
        <f>VLOOKUP($A303,'Dados StatusInvest'!$A:$AY,column(AB303)-$A$5,0)</f>
        <v>0.82</v>
      </c>
      <c r="AC303" s="44">
        <f>VLOOKUP($A303,'Dados StatusInvest'!$A:$AY,column(AC303)-$A$5,0)</f>
        <v>4.74</v>
      </c>
      <c r="AD303" s="45">
        <f>VLOOKUP($A303,'Dados StatusInvest'!$A:$AY,column(AD303)-$A$5,0)</f>
        <v>18.95</v>
      </c>
      <c r="AE303" s="46">
        <f>VLOOKUP($A303,'Dados StatusInvest'!$A:$AY,column(AE303)-$A$5,0)</f>
        <v>376041.67</v>
      </c>
      <c r="AF303" s="50"/>
    </row>
    <row r="304">
      <c r="A304" s="10" t="s">
        <v>350</v>
      </c>
      <c r="B304" s="39" t="str">
        <f>VLOOKUP(lEFT($A304,4),Setor!$A:$E,3,0)</f>
        <v>Financeiro</v>
      </c>
      <c r="C304" s="39" t="str">
        <f>VLOOKUP(lEFT($A304,4),Setor!$A:$E,4,0)</f>
        <v>Exploração de Imóveis</v>
      </c>
      <c r="D304" s="39" t="str">
        <f>VLOOKUP(lEFT($A304,4),Setor!$A:$E,5,0)</f>
        <v>Exploração de Imóveis</v>
      </c>
      <c r="E304" s="17">
        <f>IFERROR(__xludf.DUMMYFUNCTION("GOOGLEFINANCE(A304)"),4.93)</f>
        <v>4.93</v>
      </c>
      <c r="F304" s="17">
        <f>IFERROR(__xludf.DUMMYFUNCTION("GOOGLEFINANCE($A304,""high52"")"),18.8)</f>
        <v>18.8</v>
      </c>
      <c r="G304" s="16">
        <f t="shared" si="1"/>
        <v>-0.7377659574</v>
      </c>
      <c r="H304" s="40">
        <f>VLOOKUP($A304,'Dados StatusInvest'!$A:$AY,column(H304)-$A$5,0)*VLOOKUP($A304,'Dados StatusInvest'!$A:$AY,2,0)/$E304/100</f>
        <v>0</v>
      </c>
      <c r="I304" s="41">
        <f>VLOOKUP($A304,'Dados StatusInvest'!$A:$AY,column(I304)-$A$5,0)/VLOOKUP($A304,'Dados StatusInvest'!$A:$AY,2,0)*$E304</f>
        <v>-0.5920082816</v>
      </c>
      <c r="J304" s="41">
        <f>VLOOKUP($A304,'Dados StatusInvest'!$A:$AY,column(J304)-$A$5,0)/VLOOKUP($A304,'Dados StatusInvest'!$A:$AY,2,0)*$E304</f>
        <v>-0.06124223602</v>
      </c>
      <c r="K304" s="42">
        <f>VLOOKUP($A304,'Dados StatusInvest'!$A:$AY,column(K304)-$A$5,0)/VLOOKUP($A304,'Dados StatusInvest'!$A:$AY,2,0)*$E304</f>
        <v>0.4286956522</v>
      </c>
      <c r="L304" s="43">
        <f>VLOOKUP($A304,'Dados StatusInvest'!$A:$AY,column(L304)-$A$5,0)/100</f>
        <v>0.9396</v>
      </c>
      <c r="M304" s="47">
        <f>VLOOKUP($A304,'Dados StatusInvest'!$A:$AY,column(M304)-$A$5,0)</f>
        <v>-1452.23</v>
      </c>
      <c r="N304" s="47">
        <f>VLOOKUP($A304,'Dados StatusInvest'!$A:$AY,column(N304)-$A$5,0)</f>
        <v>-2165.07</v>
      </c>
      <c r="O304" s="41">
        <f>VLOOKUP($A304,'Dados StatusInvest'!$A:$AY,column(O304)-$A$5,0)/VLOOKUP($A304,'Dados StatusInvest'!$A:$AY,2,0)*$E304</f>
        <v>-0.877805383</v>
      </c>
      <c r="P304" s="41">
        <f>VLOOKUP($A304,'Dados StatusInvest'!$A:$AY,column(P304)-$A$5,0)-VLOOKUP($A304,'Dados StatusInvest'!$A:$AY,column(P304)-$A$5-1,0)+O304</f>
        <v>-8.357805383</v>
      </c>
      <c r="Q304" s="44">
        <f>VLOOKUP($A304,'Dados StatusInvest'!$A:$AY,column(Q304)-$A$5,0)</f>
        <v>-7.46</v>
      </c>
      <c r="R304" s="44">
        <f>VLOOKUP($A304,'Dados StatusInvest'!$A:$AY,column(R304)-$A$5,0)</f>
        <v>0</v>
      </c>
      <c r="S304" s="41">
        <f>VLOOKUP($A304,'Dados StatusInvest'!$A:$AY,column(S304)-$A$5,0)/VLOOKUP($A304,'Dados StatusInvest'!$A:$AY,2,0)*$E304</f>
        <v>12.79962733</v>
      </c>
      <c r="T304" s="42">
        <f>VLOOKUP($A304,'Dados StatusInvest'!$A:$AY,column(T304)-$A$5,0)/VLOOKUP($A304,'Dados StatusInvest'!$A:$AY,2,0)*$E304</f>
        <v>-0.1531055901</v>
      </c>
      <c r="U304" s="44">
        <f>VLOOKUP($A304,'Dados StatusInvest'!$A:$AY,column(U304)-$A$5,0)</f>
        <v>-0.47</v>
      </c>
      <c r="V304" s="45">
        <f>VLOOKUP($A304,'Dados StatusInvest'!$A:$AY,column(V304)-$A$5,0)</f>
        <v>0.04</v>
      </c>
      <c r="W304" s="45">
        <f>VLOOKUP($A304,'Dados StatusInvest'!$A:$AY,column(W304)-$A$5,0)</f>
        <v>-10.25</v>
      </c>
      <c r="X304" s="45">
        <f>VLOOKUP($A304,'Dados StatusInvest'!$A:$AY,column(X304)-$A$5,0)</f>
        <v>-72.17</v>
      </c>
      <c r="Y304" s="45">
        <f>VLOOKUP($A304,'Dados StatusInvest'!$A:$AY,column(Y304)-$A$5,0)</f>
        <v>14.41</v>
      </c>
      <c r="Z304" s="44">
        <f>VLOOKUP($A304,'Dados StatusInvest'!$A:$AY,column(Z304)-$A$5,0)</f>
        <v>-7.04</v>
      </c>
      <c r="AA304" s="44">
        <f>VLOOKUP($A304,'Dados StatusInvest'!$A:$AY,column(AA304)-$A$5,0)</f>
        <v>8.04</v>
      </c>
      <c r="AB304" s="44">
        <f>VLOOKUP($A304,'Dados StatusInvest'!$A:$AY,column(AB304)-$A$5,0)</f>
        <v>0.03</v>
      </c>
      <c r="AC304" s="44">
        <f>VLOOKUP($A304,'Dados StatusInvest'!$A:$AY,column(AC304)-$A$5,0)</f>
        <v>-9.35</v>
      </c>
      <c r="AD304" s="45">
        <f>VLOOKUP($A304,'Dados StatusInvest'!$A:$AY,column(AD304)-$A$5,0)</f>
        <v>0</v>
      </c>
      <c r="AE304" s="46">
        <f>VLOOKUP($A304,'Dados StatusInvest'!$A:$AY,column(AE304)-$A$5,0)</f>
        <v>568615.88</v>
      </c>
      <c r="AF304" s="50"/>
    </row>
    <row r="305">
      <c r="A305" s="10" t="s">
        <v>351</v>
      </c>
      <c r="B305" s="52" t="str">
        <f>VLOOKUP(LEFT($A305,4),Setor!$A:$E,3,0)</f>
        <v>#N/A</v>
      </c>
      <c r="C305" s="52" t="str">
        <f>VLOOKUP(LEFT($A305,4),Setor!$A:$E,4,0)</f>
        <v>#N/A</v>
      </c>
      <c r="D305" s="52" t="str">
        <f>VLOOKUP(LEFT($A305,4),Setor!$A:$E,5,0)</f>
        <v>#N/A</v>
      </c>
      <c r="E305" s="53">
        <f>IFERROR(__xludf.DUMMYFUNCTION("GOOGLEFINANCE(A305)"),4.58)</f>
        <v>4.58</v>
      </c>
      <c r="F305" s="53">
        <f>IFERROR(__xludf.DUMMYFUNCTION("GOOGLEFINANCE($A305,""high52"")"),11.2)</f>
        <v>11.2</v>
      </c>
      <c r="G305" s="54">
        <f t="shared" si="1"/>
        <v>-0.5910714286</v>
      </c>
      <c r="H305" s="55">
        <f>VLOOKUP($A305,'Dados StatusInvest'!$A:$AY,COLUMN(H305)-$A$5,0)*VLOOKUP($A305,'Dados StatusInvest'!$A:$AY,2,0)/$E305/100</f>
        <v>0.009707860262</v>
      </c>
      <c r="I305" s="56">
        <f>VLOOKUP($A305,'Dados StatusInvest'!$A:$AY,COLUMN(I305)-$A$5,0)/VLOOKUP($A305,'Dados StatusInvest'!$A:$AY,2,0)*$E305</f>
        <v>42.84672304</v>
      </c>
      <c r="J305" s="56">
        <f>VLOOKUP($A305,'Dados StatusInvest'!$A:$AY,COLUMN(J305)-$A$5,0)/VLOOKUP($A305,'Dados StatusInvest'!$A:$AY,2,0)*$E305</f>
        <v>2.343255814</v>
      </c>
      <c r="K305" s="57">
        <f>VLOOKUP($A305,'Dados StatusInvest'!$A:$AY,COLUMN(K305)-$A$5,0)/VLOOKUP($A305,'Dados StatusInvest'!$A:$AY,2,0)*$E305</f>
        <v>0.5325581395</v>
      </c>
      <c r="L305" s="58">
        <f>VLOOKUP($A305,'Dados StatusInvest'!$A:$AY,COLUMN(L305)-$A$5,0)/100</f>
        <v>1.2012</v>
      </c>
      <c r="M305" s="59">
        <f>VLOOKUP($A305,'Dados StatusInvest'!$A:$AY,COLUMN(M305)-$A$5,0)</f>
        <v>32.34</v>
      </c>
      <c r="N305" s="59">
        <f>VLOOKUP($A305,'Dados StatusInvest'!$A:$AY,COLUMN(N305)-$A$5,0)</f>
        <v>20.69</v>
      </c>
      <c r="O305" s="56">
        <f>VLOOKUP($A305,'Dados StatusInvest'!$A:$AY,COLUMN(O305)-$A$5,0)/VLOOKUP($A305,'Dados StatusInvest'!$A:$AY,2,0)*$E305</f>
        <v>27.402537</v>
      </c>
      <c r="P305" s="56">
        <f>VLOOKUP($A305,'Dados StatusInvest'!$A:$AY,COLUMN(P305)-$A$5,0)-VLOOKUP($A305,'Dados StatusInvest'!$A:$AY,COLUMN(P305)-$A$5-1,0)+O305</f>
        <v>31.532537</v>
      </c>
      <c r="Q305" s="59">
        <f>VLOOKUP($A305,'Dados StatusInvest'!$A:$AY,COLUMN(Q305)-$A$5,0)</f>
        <v>0</v>
      </c>
      <c r="R305" s="59">
        <f>VLOOKUP($A305,'Dados StatusInvest'!$A:$AY,COLUMN(R305)-$A$5,0)</f>
        <v>0</v>
      </c>
      <c r="S305" s="56">
        <f>VLOOKUP($A305,'Dados StatusInvest'!$A:$AY,COLUMN(S305)-$A$5,0)/VLOOKUP($A305,'Dados StatusInvest'!$A:$AY,2,0)*$E305</f>
        <v>8.859830867</v>
      </c>
      <c r="T305" s="57">
        <f>VLOOKUP($A305,'Dados StatusInvest'!$A:$AY,COLUMN(T305)-$A$5,0)/VLOOKUP($A305,'Dados StatusInvest'!$A:$AY,2,0)*$E305</f>
        <v>0</v>
      </c>
      <c r="U305" s="59">
        <f>VLOOKUP($A305,'Dados StatusInvest'!$A:$AY,COLUMN(U305)-$A$5,0)</f>
        <v>-0.85</v>
      </c>
      <c r="V305" s="60">
        <f>VLOOKUP($A305,'Dados StatusInvest'!$A:$AY,COLUMN(V305)-$A$5,0)</f>
        <v>0</v>
      </c>
      <c r="W305" s="61">
        <f>VLOOKUP($A305,'Dados StatusInvest'!$A:$AY,COLUMN(W305)-$A$5,0)</f>
        <v>5.46</v>
      </c>
      <c r="X305" s="60">
        <f>VLOOKUP($A305,'Dados StatusInvest'!$A:$AY,COLUMN(X305)-$A$5,0)</f>
        <v>1.23</v>
      </c>
      <c r="Y305" s="60">
        <f>VLOOKUP($A305,'Dados StatusInvest'!$A:$AY,COLUMN(Y305)-$A$5,0)</f>
        <v>0</v>
      </c>
      <c r="Z305" s="59">
        <f>VLOOKUP($A305,'Dados StatusInvest'!$A:$AY,COLUMN(Z305)-$A$5,0)</f>
        <v>0.23</v>
      </c>
      <c r="AA305" s="59">
        <f>VLOOKUP($A305,'Dados StatusInvest'!$A:$AY,COLUMN(AA305)-$A$5,0)</f>
        <v>0.77</v>
      </c>
      <c r="AB305" s="59">
        <f>VLOOKUP($A305,'Dados StatusInvest'!$A:$AY,COLUMN(AB305)-$A$5,0)</f>
        <v>0.06</v>
      </c>
      <c r="AC305" s="59">
        <f>VLOOKUP($A305,'Dados StatusInvest'!$A:$AY,COLUMN(AC305)-$A$5,0)</f>
        <v>0</v>
      </c>
      <c r="AD305" s="60">
        <f>VLOOKUP($A305,'Dados StatusInvest'!$A:$AY,COLUMN(AD305)-$A$5,0)</f>
        <v>0</v>
      </c>
      <c r="AE305" s="62">
        <f>VLOOKUP($A305,'Dados StatusInvest'!$A:$AY,COLUMN(AE305)-$A$5,0)</f>
        <v>290776.13</v>
      </c>
      <c r="AF305" s="18"/>
    </row>
    <row r="306">
      <c r="A306" s="10" t="s">
        <v>352</v>
      </c>
      <c r="B306" s="39" t="str">
        <f>VLOOKUP(lEFT($A306,4),Setor!$A:$E,3,0)</f>
        <v>Materiais Básicos</v>
      </c>
      <c r="C306" s="39" t="str">
        <f>VLOOKUP(lEFT($A306,4),Setor!$A:$E,4,0)</f>
        <v>Siderurgia e Metalurgia</v>
      </c>
      <c r="D306" s="39" t="str">
        <f>VLOOKUP(lEFT($A306,4),Setor!$A:$E,5,0)</f>
        <v>Siderurgia</v>
      </c>
      <c r="E306" s="17">
        <f>IFERROR(__xludf.DUMMYFUNCTION("GOOGLEFINANCE(A306)"),11.32)</f>
        <v>11.32</v>
      </c>
      <c r="F306" s="17">
        <f>IFERROR(__xludf.DUMMYFUNCTION("GOOGLEFINANCE($A306,""high52"")"),15.96)</f>
        <v>15.96</v>
      </c>
      <c r="G306" s="16">
        <f t="shared" si="1"/>
        <v>-0.290726817</v>
      </c>
      <c r="H306" s="40">
        <f>VLOOKUP($A306,'Dados StatusInvest'!$A:$AY,column(H306)-$A$5,0)*VLOOKUP($A306,'Dados StatusInvest'!$A:$AY,2,0)/$E306/100</f>
        <v>0.08215459364</v>
      </c>
      <c r="I306" s="41">
        <f>VLOOKUP($A306,'Dados StatusInvest'!$A:$AY,column(I306)-$A$5,0)/VLOOKUP($A306,'Dados StatusInvest'!$A:$AY,2,0)*$E306</f>
        <v>4.75840708</v>
      </c>
      <c r="J306" s="41">
        <f>VLOOKUP($A306,'Dados StatusInvest'!$A:$AY,column(J306)-$A$5,0)/VLOOKUP($A306,'Dados StatusInvest'!$A:$AY,2,0)*$E306</f>
        <v>0.9216283186</v>
      </c>
      <c r="K306" s="42">
        <f>VLOOKUP($A306,'Dados StatusInvest'!$A:$AY,column(K306)-$A$5,0)/VLOOKUP($A306,'Dados StatusInvest'!$A:$AY,2,0)*$E306</f>
        <v>0.1803185841</v>
      </c>
      <c r="L306" s="43">
        <f>VLOOKUP($A306,'Dados StatusInvest'!$A:$AY,column(L306)-$A$5,0)/100</f>
        <v>0.2213</v>
      </c>
      <c r="M306" s="47">
        <f>VLOOKUP($A306,'Dados StatusInvest'!$A:$AY,column(M306)-$A$5,0)</f>
        <v>21.28</v>
      </c>
      <c r="N306" s="47">
        <f>VLOOKUP($A306,'Dados StatusInvest'!$A:$AY,column(N306)-$A$5,0)</f>
        <v>4.22</v>
      </c>
      <c r="O306" s="41">
        <f>VLOOKUP($A306,'Dados StatusInvest'!$A:$AY,column(O306)-$A$5,0)/VLOOKUP($A306,'Dados StatusInvest'!$A:$AY,2,0)*$E306</f>
        <v>0.9416637168</v>
      </c>
      <c r="P306" s="41">
        <f>VLOOKUP($A306,'Dados StatusInvest'!$A:$AY,column(P306)-$A$5,0)-VLOOKUP($A306,'Dados StatusInvest'!$A:$AY,column(P306)-$A$5-1,0)+O306</f>
        <v>1.671663717</v>
      </c>
      <c r="Q306" s="44">
        <f>VLOOKUP($A306,'Dados StatusInvest'!$A:$AY,column(Q306)-$A$5,0)</f>
        <v>0.66</v>
      </c>
      <c r="R306" s="44">
        <f>VLOOKUP($A306,'Dados StatusInvest'!$A:$AY,column(R306)-$A$5,0)</f>
        <v>0.65</v>
      </c>
      <c r="S306" s="41">
        <f>VLOOKUP($A306,'Dados StatusInvest'!$A:$AY,column(S306)-$A$5,0)/VLOOKUP($A306,'Dados StatusInvest'!$A:$AY,2,0)*$E306</f>
        <v>0.2003539823</v>
      </c>
      <c r="T306" s="42">
        <f>VLOOKUP($A306,'Dados StatusInvest'!$A:$AY,column(T306)-$A$5,0)/VLOOKUP($A306,'Dados StatusInvest'!$A:$AY,2,0)*$E306</f>
        <v>0.6511504425</v>
      </c>
      <c r="U306" s="44">
        <f>VLOOKUP($A306,'Dados StatusInvest'!$A:$AY,column(U306)-$A$5,0)</f>
        <v>-0.32</v>
      </c>
      <c r="V306" s="45">
        <f>VLOOKUP($A306,'Dados StatusInvest'!$A:$AY,column(V306)-$A$5,0)</f>
        <v>2.72</v>
      </c>
      <c r="W306" s="48">
        <f>VLOOKUP($A306,'Dados StatusInvest'!$A:$AY,column(W306)-$A$5,0)</f>
        <v>19.37</v>
      </c>
      <c r="X306" s="48">
        <f>VLOOKUP($A306,'Dados StatusInvest'!$A:$AY,column(X306)-$A$5,0)</f>
        <v>3.77</v>
      </c>
      <c r="Y306" s="48">
        <f>VLOOKUP($A306,'Dados StatusInvest'!$A:$AY,column(Y306)-$A$5,0)</f>
        <v>17.91</v>
      </c>
      <c r="Z306" s="44">
        <f>VLOOKUP($A306,'Dados StatusInvest'!$A:$AY,column(Z306)-$A$5,0)</f>
        <v>0.19</v>
      </c>
      <c r="AA306" s="44">
        <f>VLOOKUP($A306,'Dados StatusInvest'!$A:$AY,column(AA306)-$A$5,0)</f>
        <v>0.45</v>
      </c>
      <c r="AB306" s="44">
        <f>VLOOKUP($A306,'Dados StatusInvest'!$A:$AY,column(AB306)-$A$5,0)</f>
        <v>0.9</v>
      </c>
      <c r="AC306" s="44">
        <f>VLOOKUP($A306,'Dados StatusInvest'!$A:$AY,column(AC306)-$A$5,0)</f>
        <v>0.11</v>
      </c>
      <c r="AD306" s="45">
        <f>VLOOKUP($A306,'Dados StatusInvest'!$A:$AY,column(AD306)-$A$5,0)</f>
        <v>0</v>
      </c>
      <c r="AE306" s="46">
        <f>VLOOKUP($A306,'Dados StatusInvest'!$A:$AY,column(AE306)-$A$5,0)</f>
        <v>447219.63</v>
      </c>
      <c r="AF306" s="50"/>
    </row>
    <row r="307">
      <c r="A307" s="10" t="s">
        <v>353</v>
      </c>
      <c r="B307" s="39" t="str">
        <f>VLOOKUP(lEFT($A307,4),Setor!$A:$E,3,0)</f>
        <v>Bens Industriais</v>
      </c>
      <c r="C307" s="39" t="str">
        <f>VLOOKUP(lEFT($A307,4),Setor!$A:$E,4,0)</f>
        <v>Material de Transporte</v>
      </c>
      <c r="D307" s="39" t="str">
        <f>VLOOKUP(lEFT($A307,4),Setor!$A:$E,5,0)</f>
        <v>Material Rodoviário</v>
      </c>
      <c r="E307" s="17">
        <f>IFERROR(__xludf.DUMMYFUNCTION("GOOGLEFINANCE(A307)"),13.16)</f>
        <v>13.16</v>
      </c>
      <c r="F307" s="17">
        <f>IFERROR(__xludf.DUMMYFUNCTION("GOOGLEFINANCE($A307,""high52"")"),14.0)</f>
        <v>14</v>
      </c>
      <c r="G307" s="16">
        <f t="shared" si="1"/>
        <v>-0.06</v>
      </c>
      <c r="H307" s="40">
        <f>VLOOKUP($A307,'Dados StatusInvest'!$A:$AY,column(H307)-$A$5,0)*VLOOKUP($A307,'Dados StatusInvest'!$A:$AY,2,0)/$E307/100</f>
        <v>0.04936914894</v>
      </c>
      <c r="I307" s="41">
        <f>VLOOKUP($A307,'Dados StatusInvest'!$A:$AY,column(I307)-$A$5,0)/VLOOKUP($A307,'Dados StatusInvest'!$A:$AY,2,0)*$E307</f>
        <v>5.276129032</v>
      </c>
      <c r="J307" s="41">
        <f>VLOOKUP($A307,'Dados StatusInvest'!$A:$AY,column(J307)-$A$5,0)/VLOOKUP($A307,'Dados StatusInvest'!$A:$AY,2,0)*$E307</f>
        <v>1.991182796</v>
      </c>
      <c r="K307" s="42">
        <f>VLOOKUP($A307,'Dados StatusInvest'!$A:$AY,column(K307)-$A$5,0)/VLOOKUP($A307,'Dados StatusInvest'!$A:$AY,2,0)*$E307</f>
        <v>0.4952688172</v>
      </c>
      <c r="L307" s="43">
        <f>VLOOKUP($A307,'Dados StatusInvest'!$A:$AY,column(L307)-$A$5,0)/100</f>
        <v>0.2648</v>
      </c>
      <c r="M307" s="47">
        <f>VLOOKUP($A307,'Dados StatusInvest'!$A:$AY,column(M307)-$A$5,0)</f>
        <v>19.26</v>
      </c>
      <c r="N307" s="47">
        <f>VLOOKUP($A307,'Dados StatusInvest'!$A:$AY,column(N307)-$A$5,0)</f>
        <v>11.83</v>
      </c>
      <c r="O307" s="41">
        <f>VLOOKUP($A307,'Dados StatusInvest'!$A:$AY,column(O307)-$A$5,0)/VLOOKUP($A307,'Dados StatusInvest'!$A:$AY,2,0)*$E307</f>
        <v>3.244516129</v>
      </c>
      <c r="P307" s="41">
        <f>VLOOKUP($A307,'Dados StatusInvest'!$A:$AY,column(P307)-$A$5,0)-VLOOKUP($A307,'Dados StatusInvest'!$A:$AY,column(P307)-$A$5-1,0)+O307</f>
        <v>4.364516129</v>
      </c>
      <c r="Q307" s="44">
        <f>VLOOKUP($A307,'Dados StatusInvest'!$A:$AY,column(Q307)-$A$5,0)</f>
        <v>1.4</v>
      </c>
      <c r="R307" s="44">
        <f>VLOOKUP($A307,'Dados StatusInvest'!$A:$AY,column(R307)-$A$5,0)</f>
        <v>0.86</v>
      </c>
      <c r="S307" s="41">
        <f>VLOOKUP($A307,'Dados StatusInvest'!$A:$AY,column(S307)-$A$5,0)/VLOOKUP($A307,'Dados StatusInvest'!$A:$AY,2,0)*$E307</f>
        <v>0.6266666667</v>
      </c>
      <c r="T307" s="42">
        <f>VLOOKUP($A307,'Dados StatusInvest'!$A:$AY,column(T307)-$A$5,0)/VLOOKUP($A307,'Dados StatusInvest'!$A:$AY,2,0)*$E307</f>
        <v>1.607096774</v>
      </c>
      <c r="U307" s="44">
        <f>VLOOKUP($A307,'Dados StatusInvest'!$A:$AY,column(U307)-$A$5,0)</f>
        <v>-1.21</v>
      </c>
      <c r="V307" s="45">
        <f>VLOOKUP($A307,'Dados StatusInvest'!$A:$AY,column(V307)-$A$5,0)</f>
        <v>2.08</v>
      </c>
      <c r="W307" s="45">
        <f>VLOOKUP($A307,'Dados StatusInvest'!$A:$AY,column(W307)-$A$5,0)</f>
        <v>37.77</v>
      </c>
      <c r="X307" s="45">
        <f>VLOOKUP($A307,'Dados StatusInvest'!$A:$AY,column(X307)-$A$5,0)</f>
        <v>9.41</v>
      </c>
      <c r="Y307" s="48">
        <f>VLOOKUP($A307,'Dados StatusInvest'!$A:$AY,column(Y307)-$A$5,0)</f>
        <v>13.75</v>
      </c>
      <c r="Z307" s="44">
        <f>VLOOKUP($A307,'Dados StatusInvest'!$A:$AY,column(Z307)-$A$5,0)</f>
        <v>0.25</v>
      </c>
      <c r="AA307" s="44">
        <f>VLOOKUP($A307,'Dados StatusInvest'!$A:$AY,column(AA307)-$A$5,0)</f>
        <v>0.68</v>
      </c>
      <c r="AB307" s="44">
        <f>VLOOKUP($A307,'Dados StatusInvest'!$A:$AY,column(AB307)-$A$5,0)</f>
        <v>0.79</v>
      </c>
      <c r="AC307" s="44">
        <f>VLOOKUP($A307,'Dados StatusInvest'!$A:$AY,column(AC307)-$A$5,0)</f>
        <v>11.59</v>
      </c>
      <c r="AD307" s="45">
        <f>VLOOKUP($A307,'Dados StatusInvest'!$A:$AY,column(AD307)-$A$5,0)</f>
        <v>0</v>
      </c>
      <c r="AE307" s="46">
        <f>VLOOKUP($A307,'Dados StatusInvest'!$A:$AY,column(AE307)-$A$5,0)</f>
        <v>328981.25</v>
      </c>
      <c r="AF307" s="18"/>
    </row>
    <row r="308">
      <c r="A308" s="10" t="s">
        <v>354</v>
      </c>
      <c r="B308" s="39" t="str">
        <f>VLOOKUP(lEFT($A308,4),Setor!$A:$E,3,0)</f>
        <v>Utilidade Pública</v>
      </c>
      <c r="C308" s="39" t="str">
        <f>VLOOKUP(lEFT($A308,4),Setor!$A:$E,4,0)</f>
        <v>Energia Elétrica</v>
      </c>
      <c r="D308" s="39" t="str">
        <f>VLOOKUP(lEFT($A308,4),Setor!$A:$E,5,0)</f>
        <v>Energia Elétrica</v>
      </c>
      <c r="E308" s="17">
        <f>IFERROR(__xludf.DUMMYFUNCTION("GOOGLEFINANCE(A308)"),68.0)</f>
        <v>68</v>
      </c>
      <c r="F308" s="17">
        <f>IFERROR(__xludf.DUMMYFUNCTION("GOOGLEFINANCE($A308,""high52"")"),78.78)</f>
        <v>78.78</v>
      </c>
      <c r="G308" s="16">
        <f t="shared" si="1"/>
        <v>-0.1368367606</v>
      </c>
      <c r="H308" s="40">
        <f>VLOOKUP($A308,'Dados StatusInvest'!$A:$AY,column(H308)-$A$5,0)*VLOOKUP($A308,'Dados StatusInvest'!$A:$AY,2,0)/$E308/100</f>
        <v>0.05123529412</v>
      </c>
      <c r="I308" s="41">
        <f>VLOOKUP($A308,'Dados StatusInvest'!$A:$AY,column(I308)-$A$5,0)/VLOOKUP($A308,'Dados StatusInvest'!$A:$AY,2,0)*$E308</f>
        <v>4.272835821</v>
      </c>
      <c r="J308" s="41">
        <f>VLOOKUP($A308,'Dados StatusInvest'!$A:$AY,column(J308)-$A$5,0)/VLOOKUP($A308,'Dados StatusInvest'!$A:$AY,2,0)*$E308</f>
        <v>1.146865672</v>
      </c>
      <c r="K308" s="42">
        <f>VLOOKUP($A308,'Dados StatusInvest'!$A:$AY,column(K308)-$A$5,0)/VLOOKUP($A308,'Dados StatusInvest'!$A:$AY,2,0)*$E308</f>
        <v>0.2232835821</v>
      </c>
      <c r="L308" s="43">
        <f>VLOOKUP($A308,'Dados StatusInvest'!$A:$AY,column(L308)-$A$5,0)/100</f>
        <v>0.1328</v>
      </c>
      <c r="M308" s="44">
        <f>VLOOKUP($A308,'Dados StatusInvest'!$A:$AY,column(M308)-$A$5,0)</f>
        <v>8.14</v>
      </c>
      <c r="N308" s="44">
        <f>VLOOKUP($A308,'Dados StatusInvest'!$A:$AY,column(N308)-$A$5,0)</f>
        <v>6.31</v>
      </c>
      <c r="O308" s="41">
        <f>VLOOKUP($A308,'Dados StatusInvest'!$A:$AY,column(O308)-$A$5,0)/VLOOKUP($A308,'Dados StatusInvest'!$A:$AY,2,0)*$E308</f>
        <v>3.31880597</v>
      </c>
      <c r="P308" s="41">
        <f>VLOOKUP($A308,'Dados StatusInvest'!$A:$AY,column(P308)-$A$5,0)-VLOOKUP($A308,'Dados StatusInvest'!$A:$AY,column(P308)-$A$5-1,0)+O308</f>
        <v>4.39880597</v>
      </c>
      <c r="Q308" s="44">
        <f>VLOOKUP($A308,'Dados StatusInvest'!$A:$AY,column(Q308)-$A$5,0)</f>
        <v>1.04</v>
      </c>
      <c r="R308" s="44">
        <f>VLOOKUP($A308,'Dados StatusInvest'!$A:$AY,column(R308)-$A$5,0)</f>
        <v>0.36</v>
      </c>
      <c r="S308" s="41">
        <f>VLOOKUP($A308,'Dados StatusInvest'!$A:$AY,column(S308)-$A$5,0)/VLOOKUP($A308,'Dados StatusInvest'!$A:$AY,2,0)*$E308</f>
        <v>0.2740298507</v>
      </c>
      <c r="T308" s="42">
        <f>VLOOKUP($A308,'Dados StatusInvest'!$A:$AY,column(T308)-$A$5,0)/VLOOKUP($A308,'Dados StatusInvest'!$A:$AY,2,0)*$E308</f>
        <v>1.705074627</v>
      </c>
      <c r="U308" s="44">
        <f>VLOOKUP($A308,'Dados StatusInvest'!$A:$AY,column(U308)-$A$5,0)</f>
        <v>-0.34</v>
      </c>
      <c r="V308" s="45">
        <f>VLOOKUP($A308,'Dados StatusInvest'!$A:$AY,column(V308)-$A$5,0)</f>
        <v>1.57</v>
      </c>
      <c r="W308" s="48">
        <f>VLOOKUP($A308,'Dados StatusInvest'!$A:$AY,column(W308)-$A$5,0)</f>
        <v>26.85</v>
      </c>
      <c r="X308" s="48">
        <f>VLOOKUP($A308,'Dados StatusInvest'!$A:$AY,column(X308)-$A$5,0)</f>
        <v>5.16</v>
      </c>
      <c r="Y308" s="48">
        <f>VLOOKUP($A308,'Dados StatusInvest'!$A:$AY,column(Y308)-$A$5,0)</f>
        <v>12.55</v>
      </c>
      <c r="Z308" s="44">
        <f>VLOOKUP($A308,'Dados StatusInvest'!$A:$AY,column(Z308)-$A$5,0)</f>
        <v>0.19</v>
      </c>
      <c r="AA308" s="44">
        <f>VLOOKUP($A308,'Dados StatusInvest'!$A:$AY,column(AA308)-$A$5,0)</f>
        <v>0.81</v>
      </c>
      <c r="AB308" s="44">
        <f>VLOOKUP($A308,'Dados StatusInvest'!$A:$AY,column(AB308)-$A$5,0)</f>
        <v>0.82</v>
      </c>
      <c r="AC308" s="44">
        <f>VLOOKUP($A308,'Dados StatusInvest'!$A:$AY,column(AC308)-$A$5,0)</f>
        <v>4.67</v>
      </c>
      <c r="AD308" s="45">
        <f>VLOOKUP($A308,'Dados StatusInvest'!$A:$AY,column(AD308)-$A$5,0)</f>
        <v>36.24</v>
      </c>
      <c r="AE308" s="46">
        <f>VLOOKUP($A308,'Dados StatusInvest'!$A:$AY,column(AE308)-$A$5,0)</f>
        <v>217832</v>
      </c>
      <c r="AF308" s="49"/>
    </row>
    <row r="309">
      <c r="A309" s="10" t="s">
        <v>355</v>
      </c>
      <c r="B309" s="39" t="str">
        <f>VLOOKUP(lEFT($A309,4),Setor!$A:$E,3,0)</f>
        <v>Consumo Cíclico</v>
      </c>
      <c r="C309" s="39" t="str">
        <f>VLOOKUP(lEFT($A309,4),Setor!$A:$E,4,0)</f>
        <v>Construção Civil</v>
      </c>
      <c r="D309" s="39" t="str">
        <f>VLOOKUP(lEFT($A309,4),Setor!$A:$E,5,0)</f>
        <v>Incorporações</v>
      </c>
      <c r="E309" s="17">
        <f>IFERROR(__xludf.DUMMYFUNCTION("GOOGLEFINANCE(A309)"),12.11)</f>
        <v>12.11</v>
      </c>
      <c r="F309" s="17">
        <f>IFERROR(__xludf.DUMMYFUNCTION("GOOGLEFINANCE($A309,""high52"")"),13.04)</f>
        <v>13.04</v>
      </c>
      <c r="G309" s="16">
        <f t="shared" si="1"/>
        <v>-0.0713190184</v>
      </c>
      <c r="H309" s="40">
        <f>VLOOKUP($A309,'Dados StatusInvest'!$A:$AY,column(H309)-$A$5,0)*VLOOKUP($A309,'Dados StatusInvest'!$A:$AY,2,0)/$E309/100</f>
        <v>0.0007966969447</v>
      </c>
      <c r="I309" s="41">
        <f>VLOOKUP($A309,'Dados StatusInvest'!$A:$AY,column(I309)-$A$5,0)/VLOOKUP($A309,'Dados StatusInvest'!$A:$AY,2,0)*$E309</f>
        <v>28.18637645</v>
      </c>
      <c r="J309" s="41">
        <f>VLOOKUP($A309,'Dados StatusInvest'!$A:$AY,column(J309)-$A$5,0)/VLOOKUP($A309,'Dados StatusInvest'!$A:$AY,2,0)*$E309</f>
        <v>0.8535240464</v>
      </c>
      <c r="K309" s="42">
        <f>VLOOKUP($A309,'Dados StatusInvest'!$A:$AY,column(K309)-$A$5,0)/VLOOKUP($A309,'Dados StatusInvest'!$A:$AY,2,0)*$E309</f>
        <v>0.3012437811</v>
      </c>
      <c r="L309" s="43">
        <f>VLOOKUP($A309,'Dados StatusInvest'!$A:$AY,column(L309)-$A$5,0)/100</f>
        <v>0.2489</v>
      </c>
      <c r="M309" s="47">
        <f>VLOOKUP($A309,'Dados StatusInvest'!$A:$AY,column(M309)-$A$5,0)</f>
        <v>7.11</v>
      </c>
      <c r="N309" s="47">
        <f>VLOOKUP($A309,'Dados StatusInvest'!$A:$AY,column(N309)-$A$5,0)</f>
        <v>5.68</v>
      </c>
      <c r="O309" s="41">
        <f>VLOOKUP($A309,'Dados StatusInvest'!$A:$AY,column(O309)-$A$5,0)/VLOOKUP($A309,'Dados StatusInvest'!$A:$AY,2,0)*$E309</f>
        <v>22.53303483</v>
      </c>
      <c r="P309" s="41">
        <f>VLOOKUP($A309,'Dados StatusInvest'!$A:$AY,column(P309)-$A$5,0)-VLOOKUP($A309,'Dados StatusInvest'!$A:$AY,column(P309)-$A$5-1,0)+O309</f>
        <v>40.77303483</v>
      </c>
      <c r="Q309" s="44">
        <f>VLOOKUP($A309,'Dados StatusInvest'!$A:$AY,column(Q309)-$A$5,0)</f>
        <v>18.23</v>
      </c>
      <c r="R309" s="44">
        <f>VLOOKUP($A309,'Dados StatusInvest'!$A:$AY,column(R309)-$A$5,0)</f>
        <v>0.69</v>
      </c>
      <c r="S309" s="41">
        <f>VLOOKUP($A309,'Dados StatusInvest'!$A:$AY,column(S309)-$A$5,0)/VLOOKUP($A309,'Dados StatusInvest'!$A:$AY,2,0)*$E309</f>
        <v>1.606633499</v>
      </c>
      <c r="T309" s="42">
        <f>VLOOKUP($A309,'Dados StatusInvest'!$A:$AY,column(T309)-$A$5,0)/VLOOKUP($A309,'Dados StatusInvest'!$A:$AY,2,0)*$E309</f>
        <v>1.325472637</v>
      </c>
      <c r="U309" s="44">
        <f>VLOOKUP($A309,'Dados StatusInvest'!$A:$AY,column(U309)-$A$5,0)</f>
        <v>-0.53</v>
      </c>
      <c r="V309" s="45">
        <f>VLOOKUP($A309,'Dados StatusInvest'!$A:$AY,column(V309)-$A$5,0)</f>
        <v>2.09</v>
      </c>
      <c r="W309" s="45">
        <f>VLOOKUP($A309,'Dados StatusInvest'!$A:$AY,column(W309)-$A$5,0)</f>
        <v>3.03</v>
      </c>
      <c r="X309" s="45">
        <f>VLOOKUP($A309,'Dados StatusInvest'!$A:$AY,column(X309)-$A$5,0)</f>
        <v>1.07</v>
      </c>
      <c r="Y309" s="45">
        <f>VLOOKUP($A309,'Dados StatusInvest'!$A:$AY,column(Y309)-$A$5,0)</f>
        <v>1.13</v>
      </c>
      <c r="Z309" s="44">
        <f>VLOOKUP($A309,'Dados StatusInvest'!$A:$AY,column(Z309)-$A$5,0)</f>
        <v>0.35</v>
      </c>
      <c r="AA309" s="44">
        <f>VLOOKUP($A309,'Dados StatusInvest'!$A:$AY,column(AA309)-$A$5,0)</f>
        <v>0.64</v>
      </c>
      <c r="AB309" s="44">
        <f>VLOOKUP($A309,'Dados StatusInvest'!$A:$AY,column(AB309)-$A$5,0)</f>
        <v>0.19</v>
      </c>
      <c r="AC309" s="44">
        <f>VLOOKUP($A309,'Dados StatusInvest'!$A:$AY,column(AC309)-$A$5,0)</f>
        <v>-10.68</v>
      </c>
      <c r="AD309" s="45">
        <f>VLOOKUP($A309,'Dados StatusInvest'!$A:$AY,column(AD309)-$A$5,0)</f>
        <v>22.75</v>
      </c>
      <c r="AE309" s="46">
        <f>VLOOKUP($A309,'Dados StatusInvest'!$A:$AY,column(AE309)-$A$5,0)</f>
        <v>312578.46</v>
      </c>
      <c r="AF309" s="18"/>
    </row>
    <row r="310">
      <c r="A310" s="10" t="s">
        <v>356</v>
      </c>
      <c r="B310" s="39" t="str">
        <f>VLOOKUP(lEFT($A310,4),Setor!$A:$E,3,0)</f>
        <v>Consumo Cíclico</v>
      </c>
      <c r="C310" s="39" t="str">
        <f>VLOOKUP(lEFT($A310,4),Setor!$A:$E,4,0)</f>
        <v>Comércio</v>
      </c>
      <c r="D310" s="39" t="str">
        <f>VLOOKUP(lEFT($A310,4),Setor!$A:$E,5,0)</f>
        <v>Produtos Diversos</v>
      </c>
      <c r="E310" s="17">
        <f>IFERROR(__xludf.DUMMYFUNCTION("GOOGLEFINANCE(A310)"),0.31)</f>
        <v>0.31</v>
      </c>
      <c r="F310" s="17">
        <f>IFERROR(__xludf.DUMMYFUNCTION("GOOGLEFINANCE($A310,""high52"")"),0.81)</f>
        <v>0.81</v>
      </c>
      <c r="G310" s="16">
        <f t="shared" si="1"/>
        <v>-0.6172839506</v>
      </c>
      <c r="H310" s="40">
        <f>VLOOKUP($A310,'Dados StatusInvest'!$A:$AY,column(H310)-$A$5,0)*VLOOKUP($A310,'Dados StatusInvest'!$A:$AY,2,0)/$E310/100</f>
        <v>0</v>
      </c>
      <c r="I310" s="41">
        <f>VLOOKUP($A310,'Dados StatusInvest'!$A:$AY,column(I310)-$A$5,0)/VLOOKUP($A310,'Dados StatusInvest'!$A:$AY,2,0)*$E310</f>
        <v>-0.0678125</v>
      </c>
      <c r="J310" s="41">
        <f>VLOOKUP($A310,'Dados StatusInvest'!$A:$AY,column(J310)-$A$5,0)/VLOOKUP($A310,'Dados StatusInvest'!$A:$AY,2,0)*$E310</f>
        <v>-0.03875</v>
      </c>
      <c r="K310" s="42">
        <f>VLOOKUP($A310,'Dados StatusInvest'!$A:$AY,column(K310)-$A$5,0)/VLOOKUP($A310,'Dados StatusInvest'!$A:$AY,2,0)*$E310</f>
        <v>0.0678125</v>
      </c>
      <c r="L310" s="43">
        <f>VLOOKUP($A310,'Dados StatusInvest'!$A:$AY,column(L310)-$A$5,0)/100</f>
        <v>0.2784</v>
      </c>
      <c r="M310" s="44">
        <f>VLOOKUP($A310,'Dados StatusInvest'!$A:$AY,column(M310)-$A$5,0)</f>
        <v>-206.13</v>
      </c>
      <c r="N310" s="44">
        <f>VLOOKUP($A310,'Dados StatusInvest'!$A:$AY,column(N310)-$A$5,0)</f>
        <v>-225.98</v>
      </c>
      <c r="O310" s="41">
        <f>VLOOKUP($A310,'Dados StatusInvest'!$A:$AY,column(O310)-$A$5,0)/VLOOKUP($A310,'Dados StatusInvest'!$A:$AY,2,0)*$E310</f>
        <v>-0.0775</v>
      </c>
      <c r="P310" s="41">
        <f>VLOOKUP($A310,'Dados StatusInvest'!$A:$AY,column(P310)-$A$5,0)-VLOOKUP($A310,'Dados StatusInvest'!$A:$AY,column(P310)-$A$5-1,0)+O310</f>
        <v>-1.1575</v>
      </c>
      <c r="Q310" s="44">
        <f>VLOOKUP($A310,'Dados StatusInvest'!$A:$AY,column(Q310)-$A$5,0)</f>
        <v>-1.05</v>
      </c>
      <c r="R310" s="44">
        <f>VLOOKUP($A310,'Dados StatusInvest'!$A:$AY,column(R310)-$A$5,0)</f>
        <v>0</v>
      </c>
      <c r="S310" s="41">
        <f>VLOOKUP($A310,'Dados StatusInvest'!$A:$AY,column(S310)-$A$5,0)/VLOOKUP($A310,'Dados StatusInvest'!$A:$AY,2,0)*$E310</f>
        <v>0.155</v>
      </c>
      <c r="T310" s="42">
        <f>VLOOKUP($A310,'Dados StatusInvest'!$A:$AY,column(T310)-$A$5,0)/VLOOKUP($A310,'Dados StatusInvest'!$A:$AY,2,0)*$E310</f>
        <v>-0.3003125</v>
      </c>
      <c r="U310" s="47">
        <f>VLOOKUP($A310,'Dados StatusInvest'!$A:$AY,column(U310)-$A$5,0)</f>
        <v>-0.13</v>
      </c>
      <c r="V310" s="45">
        <f>VLOOKUP($A310,'Dados StatusInvest'!$A:$AY,column(V310)-$A$5,0)</f>
        <v>0.65</v>
      </c>
      <c r="W310" s="45">
        <f>VLOOKUP($A310,'Dados StatusInvest'!$A:$AY,column(W310)-$A$5,0)</f>
        <v>-48.99</v>
      </c>
      <c r="X310" s="48">
        <f>VLOOKUP($A310,'Dados StatusInvest'!$A:$AY,column(X310)-$A$5,0)</f>
        <v>-101.27</v>
      </c>
      <c r="Y310" s="45">
        <f>VLOOKUP($A310,'Dados StatusInvest'!$A:$AY,column(Y310)-$A$5,0)</f>
        <v>88.79</v>
      </c>
      <c r="Z310" s="44">
        <f>VLOOKUP($A310,'Dados StatusInvest'!$A:$AY,column(Z310)-$A$5,0)</f>
        <v>-2.07</v>
      </c>
      <c r="AA310" s="44">
        <f>VLOOKUP($A310,'Dados StatusInvest'!$A:$AY,column(AA310)-$A$5,0)</f>
        <v>3.07</v>
      </c>
      <c r="AB310" s="44">
        <f>VLOOKUP($A310,'Dados StatusInvest'!$A:$AY,column(AB310)-$A$5,0)</f>
        <v>0.45</v>
      </c>
      <c r="AC310" s="44">
        <f>VLOOKUP($A310,'Dados StatusInvest'!$A:$AY,column(AC310)-$A$5,0)</f>
        <v>-32.61</v>
      </c>
      <c r="AD310" s="45">
        <f>VLOOKUP($A310,'Dados StatusInvest'!$A:$AY,column(AD310)-$A$5,0)</f>
        <v>0</v>
      </c>
      <c r="AE310" s="46">
        <f>VLOOKUP($A310,'Dados StatusInvest'!$A:$AY,column(AE310)-$A$5,0)</f>
        <v>336032.83</v>
      </c>
      <c r="AF310" s="18"/>
    </row>
    <row r="311">
      <c r="A311" s="10" t="s">
        <v>357</v>
      </c>
      <c r="B311" s="39" t="str">
        <f>VLOOKUP(lEFT($A311,4),Setor!$A:$E,3,0)</f>
        <v>Consumo Cíclico</v>
      </c>
      <c r="C311" s="39" t="str">
        <f>VLOOKUP(lEFT($A311,4),Setor!$A:$E,4,0)</f>
        <v>Tecidos, Vestuário e Calçados</v>
      </c>
      <c r="D311" s="39" t="str">
        <f>VLOOKUP(lEFT($A311,4),Setor!$A:$E,5,0)</f>
        <v>Calçados</v>
      </c>
      <c r="E311" s="17">
        <f>IFERROR(__xludf.DUMMYFUNCTION("GOOGLEFINANCE(A311)"),4.53)</f>
        <v>4.53</v>
      </c>
      <c r="F311" s="17">
        <f>IFERROR(__xludf.DUMMYFUNCTION("GOOGLEFINANCE($A311,""high52"")"),6.44)</f>
        <v>6.44</v>
      </c>
      <c r="G311" s="16">
        <f t="shared" si="1"/>
        <v>-0.2965838509</v>
      </c>
      <c r="H311" s="40">
        <f>VLOOKUP($A311,'Dados StatusInvest'!$A:$AY,column(H311)-$A$5,0)*VLOOKUP($A311,'Dados StatusInvest'!$A:$AY,2,0)/$E311/100</f>
        <v>0</v>
      </c>
      <c r="I311" s="41">
        <f>VLOOKUP($A311,'Dados StatusInvest'!$A:$AY,column(I311)-$A$5,0)/VLOOKUP($A311,'Dados StatusInvest'!$A:$AY,2,0)*$E311</f>
        <v>6.340064103</v>
      </c>
      <c r="J311" s="41">
        <f>VLOOKUP($A311,'Dados StatusInvest'!$A:$AY,column(J311)-$A$5,0)/VLOOKUP($A311,'Dados StatusInvest'!$A:$AY,2,0)*$E311</f>
        <v>2.013333333</v>
      </c>
      <c r="K311" s="42">
        <f>VLOOKUP($A311,'Dados StatusInvest'!$A:$AY,column(K311)-$A$5,0)/VLOOKUP($A311,'Dados StatusInvest'!$A:$AY,2,0)*$E311</f>
        <v>0.7162820513</v>
      </c>
      <c r="L311" s="43">
        <f>VLOOKUP($A311,'Dados StatusInvest'!$A:$AY,column(L311)-$A$5,0)/100</f>
        <v>0.456</v>
      </c>
      <c r="M311" s="44">
        <f>VLOOKUP($A311,'Dados StatusInvest'!$A:$AY,column(M311)-$A$5,0)</f>
        <v>17.13</v>
      </c>
      <c r="N311" s="44">
        <f>VLOOKUP($A311,'Dados StatusInvest'!$A:$AY,column(N311)-$A$5,0)</f>
        <v>17.13</v>
      </c>
      <c r="O311" s="41">
        <f>VLOOKUP($A311,'Dados StatusInvest'!$A:$AY,column(O311)-$A$5,0)/VLOOKUP($A311,'Dados StatusInvest'!$A:$AY,2,0)*$E311</f>
        <v>6.340064103</v>
      </c>
      <c r="P311" s="41">
        <f>VLOOKUP($A311,'Dados StatusInvest'!$A:$AY,column(P311)-$A$5,0)-VLOOKUP($A311,'Dados StatusInvest'!$A:$AY,column(P311)-$A$5-1,0)+O311</f>
        <v>8.360064103</v>
      </c>
      <c r="Q311" s="44">
        <f>VLOOKUP($A311,'Dados StatusInvest'!$A:$AY,column(Q311)-$A$5,0)</f>
        <v>2.03</v>
      </c>
      <c r="R311" s="44">
        <f>VLOOKUP($A311,'Dados StatusInvest'!$A:$AY,column(R311)-$A$5,0)</f>
        <v>0.65</v>
      </c>
      <c r="S311" s="41">
        <f>VLOOKUP($A311,'Dados StatusInvest'!$A:$AY,column(S311)-$A$5,0)/VLOOKUP($A311,'Dados StatusInvest'!$A:$AY,2,0)*$E311</f>
        <v>1.084102564</v>
      </c>
      <c r="T311" s="42">
        <f>VLOOKUP($A311,'Dados StatusInvest'!$A:$AY,column(T311)-$A$5,0)/VLOOKUP($A311,'Dados StatusInvest'!$A:$AY,2,0)*$E311</f>
        <v>155.5687179</v>
      </c>
      <c r="U311" s="44">
        <f>VLOOKUP($A311,'Dados StatusInvest'!$A:$AY,column(U311)-$A$5,0)</f>
        <v>-1.13</v>
      </c>
      <c r="V311" s="45">
        <f>VLOOKUP($A311,'Dados StatusInvest'!$A:$AY,column(V311)-$A$5,0)</f>
        <v>1.01</v>
      </c>
      <c r="W311" s="48">
        <f>VLOOKUP($A311,'Dados StatusInvest'!$A:$AY,column(W311)-$A$5,0)</f>
        <v>31.73</v>
      </c>
      <c r="X311" s="48">
        <f>VLOOKUP($A311,'Dados StatusInvest'!$A:$AY,column(X311)-$A$5,0)</f>
        <v>11.27</v>
      </c>
      <c r="Y311" s="48">
        <f>VLOOKUP($A311,'Dados StatusInvest'!$A:$AY,column(Y311)-$A$5,0)</f>
        <v>13.71</v>
      </c>
      <c r="Z311" s="44">
        <f>VLOOKUP($A311,'Dados StatusInvest'!$A:$AY,column(Z311)-$A$5,0)</f>
        <v>0.36</v>
      </c>
      <c r="AA311" s="44">
        <f>VLOOKUP($A311,'Dados StatusInvest'!$A:$AY,column(AA311)-$A$5,0)</f>
        <v>0.65</v>
      </c>
      <c r="AB311" s="44">
        <f>VLOOKUP($A311,'Dados StatusInvest'!$A:$AY,column(AB311)-$A$5,0)</f>
        <v>0.66</v>
      </c>
      <c r="AC311" s="44">
        <f>VLOOKUP($A311,'Dados StatusInvest'!$A:$AY,column(AC311)-$A$5,0)</f>
        <v>-11.36</v>
      </c>
      <c r="AD311" s="45">
        <f>VLOOKUP($A311,'Dados StatusInvest'!$A:$AY,column(AD311)-$A$5,0)</f>
        <v>0</v>
      </c>
      <c r="AE311" s="46">
        <f>VLOOKUP($A311,'Dados StatusInvest'!$A:$AY,column(AE311)-$A$5,0)</f>
        <v>268872.5</v>
      </c>
      <c r="AF311" s="51"/>
    </row>
    <row r="312">
      <c r="A312" s="10" t="s">
        <v>358</v>
      </c>
      <c r="B312" s="39" t="str">
        <f>VLOOKUP(lEFT($A312,4),Setor!$A:$E,3,0)</f>
        <v>Petróleo, Gás e Biocombustíveis</v>
      </c>
      <c r="C312" s="39" t="str">
        <f>VLOOKUP(lEFT($A312,4),Setor!$A:$E,4,0)</f>
        <v>Petróleo, Gás e Biocombustíveis</v>
      </c>
      <c r="D312" s="39" t="str">
        <f>VLOOKUP(lEFT($A312,4),Setor!$A:$E,5,0)</f>
        <v>Exploração, Refino e Distribuição</v>
      </c>
      <c r="E312" s="17">
        <f>IFERROR(__xludf.DUMMYFUNCTION("GOOGLEFINANCE(A312)"),3.49)</f>
        <v>3.49</v>
      </c>
      <c r="F312" s="17">
        <f>IFERROR(__xludf.DUMMYFUNCTION("GOOGLEFINANCE($A312,""high52"")"),7.87)</f>
        <v>7.87</v>
      </c>
      <c r="G312" s="16">
        <f t="shared" si="1"/>
        <v>-0.5565438374</v>
      </c>
      <c r="H312" s="40">
        <f>VLOOKUP($A312,'Dados StatusInvest'!$A:$AY,column(H312)-$A$5,0)*VLOOKUP($A312,'Dados StatusInvest'!$A:$AY,2,0)/$E312/100</f>
        <v>0</v>
      </c>
      <c r="I312" s="41">
        <f>VLOOKUP($A312,'Dados StatusInvest'!$A:$AY,column(I312)-$A$5,0)/VLOOKUP($A312,'Dados StatusInvest'!$A:$AY,2,0)*$E312</f>
        <v>-0.8205949008</v>
      </c>
      <c r="J312" s="41">
        <f>VLOOKUP($A312,'Dados StatusInvest'!$A:$AY,column(J312)-$A$5,0)/VLOOKUP($A312,'Dados StatusInvest'!$A:$AY,2,0)*$E312</f>
        <v>-0.06920679887</v>
      </c>
      <c r="K312" s="42">
        <f>VLOOKUP($A312,'Dados StatusInvest'!$A:$AY,column(K312)-$A$5,0)/VLOOKUP($A312,'Dados StatusInvest'!$A:$AY,2,0)*$E312</f>
        <v>0.05932011331</v>
      </c>
      <c r="L312" s="43">
        <f>VLOOKUP($A312,'Dados StatusInvest'!$A:$AY,column(L312)-$A$5,0)/100</f>
        <v>0.0019</v>
      </c>
      <c r="M312" s="44">
        <f>VLOOKUP($A312,'Dados StatusInvest'!$A:$AY,column(M312)-$A$5,0)</f>
        <v>-15.63</v>
      </c>
      <c r="N312" s="47">
        <f>VLOOKUP($A312,'Dados StatusInvest'!$A:$AY,column(N312)-$A$5,0)</f>
        <v>-16.99</v>
      </c>
      <c r="O312" s="41">
        <f>VLOOKUP($A312,'Dados StatusInvest'!$A:$AY,column(O312)-$A$5,0)/VLOOKUP($A312,'Dados StatusInvest'!$A:$AY,2,0)*$E312</f>
        <v>-0.8898016997</v>
      </c>
      <c r="P312" s="41">
        <f>VLOOKUP($A312,'Dados StatusInvest'!$A:$AY,column(P312)-$A$5,0)-VLOOKUP($A312,'Dados StatusInvest'!$A:$AY,column(P312)-$A$5-1,0)+O312</f>
        <v>-0.9198016997</v>
      </c>
      <c r="Q312" s="44">
        <f>VLOOKUP($A312,'Dados StatusInvest'!$A:$AY,column(Q312)-$A$5,0)</f>
        <v>0</v>
      </c>
      <c r="R312" s="44">
        <f>VLOOKUP($A312,'Dados StatusInvest'!$A:$AY,column(R312)-$A$5,0)</f>
        <v>0</v>
      </c>
      <c r="S312" s="41">
        <f>VLOOKUP($A312,'Dados StatusInvest'!$A:$AY,column(S312)-$A$5,0)/VLOOKUP($A312,'Dados StatusInvest'!$A:$AY,2,0)*$E312</f>
        <v>0.1384135977</v>
      </c>
      <c r="T312" s="42">
        <f>VLOOKUP($A312,'Dados StatusInvest'!$A:$AY,column(T312)-$A$5,0)/VLOOKUP($A312,'Dados StatusInvest'!$A:$AY,2,0)*$E312</f>
        <v>-0.07909348442</v>
      </c>
      <c r="U312" s="44">
        <f>VLOOKUP($A312,'Dados StatusInvest'!$A:$AY,column(U312)-$A$5,0)</f>
        <v>-0.94</v>
      </c>
      <c r="V312" s="45">
        <f>VLOOKUP($A312,'Dados StatusInvest'!$A:$AY,column(V312)-$A$5,0)</f>
        <v>0.55</v>
      </c>
      <c r="W312" s="48">
        <f>VLOOKUP($A312,'Dados StatusInvest'!$A:$AY,column(W312)-$A$5,0)</f>
        <v>-8.71</v>
      </c>
      <c r="X312" s="45">
        <f>VLOOKUP($A312,'Dados StatusInvest'!$A:$AY,column(X312)-$A$5,0)</f>
        <v>-7.52</v>
      </c>
      <c r="Y312" s="45">
        <f>VLOOKUP($A312,'Dados StatusInvest'!$A:$AY,column(Y312)-$A$5,0)</f>
        <v>8</v>
      </c>
      <c r="Z312" s="44">
        <f>VLOOKUP($A312,'Dados StatusInvest'!$A:$AY,column(Z312)-$A$5,0)</f>
        <v>-0.86</v>
      </c>
      <c r="AA312" s="44">
        <f>VLOOKUP($A312,'Dados StatusInvest'!$A:$AY,column(AA312)-$A$5,0)</f>
        <v>1.86</v>
      </c>
      <c r="AB312" s="44">
        <f>VLOOKUP($A312,'Dados StatusInvest'!$A:$AY,column(AB312)-$A$5,0)</f>
        <v>0.44</v>
      </c>
      <c r="AC312" s="44">
        <f>VLOOKUP($A312,'Dados StatusInvest'!$A:$AY,column(AC312)-$A$5,0)</f>
        <v>16.06</v>
      </c>
      <c r="AD312" s="45">
        <f>VLOOKUP($A312,'Dados StatusInvest'!$A:$AY,column(AD312)-$A$5,0)</f>
        <v>0</v>
      </c>
      <c r="AE312" s="46">
        <f>VLOOKUP($A312,'Dados StatusInvest'!$A:$AY,column(AE312)-$A$5,0)</f>
        <v>431690.71</v>
      </c>
      <c r="AF312" s="18"/>
    </row>
    <row r="313">
      <c r="A313" s="10" t="s">
        <v>359</v>
      </c>
      <c r="B313" s="39" t="str">
        <f>VLOOKUP(lEFT($A313,4),Setor!$A:$E,3,0)</f>
        <v>Consumo Cíclico</v>
      </c>
      <c r="C313" s="39" t="str">
        <f>VLOOKUP(lEFT($A313,4),Setor!$A:$E,4,0)</f>
        <v>Utilidades Domésticas</v>
      </c>
      <c r="D313" s="39" t="str">
        <f>VLOOKUP(lEFT($A313,4),Setor!$A:$E,5,0)</f>
        <v>Móveis</v>
      </c>
      <c r="E313" s="17">
        <f>IFERROR(__xludf.DUMMYFUNCTION("GOOGLEFINANCE(A313)"),4.29)</f>
        <v>4.29</v>
      </c>
      <c r="F313" s="17">
        <f>IFERROR(__xludf.DUMMYFUNCTION("GOOGLEFINANCE($A313,""high52"")"),5.9)</f>
        <v>5.9</v>
      </c>
      <c r="G313" s="16">
        <f t="shared" si="1"/>
        <v>-0.2728813559</v>
      </c>
      <c r="H313" s="40">
        <f>VLOOKUP($A313,'Dados StatusInvest'!$A:$AY,column(H313)-$A$5,0)*VLOOKUP($A313,'Dados StatusInvest'!$A:$AY,2,0)/$E313/100</f>
        <v>0.04914219114</v>
      </c>
      <c r="I313" s="41">
        <f>VLOOKUP($A313,'Dados StatusInvest'!$A:$AY,column(I313)-$A$5,0)/VLOOKUP($A313,'Dados StatusInvest'!$A:$AY,2,0)*$E313</f>
        <v>12.10503614</v>
      </c>
      <c r="J313" s="41">
        <f>VLOOKUP($A313,'Dados StatusInvest'!$A:$AY,column(J313)-$A$5,0)/VLOOKUP($A313,'Dados StatusInvest'!$A:$AY,2,0)*$E313</f>
        <v>1.819373494</v>
      </c>
      <c r="K313" s="42">
        <f>VLOOKUP($A313,'Dados StatusInvest'!$A:$AY,column(K313)-$A$5,0)/VLOOKUP($A313,'Dados StatusInvest'!$A:$AY,2,0)*$E313</f>
        <v>1.178457831</v>
      </c>
      <c r="L313" s="43">
        <f>VLOOKUP($A313,'Dados StatusInvest'!$A:$AY,column(L313)-$A$5,0)/100</f>
        <v>0.3855</v>
      </c>
      <c r="M313" s="44">
        <f>VLOOKUP($A313,'Dados StatusInvest'!$A:$AY,column(M313)-$A$5,0)</f>
        <v>16.2</v>
      </c>
      <c r="N313" s="44">
        <f>VLOOKUP($A313,'Dados StatusInvest'!$A:$AY,column(N313)-$A$5,0)</f>
        <v>12.85</v>
      </c>
      <c r="O313" s="41">
        <f>VLOOKUP($A313,'Dados StatusInvest'!$A:$AY,column(O313)-$A$5,0)/VLOOKUP($A313,'Dados StatusInvest'!$A:$AY,2,0)*$E313</f>
        <v>9.60339759</v>
      </c>
      <c r="P313" s="41">
        <f>VLOOKUP($A313,'Dados StatusInvest'!$A:$AY,column(P313)-$A$5,0)-VLOOKUP($A313,'Dados StatusInvest'!$A:$AY,column(P313)-$A$5-1,0)+O313</f>
        <v>8.38339759</v>
      </c>
      <c r="Q313" s="44">
        <f>VLOOKUP($A313,'Dados StatusInvest'!$A:$AY,column(Q313)-$A$5,0)</f>
        <v>-1.29</v>
      </c>
      <c r="R313" s="44">
        <f>VLOOKUP($A313,'Dados StatusInvest'!$A:$AY,column(R313)-$A$5,0)</f>
        <v>-0.24</v>
      </c>
      <c r="S313" s="41">
        <f>VLOOKUP($A313,'Dados StatusInvest'!$A:$AY,column(S313)-$A$5,0)/VLOOKUP($A313,'Dados StatusInvest'!$A:$AY,2,0)*$E313</f>
        <v>1.560939759</v>
      </c>
      <c r="T313" s="42">
        <f>VLOOKUP($A313,'Dados StatusInvest'!$A:$AY,column(T313)-$A$5,0)/VLOOKUP($A313,'Dados StatusInvest'!$A:$AY,2,0)*$E313</f>
        <v>5.189349398</v>
      </c>
      <c r="U313" s="44">
        <f>VLOOKUP($A313,'Dados StatusInvest'!$A:$AY,column(U313)-$A$5,0)</f>
        <v>-2.24</v>
      </c>
      <c r="V313" s="45">
        <f>VLOOKUP($A313,'Dados StatusInvest'!$A:$AY,column(V313)-$A$5,0)</f>
        <v>1.85</v>
      </c>
      <c r="W313" s="45">
        <f>VLOOKUP($A313,'Dados StatusInvest'!$A:$AY,column(W313)-$A$5,0)</f>
        <v>15</v>
      </c>
      <c r="X313" s="45">
        <f>VLOOKUP($A313,'Dados StatusInvest'!$A:$AY,column(X313)-$A$5,0)</f>
        <v>9.71</v>
      </c>
      <c r="Y313" s="45">
        <f>VLOOKUP($A313,'Dados StatusInvest'!$A:$AY,column(Y313)-$A$5,0)</f>
        <v>11.29</v>
      </c>
      <c r="Z313" s="44">
        <f>VLOOKUP($A313,'Dados StatusInvest'!$A:$AY,column(Z313)-$A$5,0)</f>
        <v>0.65</v>
      </c>
      <c r="AA313" s="44">
        <f>VLOOKUP($A313,'Dados StatusInvest'!$A:$AY,column(AA313)-$A$5,0)</f>
        <v>0.35</v>
      </c>
      <c r="AB313" s="44">
        <f>VLOOKUP($A313,'Dados StatusInvest'!$A:$AY,column(AB313)-$A$5,0)</f>
        <v>0.76</v>
      </c>
      <c r="AC313" s="44">
        <f>VLOOKUP($A313,'Dados StatusInvest'!$A:$AY,column(AC313)-$A$5,0)</f>
        <v>-7.54</v>
      </c>
      <c r="AD313" s="45">
        <f>VLOOKUP($A313,'Dados StatusInvest'!$A:$AY,column(AD313)-$A$5,0)</f>
        <v>12.58</v>
      </c>
      <c r="AE313" s="46">
        <f>VLOOKUP($A313,'Dados StatusInvest'!$A:$AY,column(AE313)-$A$5,0)</f>
        <v>195802.13</v>
      </c>
      <c r="AF313" s="18"/>
    </row>
    <row r="314">
      <c r="A314" s="10" t="s">
        <v>360</v>
      </c>
      <c r="B314" s="39" t="str">
        <f>VLOOKUP(lEFT($A314,4),Setor!$A:$E,3,0)</f>
        <v>Consumo Cíclico</v>
      </c>
      <c r="C314" s="39" t="str">
        <f>VLOOKUP(lEFT($A314,4),Setor!$A:$E,4,0)</f>
        <v>Tecidos, Vestuário e Calçados</v>
      </c>
      <c r="D314" s="39" t="str">
        <f>VLOOKUP(lEFT($A314,4),Setor!$A:$E,5,0)</f>
        <v>Fios e Tecidos</v>
      </c>
      <c r="E314" s="17">
        <f>IFERROR(__xludf.DUMMYFUNCTION("GOOGLEFINANCE(A314)"),6.8)</f>
        <v>6.8</v>
      </c>
      <c r="F314" s="17">
        <f>IFERROR(__xludf.DUMMYFUNCTION("GOOGLEFINANCE($A314,""high52"")"),8.5)</f>
        <v>8.5</v>
      </c>
      <c r="G314" s="16">
        <f t="shared" si="1"/>
        <v>-0.2</v>
      </c>
      <c r="H314" s="40">
        <f>VLOOKUP($A314,'Dados StatusInvest'!$A:$AY,column(H314)-$A$5,0)*VLOOKUP($A314,'Dados StatusInvest'!$A:$AY,2,0)/$E314/100</f>
        <v>0</v>
      </c>
      <c r="I314" s="41">
        <f>VLOOKUP($A314,'Dados StatusInvest'!$A:$AY,column(I314)-$A$5,0)/VLOOKUP($A314,'Dados StatusInvest'!$A:$AY,2,0)*$E314</f>
        <v>6.157480315</v>
      </c>
      <c r="J314" s="41">
        <f>VLOOKUP($A314,'Dados StatusInvest'!$A:$AY,column(J314)-$A$5,0)/VLOOKUP($A314,'Dados StatusInvest'!$A:$AY,2,0)*$E314</f>
        <v>0.9530708661</v>
      </c>
      <c r="K314" s="42">
        <f>VLOOKUP($A314,'Dados StatusInvest'!$A:$AY,column(K314)-$A$5,0)/VLOOKUP($A314,'Dados StatusInvest'!$A:$AY,2,0)*$E314</f>
        <v>0.4497637795</v>
      </c>
      <c r="L314" s="43">
        <f>VLOOKUP($A314,'Dados StatusInvest'!$A:$AY,column(L314)-$A$5,0)/100</f>
        <v>0.1795</v>
      </c>
      <c r="M314" s="47">
        <f>VLOOKUP($A314,'Dados StatusInvest'!$A:$AY,column(M314)-$A$5,0)</f>
        <v>12.2</v>
      </c>
      <c r="N314" s="47">
        <f>VLOOKUP($A314,'Dados StatusInvest'!$A:$AY,column(N314)-$A$5,0)</f>
        <v>7.01</v>
      </c>
      <c r="O314" s="41">
        <f>VLOOKUP($A314,'Dados StatusInvest'!$A:$AY,column(O314)-$A$5,0)/VLOOKUP($A314,'Dados StatusInvest'!$A:$AY,2,0)*$E314</f>
        <v>3.533858268</v>
      </c>
      <c r="P314" s="41">
        <f>VLOOKUP($A314,'Dados StatusInvest'!$A:$AY,column(P314)-$A$5,0)-VLOOKUP($A314,'Dados StatusInvest'!$A:$AY,column(P314)-$A$5-1,0)+O314</f>
        <v>7.863858268</v>
      </c>
      <c r="Q314" s="44">
        <f>VLOOKUP($A314,'Dados StatusInvest'!$A:$AY,column(Q314)-$A$5,0)</f>
        <v>1.17</v>
      </c>
      <c r="R314" s="44">
        <f>VLOOKUP($A314,'Dados StatusInvest'!$A:$AY,column(R314)-$A$5,0)</f>
        <v>0.32</v>
      </c>
      <c r="S314" s="41">
        <f>VLOOKUP($A314,'Dados StatusInvest'!$A:$AY,column(S314)-$A$5,0)/VLOOKUP($A314,'Dados StatusInvest'!$A:$AY,2,0)*$E314</f>
        <v>0.4283464567</v>
      </c>
      <c r="T314" s="42">
        <f>VLOOKUP($A314,'Dados StatusInvest'!$A:$AY,column(T314)-$A$5,0)/VLOOKUP($A314,'Dados StatusInvest'!$A:$AY,2,0)*$E314</f>
        <v>2.216692913</v>
      </c>
      <c r="U314" s="44">
        <f>VLOOKUP($A314,'Dados StatusInvest'!$A:$AY,column(U314)-$A$5,0)</f>
        <v>-0.9</v>
      </c>
      <c r="V314" s="45">
        <f>VLOOKUP($A314,'Dados StatusInvest'!$A:$AY,column(V314)-$A$5,0)</f>
        <v>1.63</v>
      </c>
      <c r="W314" s="45">
        <f>VLOOKUP($A314,'Dados StatusInvest'!$A:$AY,column(W314)-$A$5,0)</f>
        <v>15.51</v>
      </c>
      <c r="X314" s="45">
        <f>VLOOKUP($A314,'Dados StatusInvest'!$A:$AY,column(X314)-$A$5,0)</f>
        <v>7.35</v>
      </c>
      <c r="Y314" s="48">
        <f>VLOOKUP($A314,'Dados StatusInvest'!$A:$AY,column(Y314)-$A$5,0)</f>
        <v>14.32</v>
      </c>
      <c r="Z314" s="44">
        <f>VLOOKUP($A314,'Dados StatusInvest'!$A:$AY,column(Z314)-$A$5,0)</f>
        <v>0.47</v>
      </c>
      <c r="AA314" s="44">
        <f>VLOOKUP($A314,'Dados StatusInvest'!$A:$AY,column(AA314)-$A$5,0)</f>
        <v>0.53</v>
      </c>
      <c r="AB314" s="44">
        <f>VLOOKUP($A314,'Dados StatusInvest'!$A:$AY,column(AB314)-$A$5,0)</f>
        <v>1.05</v>
      </c>
      <c r="AC314" s="44">
        <f>VLOOKUP($A314,'Dados StatusInvest'!$A:$AY,column(AC314)-$A$5,0)</f>
        <v>8.13</v>
      </c>
      <c r="AD314" s="45">
        <f>VLOOKUP($A314,'Dados StatusInvest'!$A:$AY,column(AD314)-$A$5,0)</f>
        <v>39.63</v>
      </c>
      <c r="AE314" s="46">
        <f>VLOOKUP($A314,'Dados StatusInvest'!$A:$AY,column(AE314)-$A$5,0)</f>
        <v>265816.5</v>
      </c>
      <c r="AF314" s="18"/>
    </row>
    <row r="315">
      <c r="A315" s="10" t="s">
        <v>361</v>
      </c>
      <c r="B315" s="39" t="str">
        <f>VLOOKUP(lEFT($A315,4),Setor!$A:$E,3,0)</f>
        <v>Utilidade Pública</v>
      </c>
      <c r="C315" s="39" t="str">
        <f>VLOOKUP(lEFT($A315,4),Setor!$A:$E,4,0)</f>
        <v>Energia Elétrica</v>
      </c>
      <c r="D315" s="39" t="str">
        <f>VLOOKUP(lEFT($A315,4),Setor!$A:$E,5,0)</f>
        <v>Energia Elétrica</v>
      </c>
      <c r="E315" s="17">
        <f>IFERROR(__xludf.DUMMYFUNCTION("GOOGLEFINANCE(A315)"),191.01)</f>
        <v>191.01</v>
      </c>
      <c r="F315" s="17">
        <f>IFERROR(__xludf.DUMMYFUNCTION("GOOGLEFINANCE($A315,""high52"")"),238.0)</f>
        <v>238</v>
      </c>
      <c r="G315" s="16">
        <f t="shared" si="1"/>
        <v>-0.1974369748</v>
      </c>
      <c r="H315" s="40">
        <f>VLOOKUP($A315,'Dados StatusInvest'!$A:$AY,column(H315)-$A$5,0)*VLOOKUP($A315,'Dados StatusInvest'!$A:$AY,2,0)/$E315/100</f>
        <v>0.2125255746</v>
      </c>
      <c r="I315" s="41">
        <f>VLOOKUP($A315,'Dados StatusInvest'!$A:$AY,column(I315)-$A$5,0)/VLOOKUP($A315,'Dados StatusInvest'!$A:$AY,2,0)*$E315</f>
        <v>1.665846573</v>
      </c>
      <c r="J315" s="41">
        <f>VLOOKUP($A315,'Dados StatusInvest'!$A:$AY,column(J315)-$A$5,0)/VLOOKUP($A315,'Dados StatusInvest'!$A:$AY,2,0)*$E315</f>
        <v>1.474857794</v>
      </c>
      <c r="K315" s="42">
        <f>VLOOKUP($A315,'Dados StatusInvest'!$A:$AY,column(K315)-$A$5,0)/VLOOKUP($A315,'Dados StatusInvest'!$A:$AY,2,0)*$E315</f>
        <v>1.273258527</v>
      </c>
      <c r="L315" s="43">
        <f>VLOOKUP($A315,'Dados StatusInvest'!$A:$AY,column(L315)-$A$5,0)/100</f>
        <v>-0.0788</v>
      </c>
      <c r="M315" s="44">
        <f>VLOOKUP($A315,'Dados StatusInvest'!$A:$AY,column(M315)-$A$5,0)</f>
        <v>-212.61</v>
      </c>
      <c r="N315" s="44">
        <f>VLOOKUP($A315,'Dados StatusInvest'!$A:$AY,column(N315)-$A$5,0)</f>
        <v>-184.88</v>
      </c>
      <c r="O315" s="41">
        <f>VLOOKUP($A315,'Dados StatusInvest'!$A:$AY,column(O315)-$A$5,0)/VLOOKUP($A315,'Dados StatusInvest'!$A:$AY,2,0)*$E315</f>
        <v>1.44302633</v>
      </c>
      <c r="P315" s="41">
        <f>VLOOKUP($A315,'Dados StatusInvest'!$A:$AY,column(P315)-$A$5,0)-VLOOKUP($A315,'Dados StatusInvest'!$A:$AY,column(P315)-$A$5-1,0)+O315</f>
        <v>0.7230263304</v>
      </c>
      <c r="Q315" s="44">
        <f>VLOOKUP($A315,'Dados StatusInvest'!$A:$AY,column(Q315)-$A$5,0)</f>
        <v>-0.74</v>
      </c>
      <c r="R315" s="44">
        <f>VLOOKUP($A315,'Dados StatusInvest'!$A:$AY,column(R315)-$A$5,0)</f>
        <v>-0.75</v>
      </c>
      <c r="S315" s="41">
        <f>VLOOKUP($A315,'Dados StatusInvest'!$A:$AY,column(S315)-$A$5,0)/VLOOKUP($A315,'Dados StatusInvest'!$A:$AY,2,0)*$E315</f>
        <v>0</v>
      </c>
      <c r="T315" s="42">
        <f>VLOOKUP($A315,'Dados StatusInvest'!$A:$AY,column(T315)-$A$5,0)/VLOOKUP($A315,'Dados StatusInvest'!$A:$AY,2,0)*$E315</f>
        <v>1.750730474</v>
      </c>
      <c r="U315" s="44">
        <f>VLOOKUP($A315,'Dados StatusInvest'!$A:$AY,column(U315)-$A$5,0)</f>
        <v>-4.92</v>
      </c>
      <c r="V315" s="45">
        <f>VLOOKUP($A315,'Dados StatusInvest'!$A:$AY,column(V315)-$A$5,0)</f>
        <v>25.71</v>
      </c>
      <c r="W315" s="45">
        <f>VLOOKUP($A315,'Dados StatusInvest'!$A:$AY,column(W315)-$A$5,0)</f>
        <v>88.42</v>
      </c>
      <c r="X315" s="45">
        <f>VLOOKUP($A315,'Dados StatusInvest'!$A:$AY,column(X315)-$A$5,0)</f>
        <v>76.37</v>
      </c>
      <c r="Y315" s="45">
        <f>VLOOKUP($A315,'Dados StatusInvest'!$A:$AY,column(Y315)-$A$5,0)</f>
        <v>61.87</v>
      </c>
      <c r="Z315" s="44">
        <f>VLOOKUP($A315,'Dados StatusInvest'!$A:$AY,column(Z315)-$A$5,0)</f>
        <v>0.86</v>
      </c>
      <c r="AA315" s="44">
        <f>VLOOKUP($A315,'Dados StatusInvest'!$A:$AY,column(AA315)-$A$5,0)</f>
        <v>0.04</v>
      </c>
      <c r="AB315" s="44">
        <f>VLOOKUP($A315,'Dados StatusInvest'!$A:$AY,column(AB315)-$A$5,0)</f>
        <v>-0.41</v>
      </c>
      <c r="AC315" s="44">
        <f>VLOOKUP($A315,'Dados StatusInvest'!$A:$AY,column(AC315)-$A$5,0)</f>
        <v>-36.1</v>
      </c>
      <c r="AD315" s="45">
        <f>VLOOKUP($A315,'Dados StatusInvest'!$A:$AY,column(AD315)-$A$5,0)</f>
        <v>130.5</v>
      </c>
      <c r="AE315" s="46">
        <f>VLOOKUP($A315,'Dados StatusInvest'!$A:$AY,column(AE315)-$A$5,0)</f>
        <v>493015.84</v>
      </c>
      <c r="AF315" s="50"/>
    </row>
    <row r="316">
      <c r="A316" s="10" t="s">
        <v>362</v>
      </c>
      <c r="B316" s="39" t="str">
        <f>VLOOKUP(lEFT($A316,4),Setor!$A:$E,3,0)</f>
        <v>Utilidade Pública</v>
      </c>
      <c r="C316" s="39" t="str">
        <f>VLOOKUP(lEFT($A316,4),Setor!$A:$E,4,0)</f>
        <v>Energia Elétrica</v>
      </c>
      <c r="D316" s="39" t="str">
        <f>VLOOKUP(lEFT($A316,4),Setor!$A:$E,5,0)</f>
        <v>Energia Elétrica</v>
      </c>
      <c r="E316" s="17">
        <f>IFERROR(__xludf.DUMMYFUNCTION("GOOGLEFINANCE(A316)"),187.0)</f>
        <v>187</v>
      </c>
      <c r="F316" s="17">
        <f>IFERROR(__xludf.DUMMYFUNCTION("GOOGLEFINANCE($A316,""high52"")"),229.52)</f>
        <v>229.52</v>
      </c>
      <c r="G316" s="16">
        <f t="shared" si="1"/>
        <v>-0.1852561868</v>
      </c>
      <c r="H316" s="40">
        <f>VLOOKUP($A316,'Dados StatusInvest'!$A:$AY,column(H316)-$A$5,0)*VLOOKUP($A316,'Dados StatusInvest'!$A:$AY,2,0)/$E316/100</f>
        <v>0.1973631658</v>
      </c>
      <c r="I316" s="41">
        <f>VLOOKUP($A316,'Dados StatusInvest'!$A:$AY,column(I316)-$A$5,0)/VLOOKUP($A316,'Dados StatusInvest'!$A:$AY,2,0)*$E316</f>
        <v>1.624132845</v>
      </c>
      <c r="J316" s="41">
        <f>VLOOKUP($A316,'Dados StatusInvest'!$A:$AY,column(J316)-$A$5,0)/VLOOKUP($A316,'Dados StatusInvest'!$A:$AY,2,0)*$E316</f>
        <v>1.44026875</v>
      </c>
      <c r="K316" s="42">
        <f>VLOOKUP($A316,'Dados StatusInvest'!$A:$AY,column(K316)-$A$5,0)/VLOOKUP($A316,'Dados StatusInvest'!$A:$AY,2,0)*$E316</f>
        <v>1.246189982</v>
      </c>
      <c r="L316" s="43">
        <f>VLOOKUP($A316,'Dados StatusInvest'!$A:$AY,column(L316)-$A$5,0)/100</f>
        <v>-0.0788</v>
      </c>
      <c r="M316" s="44">
        <f>VLOOKUP($A316,'Dados StatusInvest'!$A:$AY,column(M316)-$A$5,0)</f>
        <v>-212.61</v>
      </c>
      <c r="N316" s="44">
        <f>VLOOKUP($A316,'Dados StatusInvest'!$A:$AY,column(N316)-$A$5,0)</f>
        <v>-184.88</v>
      </c>
      <c r="O316" s="41">
        <f>VLOOKUP($A316,'Dados StatusInvest'!$A:$AY,column(O316)-$A$5,0)/VLOOKUP($A316,'Dados StatusInvest'!$A:$AY,2,0)*$E316</f>
        <v>1.419839406</v>
      </c>
      <c r="P316" s="41">
        <f>VLOOKUP($A316,'Dados StatusInvest'!$A:$AY,column(P316)-$A$5,0)-VLOOKUP($A316,'Dados StatusInvest'!$A:$AY,column(P316)-$A$5-1,0)+O316</f>
        <v>0.6698394057</v>
      </c>
      <c r="Q316" s="44">
        <f>VLOOKUP($A316,'Dados StatusInvest'!$A:$AY,column(Q316)-$A$5,0)</f>
        <v>-0.74</v>
      </c>
      <c r="R316" s="44">
        <f>VLOOKUP($A316,'Dados StatusInvest'!$A:$AY,column(R316)-$A$5,0)</f>
        <v>-0.75</v>
      </c>
      <c r="S316" s="41">
        <f>VLOOKUP($A316,'Dados StatusInvest'!$A:$AY,column(S316)-$A$5,0)/VLOOKUP($A316,'Dados StatusInvest'!$A:$AY,2,0)*$E316</f>
        <v>0</v>
      </c>
      <c r="T316" s="42">
        <f>VLOOKUP($A316,'Dados StatusInvest'!$A:$AY,column(T316)-$A$5,0)/VLOOKUP($A316,'Dados StatusInvest'!$A:$AY,2,0)*$E316</f>
        <v>1.705850221</v>
      </c>
      <c r="U316" s="44">
        <f>VLOOKUP($A316,'Dados StatusInvest'!$A:$AY,column(U316)-$A$5,0)</f>
        <v>-5</v>
      </c>
      <c r="V316" s="45">
        <f>VLOOKUP($A316,'Dados StatusInvest'!$A:$AY,column(V316)-$A$5,0)</f>
        <v>25.71</v>
      </c>
      <c r="W316" s="45">
        <f>VLOOKUP($A316,'Dados StatusInvest'!$A:$AY,column(W316)-$A$5,0)</f>
        <v>88.42</v>
      </c>
      <c r="X316" s="45">
        <f>VLOOKUP($A316,'Dados StatusInvest'!$A:$AY,column(X316)-$A$5,0)</f>
        <v>76.37</v>
      </c>
      <c r="Y316" s="45">
        <f>VLOOKUP($A316,'Dados StatusInvest'!$A:$AY,column(Y316)-$A$5,0)</f>
        <v>61.87</v>
      </c>
      <c r="Z316" s="44">
        <f>VLOOKUP($A316,'Dados StatusInvest'!$A:$AY,column(Z316)-$A$5,0)</f>
        <v>0.86</v>
      </c>
      <c r="AA316" s="44">
        <f>VLOOKUP($A316,'Dados StatusInvest'!$A:$AY,column(AA316)-$A$5,0)</f>
        <v>0.04</v>
      </c>
      <c r="AB316" s="44">
        <f>VLOOKUP($A316,'Dados StatusInvest'!$A:$AY,column(AB316)-$A$5,0)</f>
        <v>-0.41</v>
      </c>
      <c r="AC316" s="44">
        <f>VLOOKUP($A316,'Dados StatusInvest'!$A:$AY,column(AC316)-$A$5,0)</f>
        <v>-36.1</v>
      </c>
      <c r="AD316" s="45">
        <f>VLOOKUP($A316,'Dados StatusInvest'!$A:$AY,column(AD316)-$A$5,0)</f>
        <v>130.5</v>
      </c>
      <c r="AE316" s="46">
        <f>VLOOKUP($A316,'Dados StatusInvest'!$A:$AY,column(AE316)-$A$5,0)</f>
        <v>353701.12</v>
      </c>
      <c r="AF316" s="49"/>
    </row>
    <row r="317">
      <c r="A317" s="10" t="s">
        <v>363</v>
      </c>
      <c r="B317" s="39" t="str">
        <f>VLOOKUP(lEFT($A317,4),Setor!$A:$E,3,0)</f>
        <v>Financeiro</v>
      </c>
      <c r="C317" s="39" t="str">
        <f>VLOOKUP(lEFT($A317,4),Setor!$A:$E,4,0)</f>
        <v>Previdência e Seguros</v>
      </c>
      <c r="D317" s="39" t="str">
        <f>VLOOKUP(lEFT($A317,4),Setor!$A:$E,5,0)</f>
        <v>Seguradoras</v>
      </c>
      <c r="E317" s="17">
        <f>IFERROR(__xludf.DUMMYFUNCTION("GOOGLEFINANCE(A317)"),8.34)</f>
        <v>8.34</v>
      </c>
      <c r="F317" s="17">
        <f>IFERROR(__xludf.DUMMYFUNCTION("GOOGLEFINANCE($A317,""high52"")"),13.67)</f>
        <v>13.67</v>
      </c>
      <c r="G317" s="16">
        <f t="shared" si="1"/>
        <v>-0.3899049012</v>
      </c>
      <c r="H317" s="40">
        <f>VLOOKUP($A317,'Dados StatusInvest'!$A:$AY,column(H317)-$A$5,0)*VLOOKUP($A317,'Dados StatusInvest'!$A:$AY,2,0)/$E317/100</f>
        <v>0.05019088729</v>
      </c>
      <c r="I317" s="41">
        <f>VLOOKUP($A317,'Dados StatusInvest'!$A:$AY,column(I317)-$A$5,0)/VLOOKUP($A317,'Dados StatusInvest'!$A:$AY,2,0)*$E317</f>
        <v>5.789417476</v>
      </c>
      <c r="J317" s="41">
        <f>VLOOKUP($A317,'Dados StatusInvest'!$A:$AY,column(J317)-$A$5,0)/VLOOKUP($A317,'Dados StatusInvest'!$A:$AY,2,0)*$E317</f>
        <v>1.336019417</v>
      </c>
      <c r="K317" s="42">
        <f>VLOOKUP($A317,'Dados StatusInvest'!$A:$AY,column(K317)-$A$5,0)/VLOOKUP($A317,'Dados StatusInvest'!$A:$AY,2,0)*$E317</f>
        <v>0.3846116505</v>
      </c>
      <c r="L317" s="43">
        <f>VLOOKUP($A317,'Dados StatusInvest'!$A:$AY,column(L317)-$A$5,0)/100</f>
        <v>0.1016</v>
      </c>
      <c r="M317" s="44">
        <f>VLOOKUP($A317,'Dados StatusInvest'!$A:$AY,column(M317)-$A$5,0)</f>
        <v>2.4</v>
      </c>
      <c r="N317" s="44">
        <f>VLOOKUP($A317,'Dados StatusInvest'!$A:$AY,column(N317)-$A$5,0)</f>
        <v>9.74</v>
      </c>
      <c r="O317" s="41">
        <f>VLOOKUP($A317,'Dados StatusInvest'!$A:$AY,column(O317)-$A$5,0)/VLOOKUP($A317,'Dados StatusInvest'!$A:$AY,2,0)*$E317</f>
        <v>23.49167476</v>
      </c>
      <c r="P317" s="41">
        <f>VLOOKUP($A317,'Dados StatusInvest'!$A:$AY,column(P317)-$A$5,0)-VLOOKUP($A317,'Dados StatusInvest'!$A:$AY,column(P317)-$A$5-1,0)+O317</f>
        <v>-9.078325243</v>
      </c>
      <c r="Q317" s="44">
        <f>VLOOKUP($A317,'Dados StatusInvest'!$A:$AY,column(Q317)-$A$5,0)</f>
        <v>-32.71</v>
      </c>
      <c r="R317" s="44">
        <f>VLOOKUP($A317,'Dados StatusInvest'!$A:$AY,column(R317)-$A$5,0)</f>
        <v>-1.86</v>
      </c>
      <c r="S317" s="41">
        <f>VLOOKUP($A317,'Dados StatusInvest'!$A:$AY,column(S317)-$A$5,0)/VLOOKUP($A317,'Dados StatusInvest'!$A:$AY,2,0)*$E317</f>
        <v>0.5667961165</v>
      </c>
      <c r="T317" s="42">
        <f>VLOOKUP($A317,'Dados StatusInvest'!$A:$AY,column(T317)-$A$5,0)/VLOOKUP($A317,'Dados StatusInvest'!$A:$AY,2,0)*$E317</f>
        <v>1.012135922</v>
      </c>
      <c r="U317" s="44">
        <f>VLOOKUP($A317,'Dados StatusInvest'!$A:$AY,column(U317)-$A$5,0)</f>
        <v>-1.21</v>
      </c>
      <c r="V317" s="45">
        <f>VLOOKUP($A317,'Dados StatusInvest'!$A:$AY,column(V317)-$A$5,0)</f>
        <v>2.25</v>
      </c>
      <c r="W317" s="45">
        <f>VLOOKUP($A317,'Dados StatusInvest'!$A:$AY,column(W317)-$A$5,0)</f>
        <v>23.06</v>
      </c>
      <c r="X317" s="45">
        <f>VLOOKUP($A317,'Dados StatusInvest'!$A:$AY,column(X317)-$A$5,0)</f>
        <v>6.66</v>
      </c>
      <c r="Y317" s="45">
        <f>VLOOKUP($A317,'Dados StatusInvest'!$A:$AY,column(Y317)-$A$5,0)</f>
        <v>3.34</v>
      </c>
      <c r="Z317" s="44">
        <f>VLOOKUP($A317,'Dados StatusInvest'!$A:$AY,column(Z317)-$A$5,0)</f>
        <v>0.29</v>
      </c>
      <c r="AA317" s="44">
        <f>VLOOKUP($A317,'Dados StatusInvest'!$A:$AY,column(AA317)-$A$5,0)</f>
        <v>0.71</v>
      </c>
      <c r="AB317" s="44">
        <f>VLOOKUP($A317,'Dados StatusInvest'!$A:$AY,column(AB317)-$A$5,0)</f>
        <v>0.68</v>
      </c>
      <c r="AC317" s="44">
        <f>VLOOKUP($A317,'Dados StatusInvest'!$A:$AY,column(AC317)-$A$5,0)</f>
        <v>4.99</v>
      </c>
      <c r="AD317" s="45">
        <f>VLOOKUP($A317,'Dados StatusInvest'!$A:$AY,column(AD317)-$A$5,0)</f>
        <v>20.34</v>
      </c>
      <c r="AE317" s="46">
        <f>VLOOKUP($A317,'Dados StatusInvest'!$A:$AY,column(AE317)-$A$5,0)</f>
        <v>377064.71</v>
      </c>
      <c r="AF317" s="18"/>
    </row>
    <row r="318">
      <c r="A318" s="10" t="s">
        <v>364</v>
      </c>
      <c r="B318" s="39" t="str">
        <f>VLOOKUP(lEFT($A318,4),Setor!$A:$E,3,0)</f>
        <v>Financeiro</v>
      </c>
      <c r="C318" s="39" t="str">
        <f>VLOOKUP(lEFT($A318,4),Setor!$A:$E,4,0)</f>
        <v>Exploração de Imóveis</v>
      </c>
      <c r="D318" s="39" t="str">
        <f>VLOOKUP(lEFT($A318,4),Setor!$A:$E,5,0)</f>
        <v>Exploração de Imóveis</v>
      </c>
      <c r="E318" s="17">
        <f>IFERROR(__xludf.DUMMYFUNCTION("GOOGLEFINANCE(A318)"),37.1)</f>
        <v>37.1</v>
      </c>
      <c r="F318" s="17">
        <f>IFERROR(__xludf.DUMMYFUNCTION("GOOGLEFINANCE($A318,""high52"")"),49.36)</f>
        <v>49.36</v>
      </c>
      <c r="G318" s="16">
        <f t="shared" si="1"/>
        <v>-0.2483792545</v>
      </c>
      <c r="H318" s="40">
        <f>VLOOKUP($A318,'Dados StatusInvest'!$A:$AY,column(H318)-$A$5,0)*VLOOKUP($A318,'Dados StatusInvest'!$A:$AY,2,0)/$E318/100</f>
        <v>0.009884932615</v>
      </c>
      <c r="I318" s="41">
        <f>VLOOKUP($A318,'Dados StatusInvest'!$A:$AY,column(I318)-$A$5,0)/VLOOKUP($A318,'Dados StatusInvest'!$A:$AY,2,0)*$E318</f>
        <v>22.81583586</v>
      </c>
      <c r="J318" s="41">
        <f>VLOOKUP($A318,'Dados StatusInvest'!$A:$AY,column(J318)-$A$5,0)/VLOOKUP($A318,'Dados StatusInvest'!$A:$AY,2,0)*$E318</f>
        <v>1.369154503</v>
      </c>
      <c r="K318" s="42">
        <f>VLOOKUP($A318,'Dados StatusInvest'!$A:$AY,column(K318)-$A$5,0)/VLOOKUP($A318,'Dados StatusInvest'!$A:$AY,2,0)*$E318</f>
        <v>0.7152299642</v>
      </c>
      <c r="L318" s="43">
        <f>VLOOKUP($A318,'Dados StatusInvest'!$A:$AY,column(L318)-$A$5,0)/100</f>
        <v>0.8061</v>
      </c>
      <c r="M318" s="44">
        <f>VLOOKUP($A318,'Dados StatusInvest'!$A:$AY,column(M318)-$A$5,0)</f>
        <v>63.51</v>
      </c>
      <c r="N318" s="44">
        <f>VLOOKUP($A318,'Dados StatusInvest'!$A:$AY,column(N318)-$A$5,0)</f>
        <v>26.9</v>
      </c>
      <c r="O318" s="41">
        <f>VLOOKUP($A318,'Dados StatusInvest'!$A:$AY,column(O318)-$A$5,0)/VLOOKUP($A318,'Dados StatusInvest'!$A:$AY,2,0)*$E318</f>
        <v>9.665822088</v>
      </c>
      <c r="P318" s="41">
        <f>VLOOKUP($A318,'Dados StatusInvest'!$A:$AY,column(P318)-$A$5,0)-VLOOKUP($A318,'Dados StatusInvest'!$A:$AY,column(P318)-$A$5-1,0)+O318</f>
        <v>14.32582209</v>
      </c>
      <c r="Q318" s="44">
        <f>VLOOKUP($A318,'Dados StatusInvest'!$A:$AY,column(Q318)-$A$5,0)</f>
        <v>4.67</v>
      </c>
      <c r="R318" s="44">
        <f>VLOOKUP($A318,'Dados StatusInvest'!$A:$AY,column(R318)-$A$5,0)</f>
        <v>0.66</v>
      </c>
      <c r="S318" s="41">
        <f>VLOOKUP($A318,'Dados StatusInvest'!$A:$AY,column(S318)-$A$5,0)/VLOOKUP($A318,'Dados StatusInvest'!$A:$AY,2,0)*$E318</f>
        <v>6.13054255</v>
      </c>
      <c r="T318" s="42">
        <f>VLOOKUP($A318,'Dados StatusInvest'!$A:$AY,column(T318)-$A$5,0)/VLOOKUP($A318,'Dados StatusInvest'!$A:$AY,2,0)*$E318</f>
        <v>6.35532911</v>
      </c>
      <c r="U318" s="44">
        <f>VLOOKUP($A318,'Dados StatusInvest'!$A:$AY,column(U318)-$A$5,0)</f>
        <v>-0.84</v>
      </c>
      <c r="V318" s="45">
        <f>VLOOKUP($A318,'Dados StatusInvest'!$A:$AY,column(V318)-$A$5,0)</f>
        <v>3.15</v>
      </c>
      <c r="W318" s="48">
        <f>VLOOKUP($A318,'Dados StatusInvest'!$A:$AY,column(W318)-$A$5,0)</f>
        <v>6</v>
      </c>
      <c r="X318" s="45">
        <f>VLOOKUP($A318,'Dados StatusInvest'!$A:$AY,column(X318)-$A$5,0)</f>
        <v>3.14</v>
      </c>
      <c r="Y318" s="45">
        <f>VLOOKUP($A318,'Dados StatusInvest'!$A:$AY,column(Y318)-$A$5,0)</f>
        <v>5.95</v>
      </c>
      <c r="Z318" s="44">
        <f>VLOOKUP($A318,'Dados StatusInvest'!$A:$AY,column(Z318)-$A$5,0)</f>
        <v>0.52</v>
      </c>
      <c r="AA318" s="44">
        <f>VLOOKUP($A318,'Dados StatusInvest'!$A:$AY,column(AA318)-$A$5,0)</f>
        <v>0.47</v>
      </c>
      <c r="AB318" s="44">
        <f>VLOOKUP($A318,'Dados StatusInvest'!$A:$AY,column(AB318)-$A$5,0)</f>
        <v>0.12</v>
      </c>
      <c r="AC318" s="44">
        <f>VLOOKUP($A318,'Dados StatusInvest'!$A:$AY,column(AC318)-$A$5,0)</f>
        <v>-6.59</v>
      </c>
      <c r="AD318" s="45">
        <f>VLOOKUP($A318,'Dados StatusInvest'!$A:$AY,column(AD318)-$A$5,0)</f>
        <v>-10.46</v>
      </c>
      <c r="AE318" s="46">
        <f>VLOOKUP($A318,'Dados StatusInvest'!$A:$AY,column(AE318)-$A$5,0)</f>
        <v>308684.38</v>
      </c>
      <c r="AF318" s="18"/>
    </row>
    <row r="319">
      <c r="A319" s="10" t="s">
        <v>365</v>
      </c>
      <c r="B319" s="39" t="str">
        <f>VLOOKUP(lEFT($A319,4),Setor!$A:$E,3,0)</f>
        <v>Bens Industriais</v>
      </c>
      <c r="C319" s="39" t="str">
        <f>VLOOKUP(lEFT($A319,4),Setor!$A:$E,4,0)</f>
        <v>Máquinas e Equipamentos</v>
      </c>
      <c r="D319" s="39" t="str">
        <f>VLOOKUP(lEFT($A319,4),Setor!$A:$E,5,0)</f>
        <v>Máq. e Equip. Industriais</v>
      </c>
      <c r="E319" s="17">
        <f>IFERROR(__xludf.DUMMYFUNCTION("GOOGLEFINANCE(A319)"),6.24)</f>
        <v>6.24</v>
      </c>
      <c r="F319" s="17">
        <f>IFERROR(__xludf.DUMMYFUNCTION("GOOGLEFINANCE($A319,""high52"")"),8.6)</f>
        <v>8.6</v>
      </c>
      <c r="G319" s="16">
        <f t="shared" si="1"/>
        <v>-0.2744186047</v>
      </c>
      <c r="H319" s="40">
        <f>VLOOKUP($A319,'Dados StatusInvest'!$A:$AY,column(H319)-$A$5,0)*VLOOKUP($A319,'Dados StatusInvest'!$A:$AY,2,0)/$E319/100</f>
        <v>0.04908173077</v>
      </c>
      <c r="I319" s="41">
        <f>VLOOKUP($A319,'Dados StatusInvest'!$A:$AY,column(I319)-$A$5,0)/VLOOKUP($A319,'Dados StatusInvest'!$A:$AY,2,0)*$E319</f>
        <v>5.022439024</v>
      </c>
      <c r="J319" s="41">
        <f>VLOOKUP($A319,'Dados StatusInvest'!$A:$AY,column(J319)-$A$5,0)/VLOOKUP($A319,'Dados StatusInvest'!$A:$AY,2,0)*$E319</f>
        <v>0.7609756098</v>
      </c>
      <c r="K319" s="42">
        <f>VLOOKUP($A319,'Dados StatusInvest'!$A:$AY,column(K319)-$A$5,0)/VLOOKUP($A319,'Dados StatusInvest'!$A:$AY,2,0)*$E319</f>
        <v>0.3246829268</v>
      </c>
      <c r="L319" s="43">
        <f>VLOOKUP($A319,'Dados StatusInvest'!$A:$AY,column(L319)-$A$5,0)/100</f>
        <v>0.2373</v>
      </c>
      <c r="M319" s="44">
        <f>VLOOKUP($A319,'Dados StatusInvest'!$A:$AY,column(M319)-$A$5,0)</f>
        <v>11.04</v>
      </c>
      <c r="N319" s="47">
        <f>VLOOKUP($A319,'Dados StatusInvest'!$A:$AY,column(N319)-$A$5,0)</f>
        <v>9.89</v>
      </c>
      <c r="O319" s="41">
        <f>VLOOKUP($A319,'Dados StatusInvest'!$A:$AY,column(O319)-$A$5,0)/VLOOKUP($A319,'Dados StatusInvest'!$A:$AY,2,0)*$E319</f>
        <v>4.494829268</v>
      </c>
      <c r="P319" s="41">
        <f>VLOOKUP($A319,'Dados StatusInvest'!$A:$AY,column(P319)-$A$5,0)-VLOOKUP($A319,'Dados StatusInvest'!$A:$AY,column(P319)-$A$5-1,0)+O319</f>
        <v>8.734829268</v>
      </c>
      <c r="Q319" s="44">
        <f>VLOOKUP($A319,'Dados StatusInvest'!$A:$AY,column(Q319)-$A$5,0)</f>
        <v>2.35</v>
      </c>
      <c r="R319" s="44">
        <f>VLOOKUP($A319,'Dados StatusInvest'!$A:$AY,column(R319)-$A$5,0)</f>
        <v>0.39</v>
      </c>
      <c r="S319" s="41">
        <f>VLOOKUP($A319,'Dados StatusInvest'!$A:$AY,column(S319)-$A$5,0)/VLOOKUP($A319,'Dados StatusInvest'!$A:$AY,2,0)*$E319</f>
        <v>0.4971707317</v>
      </c>
      <c r="T319" s="42">
        <f>VLOOKUP($A319,'Dados StatusInvest'!$A:$AY,column(T319)-$A$5,0)/VLOOKUP($A319,'Dados StatusInvest'!$A:$AY,2,0)*$E319</f>
        <v>7.193756098</v>
      </c>
      <c r="U319" s="44">
        <f>VLOOKUP($A319,'Dados StatusInvest'!$A:$AY,column(U319)-$A$5,0)</f>
        <v>-0.53</v>
      </c>
      <c r="V319" s="45">
        <f>VLOOKUP($A319,'Dados StatusInvest'!$A:$AY,column(V319)-$A$5,0)</f>
        <v>1.12</v>
      </c>
      <c r="W319" s="45">
        <f>VLOOKUP($A319,'Dados StatusInvest'!$A:$AY,column(W319)-$A$5,0)</f>
        <v>15.06</v>
      </c>
      <c r="X319" s="45">
        <f>VLOOKUP($A319,'Dados StatusInvest'!$A:$AY,column(X319)-$A$5,0)</f>
        <v>6.39</v>
      </c>
      <c r="Y319" s="45">
        <f>VLOOKUP($A319,'Dados StatusInvest'!$A:$AY,column(Y319)-$A$5,0)</f>
        <v>8.56</v>
      </c>
      <c r="Z319" s="44">
        <f>VLOOKUP($A319,'Dados StatusInvest'!$A:$AY,column(Z319)-$A$5,0)</f>
        <v>0.42</v>
      </c>
      <c r="AA319" s="44">
        <f>VLOOKUP($A319,'Dados StatusInvest'!$A:$AY,column(AA319)-$A$5,0)</f>
        <v>0.58</v>
      </c>
      <c r="AB319" s="44">
        <f>VLOOKUP($A319,'Dados StatusInvest'!$A:$AY,column(AB319)-$A$5,0)</f>
        <v>0.65</v>
      </c>
      <c r="AC319" s="44">
        <f>VLOOKUP($A319,'Dados StatusInvest'!$A:$AY,column(AC319)-$A$5,0)</f>
        <v>11.42</v>
      </c>
      <c r="AD319" s="45">
        <f>VLOOKUP($A319,'Dados StatusInvest'!$A:$AY,column(AD319)-$A$5,0)</f>
        <v>196.51</v>
      </c>
      <c r="AE319" s="46">
        <f>VLOOKUP($A319,'Dados StatusInvest'!$A:$AY,column(AE319)-$A$5,0)</f>
        <v>253030.17</v>
      </c>
      <c r="AF319" s="51"/>
    </row>
    <row r="320">
      <c r="A320" s="10" t="s">
        <v>366</v>
      </c>
      <c r="B320" s="39" t="str">
        <f>VLOOKUP(lEFT($A320,4),Setor!$A:$E,3,0)</f>
        <v>Bens Industriais</v>
      </c>
      <c r="C320" s="39" t="str">
        <f>VLOOKUP(lEFT($A320,4),Setor!$A:$E,4,0)</f>
        <v>Serviços Diversos</v>
      </c>
      <c r="D320" s="39" t="str">
        <f>VLOOKUP(lEFT($A320,4),Setor!$A:$E,5,0)</f>
        <v>Serviços Diversos</v>
      </c>
      <c r="E320" s="17">
        <f>IFERROR(__xludf.DUMMYFUNCTION("GOOGLEFINANCE(A320)"),5.16)</f>
        <v>5.16</v>
      </c>
      <c r="F320" s="17">
        <f>IFERROR(__xludf.DUMMYFUNCTION("GOOGLEFINANCE($A320,""high52"")"),13.99)</f>
        <v>13.99</v>
      </c>
      <c r="G320" s="16">
        <f t="shared" si="1"/>
        <v>-0.6311651179</v>
      </c>
      <c r="H320" s="40">
        <f>VLOOKUP($A320,'Dados StatusInvest'!$A:$AY,column(H320)-$A$5,0)*VLOOKUP($A320,'Dados StatusInvest'!$A:$AY,2,0)/$E320/100</f>
        <v>0</v>
      </c>
      <c r="I320" s="41">
        <f>VLOOKUP($A320,'Dados StatusInvest'!$A:$AY,column(I320)-$A$5,0)/VLOOKUP($A320,'Dados StatusInvest'!$A:$AY,2,0)*$E320</f>
        <v>-0.9237037037</v>
      </c>
      <c r="J320" s="41">
        <f>VLOOKUP($A320,'Dados StatusInvest'!$A:$AY,column(J320)-$A$5,0)/VLOOKUP($A320,'Dados StatusInvest'!$A:$AY,2,0)*$E320</f>
        <v>0.647654321</v>
      </c>
      <c r="K320" s="42">
        <f>VLOOKUP($A320,'Dados StatusInvest'!$A:$AY,column(K320)-$A$5,0)/VLOOKUP($A320,'Dados StatusInvest'!$A:$AY,2,0)*$E320</f>
        <v>0.07432098765</v>
      </c>
      <c r="L320" s="43">
        <f>VLOOKUP($A320,'Dados StatusInvest'!$A:$AY,column(L320)-$A$5,0)/100</f>
        <v>0.0765</v>
      </c>
      <c r="M320" s="47">
        <f>VLOOKUP($A320,'Dados StatusInvest'!$A:$AY,column(M320)-$A$5,0)</f>
        <v>-8.76</v>
      </c>
      <c r="N320" s="47">
        <f>VLOOKUP($A320,'Dados StatusInvest'!$A:$AY,column(N320)-$A$5,0)</f>
        <v>-14.53</v>
      </c>
      <c r="O320" s="41">
        <f>VLOOKUP($A320,'Dados StatusInvest'!$A:$AY,column(O320)-$A$5,0)/VLOOKUP($A320,'Dados StatusInvest'!$A:$AY,2,0)*$E320</f>
        <v>-1.528888889</v>
      </c>
      <c r="P320" s="41">
        <f>VLOOKUP($A320,'Dados StatusInvest'!$A:$AY,column(P320)-$A$5,0)-VLOOKUP($A320,'Dados StatusInvest'!$A:$AY,column(P320)-$A$5-1,0)+O320</f>
        <v>-4.518888889</v>
      </c>
      <c r="Q320" s="44">
        <f>VLOOKUP($A320,'Dados StatusInvest'!$A:$AY,column(Q320)-$A$5,0)</f>
        <v>-2.98</v>
      </c>
      <c r="R320" s="44">
        <f>VLOOKUP($A320,'Dados StatusInvest'!$A:$AY,column(R320)-$A$5,0)</f>
        <v>1.26</v>
      </c>
      <c r="S320" s="41">
        <f>VLOOKUP($A320,'Dados StatusInvest'!$A:$AY,column(S320)-$A$5,0)/VLOOKUP($A320,'Dados StatusInvest'!$A:$AY,2,0)*$E320</f>
        <v>0.1380246914</v>
      </c>
      <c r="T320" s="42">
        <f>VLOOKUP($A320,'Dados StatusInvest'!$A:$AY,column(T320)-$A$5,0)/VLOOKUP($A320,'Dados StatusInvest'!$A:$AY,2,0)*$E320</f>
        <v>-0.3291358025</v>
      </c>
      <c r="U320" s="44">
        <f>VLOOKUP($A320,'Dados StatusInvest'!$A:$AY,column(U320)-$A$5,0)</f>
        <v>-0.09</v>
      </c>
      <c r="V320" s="45">
        <f>VLOOKUP($A320,'Dados StatusInvest'!$A:$AY,column(V320)-$A$5,0)</f>
        <v>0.46</v>
      </c>
      <c r="W320" s="45">
        <f>VLOOKUP($A320,'Dados StatusInvest'!$A:$AY,column(W320)-$A$5,0)</f>
        <v>-70.2</v>
      </c>
      <c r="X320" s="45">
        <f>VLOOKUP($A320,'Dados StatusInvest'!$A:$AY,column(X320)-$A$5,0)</f>
        <v>-8.6</v>
      </c>
      <c r="Y320" s="45">
        <f>VLOOKUP($A320,'Dados StatusInvest'!$A:$AY,column(Y320)-$A$5,0)</f>
        <v>-23.8</v>
      </c>
      <c r="Z320" s="44">
        <f>VLOOKUP($A320,'Dados StatusInvest'!$A:$AY,column(Z320)-$A$5,0)</f>
        <v>0.12</v>
      </c>
      <c r="AA320" s="44">
        <f>VLOOKUP($A320,'Dados StatusInvest'!$A:$AY,column(AA320)-$A$5,0)</f>
        <v>0.88</v>
      </c>
      <c r="AB320" s="44">
        <f>VLOOKUP($A320,'Dados StatusInvest'!$A:$AY,column(AB320)-$A$5,0)</f>
        <v>0.59</v>
      </c>
      <c r="AC320" s="44">
        <f>VLOOKUP($A320,'Dados StatusInvest'!$A:$AY,column(AC320)-$A$5,0)</f>
        <v>-16.98</v>
      </c>
      <c r="AD320" s="45">
        <f>VLOOKUP($A320,'Dados StatusInvest'!$A:$AY,column(AD320)-$A$5,0)</f>
        <v>0</v>
      </c>
      <c r="AE320" s="46">
        <f>VLOOKUP($A320,'Dados StatusInvest'!$A:$AY,column(AE320)-$A$5,0)</f>
        <v>172646.21</v>
      </c>
      <c r="AF320" s="50"/>
    </row>
    <row r="321">
      <c r="A321" s="10" t="s">
        <v>367</v>
      </c>
      <c r="B321" s="39" t="str">
        <f>VLOOKUP(lEFT($A321,4),Setor!$A:$E,3,0)</f>
        <v>Utilidade Pública</v>
      </c>
      <c r="C321" s="39" t="str">
        <f>VLOOKUP(lEFT($A321,4),Setor!$A:$E,4,0)</f>
        <v>Energia Elétrica</v>
      </c>
      <c r="D321" s="39" t="str">
        <f>VLOOKUP(lEFT($A321,4),Setor!$A:$E,5,0)</f>
        <v>Energia Elétrica</v>
      </c>
      <c r="E321" s="17">
        <f>IFERROR(__xludf.DUMMYFUNCTION("GOOGLEFINANCE(A321)"),185.0)</f>
        <v>185</v>
      </c>
      <c r="F321" s="17">
        <f>IFERROR(__xludf.DUMMYFUNCTION("GOOGLEFINANCE($A321,""high52"")"),259.0)</f>
        <v>259</v>
      </c>
      <c r="G321" s="16">
        <f t="shared" si="1"/>
        <v>-0.2857142857</v>
      </c>
      <c r="H321" s="40">
        <f>VLOOKUP($A321,'Dados StatusInvest'!$A:$AY,column(H321)-$A$5,0)*VLOOKUP($A321,'Dados StatusInvest'!$A:$AY,2,0)/$E321/100</f>
        <v>0.1995113514</v>
      </c>
      <c r="I321" s="41">
        <f>VLOOKUP($A321,'Dados StatusInvest'!$A:$AY,column(I321)-$A$5,0)/VLOOKUP($A321,'Dados StatusInvest'!$A:$AY,2,0)*$E321</f>
        <v>1.606043956</v>
      </c>
      <c r="J321" s="41">
        <f>VLOOKUP($A321,'Dados StatusInvest'!$A:$AY,column(J321)-$A$5,0)/VLOOKUP($A321,'Dados StatusInvest'!$A:$AY,2,0)*$E321</f>
        <v>1.423076923</v>
      </c>
      <c r="K321" s="42">
        <f>VLOOKUP($A321,'Dados StatusInvest'!$A:$AY,column(K321)-$A$5,0)/VLOOKUP($A321,'Dados StatusInvest'!$A:$AY,2,0)*$E321</f>
        <v>1.229945055</v>
      </c>
      <c r="L321" s="43">
        <f>VLOOKUP($A321,'Dados StatusInvest'!$A:$AY,column(L321)-$A$5,0)/100</f>
        <v>-0.0788</v>
      </c>
      <c r="M321" s="44">
        <f>VLOOKUP($A321,'Dados StatusInvest'!$A:$AY,column(M321)-$A$5,0)</f>
        <v>-212.61</v>
      </c>
      <c r="N321" s="44">
        <f>VLOOKUP($A321,'Dados StatusInvest'!$A:$AY,column(N321)-$A$5,0)</f>
        <v>-184.88</v>
      </c>
      <c r="O321" s="41">
        <f>VLOOKUP($A321,'Dados StatusInvest'!$A:$AY,column(O321)-$A$5,0)/VLOOKUP($A321,'Dados StatusInvest'!$A:$AY,2,0)*$E321</f>
        <v>1.402747253</v>
      </c>
      <c r="P321" s="41">
        <f>VLOOKUP($A321,'Dados StatusInvest'!$A:$AY,column(P321)-$A$5,0)-VLOOKUP($A321,'Dados StatusInvest'!$A:$AY,column(P321)-$A$5-1,0)+O321</f>
        <v>0.6627472527</v>
      </c>
      <c r="Q321" s="44">
        <f>VLOOKUP($A321,'Dados StatusInvest'!$A:$AY,column(Q321)-$A$5,0)</f>
        <v>-0.74</v>
      </c>
      <c r="R321" s="44">
        <f>VLOOKUP($A321,'Dados StatusInvest'!$A:$AY,column(R321)-$A$5,0)</f>
        <v>-0.75</v>
      </c>
      <c r="S321" s="41">
        <f>VLOOKUP($A321,'Dados StatusInvest'!$A:$AY,column(S321)-$A$5,0)/VLOOKUP($A321,'Dados StatusInvest'!$A:$AY,2,0)*$E321</f>
        <v>0</v>
      </c>
      <c r="T321" s="42">
        <f>VLOOKUP($A321,'Dados StatusInvest'!$A:$AY,column(T321)-$A$5,0)/VLOOKUP($A321,'Dados StatusInvest'!$A:$AY,2,0)*$E321</f>
        <v>1.687362637</v>
      </c>
      <c r="U321" s="44">
        <f>VLOOKUP($A321,'Dados StatusInvest'!$A:$AY,column(U321)-$A$5,0)</f>
        <v>-4.97</v>
      </c>
      <c r="V321" s="45">
        <f>VLOOKUP($A321,'Dados StatusInvest'!$A:$AY,column(V321)-$A$5,0)</f>
        <v>25.71</v>
      </c>
      <c r="W321" s="45">
        <f>VLOOKUP($A321,'Dados StatusInvest'!$A:$AY,column(W321)-$A$5,0)</f>
        <v>88.42</v>
      </c>
      <c r="X321" s="45">
        <f>VLOOKUP($A321,'Dados StatusInvest'!$A:$AY,column(X321)-$A$5,0)</f>
        <v>76.37</v>
      </c>
      <c r="Y321" s="45">
        <f>VLOOKUP($A321,'Dados StatusInvest'!$A:$AY,column(Y321)-$A$5,0)</f>
        <v>61.87</v>
      </c>
      <c r="Z321" s="44">
        <f>VLOOKUP($A321,'Dados StatusInvest'!$A:$AY,column(Z321)-$A$5,0)</f>
        <v>0.86</v>
      </c>
      <c r="AA321" s="44">
        <f>VLOOKUP($A321,'Dados StatusInvest'!$A:$AY,column(AA321)-$A$5,0)</f>
        <v>0.04</v>
      </c>
      <c r="AB321" s="44">
        <f>VLOOKUP($A321,'Dados StatusInvest'!$A:$AY,column(AB321)-$A$5,0)</f>
        <v>-0.41</v>
      </c>
      <c r="AC321" s="44">
        <f>VLOOKUP($A321,'Dados StatusInvest'!$A:$AY,column(AC321)-$A$5,0)</f>
        <v>-36.1</v>
      </c>
      <c r="AD321" s="45">
        <f>VLOOKUP($A321,'Dados StatusInvest'!$A:$AY,column(AD321)-$A$5,0)</f>
        <v>130.5</v>
      </c>
      <c r="AE321" s="46">
        <f>VLOOKUP($A321,'Dados StatusInvest'!$A:$AY,column(AE321)-$A$5,0)</f>
        <v>322522.19</v>
      </c>
      <c r="AF321" s="50"/>
    </row>
    <row r="322">
      <c r="A322" s="10" t="s">
        <v>368</v>
      </c>
      <c r="B322" s="39" t="str">
        <f>VLOOKUP(lEFT($A322,4),Setor!$A:$E,3,0)</f>
        <v>Utilidade Pública</v>
      </c>
      <c r="C322" s="39" t="str">
        <f>VLOOKUP(lEFT($A322,4),Setor!$A:$E,4,0)</f>
        <v>Energia Elétrica</v>
      </c>
      <c r="D322" s="39" t="str">
        <f>VLOOKUP(lEFT($A322,4),Setor!$A:$E,5,0)</f>
        <v>Energia Elétrica</v>
      </c>
      <c r="E322" s="17">
        <f>IFERROR(__xludf.DUMMYFUNCTION("GOOGLEFINANCE(A322)"),3.1)</f>
        <v>3.1</v>
      </c>
      <c r="F322" s="17">
        <f>IFERROR(__xludf.DUMMYFUNCTION("GOOGLEFINANCE($A322,""high52"")"),10.7)</f>
        <v>10.7</v>
      </c>
      <c r="G322" s="16">
        <f t="shared" si="1"/>
        <v>-0.7102803738</v>
      </c>
      <c r="H322" s="40">
        <f>VLOOKUP($A322,'Dados StatusInvest'!$A:$AY,column(H322)-$A$5,0)*VLOOKUP($A322,'Dados StatusInvest'!$A:$AY,2,0)/$E322/100</f>
        <v>0</v>
      </c>
      <c r="I322" s="41">
        <f>VLOOKUP($A322,'Dados StatusInvest'!$A:$AY,column(I322)-$A$5,0)/VLOOKUP($A322,'Dados StatusInvest'!$A:$AY,2,0)*$E322</f>
        <v>7.94313099</v>
      </c>
      <c r="J322" s="41">
        <f>VLOOKUP($A322,'Dados StatusInvest'!$A:$AY,column(J322)-$A$5,0)/VLOOKUP($A322,'Dados StatusInvest'!$A:$AY,2,0)*$E322</f>
        <v>-0.4060702875</v>
      </c>
      <c r="K322" s="42">
        <f>VLOOKUP($A322,'Dados StatusInvest'!$A:$AY,column(K322)-$A$5,0)/VLOOKUP($A322,'Dados StatusInvest'!$A:$AY,2,0)*$E322</f>
        <v>0.1287539936</v>
      </c>
      <c r="L322" s="43">
        <f>VLOOKUP($A322,'Dados StatusInvest'!$A:$AY,column(L322)-$A$5,0)/100</f>
        <v>0.2154</v>
      </c>
      <c r="M322" s="47">
        <f>VLOOKUP($A322,'Dados StatusInvest'!$A:$AY,column(M322)-$A$5,0)</f>
        <v>-57.95</v>
      </c>
      <c r="N322" s="47">
        <f>VLOOKUP($A322,'Dados StatusInvest'!$A:$AY,column(N322)-$A$5,0)</f>
        <v>44.91</v>
      </c>
      <c r="O322" s="41">
        <f>VLOOKUP($A322,'Dados StatusInvest'!$A:$AY,column(O322)-$A$5,0)/VLOOKUP($A322,'Dados StatusInvest'!$A:$AY,2,0)*$E322</f>
        <v>-6.160383387</v>
      </c>
      <c r="P322" s="41">
        <f>VLOOKUP($A322,'Dados StatusInvest'!$A:$AY,column(P322)-$A$5,0)-VLOOKUP($A322,'Dados StatusInvest'!$A:$AY,column(P322)-$A$5-1,0)+O322</f>
        <v>-32.75038339</v>
      </c>
      <c r="Q322" s="44">
        <f>VLOOKUP($A322,'Dados StatusInvest'!$A:$AY,column(Q322)-$A$5,0)</f>
        <v>-26.98</v>
      </c>
      <c r="R322" s="44">
        <f>VLOOKUP($A322,'Dados StatusInvest'!$A:$AY,column(R322)-$A$5,0)</f>
        <v>0</v>
      </c>
      <c r="S322" s="41">
        <f>VLOOKUP($A322,'Dados StatusInvest'!$A:$AY,column(S322)-$A$5,0)/VLOOKUP($A322,'Dados StatusInvest'!$A:$AY,2,0)*$E322</f>
        <v>3.565495208</v>
      </c>
      <c r="T322" s="42">
        <f>VLOOKUP($A322,'Dados StatusInvest'!$A:$AY,column(T322)-$A$5,0)/VLOOKUP($A322,'Dados StatusInvest'!$A:$AY,2,0)*$E322</f>
        <v>0.752715655</v>
      </c>
      <c r="U322" s="44">
        <f>VLOOKUP($A322,'Dados StatusInvest'!$A:$AY,column(U322)-$A$5,0)</f>
        <v>-0.24</v>
      </c>
      <c r="V322" s="45">
        <f>VLOOKUP($A322,'Dados StatusInvest'!$A:$AY,column(V322)-$A$5,0)</f>
        <v>1.58</v>
      </c>
      <c r="W322" s="45">
        <f>VLOOKUP($A322,'Dados StatusInvest'!$A:$AY,column(W322)-$A$5,0)</f>
        <v>-5.06</v>
      </c>
      <c r="X322" s="48">
        <f>VLOOKUP($A322,'Dados StatusInvest'!$A:$AY,column(X322)-$A$5,0)</f>
        <v>1.62</v>
      </c>
      <c r="Y322" s="45">
        <f>VLOOKUP($A322,'Dados StatusInvest'!$A:$AY,column(Y322)-$A$5,0)</f>
        <v>-5.69</v>
      </c>
      <c r="Z322" s="44">
        <f>VLOOKUP($A322,'Dados StatusInvest'!$A:$AY,column(Z322)-$A$5,0)</f>
        <v>-0.32</v>
      </c>
      <c r="AA322" s="44">
        <f>VLOOKUP($A322,'Dados StatusInvest'!$A:$AY,column(AA322)-$A$5,0)</f>
        <v>1.32</v>
      </c>
      <c r="AB322" s="44">
        <f>VLOOKUP($A322,'Dados StatusInvest'!$A:$AY,column(AB322)-$A$5,0)</f>
        <v>0.04</v>
      </c>
      <c r="AC322" s="44">
        <f>VLOOKUP($A322,'Dados StatusInvest'!$A:$AY,column(AC322)-$A$5,0)</f>
        <v>-29.67</v>
      </c>
      <c r="AD322" s="45">
        <f>VLOOKUP($A322,'Dados StatusInvest'!$A:$AY,column(AD322)-$A$5,0)</f>
        <v>-18.42</v>
      </c>
      <c r="AE322" s="46">
        <f>VLOOKUP($A322,'Dados StatusInvest'!$A:$AY,column(AE322)-$A$5,0)</f>
        <v>277590.29</v>
      </c>
      <c r="AF322" s="18"/>
    </row>
    <row r="323">
      <c r="A323" s="10" t="s">
        <v>369</v>
      </c>
      <c r="B323" s="39" t="str">
        <f>VLOOKUP(lEFT($A323,4),Setor!$A:$E,3,0)</f>
        <v>Bens Industriais</v>
      </c>
      <c r="C323" s="39" t="str">
        <f>VLOOKUP(lEFT($A323,4),Setor!$A:$E,4,0)</f>
        <v>Construção e Engenharia</v>
      </c>
      <c r="D323" s="39" t="str">
        <f>VLOOKUP(lEFT($A323,4),Setor!$A:$E,5,0)</f>
        <v>Engenharia Consultiva</v>
      </c>
      <c r="E323" s="17">
        <f>IFERROR(__xludf.DUMMYFUNCTION("GOOGLEFINANCE(A323)"),3.08)</f>
        <v>3.08</v>
      </c>
      <c r="F323" s="17">
        <f>IFERROR(__xludf.DUMMYFUNCTION("GOOGLEFINANCE($A323,""high52"")"),9.07)</f>
        <v>9.07</v>
      </c>
      <c r="G323" s="16">
        <f t="shared" si="1"/>
        <v>-0.6604189636</v>
      </c>
      <c r="H323" s="40">
        <f>VLOOKUP($A323,'Dados StatusInvest'!$A:$AY,column(H323)-$A$5,0)*VLOOKUP($A323,'Dados StatusInvest'!$A:$AY,2,0)/$E323/100</f>
        <v>0</v>
      </c>
      <c r="I323" s="41">
        <f>VLOOKUP($A323,'Dados StatusInvest'!$A:$AY,column(I323)-$A$5,0)/VLOOKUP($A323,'Dados StatusInvest'!$A:$AY,2,0)*$E323</f>
        <v>-21.55006452</v>
      </c>
      <c r="J323" s="41">
        <f>VLOOKUP($A323,'Dados StatusInvest'!$A:$AY,column(J323)-$A$5,0)/VLOOKUP($A323,'Dados StatusInvest'!$A:$AY,2,0)*$E323</f>
        <v>91.85354839</v>
      </c>
      <c r="K323" s="42">
        <f>VLOOKUP($A323,'Dados StatusInvest'!$A:$AY,column(K323)-$A$5,0)/VLOOKUP($A323,'Dados StatusInvest'!$A:$AY,2,0)*$E323</f>
        <v>0.08941935484</v>
      </c>
      <c r="L323" s="43">
        <f>VLOOKUP($A323,'Dados StatusInvest'!$A:$AY,column(L323)-$A$5,0)/100</f>
        <v>0</v>
      </c>
      <c r="M323" s="47">
        <f>VLOOKUP($A323,'Dados StatusInvest'!$A:$AY,column(M323)-$A$5,0)</f>
        <v>0</v>
      </c>
      <c r="N323" s="47">
        <f>VLOOKUP($A323,'Dados StatusInvest'!$A:$AY,column(N323)-$A$5,0)</f>
        <v>0</v>
      </c>
      <c r="O323" s="41">
        <f>VLOOKUP($A323,'Dados StatusInvest'!$A:$AY,column(O323)-$A$5,0)/VLOOKUP($A323,'Dados StatusInvest'!$A:$AY,2,0)*$E323</f>
        <v>-24.42141935</v>
      </c>
      <c r="P323" s="41">
        <f>VLOOKUP($A323,'Dados StatusInvest'!$A:$AY,column(P323)-$A$5,0)-VLOOKUP($A323,'Dados StatusInvest'!$A:$AY,column(P323)-$A$5-1,0)+O323</f>
        <v>-61.17141935</v>
      </c>
      <c r="Q323" s="44">
        <f>VLOOKUP($A323,'Dados StatusInvest'!$A:$AY,column(Q323)-$A$5,0)</f>
        <v>-40.28</v>
      </c>
      <c r="R323" s="44">
        <f>VLOOKUP($A323,'Dados StatusInvest'!$A:$AY,column(R323)-$A$5,0)</f>
        <v>151.49</v>
      </c>
      <c r="S323" s="41">
        <f>VLOOKUP($A323,'Dados StatusInvest'!$A:$AY,column(S323)-$A$5,0)/VLOOKUP($A323,'Dados StatusInvest'!$A:$AY,2,0)*$E323</f>
        <v>0</v>
      </c>
      <c r="T323" s="42">
        <f>VLOOKUP($A323,'Dados StatusInvest'!$A:$AY,column(T323)-$A$5,0)/VLOOKUP($A323,'Dados StatusInvest'!$A:$AY,2,0)*$E323</f>
        <v>-0.2086451613</v>
      </c>
      <c r="U323" s="44">
        <f>VLOOKUP($A323,'Dados StatusInvest'!$A:$AY,column(U323)-$A$5,0)</f>
        <v>-0.1</v>
      </c>
      <c r="V323" s="45">
        <f>VLOOKUP($A323,'Dados StatusInvest'!$A:$AY,column(V323)-$A$5,0)</f>
        <v>0.29</v>
      </c>
      <c r="W323" s="45">
        <f>VLOOKUP($A323,'Dados StatusInvest'!$A:$AY,column(W323)-$A$5,0)</f>
        <v>-426.13</v>
      </c>
      <c r="X323" s="45">
        <f>VLOOKUP($A323,'Dados StatusInvest'!$A:$AY,column(X323)-$A$5,0)</f>
        <v>-0.4</v>
      </c>
      <c r="Y323" s="45">
        <f>VLOOKUP($A323,'Dados StatusInvest'!$A:$AY,column(Y323)-$A$5,0)</f>
        <v>-2.47</v>
      </c>
      <c r="Z323" s="44">
        <f>VLOOKUP($A323,'Dados StatusInvest'!$A:$AY,column(Z323)-$A$5,0)</f>
        <v>0</v>
      </c>
      <c r="AA323" s="44">
        <f>VLOOKUP($A323,'Dados StatusInvest'!$A:$AY,column(AA323)-$A$5,0)</f>
        <v>1</v>
      </c>
      <c r="AB323" s="44">
        <f>VLOOKUP($A323,'Dados StatusInvest'!$A:$AY,column(AB323)-$A$5,0)</f>
        <v>0</v>
      </c>
      <c r="AC323" s="44">
        <f>VLOOKUP($A323,'Dados StatusInvest'!$A:$AY,column(AC323)-$A$5,0)</f>
        <v>0</v>
      </c>
      <c r="AD323" s="45">
        <f>VLOOKUP($A323,'Dados StatusInvest'!$A:$AY,column(AD323)-$A$5,0)</f>
        <v>0</v>
      </c>
      <c r="AE323" s="46">
        <f>VLOOKUP($A323,'Dados StatusInvest'!$A:$AY,column(AE323)-$A$5,0)</f>
        <v>195350.46</v>
      </c>
      <c r="AF323" s="18"/>
    </row>
    <row r="324">
      <c r="A324" s="10" t="s">
        <v>370</v>
      </c>
      <c r="B324" s="39" t="str">
        <f>VLOOKUP(lEFT($A324,4),Setor!$A:$E,3,0)</f>
        <v>#N/A</v>
      </c>
      <c r="C324" s="39" t="str">
        <f>VLOOKUP(lEFT($A324,4),Setor!$A:$E,4,0)</f>
        <v>#N/A</v>
      </c>
      <c r="D324" s="39" t="str">
        <f>VLOOKUP(lEFT($A324,4),Setor!$A:$E,5,0)</f>
        <v>#N/A</v>
      </c>
      <c r="E324" s="17">
        <f>IFERROR(__xludf.DUMMYFUNCTION("GOOGLEFINANCE(A324)"),6.28)</f>
        <v>6.28</v>
      </c>
      <c r="F324" s="17">
        <f>IFERROR(__xludf.DUMMYFUNCTION("GOOGLEFINANCE($A324,""high52"")"),17.22)</f>
        <v>17.22</v>
      </c>
      <c r="G324" s="16">
        <f t="shared" si="1"/>
        <v>-0.6353077816</v>
      </c>
      <c r="H324" s="40">
        <f>VLOOKUP($A324,'Dados StatusInvest'!$A:$AY,column(H324)-$A$5,0)*VLOOKUP($A324,'Dados StatusInvest'!$A:$AY,2,0)/$E324/100</f>
        <v>0.00703089172</v>
      </c>
      <c r="I324" s="41">
        <f>VLOOKUP($A324,'Dados StatusInvest'!$A:$AY,column(I324)-$A$5,0)/VLOOKUP($A324,'Dados StatusInvest'!$A:$AY,2,0)*$E324</f>
        <v>58.75414051</v>
      </c>
      <c r="J324" s="41">
        <f>VLOOKUP($A324,'Dados StatusInvest'!$A:$AY,column(J324)-$A$5,0)/VLOOKUP($A324,'Dados StatusInvest'!$A:$AY,2,0)*$E324</f>
        <v>3.210403587</v>
      </c>
      <c r="K324" s="42">
        <f>VLOOKUP($A324,'Dados StatusInvest'!$A:$AY,column(K324)-$A$5,0)/VLOOKUP($A324,'Dados StatusInvest'!$A:$AY,2,0)*$E324</f>
        <v>0.7228101644</v>
      </c>
      <c r="L324" s="43">
        <f>VLOOKUP($A324,'Dados StatusInvest'!$A:$AY,column(L324)-$A$5,0)/100</f>
        <v>1.2012</v>
      </c>
      <c r="M324" s="44">
        <f>VLOOKUP($A324,'Dados StatusInvest'!$A:$AY,column(M324)-$A$5,0)</f>
        <v>32.34</v>
      </c>
      <c r="N324" s="44">
        <f>VLOOKUP($A324,'Dados StatusInvest'!$A:$AY,column(N324)-$A$5,0)</f>
        <v>20.69</v>
      </c>
      <c r="O324" s="41">
        <f>VLOOKUP($A324,'Dados StatusInvest'!$A:$AY,column(O324)-$A$5,0)/VLOOKUP($A324,'Dados StatusInvest'!$A:$AY,2,0)*$E324</f>
        <v>37.57674141</v>
      </c>
      <c r="P324" s="41">
        <f>VLOOKUP($A324,'Dados StatusInvest'!$A:$AY,column(P324)-$A$5,0)-VLOOKUP($A324,'Dados StatusInvest'!$A:$AY,column(P324)-$A$5-1,0)+O324</f>
        <v>29.97674141</v>
      </c>
      <c r="Q324" s="44">
        <f>VLOOKUP($A324,'Dados StatusInvest'!$A:$AY,column(Q324)-$A$5,0)</f>
        <v>0</v>
      </c>
      <c r="R324" s="44">
        <f>VLOOKUP($A324,'Dados StatusInvest'!$A:$AY,column(R324)-$A$5,0)</f>
        <v>0</v>
      </c>
      <c r="S324" s="41">
        <f>VLOOKUP($A324,'Dados StatusInvest'!$A:$AY,column(S324)-$A$5,0)/VLOOKUP($A324,'Dados StatusInvest'!$A:$AY,2,0)*$E324</f>
        <v>12.15635277</v>
      </c>
      <c r="T324" s="42">
        <f>VLOOKUP($A324,'Dados StatusInvest'!$A:$AY,column(T324)-$A$5,0)/VLOOKUP($A324,'Dados StatusInvest'!$A:$AY,2,0)*$E324</f>
        <v>0</v>
      </c>
      <c r="U324" s="44">
        <f>VLOOKUP($A324,'Dados StatusInvest'!$A:$AY,column(U324)-$A$5,0)</f>
        <v>-1.2</v>
      </c>
      <c r="V324" s="45">
        <f>VLOOKUP($A324,'Dados StatusInvest'!$A:$AY,column(V324)-$A$5,0)</f>
        <v>0</v>
      </c>
      <c r="W324" s="48">
        <f>VLOOKUP($A324,'Dados StatusInvest'!$A:$AY,column(W324)-$A$5,0)</f>
        <v>5.46</v>
      </c>
      <c r="X324" s="45">
        <f>VLOOKUP($A324,'Dados StatusInvest'!$A:$AY,column(X324)-$A$5,0)</f>
        <v>1.23</v>
      </c>
      <c r="Y324" s="45">
        <f>VLOOKUP($A324,'Dados StatusInvest'!$A:$AY,column(Y324)-$A$5,0)</f>
        <v>0</v>
      </c>
      <c r="Z324" s="44">
        <f>VLOOKUP($A324,'Dados StatusInvest'!$A:$AY,column(Z324)-$A$5,0)</f>
        <v>0.23</v>
      </c>
      <c r="AA324" s="44">
        <f>VLOOKUP($A324,'Dados StatusInvest'!$A:$AY,column(AA324)-$A$5,0)</f>
        <v>0.77</v>
      </c>
      <c r="AB324" s="44">
        <f>VLOOKUP($A324,'Dados StatusInvest'!$A:$AY,column(AB324)-$A$5,0)</f>
        <v>0.06</v>
      </c>
      <c r="AC324" s="44">
        <f>VLOOKUP($A324,'Dados StatusInvest'!$A:$AY,column(AC324)-$A$5,0)</f>
        <v>0</v>
      </c>
      <c r="AD324" s="45">
        <f>VLOOKUP($A324,'Dados StatusInvest'!$A:$AY,column(AD324)-$A$5,0)</f>
        <v>0</v>
      </c>
      <c r="AE324" s="46">
        <f>VLOOKUP($A324,'Dados StatusInvest'!$A:$AY,column(AE324)-$A$5,0)</f>
        <v>114775.54</v>
      </c>
      <c r="AF324" s="50"/>
    </row>
    <row r="325">
      <c r="A325" s="10" t="s">
        <v>371</v>
      </c>
      <c r="B325" s="39" t="str">
        <f>VLOOKUP(lEFT($A325,4),Setor!$A:$E,3,0)</f>
        <v>Consumo Cíclico</v>
      </c>
      <c r="C325" s="39" t="str">
        <f>VLOOKUP(lEFT($A325,4),Setor!$A:$E,4,0)</f>
        <v>Hoteis e Restaurantes</v>
      </c>
      <c r="D325" s="39" t="str">
        <f>VLOOKUP(lEFT($A325,4),Setor!$A:$E,5,0)</f>
        <v>Hotelaria</v>
      </c>
      <c r="E325" s="17">
        <f>IFERROR(__xludf.DUMMYFUNCTION("GOOGLEFINANCE(A325)"),3.72)</f>
        <v>3.72</v>
      </c>
      <c r="F325" s="17">
        <f>IFERROR(__xludf.DUMMYFUNCTION("GOOGLEFINANCE($A325,""high52"")"),7.0)</f>
        <v>7</v>
      </c>
      <c r="G325" s="16">
        <f t="shared" si="1"/>
        <v>-0.4685714286</v>
      </c>
      <c r="H325" s="40">
        <f>VLOOKUP($A325,'Dados StatusInvest'!$A:$AY,column(H325)-$A$5,0)*VLOOKUP($A325,'Dados StatusInvest'!$A:$AY,2,0)/$E325/100</f>
        <v>0</v>
      </c>
      <c r="I325" s="41">
        <f>VLOOKUP($A325,'Dados StatusInvest'!$A:$AY,column(I325)-$A$5,0)/VLOOKUP($A325,'Dados StatusInvest'!$A:$AY,2,0)*$E325</f>
        <v>-1.460821918</v>
      </c>
      <c r="J325" s="41">
        <f>VLOOKUP($A325,'Dados StatusInvest'!$A:$AY,column(J325)-$A$5,0)/VLOOKUP($A325,'Dados StatusInvest'!$A:$AY,2,0)*$E325</f>
        <v>-0.1443835616</v>
      </c>
      <c r="K325" s="42">
        <f>VLOOKUP($A325,'Dados StatusInvest'!$A:$AY,column(K325)-$A$5,0)/VLOOKUP($A325,'Dados StatusInvest'!$A:$AY,2,0)*$E325</f>
        <v>0.1443835616</v>
      </c>
      <c r="L325" s="43">
        <f>VLOOKUP($A325,'Dados StatusInvest'!$A:$AY,column(L325)-$A$5,0)/100</f>
        <v>0.613</v>
      </c>
      <c r="M325" s="47">
        <f>VLOOKUP($A325,'Dados StatusInvest'!$A:$AY,column(M325)-$A$5,0)</f>
        <v>-137.86</v>
      </c>
      <c r="N325" s="47">
        <f>VLOOKUP($A325,'Dados StatusInvest'!$A:$AY,column(N325)-$A$5,0)</f>
        <v>-174.4</v>
      </c>
      <c r="O325" s="41">
        <f>VLOOKUP($A325,'Dados StatusInvest'!$A:$AY,column(O325)-$A$5,0)/VLOOKUP($A325,'Dados StatusInvest'!$A:$AY,2,0)*$E325</f>
        <v>-1.851506849</v>
      </c>
      <c r="P325" s="41">
        <f>VLOOKUP($A325,'Dados StatusInvest'!$A:$AY,column(P325)-$A$5,0)-VLOOKUP($A325,'Dados StatusInvest'!$A:$AY,column(P325)-$A$5-1,0)+O325</f>
        <v>-0.4415068493</v>
      </c>
      <c r="Q325" s="44">
        <f>VLOOKUP($A325,'Dados StatusInvest'!$A:$AY,column(Q325)-$A$5,0)</f>
        <v>0.05</v>
      </c>
      <c r="R325" s="44">
        <f>VLOOKUP($A325,'Dados StatusInvest'!$A:$AY,column(R325)-$A$5,0)</f>
        <v>0</v>
      </c>
      <c r="S325" s="41">
        <f>VLOOKUP($A325,'Dados StatusInvest'!$A:$AY,column(S325)-$A$5,0)/VLOOKUP($A325,'Dados StatusInvest'!$A:$AY,2,0)*$E325</f>
        <v>2.547945205</v>
      </c>
      <c r="T325" s="42">
        <f>VLOOKUP($A325,'Dados StatusInvest'!$A:$AY,column(T325)-$A$5,0)/VLOOKUP($A325,'Dados StatusInvest'!$A:$AY,2,0)*$E325</f>
        <v>-0.1104109589</v>
      </c>
      <c r="U325" s="44">
        <f>VLOOKUP($A325,'Dados StatusInvest'!$A:$AY,column(U325)-$A$5,0)</f>
        <v>-0.18</v>
      </c>
      <c r="V325" s="45">
        <f>VLOOKUP($A325,'Dados StatusInvest'!$A:$AY,column(V325)-$A$5,0)</f>
        <v>0.04</v>
      </c>
      <c r="W325" s="45">
        <f>VLOOKUP($A325,'Dados StatusInvest'!$A:$AY,column(W325)-$A$5,0)</f>
        <v>-9.99</v>
      </c>
      <c r="X325" s="45">
        <f>VLOOKUP($A325,'Dados StatusInvest'!$A:$AY,column(X325)-$A$5,0)</f>
        <v>-10.12</v>
      </c>
      <c r="Y325" s="45">
        <f>VLOOKUP($A325,'Dados StatusInvest'!$A:$AY,column(Y325)-$A$5,0)</f>
        <v>7.89</v>
      </c>
      <c r="Z325" s="44">
        <f>VLOOKUP($A325,'Dados StatusInvest'!$A:$AY,column(Z325)-$A$5,0)</f>
        <v>-1.01</v>
      </c>
      <c r="AA325" s="44">
        <f>VLOOKUP($A325,'Dados StatusInvest'!$A:$AY,column(AA325)-$A$5,0)</f>
        <v>2.07</v>
      </c>
      <c r="AB325" s="44">
        <f>VLOOKUP($A325,'Dados StatusInvest'!$A:$AY,column(AB325)-$A$5,0)</f>
        <v>0.06</v>
      </c>
      <c r="AC325" s="44">
        <f>VLOOKUP($A325,'Dados StatusInvest'!$A:$AY,column(AC325)-$A$5,0)</f>
        <v>-24.22</v>
      </c>
      <c r="AD325" s="45">
        <f>VLOOKUP($A325,'Dados StatusInvest'!$A:$AY,column(AD325)-$A$5,0)</f>
        <v>0</v>
      </c>
      <c r="AE325" s="46">
        <f>VLOOKUP($A325,'Dados StatusInvest'!$A:$AY,column(AE325)-$A$5,0)</f>
        <v>550707.63</v>
      </c>
      <c r="AF325" s="49"/>
    </row>
    <row r="326">
      <c r="A326" s="10" t="s">
        <v>372</v>
      </c>
      <c r="B326" s="39" t="str">
        <f>VLOOKUP(lEFT($A326,4),Setor!$A:$E,3,0)</f>
        <v>Outros</v>
      </c>
      <c r="C326" s="39" t="str">
        <f>VLOOKUP(lEFT($A326,4),Setor!$A:$E,4,0)</f>
        <v>Outros</v>
      </c>
      <c r="D326" s="39" t="str">
        <f>VLOOKUP(lEFT($A326,4),Setor!$A:$E,5,0)</f>
        <v>Outros</v>
      </c>
      <c r="E326" s="17">
        <f>IFERROR(__xludf.DUMMYFUNCTION("GOOGLEFINANCE(A326)"),4.7)</f>
        <v>4.7</v>
      </c>
      <c r="F326" s="17">
        <f>IFERROR(__xludf.DUMMYFUNCTION("GOOGLEFINANCE($A326,""high52"")"),12.53)</f>
        <v>12.53</v>
      </c>
      <c r="G326" s="16">
        <f t="shared" si="1"/>
        <v>-0.6249002394</v>
      </c>
      <c r="H326" s="40">
        <f>VLOOKUP($A326,'Dados StatusInvest'!$A:$AY,column(H326)-$A$5,0)*VLOOKUP($A326,'Dados StatusInvest'!$A:$AY,2,0)/$E326/100</f>
        <v>0.06346468085</v>
      </c>
      <c r="I326" s="41">
        <f>VLOOKUP($A326,'Dados StatusInvest'!$A:$AY,column(I326)-$A$5,0)/VLOOKUP($A326,'Dados StatusInvest'!$A:$AY,2,0)*$E326</f>
        <v>8.37782516</v>
      </c>
      <c r="J326" s="41">
        <f>VLOOKUP($A326,'Dados StatusInvest'!$A:$AY,column(J326)-$A$5,0)/VLOOKUP($A326,'Dados StatusInvest'!$A:$AY,2,0)*$E326</f>
        <v>5.561833689</v>
      </c>
      <c r="K326" s="42">
        <f>VLOOKUP($A326,'Dados StatusInvest'!$A:$AY,column(K326)-$A$5,0)/VLOOKUP($A326,'Dados StatusInvest'!$A:$AY,2,0)*$E326</f>
        <v>3.597654584</v>
      </c>
      <c r="L326" s="43">
        <f>VLOOKUP($A326,'Dados StatusInvest'!$A:$AY,column(L326)-$A$5,0)/100</f>
        <v>1</v>
      </c>
      <c r="M326" s="47">
        <f>VLOOKUP($A326,'Dados StatusInvest'!$A:$AY,column(M326)-$A$5,0)</f>
        <v>31.96</v>
      </c>
      <c r="N326" s="47">
        <f>VLOOKUP($A326,'Dados StatusInvest'!$A:$AY,column(N326)-$A$5,0)</f>
        <v>33.45</v>
      </c>
      <c r="O326" s="41">
        <f>VLOOKUP($A326,'Dados StatusInvest'!$A:$AY,column(O326)-$A$5,0)/VLOOKUP($A326,'Dados StatusInvest'!$A:$AY,2,0)*$E326</f>
        <v>8.768656716</v>
      </c>
      <c r="P326" s="41">
        <f>VLOOKUP($A326,'Dados StatusInvest'!$A:$AY,column(P326)-$A$5,0)-VLOOKUP($A326,'Dados StatusInvest'!$A:$AY,column(P326)-$A$5-1,0)+O326</f>
        <v>7.708656716</v>
      </c>
      <c r="Q326" s="44">
        <f>VLOOKUP($A326,'Dados StatusInvest'!$A:$AY,column(Q326)-$A$5,0)</f>
        <v>-1.19</v>
      </c>
      <c r="R326" s="44">
        <f>VLOOKUP($A326,'Dados StatusInvest'!$A:$AY,column(R326)-$A$5,0)</f>
        <v>-0.76</v>
      </c>
      <c r="S326" s="41">
        <f>VLOOKUP($A326,'Dados StatusInvest'!$A:$AY,column(S326)-$A$5,0)/VLOOKUP($A326,'Dados StatusInvest'!$A:$AY,2,0)*$E326</f>
        <v>2.805970149</v>
      </c>
      <c r="T326" s="42">
        <f>VLOOKUP($A326,'Dados StatusInvest'!$A:$AY,column(T326)-$A$5,0)/VLOOKUP($A326,'Dados StatusInvest'!$A:$AY,2,0)*$E326</f>
        <v>3.808102345</v>
      </c>
      <c r="U326" s="47">
        <f>VLOOKUP($A326,'Dados StatusInvest'!$A:$AY,column(U326)-$A$5,0)</f>
        <v>-169.49</v>
      </c>
      <c r="V326" s="45">
        <f>VLOOKUP($A326,'Dados StatusInvest'!$A:$AY,column(V326)-$A$5,0)</f>
        <v>30.27</v>
      </c>
      <c r="W326" s="48">
        <f>VLOOKUP($A326,'Dados StatusInvest'!$A:$AY,column(W326)-$A$5,0)</f>
        <v>66.4</v>
      </c>
      <c r="X326" s="48">
        <f>VLOOKUP($A326,'Dados StatusInvest'!$A:$AY,column(X326)-$A$5,0)</f>
        <v>42.95</v>
      </c>
      <c r="Y326" s="48">
        <f>VLOOKUP($A326,'Dados StatusInvest'!$A:$AY,column(Y326)-$A$5,0)</f>
        <v>60.42</v>
      </c>
      <c r="Z326" s="44">
        <f>VLOOKUP($A326,'Dados StatusInvest'!$A:$AY,column(Z326)-$A$5,0)</f>
        <v>0.65</v>
      </c>
      <c r="AA326" s="44">
        <f>VLOOKUP($A326,'Dados StatusInvest'!$A:$AY,column(AA326)-$A$5,0)</f>
        <v>0.35</v>
      </c>
      <c r="AB326" s="44">
        <f>VLOOKUP($A326,'Dados StatusInvest'!$A:$AY,column(AB326)-$A$5,0)</f>
        <v>1.28</v>
      </c>
      <c r="AC326" s="44">
        <f>VLOOKUP($A326,'Dados StatusInvest'!$A:$AY,column(AC326)-$A$5,0)</f>
        <v>0</v>
      </c>
      <c r="AD326" s="45">
        <f>VLOOKUP($A326,'Dados StatusInvest'!$A:$AY,column(AD326)-$A$5,0)</f>
        <v>0</v>
      </c>
      <c r="AE326" s="46">
        <f>VLOOKUP($A326,'Dados StatusInvest'!$A:$AY,column(AE326)-$A$5,0)</f>
        <v>146821</v>
      </c>
      <c r="AF326" s="50"/>
    </row>
    <row r="327">
      <c r="A327" s="10" t="s">
        <v>373</v>
      </c>
      <c r="B327" s="39" t="str">
        <f>VLOOKUP(lEFT($A327,4),Setor!$A:$E,3,0)</f>
        <v>Financeiro</v>
      </c>
      <c r="C327" s="39" t="str">
        <f>VLOOKUP(lEFT($A327,4),Setor!$A:$E,4,0)</f>
        <v>Previdência e Seguros</v>
      </c>
      <c r="D327" s="39" t="str">
        <f>VLOOKUP(lEFT($A327,4),Setor!$A:$E,5,0)</f>
        <v>Seguradoras</v>
      </c>
      <c r="E327" s="17">
        <f>IFERROR(__xludf.DUMMYFUNCTION("GOOGLEFINANCE(A327)"),8.49)</f>
        <v>8.49</v>
      </c>
      <c r="F327" s="17">
        <f>IFERROR(__xludf.DUMMYFUNCTION("GOOGLEFINANCE($A327,""high52"")"),17.59)</f>
        <v>17.59</v>
      </c>
      <c r="G327" s="16">
        <f t="shared" si="1"/>
        <v>-0.5173393974</v>
      </c>
      <c r="H327" s="40">
        <f>VLOOKUP($A327,'Dados StatusInvest'!$A:$AY,column(H327)-$A$5,0)*VLOOKUP($A327,'Dados StatusInvest'!$A:$AY,2,0)/$E327/100</f>
        <v>0.04961778563</v>
      </c>
      <c r="I327" s="41">
        <f>VLOOKUP($A327,'Dados StatusInvest'!$A:$AY,column(I327)-$A$5,0)/VLOOKUP($A327,'Dados StatusInvest'!$A:$AY,2,0)*$E327</f>
        <v>5.849757225</v>
      </c>
      <c r="J327" s="41">
        <f>VLOOKUP($A327,'Dados StatusInvest'!$A:$AY,column(J327)-$A$5,0)/VLOOKUP($A327,'Dados StatusInvest'!$A:$AY,2,0)*$E327</f>
        <v>1.354473988</v>
      </c>
      <c r="K327" s="42">
        <f>VLOOKUP($A327,'Dados StatusInvest'!$A:$AY,column(K327)-$A$5,0)/VLOOKUP($A327,'Dados StatusInvest'!$A:$AY,2,0)*$E327</f>
        <v>0.3926011561</v>
      </c>
      <c r="L327" s="43">
        <f>VLOOKUP($A327,'Dados StatusInvest'!$A:$AY,column(L327)-$A$5,0)/100</f>
        <v>0.1016</v>
      </c>
      <c r="M327" s="44">
        <f>VLOOKUP($A327,'Dados StatusInvest'!$A:$AY,column(M327)-$A$5,0)</f>
        <v>2.4</v>
      </c>
      <c r="N327" s="44">
        <f>VLOOKUP($A327,'Dados StatusInvest'!$A:$AY,column(N327)-$A$5,0)</f>
        <v>9.74</v>
      </c>
      <c r="O327" s="41">
        <f>VLOOKUP($A327,'Dados StatusInvest'!$A:$AY,column(O327)-$A$5,0)/VLOOKUP($A327,'Dados StatusInvest'!$A:$AY,2,0)*$E327</f>
        <v>23.73273988</v>
      </c>
      <c r="P327" s="41">
        <f>VLOOKUP($A327,'Dados StatusInvest'!$A:$AY,column(P327)-$A$5,0)-VLOOKUP($A327,'Dados StatusInvest'!$A:$AY,column(P327)-$A$5-1,0)+O327</f>
        <v>-9.807260116</v>
      </c>
      <c r="Q327" s="44">
        <f>VLOOKUP($A327,'Dados StatusInvest'!$A:$AY,column(Q327)-$A$5,0)</f>
        <v>-32.71</v>
      </c>
      <c r="R327" s="44">
        <f>VLOOKUP($A327,'Dados StatusInvest'!$A:$AY,column(R327)-$A$5,0)</f>
        <v>-1.86</v>
      </c>
      <c r="S327" s="41">
        <f>VLOOKUP($A327,'Dados StatusInvest'!$A:$AY,column(S327)-$A$5,0)/VLOOKUP($A327,'Dados StatusInvest'!$A:$AY,2,0)*$E327</f>
        <v>0.5692716763</v>
      </c>
      <c r="T327" s="42">
        <f>VLOOKUP($A327,'Dados StatusInvest'!$A:$AY,column(T327)-$A$5,0)/VLOOKUP($A327,'Dados StatusInvest'!$A:$AY,2,0)*$E327</f>
        <v>1.020763006</v>
      </c>
      <c r="U327" s="44">
        <f>VLOOKUP($A327,'Dados StatusInvest'!$A:$AY,column(U327)-$A$5,0)</f>
        <v>-1.27</v>
      </c>
      <c r="V327" s="45">
        <f>VLOOKUP($A327,'Dados StatusInvest'!$A:$AY,column(V327)-$A$5,0)</f>
        <v>2.25</v>
      </c>
      <c r="W327" s="45">
        <f>VLOOKUP($A327,'Dados StatusInvest'!$A:$AY,column(W327)-$A$5,0)</f>
        <v>23.06</v>
      </c>
      <c r="X327" s="45">
        <f>VLOOKUP($A327,'Dados StatusInvest'!$A:$AY,column(X327)-$A$5,0)</f>
        <v>6.66</v>
      </c>
      <c r="Y327" s="45">
        <f>VLOOKUP($A327,'Dados StatusInvest'!$A:$AY,column(Y327)-$A$5,0)</f>
        <v>3.34</v>
      </c>
      <c r="Z327" s="44">
        <f>VLOOKUP($A327,'Dados StatusInvest'!$A:$AY,column(Z327)-$A$5,0)</f>
        <v>0.29</v>
      </c>
      <c r="AA327" s="44">
        <f>VLOOKUP($A327,'Dados StatusInvest'!$A:$AY,column(AA327)-$A$5,0)</f>
        <v>0.71</v>
      </c>
      <c r="AB327" s="44">
        <f>VLOOKUP($A327,'Dados StatusInvest'!$A:$AY,column(AB327)-$A$5,0)</f>
        <v>0.68</v>
      </c>
      <c r="AC327" s="44">
        <f>VLOOKUP($A327,'Dados StatusInvest'!$A:$AY,column(AC327)-$A$5,0)</f>
        <v>4.99</v>
      </c>
      <c r="AD327" s="45">
        <f>VLOOKUP($A327,'Dados StatusInvest'!$A:$AY,column(AD327)-$A$5,0)</f>
        <v>20.34</v>
      </c>
      <c r="AE327" s="46">
        <f>VLOOKUP($A327,'Dados StatusInvest'!$A:$AY,column(AE327)-$A$5,0)</f>
        <v>212794.63</v>
      </c>
      <c r="AF327" s="18"/>
    </row>
    <row r="328">
      <c r="A328" s="10" t="s">
        <v>374</v>
      </c>
      <c r="B328" s="39" t="str">
        <f>VLOOKUP(lEFT($A328,4),Setor!$A:$E,3,0)</f>
        <v>Utilidade Pública</v>
      </c>
      <c r="C328" s="39" t="str">
        <f>VLOOKUP(lEFT($A328,4),Setor!$A:$E,4,0)</f>
        <v>Energia Elétrica</v>
      </c>
      <c r="D328" s="39" t="str">
        <f>VLOOKUP(lEFT($A328,4),Setor!$A:$E,5,0)</f>
        <v>Energia Elétrica</v>
      </c>
      <c r="E328" s="17">
        <f>IFERROR(__xludf.DUMMYFUNCTION("GOOGLEFINANCE(A328)"),23.19)</f>
        <v>23.19</v>
      </c>
      <c r="F328" s="17">
        <f>IFERROR(__xludf.DUMMYFUNCTION("GOOGLEFINANCE($A328,""high52"")"),33.99)</f>
        <v>33.99</v>
      </c>
      <c r="G328" s="16">
        <f t="shared" si="1"/>
        <v>-0.3177405119</v>
      </c>
      <c r="H328" s="40">
        <f>VLOOKUP($A328,'Dados StatusInvest'!$A:$AY,column(H328)-$A$5,0)*VLOOKUP($A328,'Dados StatusInvest'!$A:$AY,2,0)/$E328/100</f>
        <v>0.1119158258</v>
      </c>
      <c r="I328" s="41">
        <f>VLOOKUP($A328,'Dados StatusInvest'!$A:$AY,column(I328)-$A$5,0)/VLOOKUP($A328,'Dados StatusInvest'!$A:$AY,2,0)*$E328</f>
        <v>4.644347628</v>
      </c>
      <c r="J328" s="41">
        <f>VLOOKUP($A328,'Dados StatusInvest'!$A:$AY,column(J328)-$A$5,0)/VLOOKUP($A328,'Dados StatusInvest'!$A:$AY,2,0)*$E328</f>
        <v>1.068517336</v>
      </c>
      <c r="K328" s="42">
        <f>VLOOKUP($A328,'Dados StatusInvest'!$A:$AY,column(K328)-$A$5,0)/VLOOKUP($A328,'Dados StatusInvest'!$A:$AY,2,0)*$E328</f>
        <v>0.5395483577</v>
      </c>
      <c r="L328" s="43">
        <f>VLOOKUP($A328,'Dados StatusInvest'!$A:$AY,column(L328)-$A$5,0)/100</f>
        <v>0.3227</v>
      </c>
      <c r="M328" s="44">
        <f>VLOOKUP($A328,'Dados StatusInvest'!$A:$AY,column(M328)-$A$5,0)</f>
        <v>38.28</v>
      </c>
      <c r="N328" s="44">
        <f>VLOOKUP($A328,'Dados StatusInvest'!$A:$AY,column(N328)-$A$5,0)</f>
        <v>79.62</v>
      </c>
      <c r="O328" s="41">
        <f>VLOOKUP($A328,'Dados StatusInvest'!$A:$AY,column(O328)-$A$5,0)/VLOOKUP($A328,'Dados StatusInvest'!$A:$AY,2,0)*$E328</f>
        <v>9.65897354</v>
      </c>
      <c r="P328" s="41">
        <f>VLOOKUP($A328,'Dados StatusInvest'!$A:$AY,column(P328)-$A$5,0)-VLOOKUP($A328,'Dados StatusInvest'!$A:$AY,column(P328)-$A$5-1,0)+O328</f>
        <v>11.62897354</v>
      </c>
      <c r="Q328" s="44">
        <f>VLOOKUP($A328,'Dados StatusInvest'!$A:$AY,column(Q328)-$A$5,0)</f>
        <v>1.73</v>
      </c>
      <c r="R328" s="44">
        <f>VLOOKUP($A328,'Dados StatusInvest'!$A:$AY,column(R328)-$A$5,0)</f>
        <v>0.19</v>
      </c>
      <c r="S328" s="41">
        <f>VLOOKUP($A328,'Dados StatusInvest'!$A:$AY,column(S328)-$A$5,0)/VLOOKUP($A328,'Dados StatusInvest'!$A:$AY,2,0)*$E328</f>
        <v>3.702782847</v>
      </c>
      <c r="T328" s="42">
        <f>VLOOKUP($A328,'Dados StatusInvest'!$A:$AY,column(T328)-$A$5,0)/VLOOKUP($A328,'Dados StatusInvest'!$A:$AY,2,0)*$E328</f>
        <v>31.43133668</v>
      </c>
      <c r="U328" s="44">
        <f>VLOOKUP($A328,'Dados StatusInvest'!$A:$AY,column(U328)-$A$5,0)</f>
        <v>-0.55</v>
      </c>
      <c r="V328" s="45">
        <f>VLOOKUP($A328,'Dados StatusInvest'!$A:$AY,column(V328)-$A$5,0)</f>
        <v>1.35</v>
      </c>
      <c r="W328" s="45">
        <f>VLOOKUP($A328,'Dados StatusInvest'!$A:$AY,column(W328)-$A$5,0)</f>
        <v>23.09</v>
      </c>
      <c r="X328" s="45">
        <f>VLOOKUP($A328,'Dados StatusInvest'!$A:$AY,column(X328)-$A$5,0)</f>
        <v>11.61</v>
      </c>
      <c r="Y328" s="45">
        <f>VLOOKUP($A328,'Dados StatusInvest'!$A:$AY,column(Y328)-$A$5,0)</f>
        <v>-8.25</v>
      </c>
      <c r="Z328" s="44">
        <f>VLOOKUP($A328,'Dados StatusInvest'!$A:$AY,column(Z328)-$A$5,0)</f>
        <v>0.5</v>
      </c>
      <c r="AA328" s="44">
        <f>VLOOKUP($A328,'Dados StatusInvest'!$A:$AY,column(AA328)-$A$5,0)</f>
        <v>0.5</v>
      </c>
      <c r="AB328" s="44">
        <f>VLOOKUP($A328,'Dados StatusInvest'!$A:$AY,column(AB328)-$A$5,0)</f>
        <v>0.15</v>
      </c>
      <c r="AC328" s="44">
        <f>VLOOKUP($A328,'Dados StatusInvest'!$A:$AY,column(AC328)-$A$5,0)</f>
        <v>-8.26</v>
      </c>
      <c r="AD328" s="45">
        <f>VLOOKUP($A328,'Dados StatusInvest'!$A:$AY,column(AD328)-$A$5,0)</f>
        <v>0</v>
      </c>
      <c r="AE328" s="46">
        <f>VLOOKUP($A328,'Dados StatusInvest'!$A:$AY,column(AE328)-$A$5,0)</f>
        <v>360202.29</v>
      </c>
      <c r="AF328" s="49"/>
    </row>
    <row r="329">
      <c r="A329" s="10" t="s">
        <v>375</v>
      </c>
      <c r="B329" s="52" t="str">
        <f>VLOOKUP(LEFT($A329,4),Setor!$A:$E,3,0)</f>
        <v>#N/A</v>
      </c>
      <c r="C329" s="52" t="str">
        <f>VLOOKUP(LEFT($A329,4),Setor!$A:$E,4,0)</f>
        <v>#N/A</v>
      </c>
      <c r="D329" s="52" t="str">
        <f>VLOOKUP(LEFT($A329,4),Setor!$A:$E,5,0)</f>
        <v>#N/A</v>
      </c>
      <c r="E329" s="53">
        <f>IFERROR(__xludf.DUMMYFUNCTION("GOOGLEFINANCE(A329)"),9.28)</f>
        <v>9.28</v>
      </c>
      <c r="F329" s="53">
        <f>IFERROR(__xludf.DUMMYFUNCTION("GOOGLEFINANCE($A329,""high52"")"),29.99)</f>
        <v>29.99</v>
      </c>
      <c r="G329" s="54">
        <f t="shared" si="1"/>
        <v>-0.6905635212</v>
      </c>
      <c r="H329" s="55">
        <f>VLOOKUP($A329,'Dados StatusInvest'!$A:$AY,COLUMN(H329)-$A$5,0)*VLOOKUP($A329,'Dados StatusInvest'!$A:$AY,2,0)/$E329/100</f>
        <v>0.03209590517</v>
      </c>
      <c r="I329" s="56">
        <f>VLOOKUP($A329,'Dados StatusInvest'!$A:$AY,COLUMN(I329)-$A$5,0)/VLOOKUP($A329,'Dados StatusInvest'!$A:$AY,2,0)*$E329</f>
        <v>5.788713514</v>
      </c>
      <c r="J329" s="56">
        <f>VLOOKUP($A329,'Dados StatusInvest'!$A:$AY,COLUMN(J329)-$A$5,0)/VLOOKUP($A329,'Dados StatusInvest'!$A:$AY,2,0)*$E329</f>
        <v>2.247264865</v>
      </c>
      <c r="K329" s="57">
        <f>VLOOKUP($A329,'Dados StatusInvest'!$A:$AY,COLUMN(K329)-$A$5,0)/VLOOKUP($A329,'Dados StatusInvest'!$A:$AY,2,0)*$E329</f>
        <v>0.7925621622</v>
      </c>
      <c r="L329" s="58">
        <f>VLOOKUP($A329,'Dados StatusInvest'!$A:$AY,COLUMN(L329)-$A$5,0)/100</f>
        <v>0.2142</v>
      </c>
      <c r="M329" s="59">
        <f>VLOOKUP($A329,'Dados StatusInvest'!$A:$AY,COLUMN(M329)-$A$5,0)</f>
        <v>17.98</v>
      </c>
      <c r="N329" s="59">
        <f>VLOOKUP($A329,'Dados StatusInvest'!$A:$AY,COLUMN(N329)-$A$5,0)</f>
        <v>11.34</v>
      </c>
      <c r="O329" s="56">
        <f>VLOOKUP($A329,'Dados StatusInvest'!$A:$AY,COLUMN(O329)-$A$5,0)/VLOOKUP($A329,'Dados StatusInvest'!$A:$AY,2,0)*$E329</f>
        <v>3.651805405</v>
      </c>
      <c r="P329" s="56">
        <f>VLOOKUP($A329,'Dados StatusInvest'!$A:$AY,COLUMN(P329)-$A$5,0)-VLOOKUP($A329,'Dados StatusInvest'!$A:$AY,COLUMN(P329)-$A$5-1,0)+O329</f>
        <v>5.191805405</v>
      </c>
      <c r="Q329" s="59">
        <f>VLOOKUP($A329,'Dados StatusInvest'!$A:$AY,COLUMN(Q329)-$A$5,0)</f>
        <v>0.63</v>
      </c>
      <c r="R329" s="59">
        <f>VLOOKUP($A329,'Dados StatusInvest'!$A:$AY,COLUMN(R329)-$A$5,0)</f>
        <v>0.39</v>
      </c>
      <c r="S329" s="56">
        <f>VLOOKUP($A329,'Dados StatusInvest'!$A:$AY,COLUMN(S329)-$A$5,0)/VLOOKUP($A329,'Dados StatusInvest'!$A:$AY,2,0)*$E329</f>
        <v>0.6521081081</v>
      </c>
      <c r="T329" s="57">
        <f>VLOOKUP($A329,'Dados StatusInvest'!$A:$AY,COLUMN(T329)-$A$5,0)/VLOOKUP($A329,'Dados StatusInvest'!$A:$AY,2,0)*$E329</f>
        <v>3.591610811</v>
      </c>
      <c r="U329" s="59">
        <f>VLOOKUP($A329,'Dados StatusInvest'!$A:$AY,COLUMN(U329)-$A$5,0)</f>
        <v>-1.66</v>
      </c>
      <c r="V329" s="60">
        <f>VLOOKUP($A329,'Dados StatusInvest'!$A:$AY,COLUMN(V329)-$A$5,0)</f>
        <v>1.73</v>
      </c>
      <c r="W329" s="60">
        <f>VLOOKUP($A329,'Dados StatusInvest'!$A:$AY,COLUMN(W329)-$A$5,0)</f>
        <v>38.83</v>
      </c>
      <c r="X329" s="60">
        <f>VLOOKUP($A329,'Dados StatusInvest'!$A:$AY,COLUMN(X329)-$A$5,0)</f>
        <v>13.71</v>
      </c>
      <c r="Y329" s="60">
        <f>VLOOKUP($A329,'Dados StatusInvest'!$A:$AY,COLUMN(Y329)-$A$5,0)</f>
        <v>27.16</v>
      </c>
      <c r="Z329" s="59">
        <f>VLOOKUP($A329,'Dados StatusInvest'!$A:$AY,COLUMN(Z329)-$A$5,0)</f>
        <v>0.35</v>
      </c>
      <c r="AA329" s="59">
        <f>VLOOKUP($A329,'Dados StatusInvest'!$A:$AY,COLUMN(AA329)-$A$5,0)</f>
        <v>0.57</v>
      </c>
      <c r="AB329" s="59">
        <f>VLOOKUP($A329,'Dados StatusInvest'!$A:$AY,COLUMN(AB329)-$A$5,0)</f>
        <v>1.21</v>
      </c>
      <c r="AC329" s="59">
        <f>VLOOKUP($A329,'Dados StatusInvest'!$A:$AY,COLUMN(AC329)-$A$5,0)</f>
        <v>20.13</v>
      </c>
      <c r="AD329" s="60">
        <f>VLOOKUP($A329,'Dados StatusInvest'!$A:$AY,COLUMN(AD329)-$A$5,0)</f>
        <v>0</v>
      </c>
      <c r="AE329" s="62">
        <f>VLOOKUP($A329,'Dados StatusInvest'!$A:$AY,COLUMN(AE329)-$A$5,0)</f>
        <v>151635</v>
      </c>
      <c r="AF329" s="18"/>
    </row>
    <row r="330">
      <c r="A330" s="10" t="s">
        <v>376</v>
      </c>
      <c r="B330" s="39" t="str">
        <f>VLOOKUP(lEFT($A330,4),Setor!$A:$E,3,0)</f>
        <v>Consumo não Cíclico</v>
      </c>
      <c r="C330" s="39" t="str">
        <f>VLOOKUP(lEFT($A330,4),Setor!$A:$E,4,0)</f>
        <v>Alimentos Processados</v>
      </c>
      <c r="D330" s="39" t="str">
        <f>VLOOKUP(lEFT($A330,4),Setor!$A:$E,5,0)</f>
        <v>Carnes e Derivados</v>
      </c>
      <c r="E330" s="17">
        <f>IFERROR(__xludf.DUMMYFUNCTION("GOOGLEFINANCE(A330)"),9.5)</f>
        <v>9.5</v>
      </c>
      <c r="F330" s="17">
        <f>IFERROR(__xludf.DUMMYFUNCTION("GOOGLEFINANCE($A330,""high52"")"),25.99)</f>
        <v>25.99</v>
      </c>
      <c r="G330" s="16">
        <f t="shared" si="1"/>
        <v>-0.634474798</v>
      </c>
      <c r="H330" s="40">
        <f>VLOOKUP($A330,'Dados StatusInvest'!$A:$AY,column(H330)-$A$5,0)*VLOOKUP($A330,'Dados StatusInvest'!$A:$AY,2,0)/$E330/100</f>
        <v>0</v>
      </c>
      <c r="I330" s="41">
        <f>VLOOKUP($A330,'Dados StatusInvest'!$A:$AY,column(I330)-$A$5,0)/VLOOKUP($A330,'Dados StatusInvest'!$A:$AY,2,0)*$E330</f>
        <v>18.36733615</v>
      </c>
      <c r="J330" s="41">
        <f>VLOOKUP($A330,'Dados StatusInvest'!$A:$AY,column(J330)-$A$5,0)/VLOOKUP($A330,'Dados StatusInvest'!$A:$AY,2,0)*$E330</f>
        <v>-0.1807610994</v>
      </c>
      <c r="K330" s="42">
        <f>VLOOKUP($A330,'Dados StatusInvest'!$A:$AY,column(K330)-$A$5,0)/VLOOKUP($A330,'Dados StatusInvest'!$A:$AY,2,0)*$E330</f>
        <v>0.271141649</v>
      </c>
      <c r="L330" s="43">
        <f>VLOOKUP($A330,'Dados StatusInvest'!$A:$AY,column(L330)-$A$5,0)/100</f>
        <v>0.2502</v>
      </c>
      <c r="M330" s="44">
        <f>VLOOKUP($A330,'Dados StatusInvest'!$A:$AY,column(M330)-$A$5,0)</f>
        <v>13.68</v>
      </c>
      <c r="N330" s="44">
        <f>VLOOKUP($A330,'Dados StatusInvest'!$A:$AY,column(N330)-$A$5,0)</f>
        <v>1.28</v>
      </c>
      <c r="O330" s="41">
        <f>VLOOKUP($A330,'Dados StatusInvest'!$A:$AY,column(O330)-$A$5,0)/VLOOKUP($A330,'Dados StatusInvest'!$A:$AY,2,0)*$E330</f>
        <v>1.727272727</v>
      </c>
      <c r="P330" s="41">
        <f>VLOOKUP($A330,'Dados StatusInvest'!$A:$AY,column(P330)-$A$5,0)-VLOOKUP($A330,'Dados StatusInvest'!$A:$AY,column(P330)-$A$5-1,0)+O330</f>
        <v>1.787272727</v>
      </c>
      <c r="Q330" s="44">
        <f>VLOOKUP($A330,'Dados StatusInvest'!$A:$AY,column(Q330)-$A$5,0)</f>
        <v>0.02</v>
      </c>
      <c r="R330" s="44">
        <f>VLOOKUP($A330,'Dados StatusInvest'!$A:$AY,column(R330)-$A$5,0)</f>
        <v>0</v>
      </c>
      <c r="S330" s="41">
        <f>VLOOKUP($A330,'Dados StatusInvest'!$A:$AY,column(S330)-$A$5,0)/VLOOKUP($A330,'Dados StatusInvest'!$A:$AY,2,0)*$E330</f>
        <v>0.2309725159</v>
      </c>
      <c r="T330" s="42">
        <f>VLOOKUP($A330,'Dados StatusInvest'!$A:$AY,column(T330)-$A$5,0)/VLOOKUP($A330,'Dados StatusInvest'!$A:$AY,2,0)*$E330</f>
        <v>-0.1707188161</v>
      </c>
      <c r="U330" s="44">
        <f>VLOOKUP($A330,'Dados StatusInvest'!$A:$AY,column(U330)-$A$5,0)</f>
        <v>-0.48</v>
      </c>
      <c r="V330" s="45">
        <f>VLOOKUP($A330,'Dados StatusInvest'!$A:$AY,column(V330)-$A$5,0)</f>
        <v>0.22</v>
      </c>
      <c r="W330" s="48">
        <f>VLOOKUP($A330,'Dados StatusInvest'!$A:$AY,column(W330)-$A$5,0)</f>
        <v>-0.99</v>
      </c>
      <c r="X330" s="45">
        <f>VLOOKUP($A330,'Dados StatusInvest'!$A:$AY,column(X330)-$A$5,0)</f>
        <v>1.48</v>
      </c>
      <c r="Y330" s="45">
        <f>VLOOKUP($A330,'Dados StatusInvest'!$A:$AY,column(Y330)-$A$5,0)</f>
        <v>-7.65</v>
      </c>
      <c r="Z330" s="44">
        <f>VLOOKUP($A330,'Dados StatusInvest'!$A:$AY,column(Z330)-$A$5,0)</f>
        <v>-1.49</v>
      </c>
      <c r="AA330" s="44">
        <f>VLOOKUP($A330,'Dados StatusInvest'!$A:$AY,column(AA330)-$A$5,0)</f>
        <v>2.49</v>
      </c>
      <c r="AB330" s="44">
        <f>VLOOKUP($A330,'Dados StatusInvest'!$A:$AY,column(AB330)-$A$5,0)</f>
        <v>1.15</v>
      </c>
      <c r="AC330" s="44">
        <f>VLOOKUP($A330,'Dados StatusInvest'!$A:$AY,column(AC330)-$A$5,0)</f>
        <v>4.62</v>
      </c>
      <c r="AD330" s="45">
        <f>VLOOKUP($A330,'Dados StatusInvest'!$A:$AY,column(AD330)-$A$5,0)</f>
        <v>0</v>
      </c>
      <c r="AE330" s="46">
        <f>VLOOKUP($A330,'Dados StatusInvest'!$A:$AY,column(AE330)-$A$5,0)</f>
        <v>166132.63</v>
      </c>
      <c r="AF330" s="49"/>
    </row>
    <row r="331">
      <c r="A331" s="10" t="s">
        <v>377</v>
      </c>
      <c r="B331" s="52" t="str">
        <f>VLOOKUP(LEFT($A331,4),Setor!$A:$E,3,0)</f>
        <v>Utilidade Pública</v>
      </c>
      <c r="C331" s="52" t="str">
        <f>VLOOKUP(LEFT($A331,4),Setor!$A:$E,4,0)</f>
        <v>Energia Elétrica</v>
      </c>
      <c r="D331" s="52" t="str">
        <f>VLOOKUP(LEFT($A331,4),Setor!$A:$E,5,0)</f>
        <v>Energia Elétrica</v>
      </c>
      <c r="E331" s="53">
        <f>IFERROR(__xludf.DUMMYFUNCTION("GOOGLEFINANCE(A331)"),74.94)</f>
        <v>74.94</v>
      </c>
      <c r="F331" s="53">
        <f>IFERROR(__xludf.DUMMYFUNCTION("GOOGLEFINANCE($A331,""high52"")"),99.88)</f>
        <v>99.88</v>
      </c>
      <c r="G331" s="54">
        <f t="shared" si="1"/>
        <v>-0.2496996396</v>
      </c>
      <c r="H331" s="55">
        <f>VLOOKUP($A331,'Dados StatusInvest'!$A:$AY,COLUMN(H331)-$A$5,0)*VLOOKUP($A331,'Dados StatusInvest'!$A:$AY,2,0)/$E331/100</f>
        <v>0.1146348012</v>
      </c>
      <c r="I331" s="56">
        <f>VLOOKUP($A331,'Dados StatusInvest'!$A:$AY,COLUMN(I331)-$A$5,0)/VLOOKUP($A331,'Dados StatusInvest'!$A:$AY,2,0)*$E331</f>
        <v>10.76594531</v>
      </c>
      <c r="J331" s="56">
        <f>VLOOKUP($A331,'Dados StatusInvest'!$A:$AY,COLUMN(J331)-$A$5,0)/VLOOKUP($A331,'Dados StatusInvest'!$A:$AY,2,0)*$E331</f>
        <v>3.569038336</v>
      </c>
      <c r="K331" s="57">
        <f>VLOOKUP($A331,'Dados StatusInvest'!$A:$AY,COLUMN(K331)-$A$5,0)/VLOOKUP($A331,'Dados StatusInvest'!$A:$AY,2,0)*$E331</f>
        <v>1.823739369</v>
      </c>
      <c r="L331" s="58">
        <f>VLOOKUP($A331,'Dados StatusInvest'!$A:$AY,COLUMN(L331)-$A$5,0)/100</f>
        <v>0.4799</v>
      </c>
      <c r="M331" s="59">
        <f>VLOOKUP($A331,'Dados StatusInvest'!$A:$AY,COLUMN(M331)-$A$5,0)</f>
        <v>36.04</v>
      </c>
      <c r="N331" s="59">
        <f>VLOOKUP($A331,'Dados StatusInvest'!$A:$AY,COLUMN(N331)-$A$5,0)</f>
        <v>53.73</v>
      </c>
      <c r="O331" s="56">
        <f>VLOOKUP($A331,'Dados StatusInvest'!$A:$AY,COLUMN(O331)-$A$5,0)/VLOOKUP($A331,'Dados StatusInvest'!$A:$AY,2,0)*$E331</f>
        <v>16.06067251</v>
      </c>
      <c r="P331" s="56">
        <f>VLOOKUP($A331,'Dados StatusInvest'!$A:$AY,COLUMN(P331)-$A$5,0)-VLOOKUP($A331,'Dados StatusInvest'!$A:$AY,COLUMN(P331)-$A$5-1,0)+O331</f>
        <v>10.14067251</v>
      </c>
      <c r="Q331" s="59">
        <f>VLOOKUP($A331,'Dados StatusInvest'!$A:$AY,COLUMN(Q331)-$A$5,0)</f>
        <v>-1.56</v>
      </c>
      <c r="R331" s="59">
        <f>VLOOKUP($A331,'Dados StatusInvest'!$A:$AY,COLUMN(R331)-$A$5,0)</f>
        <v>-0.35</v>
      </c>
      <c r="S331" s="56">
        <f>VLOOKUP($A331,'Dados StatusInvest'!$A:$AY,COLUMN(S331)-$A$5,0)/VLOOKUP($A331,'Dados StatusInvest'!$A:$AY,2,0)*$E331</f>
        <v>5.78497972</v>
      </c>
      <c r="T331" s="57">
        <f>VLOOKUP($A331,'Dados StatusInvest'!$A:$AY,COLUMN(T331)-$A$5,0)/VLOOKUP($A331,'Dados StatusInvest'!$A:$AY,2,0)*$E331</f>
        <v>7.049831218</v>
      </c>
      <c r="U331" s="59">
        <f>VLOOKUP($A331,'Dados StatusInvest'!$A:$AY,COLUMN(U331)-$A$5,0)</f>
        <v>-2.81</v>
      </c>
      <c r="V331" s="60">
        <f>VLOOKUP($A331,'Dados StatusInvest'!$A:$AY,COLUMN(V331)-$A$5,0)</f>
        <v>4.26</v>
      </c>
      <c r="W331" s="60">
        <f>VLOOKUP($A331,'Dados StatusInvest'!$A:$AY,COLUMN(W331)-$A$5,0)</f>
        <v>33.18</v>
      </c>
      <c r="X331" s="60">
        <f>VLOOKUP($A331,'Dados StatusInvest'!$A:$AY,COLUMN(X331)-$A$5,0)</f>
        <v>16.92</v>
      </c>
      <c r="Y331" s="60">
        <f>VLOOKUP($A331,'Dados StatusInvest'!$A:$AY,COLUMN(Y331)-$A$5,0)</f>
        <v>10.79</v>
      </c>
      <c r="Z331" s="59">
        <f>VLOOKUP($A331,'Dados StatusInvest'!$A:$AY,COLUMN(Z331)-$A$5,0)</f>
        <v>0.51</v>
      </c>
      <c r="AA331" s="59">
        <f>VLOOKUP($A331,'Dados StatusInvest'!$A:$AY,COLUMN(AA331)-$A$5,0)</f>
        <v>0.49</v>
      </c>
      <c r="AB331" s="59">
        <f>VLOOKUP($A331,'Dados StatusInvest'!$A:$AY,COLUMN(AB331)-$A$5,0)</f>
        <v>0.31</v>
      </c>
      <c r="AC331" s="59">
        <f>VLOOKUP($A331,'Dados StatusInvest'!$A:$AY,COLUMN(AC331)-$A$5,0)</f>
        <v>17.64</v>
      </c>
      <c r="AD331" s="60">
        <f>VLOOKUP($A331,'Dados StatusInvest'!$A:$AY,COLUMN(AD331)-$A$5,0)</f>
        <v>33.87</v>
      </c>
      <c r="AE331" s="62">
        <f>VLOOKUP($A331,'Dados StatusInvest'!$A:$AY,COLUMN(AE331)-$A$5,0)</f>
        <v>178809.75</v>
      </c>
      <c r="AF331" s="18"/>
    </row>
    <row r="332">
      <c r="A332" s="10" t="s">
        <v>378</v>
      </c>
      <c r="B332" s="52" t="str">
        <f>VLOOKUP(LEFT($A332,4),Setor!$A:$E,3,0)</f>
        <v>Consumo Cíclico</v>
      </c>
      <c r="C332" s="52" t="str">
        <f>VLOOKUP(LEFT($A332,4),Setor!$A:$E,4,0)</f>
        <v>Tecidos, Vestuário e Calçados</v>
      </c>
      <c r="D332" s="52" t="str">
        <f>VLOOKUP(LEFT($A332,4),Setor!$A:$E,5,0)</f>
        <v>Calçados</v>
      </c>
      <c r="E332" s="53">
        <f>IFERROR(__xludf.DUMMYFUNCTION("GOOGLEFINANCE(A332)"),39.99)</f>
        <v>39.99</v>
      </c>
      <c r="F332" s="53">
        <f>IFERROR(__xludf.DUMMYFUNCTION("GOOGLEFINANCE($A332,""high52"")"),53.39)</f>
        <v>53.39</v>
      </c>
      <c r="G332" s="54">
        <f t="shared" si="1"/>
        <v>-0.2509833302</v>
      </c>
      <c r="H332" s="55">
        <f>VLOOKUP($A332,'Dados StatusInvest'!$A:$AY,COLUMN(H332)-$A$5,0)*VLOOKUP($A332,'Dados StatusInvest'!$A:$AY,2,0)/$E332/100</f>
        <v>0</v>
      </c>
      <c r="I332" s="56">
        <f>VLOOKUP($A332,'Dados StatusInvest'!$A:$AY,COLUMN(I332)-$A$5,0)/VLOOKUP($A332,'Dados StatusInvest'!$A:$AY,2,0)*$E332</f>
        <v>78.76938462</v>
      </c>
      <c r="J332" s="56">
        <f>VLOOKUP($A332,'Dados StatusInvest'!$A:$AY,COLUMN(J332)-$A$5,0)/VLOOKUP($A332,'Dados StatusInvest'!$A:$AY,2,0)*$E332</f>
        <v>7.422461538</v>
      </c>
      <c r="K332" s="57">
        <f>VLOOKUP($A332,'Dados StatusInvest'!$A:$AY,COLUMN(K332)-$A$5,0)/VLOOKUP($A332,'Dados StatusInvest'!$A:$AY,2,0)*$E332</f>
        <v>4.644</v>
      </c>
      <c r="L332" s="58">
        <f>VLOOKUP($A332,'Dados StatusInvest'!$A:$AY,COLUMN(L332)-$A$5,0)/100</f>
        <v>0.5419</v>
      </c>
      <c r="M332" s="63">
        <f>VLOOKUP($A332,'Dados StatusInvest'!$A:$AY,COLUMN(M332)-$A$5,0)</f>
        <v>14.16</v>
      </c>
      <c r="N332" s="63">
        <f>VLOOKUP($A332,'Dados StatusInvest'!$A:$AY,COLUMN(N332)-$A$5,0)</f>
        <v>7.59</v>
      </c>
      <c r="O332" s="56">
        <f>VLOOKUP($A332,'Dados StatusInvest'!$A:$AY,COLUMN(O332)-$A$5,0)/VLOOKUP($A332,'Dados StatusInvest'!$A:$AY,2,0)*$E332</f>
        <v>42.21276923</v>
      </c>
      <c r="P332" s="56">
        <f>VLOOKUP($A332,'Dados StatusInvest'!$A:$AY,COLUMN(P332)-$A$5,0)-VLOOKUP($A332,'Dados StatusInvest'!$A:$AY,COLUMN(P332)-$A$5-1,0)+O332</f>
        <v>47.05276923</v>
      </c>
      <c r="Q332" s="59">
        <f>VLOOKUP($A332,'Dados StatusInvest'!$A:$AY,COLUMN(Q332)-$A$5,0)</f>
        <v>-1.12</v>
      </c>
      <c r="R332" s="59">
        <f>VLOOKUP($A332,'Dados StatusInvest'!$A:$AY,COLUMN(R332)-$A$5,0)</f>
        <v>-0.2</v>
      </c>
      <c r="S332" s="56">
        <f>VLOOKUP($A332,'Dados StatusInvest'!$A:$AY,COLUMN(S332)-$A$5,0)/VLOOKUP($A332,'Dados StatusInvest'!$A:$AY,2,0)*$E332</f>
        <v>5.983615385</v>
      </c>
      <c r="T332" s="57">
        <f>VLOOKUP($A332,'Dados StatusInvest'!$A:$AY,COLUMN(T332)-$A$5,0)/VLOOKUP($A332,'Dados StatusInvest'!$A:$AY,2,0)*$E332</f>
        <v>16.84938462</v>
      </c>
      <c r="U332" s="59">
        <f>VLOOKUP($A332,'Dados StatusInvest'!$A:$AY,COLUMN(U332)-$A$5,0)</f>
        <v>-10.01</v>
      </c>
      <c r="V332" s="60">
        <f>VLOOKUP($A332,'Dados StatusInvest'!$A:$AY,COLUMN(V332)-$A$5,0)</f>
        <v>2.07</v>
      </c>
      <c r="W332" s="60">
        <f>VLOOKUP($A332,'Dados StatusInvest'!$A:$AY,COLUMN(W332)-$A$5,0)</f>
        <v>9.42</v>
      </c>
      <c r="X332" s="61">
        <f>VLOOKUP($A332,'Dados StatusInvest'!$A:$AY,COLUMN(X332)-$A$5,0)</f>
        <v>5.89</v>
      </c>
      <c r="Y332" s="60">
        <f>VLOOKUP($A332,'Dados StatusInvest'!$A:$AY,COLUMN(Y332)-$A$5,0)</f>
        <v>14.52</v>
      </c>
      <c r="Z332" s="59">
        <f>VLOOKUP($A332,'Dados StatusInvest'!$A:$AY,COLUMN(Z332)-$A$5,0)</f>
        <v>0.63</v>
      </c>
      <c r="AA332" s="59">
        <f>VLOOKUP($A332,'Dados StatusInvest'!$A:$AY,COLUMN(AA332)-$A$5,0)</f>
        <v>0.36</v>
      </c>
      <c r="AB332" s="59">
        <f>VLOOKUP($A332,'Dados StatusInvest'!$A:$AY,COLUMN(AB332)-$A$5,0)</f>
        <v>0.78</v>
      </c>
      <c r="AC332" s="59">
        <f>VLOOKUP($A332,'Dados StatusInvest'!$A:$AY,COLUMN(AC332)-$A$5,0)</f>
        <v>-3.59</v>
      </c>
      <c r="AD332" s="60">
        <f>VLOOKUP($A332,'Dados StatusInvest'!$A:$AY,COLUMN(AD332)-$A$5,0)</f>
        <v>1.86</v>
      </c>
      <c r="AE332" s="62">
        <f>VLOOKUP($A332,'Dados StatusInvest'!$A:$AY,COLUMN(AE332)-$A$5,0)</f>
        <v>89008.88</v>
      </c>
      <c r="AF332" s="18"/>
    </row>
    <row r="333">
      <c r="A333" s="10" t="s">
        <v>379</v>
      </c>
      <c r="B333" s="39" t="str">
        <f>VLOOKUP(lEFT($A333,4),Setor!$A:$E,3,0)</f>
        <v>Bens Industriais</v>
      </c>
      <c r="C333" s="39" t="str">
        <f>VLOOKUP(lEFT($A333,4),Setor!$A:$E,4,0)</f>
        <v>Serviços Diversos</v>
      </c>
      <c r="D333" s="39" t="str">
        <f>VLOOKUP(lEFT($A333,4),Setor!$A:$E,5,0)</f>
        <v>Serviços Diversos</v>
      </c>
      <c r="E333" s="17">
        <f>IFERROR(__xludf.DUMMYFUNCTION("GOOGLEFINANCE(A333)"),5.95)</f>
        <v>5.95</v>
      </c>
      <c r="F333" s="17">
        <f>IFERROR(__xludf.DUMMYFUNCTION("GOOGLEFINANCE($A333,""high52"")"),10.43)</f>
        <v>10.43</v>
      </c>
      <c r="G333" s="16">
        <f t="shared" si="1"/>
        <v>-0.4295302013</v>
      </c>
      <c r="H333" s="40">
        <f>VLOOKUP($A333,'Dados StatusInvest'!$A:$AY,column(H333)-$A$5,0)*VLOOKUP($A333,'Dados StatusInvest'!$A:$AY,2,0)/$E333/100</f>
        <v>0</v>
      </c>
      <c r="I333" s="41">
        <f>VLOOKUP($A333,'Dados StatusInvest'!$A:$AY,column(I333)-$A$5,0)/VLOOKUP($A333,'Dados StatusInvest'!$A:$AY,2,0)*$E333</f>
        <v>-5.386111111</v>
      </c>
      <c r="J333" s="41">
        <f>VLOOKUP($A333,'Dados StatusInvest'!$A:$AY,column(J333)-$A$5,0)/VLOOKUP($A333,'Dados StatusInvest'!$A:$AY,2,0)*$E333</f>
        <v>2.090277778</v>
      </c>
      <c r="K333" s="42">
        <f>VLOOKUP($A333,'Dados StatusInvest'!$A:$AY,column(K333)-$A$5,0)/VLOOKUP($A333,'Dados StatusInvest'!$A:$AY,2,0)*$E333</f>
        <v>0.4375</v>
      </c>
      <c r="L333" s="43">
        <f>VLOOKUP($A333,'Dados StatusInvest'!$A:$AY,column(L333)-$A$5,0)/100</f>
        <v>0.2376</v>
      </c>
      <c r="M333" s="44">
        <f>VLOOKUP($A333,'Dados StatusInvest'!$A:$AY,column(M333)-$A$5,0)</f>
        <v>-4.53</v>
      </c>
      <c r="N333" s="44">
        <f>VLOOKUP($A333,'Dados StatusInvest'!$A:$AY,column(N333)-$A$5,0)</f>
        <v>-32.42</v>
      </c>
      <c r="O333" s="41">
        <f>VLOOKUP($A333,'Dados StatusInvest'!$A:$AY,column(O333)-$A$5,0)/VLOOKUP($A333,'Dados StatusInvest'!$A:$AY,2,0)*$E333</f>
        <v>-38.49027778</v>
      </c>
      <c r="P333" s="41">
        <f>VLOOKUP($A333,'Dados StatusInvest'!$A:$AY,column(P333)-$A$5,0)-VLOOKUP($A333,'Dados StatusInvest'!$A:$AY,column(P333)-$A$5-1,0)+O333</f>
        <v>-86.05027778</v>
      </c>
      <c r="Q333" s="44">
        <f>VLOOKUP($A333,'Dados StatusInvest'!$A:$AY,column(Q333)-$A$5,0)</f>
        <v>-47.75</v>
      </c>
      <c r="R333" s="44">
        <f>VLOOKUP($A333,'Dados StatusInvest'!$A:$AY,column(R333)-$A$5,0)</f>
        <v>2.59</v>
      </c>
      <c r="S333" s="41">
        <f>VLOOKUP($A333,'Dados StatusInvest'!$A:$AY,column(S333)-$A$5,0)/VLOOKUP($A333,'Dados StatusInvest'!$A:$AY,2,0)*$E333</f>
        <v>1.740277778</v>
      </c>
      <c r="T333" s="42">
        <f>VLOOKUP($A333,'Dados StatusInvest'!$A:$AY,column(T333)-$A$5,0)/VLOOKUP($A333,'Dados StatusInvest'!$A:$AY,2,0)*$E333</f>
        <v>-1.954166667</v>
      </c>
      <c r="U333" s="44">
        <f>VLOOKUP($A333,'Dados StatusInvest'!$A:$AY,column(U333)-$A$5,0)</f>
        <v>-0.49</v>
      </c>
      <c r="V333" s="45">
        <f>VLOOKUP($A333,'Dados StatusInvest'!$A:$AY,column(V333)-$A$5,0)</f>
        <v>0.29</v>
      </c>
      <c r="W333" s="45">
        <f>VLOOKUP($A333,'Dados StatusInvest'!$A:$AY,column(W333)-$A$5,0)</f>
        <v>-38.75</v>
      </c>
      <c r="X333" s="45">
        <f>VLOOKUP($A333,'Dados StatusInvest'!$A:$AY,column(X333)-$A$5,0)</f>
        <v>-8.05</v>
      </c>
      <c r="Y333" s="45">
        <f>VLOOKUP($A333,'Dados StatusInvest'!$A:$AY,column(Y333)-$A$5,0)</f>
        <v>-1.58</v>
      </c>
      <c r="Z333" s="44">
        <f>VLOOKUP($A333,'Dados StatusInvest'!$A:$AY,column(Z333)-$A$5,0)</f>
        <v>0.21</v>
      </c>
      <c r="AA333" s="44">
        <f>VLOOKUP($A333,'Dados StatusInvest'!$A:$AY,column(AA333)-$A$5,0)</f>
        <v>0.79</v>
      </c>
      <c r="AB333" s="44">
        <f>VLOOKUP($A333,'Dados StatusInvest'!$A:$AY,column(AB333)-$A$5,0)</f>
        <v>0.25</v>
      </c>
      <c r="AC333" s="44">
        <f>VLOOKUP($A333,'Dados StatusInvest'!$A:$AY,column(AC333)-$A$5,0)</f>
        <v>0</v>
      </c>
      <c r="AD333" s="45">
        <f>VLOOKUP($A333,'Dados StatusInvest'!$A:$AY,column(AD333)-$A$5,0)</f>
        <v>0</v>
      </c>
      <c r="AE333" s="46">
        <f>VLOOKUP($A333,'Dados StatusInvest'!$A:$AY,column(AE333)-$A$5,0)</f>
        <v>233868</v>
      </c>
      <c r="AF333" s="18"/>
    </row>
    <row r="334">
      <c r="A334" s="10" t="s">
        <v>380</v>
      </c>
      <c r="B334" s="52" t="str">
        <f>VLOOKUP(LEFT($A334,4),Setor!$A:$E,3,0)</f>
        <v>Financeiro</v>
      </c>
      <c r="C334" s="52" t="str">
        <f>VLOOKUP(LEFT($A334,4),Setor!$A:$E,4,0)</f>
        <v>Intermediários Financeiros</v>
      </c>
      <c r="D334" s="52" t="str">
        <f>VLOOKUP(LEFT($A334,4),Setor!$A:$E,5,0)</f>
        <v>Bancos</v>
      </c>
      <c r="E334" s="53">
        <f>IFERROR(__xludf.DUMMYFUNCTION("GOOGLEFINANCE(A334)"),13.69)</f>
        <v>13.69</v>
      </c>
      <c r="F334" s="53">
        <f>IFERROR(__xludf.DUMMYFUNCTION("GOOGLEFINANCE($A334,""high52"")"),27.07)</f>
        <v>27.07</v>
      </c>
      <c r="G334" s="54">
        <f t="shared" si="1"/>
        <v>-0.4942741042</v>
      </c>
      <c r="H334" s="55">
        <f>VLOOKUP($A334,'Dados StatusInvest'!$A:$AY,COLUMN(H334)-$A$5,0)*VLOOKUP($A334,'Dados StatusInvest'!$A:$AY,2,0)/$E334/100</f>
        <v>0.007956756757</v>
      </c>
      <c r="I334" s="56">
        <f>VLOOKUP($A334,'Dados StatusInvest'!$A:$AY,COLUMN(I334)-$A$5,0)/VLOOKUP($A334,'Dados StatusInvest'!$A:$AY,2,0)*$E334</f>
        <v>32.31844429</v>
      </c>
      <c r="J334" s="56">
        <f>VLOOKUP($A334,'Dados StatusInvest'!$A:$AY,COLUMN(J334)-$A$5,0)/VLOOKUP($A334,'Dados StatusInvest'!$A:$AY,2,0)*$E334</f>
        <v>4.482730978</v>
      </c>
      <c r="K334" s="57">
        <f>VLOOKUP($A334,'Dados StatusInvest'!$A:$AY,COLUMN(K334)-$A$5,0)/VLOOKUP($A334,'Dados StatusInvest'!$A:$AY,2,0)*$E334</f>
        <v>0.5208152174</v>
      </c>
      <c r="L334" s="58">
        <f>VLOOKUP($A334,'Dados StatusInvest'!$A:$AY,COLUMN(L334)-$A$5,0)/100</f>
        <v>0.188</v>
      </c>
      <c r="M334" s="63">
        <f>VLOOKUP($A334,'Dados StatusInvest'!$A:$AY,COLUMN(M334)-$A$5,0)</f>
        <v>35.6</v>
      </c>
      <c r="N334" s="63">
        <f>VLOOKUP($A334,'Dados StatusInvest'!$A:$AY,COLUMN(N334)-$A$5,0)</f>
        <v>37.23</v>
      </c>
      <c r="O334" s="56">
        <f>VLOOKUP($A334,'Dados StatusInvest'!$A:$AY,COLUMN(O334)-$A$5,0)/VLOOKUP($A334,'Dados StatusInvest'!$A:$AY,2,0)*$E334</f>
        <v>33.7971875</v>
      </c>
      <c r="P334" s="56">
        <f>VLOOKUP($A334,'Dados StatusInvest'!$A:$AY,COLUMN(P334)-$A$5,0)-VLOOKUP($A334,'Dados StatusInvest'!$A:$AY,COLUMN(P334)-$A$5-1,0)+O334</f>
        <v>17.7971875</v>
      </c>
      <c r="Q334" s="59">
        <f>VLOOKUP($A334,'Dados StatusInvest'!$A:$AY,COLUMN(Q334)-$A$5,0)</f>
        <v>0</v>
      </c>
      <c r="R334" s="59">
        <f>VLOOKUP($A334,'Dados StatusInvest'!$A:$AY,COLUMN(R334)-$A$5,0)</f>
        <v>0</v>
      </c>
      <c r="S334" s="56">
        <f>VLOOKUP($A334,'Dados StatusInvest'!$A:$AY,COLUMN(S334)-$A$5,0)/VLOOKUP($A334,'Dados StatusInvest'!$A:$AY,2,0)*$E334</f>
        <v>12.03455163</v>
      </c>
      <c r="T334" s="57">
        <f>VLOOKUP($A334,'Dados StatusInvest'!$A:$AY,COLUMN(T334)-$A$5,0)/VLOOKUP($A334,'Dados StatusInvest'!$A:$AY,2,0)*$E334</f>
        <v>9.914089674</v>
      </c>
      <c r="U334" s="59">
        <f>VLOOKUP($A334,'Dados StatusInvest'!$A:$AY,COLUMN(U334)-$A$5,0)</f>
        <v>-2.15</v>
      </c>
      <c r="V334" s="60">
        <f>VLOOKUP($A334,'Dados StatusInvest'!$A:$AY,COLUMN(V334)-$A$5,0)</f>
        <v>1.08</v>
      </c>
      <c r="W334" s="61">
        <f>VLOOKUP($A334,'Dados StatusInvest'!$A:$AY,COLUMN(W334)-$A$5,0)</f>
        <v>13.87</v>
      </c>
      <c r="X334" s="61">
        <f>VLOOKUP($A334,'Dados StatusInvest'!$A:$AY,COLUMN(X334)-$A$5,0)</f>
        <v>1.61</v>
      </c>
      <c r="Y334" s="60">
        <f>VLOOKUP($A334,'Dados StatusInvest'!$A:$AY,COLUMN(Y334)-$A$5,0)</f>
        <v>0</v>
      </c>
      <c r="Z334" s="59">
        <f>VLOOKUP($A334,'Dados StatusInvest'!$A:$AY,COLUMN(Z334)-$A$5,0)</f>
        <v>0.12</v>
      </c>
      <c r="AA334" s="59">
        <f>VLOOKUP($A334,'Dados StatusInvest'!$A:$AY,COLUMN(AA334)-$A$5,0)</f>
        <v>0.88</v>
      </c>
      <c r="AB334" s="59">
        <f>VLOOKUP($A334,'Dados StatusInvest'!$A:$AY,COLUMN(AB334)-$A$5,0)</f>
        <v>0.04</v>
      </c>
      <c r="AC334" s="59">
        <f>VLOOKUP($A334,'Dados StatusInvest'!$A:$AY,COLUMN(AC334)-$A$5,0)</f>
        <v>2.49</v>
      </c>
      <c r="AD334" s="60">
        <f>VLOOKUP($A334,'Dados StatusInvest'!$A:$AY,COLUMN(AD334)-$A$5,0)</f>
        <v>45.84</v>
      </c>
      <c r="AE334" s="62">
        <f>VLOOKUP($A334,'Dados StatusInvest'!$A:$AY,COLUMN(AE334)-$A$5,0)</f>
        <v>144462.92</v>
      </c>
      <c r="AF334" s="18"/>
    </row>
    <row r="335">
      <c r="A335" s="10" t="s">
        <v>381</v>
      </c>
      <c r="B335" s="39" t="str">
        <f>VLOOKUP(lEFT($A335,4),Setor!$A:$E,3,0)</f>
        <v>Bens Industriais</v>
      </c>
      <c r="C335" s="39" t="str">
        <f>VLOOKUP(lEFT($A335,4),Setor!$A:$E,4,0)</f>
        <v>Material de Transporte</v>
      </c>
      <c r="D335" s="39" t="str">
        <f>VLOOKUP(lEFT($A335,4),Setor!$A:$E,5,0)</f>
        <v>Material Rodoviário</v>
      </c>
      <c r="E335" s="17">
        <f>IFERROR(__xludf.DUMMYFUNCTION("GOOGLEFINANCE(A335)"),19.6)</f>
        <v>19.6</v>
      </c>
      <c r="F335" s="17">
        <f>IFERROR(__xludf.DUMMYFUNCTION("GOOGLEFINANCE($A335,""high52"")"),48.0)</f>
        <v>48</v>
      </c>
      <c r="G335" s="16">
        <f t="shared" si="1"/>
        <v>-0.5916666667</v>
      </c>
      <c r="H335" s="40">
        <f>VLOOKUP($A335,'Dados StatusInvest'!$A:$AY,column(H335)-$A$5,0)*VLOOKUP($A335,'Dados StatusInvest'!$A:$AY,2,0)/$E335/100</f>
        <v>0</v>
      </c>
      <c r="I335" s="41">
        <f>VLOOKUP($A335,'Dados StatusInvest'!$A:$AY,column(I335)-$A$5,0)/VLOOKUP($A335,'Dados StatusInvest'!$A:$AY,2,0)*$E335</f>
        <v>0.2486047692</v>
      </c>
      <c r="J335" s="41">
        <f>VLOOKUP($A335,'Dados StatusInvest'!$A:$AY,column(J335)-$A$5,0)/VLOOKUP($A335,'Dados StatusInvest'!$A:$AY,2,0)*$E335</f>
        <v>-0.8054794521</v>
      </c>
      <c r="K335" s="42">
        <f>VLOOKUP($A335,'Dados StatusInvest'!$A:$AY,column(K335)-$A$5,0)/VLOOKUP($A335,'Dados StatusInvest'!$A:$AY,2,0)*$E335</f>
        <v>0.1789954338</v>
      </c>
      <c r="L335" s="43">
        <f>VLOOKUP($A335,'Dados StatusInvest'!$A:$AY,column(L335)-$A$5,0)/100</f>
        <v>0.1417</v>
      </c>
      <c r="M335" s="47">
        <f>VLOOKUP($A335,'Dados StatusInvest'!$A:$AY,column(M335)-$A$5,0)</f>
        <v>43.58</v>
      </c>
      <c r="N335" s="47">
        <f>VLOOKUP($A335,'Dados StatusInvest'!$A:$AY,column(N335)-$A$5,0)</f>
        <v>83.25</v>
      </c>
      <c r="O335" s="41">
        <f>VLOOKUP($A335,'Dados StatusInvest'!$A:$AY,column(O335)-$A$5,0)/VLOOKUP($A335,'Dados StatusInvest'!$A:$AY,2,0)*$E335</f>
        <v>0.467376966</v>
      </c>
      <c r="P335" s="41">
        <f>VLOOKUP($A335,'Dados StatusInvest'!$A:$AY,column(P335)-$A$5,0)-VLOOKUP($A335,'Dados StatusInvest'!$A:$AY,column(P335)-$A$5-1,0)+O335</f>
        <v>1.127376966</v>
      </c>
      <c r="Q335" s="44">
        <f>VLOOKUP($A335,'Dados StatusInvest'!$A:$AY,column(Q335)-$A$5,0)</f>
        <v>0.57</v>
      </c>
      <c r="R335" s="44">
        <f>VLOOKUP($A335,'Dados StatusInvest'!$A:$AY,column(R335)-$A$5,0)</f>
        <v>0</v>
      </c>
      <c r="S335" s="41">
        <f>VLOOKUP($A335,'Dados StatusInvest'!$A:$AY,column(S335)-$A$5,0)/VLOOKUP($A335,'Dados StatusInvest'!$A:$AY,2,0)*$E335</f>
        <v>0.1988838153</v>
      </c>
      <c r="T335" s="42">
        <f>VLOOKUP($A335,'Dados StatusInvest'!$A:$AY,column(T335)-$A$5,0)/VLOOKUP($A335,'Dados StatusInvest'!$A:$AY,2,0)*$E335</f>
        <v>-2.088280061</v>
      </c>
      <c r="U335" s="44">
        <f>VLOOKUP($A335,'Dados StatusInvest'!$A:$AY,column(U335)-$A$5,0)</f>
        <v>-0.31</v>
      </c>
      <c r="V335" s="45">
        <f>VLOOKUP($A335,'Dados StatusInvest'!$A:$AY,column(V335)-$A$5,0)</f>
        <v>0.83</v>
      </c>
      <c r="W335" s="45">
        <f>VLOOKUP($A335,'Dados StatusInvest'!$A:$AY,column(W335)-$A$5,0)</f>
        <v>-328.58</v>
      </c>
      <c r="X335" s="48">
        <f>VLOOKUP($A335,'Dados StatusInvest'!$A:$AY,column(X335)-$A$5,0)</f>
        <v>73.69</v>
      </c>
      <c r="Y335" s="48">
        <f>VLOOKUP($A335,'Dados StatusInvest'!$A:$AY,column(Y335)-$A$5,0)</f>
        <v>-3731.67</v>
      </c>
      <c r="Z335" s="44">
        <f>VLOOKUP($A335,'Dados StatusInvest'!$A:$AY,column(Z335)-$A$5,0)</f>
        <v>-0.22</v>
      </c>
      <c r="AA335" s="44">
        <f>VLOOKUP($A335,'Dados StatusInvest'!$A:$AY,column(AA335)-$A$5,0)</f>
        <v>1.23</v>
      </c>
      <c r="AB335" s="44">
        <f>VLOOKUP($A335,'Dados StatusInvest'!$A:$AY,column(AB335)-$A$5,0)</f>
        <v>0.89</v>
      </c>
      <c r="AC335" s="44">
        <f>VLOOKUP($A335,'Dados StatusInvest'!$A:$AY,column(AC335)-$A$5,0)</f>
        <v>-0.73</v>
      </c>
      <c r="AD335" s="45">
        <f>VLOOKUP($A335,'Dados StatusInvest'!$A:$AY,column(AD335)-$A$5,0)</f>
        <v>0</v>
      </c>
      <c r="AE335" s="46">
        <f>VLOOKUP($A335,'Dados StatusInvest'!$A:$AY,column(AE335)-$A$5,0)</f>
        <v>161386.79</v>
      </c>
      <c r="AF335" s="51"/>
    </row>
    <row r="336">
      <c r="A336" s="10" t="s">
        <v>382</v>
      </c>
      <c r="B336" s="39" t="str">
        <f>VLOOKUP(lEFT($A336,4),Setor!$A:$E,3,0)</f>
        <v>Bens Industriais</v>
      </c>
      <c r="C336" s="39" t="str">
        <f>VLOOKUP(lEFT($A336,4),Setor!$A:$E,4,0)</f>
        <v>Construção e Engenharia</v>
      </c>
      <c r="D336" s="39" t="str">
        <f>VLOOKUP(lEFT($A336,4),Setor!$A:$E,5,0)</f>
        <v>Produtos para Construção</v>
      </c>
      <c r="E336" s="17">
        <f>IFERROR(__xludf.DUMMYFUNCTION("GOOGLEFINANCE(A336)"),2.44)</f>
        <v>2.44</v>
      </c>
      <c r="F336" s="17">
        <f>IFERROR(__xludf.DUMMYFUNCTION("GOOGLEFINANCE($A336,""high52"")"),4.3)</f>
        <v>4.3</v>
      </c>
      <c r="G336" s="16">
        <f t="shared" si="1"/>
        <v>-0.4325581395</v>
      </c>
      <c r="H336" s="40">
        <f>VLOOKUP($A336,'Dados StatusInvest'!$A:$AY,column(H336)-$A$5,0)*VLOOKUP($A336,'Dados StatusInvest'!$A:$AY,2,0)/$E336/100</f>
        <v>0</v>
      </c>
      <c r="I336" s="41">
        <f>VLOOKUP($A336,'Dados StatusInvest'!$A:$AY,column(I336)-$A$5,0)/VLOOKUP($A336,'Dados StatusInvest'!$A:$AY,2,0)*$E336</f>
        <v>2.971794872</v>
      </c>
      <c r="J336" s="41">
        <f>VLOOKUP($A336,'Dados StatusInvest'!$A:$AY,column(J336)-$A$5,0)/VLOOKUP($A336,'Dados StatusInvest'!$A:$AY,2,0)*$E336</f>
        <v>-0.4275213675</v>
      </c>
      <c r="K336" s="42">
        <f>VLOOKUP($A336,'Dados StatusInvest'!$A:$AY,column(K336)-$A$5,0)/VLOOKUP($A336,'Dados StatusInvest'!$A:$AY,2,0)*$E336</f>
        <v>0.4692307692</v>
      </c>
      <c r="L336" s="43">
        <f>VLOOKUP($A336,'Dados StatusInvest'!$A:$AY,column(L336)-$A$5,0)/100</f>
        <v>0.3158</v>
      </c>
      <c r="M336" s="47">
        <f>VLOOKUP($A336,'Dados StatusInvest'!$A:$AY,column(M336)-$A$5,0)</f>
        <v>26.28</v>
      </c>
      <c r="N336" s="47">
        <f>VLOOKUP($A336,'Dados StatusInvest'!$A:$AY,column(N336)-$A$5,0)</f>
        <v>22.42</v>
      </c>
      <c r="O336" s="41">
        <f>VLOOKUP($A336,'Dados StatusInvest'!$A:$AY,column(O336)-$A$5,0)/VLOOKUP($A336,'Dados StatusInvest'!$A:$AY,2,0)*$E336</f>
        <v>2.533846154</v>
      </c>
      <c r="P336" s="41">
        <f>VLOOKUP($A336,'Dados StatusInvest'!$A:$AY,column(P336)-$A$5,0)-VLOOKUP($A336,'Dados StatusInvest'!$A:$AY,column(P336)-$A$5-1,0)+O336</f>
        <v>2.773846154</v>
      </c>
      <c r="Q336" s="44">
        <f>VLOOKUP($A336,'Dados StatusInvest'!$A:$AY,column(Q336)-$A$5,0)</f>
        <v>-0.19</v>
      </c>
      <c r="R336" s="44">
        <f>VLOOKUP($A336,'Dados StatusInvest'!$A:$AY,column(R336)-$A$5,0)</f>
        <v>0</v>
      </c>
      <c r="S336" s="41">
        <f>VLOOKUP($A336,'Dados StatusInvest'!$A:$AY,column(S336)-$A$5,0)/VLOOKUP($A336,'Dados StatusInvest'!$A:$AY,2,0)*$E336</f>
        <v>0.6673504274</v>
      </c>
      <c r="T336" s="42">
        <f>VLOOKUP($A336,'Dados StatusInvest'!$A:$AY,column(T336)-$A$5,0)/VLOOKUP($A336,'Dados StatusInvest'!$A:$AY,2,0)*$E336</f>
        <v>1.22</v>
      </c>
      <c r="U336" s="44">
        <f>VLOOKUP($A336,'Dados StatusInvest'!$A:$AY,column(U336)-$A$5,0)</f>
        <v>-2.61</v>
      </c>
      <c r="V336" s="45">
        <f>VLOOKUP($A336,'Dados StatusInvest'!$A:$AY,column(V336)-$A$5,0)</f>
        <v>1.85</v>
      </c>
      <c r="W336" s="45">
        <f>VLOOKUP($A336,'Dados StatusInvest'!$A:$AY,column(W336)-$A$5,0)</f>
        <v>-14.48</v>
      </c>
      <c r="X336" s="48">
        <f>VLOOKUP($A336,'Dados StatusInvest'!$A:$AY,column(X336)-$A$5,0)</f>
        <v>15.64</v>
      </c>
      <c r="Y336" s="45">
        <f>VLOOKUP($A336,'Dados StatusInvest'!$A:$AY,column(Y336)-$A$5,0)</f>
        <v>-29.65</v>
      </c>
      <c r="Z336" s="44">
        <f>VLOOKUP($A336,'Dados StatusInvest'!$A:$AY,column(Z336)-$A$5,0)</f>
        <v>-1.08</v>
      </c>
      <c r="AA336" s="44">
        <f>VLOOKUP($A336,'Dados StatusInvest'!$A:$AY,column(AA336)-$A$5,0)</f>
        <v>2.08</v>
      </c>
      <c r="AB336" s="44">
        <f>VLOOKUP($A336,'Dados StatusInvest'!$A:$AY,column(AB336)-$A$5,0)</f>
        <v>0.7</v>
      </c>
      <c r="AC336" s="44">
        <f>VLOOKUP($A336,'Dados StatusInvest'!$A:$AY,column(AC336)-$A$5,0)</f>
        <v>0.12</v>
      </c>
      <c r="AD336" s="45">
        <f>VLOOKUP($A336,'Dados StatusInvest'!$A:$AY,column(AD336)-$A$5,0)</f>
        <v>25.47</v>
      </c>
      <c r="AE336" s="46">
        <f>VLOOKUP($A336,'Dados StatusInvest'!$A:$AY,column(AE336)-$A$5,0)</f>
        <v>157721.96</v>
      </c>
      <c r="AF336" s="51"/>
    </row>
    <row r="337">
      <c r="A337" s="10" t="s">
        <v>383</v>
      </c>
      <c r="B337" s="39" t="str">
        <f>VLOOKUP(lEFT($A337,4),Setor!$A:$E,3,0)</f>
        <v>Materiais Básicos</v>
      </c>
      <c r="C337" s="39" t="str">
        <f>VLOOKUP(lEFT($A337,4),Setor!$A:$E,4,0)</f>
        <v>Químicos</v>
      </c>
      <c r="D337" s="39" t="str">
        <f>VLOOKUP(lEFT($A337,4),Setor!$A:$E,5,0)</f>
        <v>Químicos Diversos</v>
      </c>
      <c r="E337" s="17">
        <f>IFERROR(__xludf.DUMMYFUNCTION("GOOGLEFINANCE(A337)"),85.08)</f>
        <v>85.08</v>
      </c>
      <c r="F337" s="17">
        <f>IFERROR(__xludf.DUMMYFUNCTION("GOOGLEFINANCE($A337,""high52"")"),119.97)</f>
        <v>119.97</v>
      </c>
      <c r="G337" s="16">
        <f t="shared" si="1"/>
        <v>-0.2908227057</v>
      </c>
      <c r="H337" s="40">
        <f>VLOOKUP($A337,'Dados StatusInvest'!$A:$AY,column(H337)-$A$5,0)*VLOOKUP($A337,'Dados StatusInvest'!$A:$AY,2,0)/$E337/100</f>
        <v>0.03766539727</v>
      </c>
      <c r="I337" s="41">
        <f>VLOOKUP($A337,'Dados StatusInvest'!$A:$AY,column(I337)-$A$5,0)/VLOOKUP($A337,'Dados StatusInvest'!$A:$AY,2,0)*$E337</f>
        <v>8.526446639</v>
      </c>
      <c r="J337" s="41">
        <f>VLOOKUP($A337,'Dados StatusInvest'!$A:$AY,column(J337)-$A$5,0)/VLOOKUP($A337,'Dados StatusInvest'!$A:$AY,2,0)*$E337</f>
        <v>2.8899735</v>
      </c>
      <c r="K337" s="42">
        <f>VLOOKUP($A337,'Dados StatusInvest'!$A:$AY,column(K337)-$A$5,0)/VLOOKUP($A337,'Dados StatusInvest'!$A:$AY,2,0)*$E337</f>
        <v>2.121363527</v>
      </c>
      <c r="L337" s="43">
        <f>VLOOKUP($A337,'Dados StatusInvest'!$A:$AY,column(L337)-$A$5,0)/100</f>
        <v>0.3741</v>
      </c>
      <c r="M337" s="47">
        <f>VLOOKUP($A337,'Dados StatusInvest'!$A:$AY,column(M337)-$A$5,0)</f>
        <v>25.9</v>
      </c>
      <c r="N337" s="47">
        <f>VLOOKUP($A337,'Dados StatusInvest'!$A:$AY,column(N337)-$A$5,0)</f>
        <v>29.95</v>
      </c>
      <c r="O337" s="41">
        <f>VLOOKUP($A337,'Dados StatusInvest'!$A:$AY,column(O337)-$A$5,0)/VLOOKUP($A337,'Dados StatusInvest'!$A:$AY,2,0)*$E337</f>
        <v>9.858703927</v>
      </c>
      <c r="P337" s="41">
        <f>VLOOKUP($A337,'Dados StatusInvest'!$A:$AY,column(P337)-$A$5,0)-VLOOKUP($A337,'Dados StatusInvest'!$A:$AY,column(P337)-$A$5-1,0)+O337</f>
        <v>8.978703927</v>
      </c>
      <c r="Q337" s="44">
        <f>VLOOKUP($A337,'Dados StatusInvest'!$A:$AY,column(Q337)-$A$5,0)</f>
        <v>-1.67</v>
      </c>
      <c r="R337" s="44">
        <f>VLOOKUP($A337,'Dados StatusInvest'!$A:$AY,column(R337)-$A$5,0)</f>
        <v>-0.49</v>
      </c>
      <c r="S337" s="41">
        <f>VLOOKUP($A337,'Dados StatusInvest'!$A:$AY,column(S337)-$A$5,0)/VLOOKUP($A337,'Dados StatusInvest'!$A:$AY,2,0)*$E337</f>
        <v>2.551785112</v>
      </c>
      <c r="T337" s="42">
        <f>VLOOKUP($A337,'Dados StatusInvest'!$A:$AY,column(T337)-$A$5,0)/VLOOKUP($A337,'Dados StatusInvest'!$A:$AY,2,0)*$E337</f>
        <v>3.043695495</v>
      </c>
      <c r="U337" s="44">
        <f>VLOOKUP($A337,'Dados StatusInvest'!$A:$AY,column(U337)-$A$5,0)</f>
        <v>-10.69</v>
      </c>
      <c r="V337" s="45">
        <f>VLOOKUP($A337,'Dados StatusInvest'!$A:$AY,column(V337)-$A$5,0)</f>
        <v>7.38</v>
      </c>
      <c r="W337" s="45">
        <f>VLOOKUP($A337,'Dados StatusInvest'!$A:$AY,column(W337)-$A$5,0)</f>
        <v>33.94</v>
      </c>
      <c r="X337" s="45">
        <f>VLOOKUP($A337,'Dados StatusInvest'!$A:$AY,column(X337)-$A$5,0)</f>
        <v>24.85</v>
      </c>
      <c r="Y337" s="45">
        <f>VLOOKUP($A337,'Dados StatusInvest'!$A:$AY,column(Y337)-$A$5,0)</f>
        <v>23.94</v>
      </c>
      <c r="Z337" s="44">
        <f>VLOOKUP($A337,'Dados StatusInvest'!$A:$AY,column(Z337)-$A$5,0)</f>
        <v>0.73</v>
      </c>
      <c r="AA337" s="44">
        <f>VLOOKUP($A337,'Dados StatusInvest'!$A:$AY,column(AA337)-$A$5,0)</f>
        <v>0.27</v>
      </c>
      <c r="AB337" s="44">
        <f>VLOOKUP($A337,'Dados StatusInvest'!$A:$AY,column(AB337)-$A$5,0)</f>
        <v>0.83</v>
      </c>
      <c r="AC337" s="44">
        <f>VLOOKUP($A337,'Dados StatusInvest'!$A:$AY,column(AC337)-$A$5,0)</f>
        <v>15.93</v>
      </c>
      <c r="AD337" s="45">
        <f>VLOOKUP($A337,'Dados StatusInvest'!$A:$AY,column(AD337)-$A$5,0)</f>
        <v>0</v>
      </c>
      <c r="AE337" s="46">
        <f>VLOOKUP($A337,'Dados StatusInvest'!$A:$AY,column(AE337)-$A$5,0)</f>
        <v>96723.06</v>
      </c>
      <c r="AF337" s="51"/>
    </row>
    <row r="338">
      <c r="A338" s="10" t="s">
        <v>384</v>
      </c>
      <c r="B338" s="39" t="str">
        <f>VLOOKUP(lEFT($A338,4),Setor!$A:$E,3,0)</f>
        <v>Utilidade Pública</v>
      </c>
      <c r="C338" s="39" t="str">
        <f>VLOOKUP(lEFT($A338,4),Setor!$A:$E,4,0)</f>
        <v>Energia Elétrica</v>
      </c>
      <c r="D338" s="39" t="str">
        <f>VLOOKUP(lEFT($A338,4),Setor!$A:$E,5,0)</f>
        <v>Energia Elétrica</v>
      </c>
      <c r="E338" s="17">
        <f>IFERROR(__xludf.DUMMYFUNCTION("GOOGLEFINANCE(A338)"),8.98)</f>
        <v>8.98</v>
      </c>
      <c r="F338" s="17">
        <f>IFERROR(__xludf.DUMMYFUNCTION("GOOGLEFINANCE($A338,""high52"")"),29.85)</f>
        <v>29.85</v>
      </c>
      <c r="G338" s="16">
        <f t="shared" si="1"/>
        <v>-0.6991624791</v>
      </c>
      <c r="H338" s="40">
        <f>VLOOKUP($A338,'Dados StatusInvest'!$A:$AY,column(H338)-$A$5,0)*VLOOKUP($A338,'Dados StatusInvest'!$A:$AY,2,0)/$E338/100</f>
        <v>0</v>
      </c>
      <c r="I338" s="41">
        <f>VLOOKUP($A338,'Dados StatusInvest'!$A:$AY,column(I338)-$A$5,0)/VLOOKUP($A338,'Dados StatusInvest'!$A:$AY,2,0)*$E338</f>
        <v>7.675300795</v>
      </c>
      <c r="J338" s="41">
        <f>VLOOKUP($A338,'Dados StatusInvest'!$A:$AY,column(J338)-$A$5,0)/VLOOKUP($A338,'Dados StatusInvest'!$A:$AY,2,0)*$E338</f>
        <v>-0.3873325766</v>
      </c>
      <c r="K338" s="42">
        <f>VLOOKUP($A338,'Dados StatusInvest'!$A:$AY,column(K338)-$A$5,0)/VLOOKUP($A338,'Dados StatusInvest'!$A:$AY,2,0)*$E338</f>
        <v>0.1223155505</v>
      </c>
      <c r="L338" s="43">
        <f>VLOOKUP($A338,'Dados StatusInvest'!$A:$AY,column(L338)-$A$5,0)/100</f>
        <v>0.2154</v>
      </c>
      <c r="M338" s="47">
        <f>VLOOKUP($A338,'Dados StatusInvest'!$A:$AY,column(M338)-$A$5,0)</f>
        <v>-57.95</v>
      </c>
      <c r="N338" s="47">
        <f>VLOOKUP($A338,'Dados StatusInvest'!$A:$AY,column(N338)-$A$5,0)</f>
        <v>44.91</v>
      </c>
      <c r="O338" s="41">
        <f>VLOOKUP($A338,'Dados StatusInvest'!$A:$AY,column(O338)-$A$5,0)/VLOOKUP($A338,'Dados StatusInvest'!$A:$AY,2,0)*$E338</f>
        <v>-5.942497162</v>
      </c>
      <c r="P338" s="41">
        <f>VLOOKUP($A338,'Dados StatusInvest'!$A:$AY,column(P338)-$A$5,0)-VLOOKUP($A338,'Dados StatusInvest'!$A:$AY,column(P338)-$A$5-1,0)+O338</f>
        <v>-32.92249716</v>
      </c>
      <c r="Q338" s="44">
        <f>VLOOKUP($A338,'Dados StatusInvest'!$A:$AY,column(Q338)-$A$5,0)</f>
        <v>-26.98</v>
      </c>
      <c r="R338" s="44">
        <f>VLOOKUP($A338,'Dados StatusInvest'!$A:$AY,column(R338)-$A$5,0)</f>
        <v>0</v>
      </c>
      <c r="S338" s="41">
        <f>VLOOKUP($A338,'Dados StatusInvest'!$A:$AY,column(S338)-$A$5,0)/VLOOKUP($A338,'Dados StatusInvest'!$A:$AY,2,0)*$E338</f>
        <v>3.445221339</v>
      </c>
      <c r="T338" s="42">
        <f>VLOOKUP($A338,'Dados StatusInvest'!$A:$AY,column(T338)-$A$5,0)/VLOOKUP($A338,'Dados StatusInvest'!$A:$AY,2,0)*$E338</f>
        <v>0.7237003405</v>
      </c>
      <c r="U338" s="44">
        <f>VLOOKUP($A338,'Dados StatusInvest'!$A:$AY,column(U338)-$A$5,0)</f>
        <v>-0.23</v>
      </c>
      <c r="V338" s="45">
        <f>VLOOKUP($A338,'Dados StatusInvest'!$A:$AY,column(V338)-$A$5,0)</f>
        <v>1.58</v>
      </c>
      <c r="W338" s="45">
        <f>VLOOKUP($A338,'Dados StatusInvest'!$A:$AY,column(W338)-$A$5,0)</f>
        <v>-5.06</v>
      </c>
      <c r="X338" s="48">
        <f>VLOOKUP($A338,'Dados StatusInvest'!$A:$AY,column(X338)-$A$5,0)</f>
        <v>1.62</v>
      </c>
      <c r="Y338" s="45">
        <f>VLOOKUP($A338,'Dados StatusInvest'!$A:$AY,column(Y338)-$A$5,0)</f>
        <v>-5.69</v>
      </c>
      <c r="Z338" s="44">
        <f>VLOOKUP($A338,'Dados StatusInvest'!$A:$AY,column(Z338)-$A$5,0)</f>
        <v>-0.32</v>
      </c>
      <c r="AA338" s="44">
        <f>VLOOKUP($A338,'Dados StatusInvest'!$A:$AY,column(AA338)-$A$5,0)</f>
        <v>1.32</v>
      </c>
      <c r="AB338" s="44">
        <f>VLOOKUP($A338,'Dados StatusInvest'!$A:$AY,column(AB338)-$A$5,0)</f>
        <v>0.04</v>
      </c>
      <c r="AC338" s="44">
        <f>VLOOKUP($A338,'Dados StatusInvest'!$A:$AY,column(AC338)-$A$5,0)</f>
        <v>-29.67</v>
      </c>
      <c r="AD338" s="45">
        <f>VLOOKUP($A338,'Dados StatusInvest'!$A:$AY,column(AD338)-$A$5,0)</f>
        <v>-18.42</v>
      </c>
      <c r="AE338" s="46">
        <f>VLOOKUP($A338,'Dados StatusInvest'!$A:$AY,column(AE338)-$A$5,0)</f>
        <v>167076.75</v>
      </c>
      <c r="AF338" s="18"/>
    </row>
    <row r="339">
      <c r="A339" s="10" t="s">
        <v>385</v>
      </c>
      <c r="B339" s="39" t="str">
        <f>VLOOKUP(lEFT($A339,4),Setor!$A:$E,3,0)</f>
        <v>Saúde</v>
      </c>
      <c r="C339" s="39" t="str">
        <f>VLOOKUP(lEFT($A339,4),Setor!$A:$E,4,0)</f>
        <v>Medicamentos e Outros Produtos</v>
      </c>
      <c r="D339" s="39" t="str">
        <f>VLOOKUP(lEFT($A339,4),Setor!$A:$E,5,0)</f>
        <v>Medicamentos e Outros Produtos</v>
      </c>
      <c r="E339" s="17">
        <f>IFERROR(__xludf.DUMMYFUNCTION("GOOGLEFINANCE(A339)"),15.0)</f>
        <v>15</v>
      </c>
      <c r="F339" s="17">
        <f>IFERROR(__xludf.DUMMYFUNCTION("GOOGLEFINANCE($A339,""high52"")"),19.5)</f>
        <v>19.5</v>
      </c>
      <c r="G339" s="16">
        <f t="shared" si="1"/>
        <v>-0.2307692308</v>
      </c>
      <c r="H339" s="40">
        <f>VLOOKUP($A339,'Dados StatusInvest'!$A:$AY,column(H339)-$A$5,0)*VLOOKUP($A339,'Dados StatusInvest'!$A:$AY,2,0)/$E339/100</f>
        <v>0</v>
      </c>
      <c r="I339" s="41">
        <f>VLOOKUP($A339,'Dados StatusInvest'!$A:$AY,column(I339)-$A$5,0)/VLOOKUP($A339,'Dados StatusInvest'!$A:$AY,2,0)*$E339</f>
        <v>-14.51851852</v>
      </c>
      <c r="J339" s="41">
        <f>VLOOKUP($A339,'Dados StatusInvest'!$A:$AY,column(J339)-$A$5,0)/VLOOKUP($A339,'Dados StatusInvest'!$A:$AY,2,0)*$E339</f>
        <v>6.407407407</v>
      </c>
      <c r="K339" s="42">
        <f>VLOOKUP($A339,'Dados StatusInvest'!$A:$AY,column(K339)-$A$5,0)/VLOOKUP($A339,'Dados StatusInvest'!$A:$AY,2,0)*$E339</f>
        <v>2.583333333</v>
      </c>
      <c r="L339" s="43">
        <f>VLOOKUP($A339,'Dados StatusInvest'!$A:$AY,column(L339)-$A$5,0)/100</f>
        <v>0.2511</v>
      </c>
      <c r="M339" s="44">
        <f>VLOOKUP($A339,'Dados StatusInvest'!$A:$AY,column(M339)-$A$5,0)</f>
        <v>-67.85</v>
      </c>
      <c r="N339" s="44">
        <f>VLOOKUP($A339,'Dados StatusInvest'!$A:$AY,column(N339)-$A$5,0)</f>
        <v>-81.3</v>
      </c>
      <c r="O339" s="41">
        <f>VLOOKUP($A339,'Dados StatusInvest'!$A:$AY,column(O339)-$A$5,0)/VLOOKUP($A339,'Dados StatusInvest'!$A:$AY,2,0)*$E339</f>
        <v>-17.39814815</v>
      </c>
      <c r="P339" s="41">
        <f>VLOOKUP($A339,'Dados StatusInvest'!$A:$AY,column(P339)-$A$5,0)-VLOOKUP($A339,'Dados StatusInvest'!$A:$AY,column(P339)-$A$5-1,0)+O339</f>
        <v>-19.11814815</v>
      </c>
      <c r="Q339" s="44">
        <f>VLOOKUP($A339,'Dados StatusInvest'!$A:$AY,column(Q339)-$A$5,0)</f>
        <v>-1.71</v>
      </c>
      <c r="R339" s="44">
        <f>VLOOKUP($A339,'Dados StatusInvest'!$A:$AY,column(R339)-$A$5,0)</f>
        <v>0.63</v>
      </c>
      <c r="S339" s="41">
        <f>VLOOKUP($A339,'Dados StatusInvest'!$A:$AY,column(S339)-$A$5,0)/VLOOKUP($A339,'Dados StatusInvest'!$A:$AY,2,0)*$E339</f>
        <v>11.80555556</v>
      </c>
      <c r="T339" s="42">
        <f>VLOOKUP($A339,'Dados StatusInvest'!$A:$AY,column(T339)-$A$5,0)/VLOOKUP($A339,'Dados StatusInvest'!$A:$AY,2,0)*$E339</f>
        <v>10.27777778</v>
      </c>
      <c r="U339" s="44">
        <f>VLOOKUP($A339,'Dados StatusInvest'!$A:$AY,column(U339)-$A$5,0)</f>
        <v>-4.57</v>
      </c>
      <c r="V339" s="45">
        <f>VLOOKUP($A339,'Dados StatusInvest'!$A:$AY,column(V339)-$A$5,0)</f>
        <v>2.84</v>
      </c>
      <c r="W339" s="45">
        <f>VLOOKUP($A339,'Dados StatusInvest'!$A:$AY,column(W339)-$A$5,0)</f>
        <v>-44.13</v>
      </c>
      <c r="X339" s="45">
        <f>VLOOKUP($A339,'Dados StatusInvest'!$A:$AY,column(X339)-$A$5,0)</f>
        <v>-17.81</v>
      </c>
      <c r="Y339" s="45">
        <f>VLOOKUP($A339,'Dados StatusInvest'!$A:$AY,column(Y339)-$A$5,0)</f>
        <v>-17.44</v>
      </c>
      <c r="Z339" s="44">
        <f>VLOOKUP($A339,'Dados StatusInvest'!$A:$AY,column(Z339)-$A$5,0)</f>
        <v>0.4</v>
      </c>
      <c r="AA339" s="44">
        <f>VLOOKUP($A339,'Dados StatusInvest'!$A:$AY,column(AA339)-$A$5,0)</f>
        <v>0.6</v>
      </c>
      <c r="AB339" s="44">
        <f>VLOOKUP($A339,'Dados StatusInvest'!$A:$AY,column(AB339)-$A$5,0)</f>
        <v>0.22</v>
      </c>
      <c r="AC339" s="44">
        <f>VLOOKUP($A339,'Dados StatusInvest'!$A:$AY,column(AC339)-$A$5,0)</f>
        <v>0</v>
      </c>
      <c r="AD339" s="45">
        <f>VLOOKUP($A339,'Dados StatusInvest'!$A:$AY,column(AD339)-$A$5,0)</f>
        <v>0</v>
      </c>
      <c r="AE339" s="46">
        <f>VLOOKUP($A339,'Dados StatusInvest'!$A:$AY,column(AE339)-$A$5,0)</f>
        <v>206039.71</v>
      </c>
      <c r="AF339" s="49"/>
    </row>
    <row r="340">
      <c r="A340" s="10" t="s">
        <v>386</v>
      </c>
      <c r="B340" s="39" t="str">
        <f>VLOOKUP(lEFT($A340,4),Setor!$A:$E,3,0)</f>
        <v>Consumo Cíclico</v>
      </c>
      <c r="C340" s="39" t="str">
        <f>VLOOKUP(lEFT($A340,4),Setor!$A:$E,4,0)</f>
        <v>Comércio</v>
      </c>
      <c r="D340" s="39" t="str">
        <f>VLOOKUP(lEFT($A340,4),Setor!$A:$E,5,0)</f>
        <v>Produtos Diversos</v>
      </c>
      <c r="E340" s="17">
        <f>IFERROR(__xludf.DUMMYFUNCTION("GOOGLEFINANCE(A340)"),0.61)</f>
        <v>0.61</v>
      </c>
      <c r="F340" s="17">
        <f>IFERROR(__xludf.DUMMYFUNCTION("GOOGLEFINANCE($A340,""high52"")"),2.09)</f>
        <v>2.09</v>
      </c>
      <c r="G340" s="16">
        <f t="shared" si="1"/>
        <v>-0.7081339713</v>
      </c>
      <c r="H340" s="40">
        <f>VLOOKUP($A340,'Dados StatusInvest'!$A:$AY,column(H340)-$A$5,0)*VLOOKUP($A340,'Dados StatusInvest'!$A:$AY,2,0)/$E340/100</f>
        <v>0</v>
      </c>
      <c r="I340" s="41">
        <f>VLOOKUP($A340,'Dados StatusInvest'!$A:$AY,column(I340)-$A$5,0)/VLOOKUP($A340,'Dados StatusInvest'!$A:$AY,2,0)*$E340</f>
        <v>-0.1355555556</v>
      </c>
      <c r="J340" s="41">
        <f>VLOOKUP($A340,'Dados StatusInvest'!$A:$AY,column(J340)-$A$5,0)/VLOOKUP($A340,'Dados StatusInvest'!$A:$AY,2,0)*$E340</f>
        <v>-0.06777777778</v>
      </c>
      <c r="K340" s="42">
        <f>VLOOKUP($A340,'Dados StatusInvest'!$A:$AY,column(K340)-$A$5,0)/VLOOKUP($A340,'Dados StatusInvest'!$A:$AY,2,0)*$E340</f>
        <v>0.1355555556</v>
      </c>
      <c r="L340" s="43">
        <f>VLOOKUP($A340,'Dados StatusInvest'!$A:$AY,column(L340)-$A$5,0)/100</f>
        <v>0.2784</v>
      </c>
      <c r="M340" s="44">
        <f>VLOOKUP($A340,'Dados StatusInvest'!$A:$AY,column(M340)-$A$5,0)</f>
        <v>-206.13</v>
      </c>
      <c r="N340" s="44">
        <f>VLOOKUP($A340,'Dados StatusInvest'!$A:$AY,column(N340)-$A$5,0)</f>
        <v>-225.98</v>
      </c>
      <c r="O340" s="41">
        <f>VLOOKUP($A340,'Dados StatusInvest'!$A:$AY,column(O340)-$A$5,0)/VLOOKUP($A340,'Dados StatusInvest'!$A:$AY,2,0)*$E340</f>
        <v>-0.1452380952</v>
      </c>
      <c r="P340" s="41">
        <f>VLOOKUP($A340,'Dados StatusInvest'!$A:$AY,column(P340)-$A$5,0)-VLOOKUP($A340,'Dados StatusInvest'!$A:$AY,column(P340)-$A$5-1,0)+O340</f>
        <v>-1.155238095</v>
      </c>
      <c r="Q340" s="44">
        <f>VLOOKUP($A340,'Dados StatusInvest'!$A:$AY,column(Q340)-$A$5,0)</f>
        <v>-1.05</v>
      </c>
      <c r="R340" s="44">
        <f>VLOOKUP($A340,'Dados StatusInvest'!$A:$AY,column(R340)-$A$5,0)</f>
        <v>0</v>
      </c>
      <c r="S340" s="41">
        <f>VLOOKUP($A340,'Dados StatusInvest'!$A:$AY,column(S340)-$A$5,0)/VLOOKUP($A340,'Dados StatusInvest'!$A:$AY,2,0)*$E340</f>
        <v>0.3098412698</v>
      </c>
      <c r="T340" s="42">
        <f>VLOOKUP($A340,'Dados StatusInvest'!$A:$AY,column(T340)-$A$5,0)/VLOOKUP($A340,'Dados StatusInvest'!$A:$AY,2,0)*$E340</f>
        <v>-0.5906349206</v>
      </c>
      <c r="U340" s="44">
        <f>VLOOKUP($A340,'Dados StatusInvest'!$A:$AY,column(U340)-$A$5,0)</f>
        <v>-0.26</v>
      </c>
      <c r="V340" s="45">
        <f>VLOOKUP($A340,'Dados StatusInvest'!$A:$AY,column(V340)-$A$5,0)</f>
        <v>0.65</v>
      </c>
      <c r="W340" s="45">
        <f>VLOOKUP($A340,'Dados StatusInvest'!$A:$AY,column(W340)-$A$5,0)</f>
        <v>-48.99</v>
      </c>
      <c r="X340" s="48">
        <f>VLOOKUP($A340,'Dados StatusInvest'!$A:$AY,column(X340)-$A$5,0)</f>
        <v>-101.27</v>
      </c>
      <c r="Y340" s="45">
        <f>VLOOKUP($A340,'Dados StatusInvest'!$A:$AY,column(Y340)-$A$5,0)</f>
        <v>88.79</v>
      </c>
      <c r="Z340" s="44">
        <f>VLOOKUP($A340,'Dados StatusInvest'!$A:$AY,column(Z340)-$A$5,0)</f>
        <v>-2.07</v>
      </c>
      <c r="AA340" s="44">
        <f>VLOOKUP($A340,'Dados StatusInvest'!$A:$AY,column(AA340)-$A$5,0)</f>
        <v>3.07</v>
      </c>
      <c r="AB340" s="44">
        <f>VLOOKUP($A340,'Dados StatusInvest'!$A:$AY,column(AB340)-$A$5,0)</f>
        <v>0.45</v>
      </c>
      <c r="AC340" s="44">
        <f>VLOOKUP($A340,'Dados StatusInvest'!$A:$AY,column(AC340)-$A$5,0)</f>
        <v>-32.61</v>
      </c>
      <c r="AD340" s="45">
        <f>VLOOKUP($A340,'Dados StatusInvest'!$A:$AY,column(AD340)-$A$5,0)</f>
        <v>0</v>
      </c>
      <c r="AE340" s="46">
        <f>VLOOKUP($A340,'Dados StatusInvest'!$A:$AY,column(AE340)-$A$5,0)</f>
        <v>131172.71</v>
      </c>
      <c r="AF340" s="18"/>
    </row>
    <row r="341">
      <c r="A341" s="10" t="s">
        <v>387</v>
      </c>
      <c r="B341" s="39" t="str">
        <f>VLOOKUP(lEFT($A341,4),Setor!$A:$E,3,0)</f>
        <v>Consumo Cíclico</v>
      </c>
      <c r="C341" s="39" t="str">
        <f>VLOOKUP(lEFT($A341,4),Setor!$A:$E,4,0)</f>
        <v>Utilidades Domésticas</v>
      </c>
      <c r="D341" s="39" t="str">
        <f>VLOOKUP(lEFT($A341,4),Setor!$A:$E,5,0)</f>
        <v>Eletrodomésticos</v>
      </c>
      <c r="E341" s="17">
        <f>IFERROR(__xludf.DUMMYFUNCTION("GOOGLEFINANCE(A341)"),8.15)</f>
        <v>8.15</v>
      </c>
      <c r="F341" s="17">
        <f>IFERROR(__xludf.DUMMYFUNCTION("GOOGLEFINANCE($A341,""high52"")"),9.43)</f>
        <v>9.43</v>
      </c>
      <c r="G341" s="16">
        <f t="shared" si="1"/>
        <v>-0.1357370095</v>
      </c>
      <c r="H341" s="40">
        <f>VLOOKUP($A341,'Dados StatusInvest'!$A:$AY,column(H341)-$A$5,0)*VLOOKUP($A341,'Dados StatusInvest'!$A:$AY,2,0)/$E341/100</f>
        <v>0.05916515337</v>
      </c>
      <c r="I341" s="41">
        <f>VLOOKUP($A341,'Dados StatusInvest'!$A:$AY,column(I341)-$A$5,0)/VLOOKUP($A341,'Dados StatusInvest'!$A:$AY,2,0)*$E341</f>
        <v>12.6262159</v>
      </c>
      <c r="J341" s="41">
        <f>VLOOKUP($A341,'Dados StatusInvest'!$A:$AY,column(J341)-$A$5,0)/VLOOKUP($A341,'Dados StatusInvest'!$A:$AY,2,0)*$E341</f>
        <v>6.129418743</v>
      </c>
      <c r="K341" s="42">
        <f>VLOOKUP($A341,'Dados StatusInvest'!$A:$AY,column(K341)-$A$5,0)/VLOOKUP($A341,'Dados StatusInvest'!$A:$AY,2,0)*$E341</f>
        <v>1.546856465</v>
      </c>
      <c r="L341" s="43">
        <f>VLOOKUP($A341,'Dados StatusInvest'!$A:$AY,column(L341)-$A$5,0)/100</f>
        <v>0.1961</v>
      </c>
      <c r="M341" s="44">
        <f>VLOOKUP($A341,'Dados StatusInvest'!$A:$AY,column(M341)-$A$5,0)</f>
        <v>11.66</v>
      </c>
      <c r="N341" s="44">
        <f>VLOOKUP($A341,'Dados StatusInvest'!$A:$AY,column(N341)-$A$5,0)</f>
        <v>8.83</v>
      </c>
      <c r="O341" s="41">
        <f>VLOOKUP($A341,'Dados StatusInvest'!$A:$AY,column(O341)-$A$5,0)/VLOOKUP($A341,'Dados StatusInvest'!$A:$AY,2,0)*$E341</f>
        <v>9.561506524</v>
      </c>
      <c r="P341" s="41">
        <f>VLOOKUP($A341,'Dados StatusInvest'!$A:$AY,column(P341)-$A$5,0)-VLOOKUP($A341,'Dados StatusInvest'!$A:$AY,column(P341)-$A$5-1,0)+O341</f>
        <v>7.091506524</v>
      </c>
      <c r="Q341" s="44">
        <f>VLOOKUP($A341,'Dados StatusInvest'!$A:$AY,column(Q341)-$A$5,0)</f>
        <v>-1.06</v>
      </c>
      <c r="R341" s="44">
        <f>VLOOKUP($A341,'Dados StatusInvest'!$A:$AY,column(R341)-$A$5,0)</f>
        <v>-0.68</v>
      </c>
      <c r="S341" s="41">
        <f>VLOOKUP($A341,'Dados StatusInvest'!$A:$AY,column(S341)-$A$5,0)/VLOOKUP($A341,'Dados StatusInvest'!$A:$AY,2,0)*$E341</f>
        <v>1.111803084</v>
      </c>
      <c r="T341" s="42">
        <f>VLOOKUP($A341,'Dados StatusInvest'!$A:$AY,column(T341)-$A$5,0)/VLOOKUP($A341,'Dados StatusInvest'!$A:$AY,2,0)*$E341</f>
        <v>16.58036773</v>
      </c>
      <c r="U341" s="44">
        <f>VLOOKUP($A341,'Dados StatusInvest'!$A:$AY,column(U341)-$A$5,0)</f>
        <v>-7.25</v>
      </c>
      <c r="V341" s="45">
        <f>VLOOKUP($A341,'Dados StatusInvest'!$A:$AY,column(V341)-$A$5,0)</f>
        <v>1.14</v>
      </c>
      <c r="W341" s="45">
        <f>VLOOKUP($A341,'Dados StatusInvest'!$A:$AY,column(W341)-$A$5,0)</f>
        <v>48.54</v>
      </c>
      <c r="X341" s="45">
        <f>VLOOKUP($A341,'Dados StatusInvest'!$A:$AY,column(X341)-$A$5,0)</f>
        <v>12.25</v>
      </c>
      <c r="Y341" s="45">
        <f>VLOOKUP($A341,'Dados StatusInvest'!$A:$AY,column(Y341)-$A$5,0)</f>
        <v>33.12</v>
      </c>
      <c r="Z341" s="44">
        <f>VLOOKUP($A341,'Dados StatusInvest'!$A:$AY,column(Z341)-$A$5,0)</f>
        <v>0.25</v>
      </c>
      <c r="AA341" s="44">
        <f>VLOOKUP($A341,'Dados StatusInvest'!$A:$AY,column(AA341)-$A$5,0)</f>
        <v>0.75</v>
      </c>
      <c r="AB341" s="44">
        <f>VLOOKUP($A341,'Dados StatusInvest'!$A:$AY,column(AB341)-$A$5,0)</f>
        <v>1.39</v>
      </c>
      <c r="AC341" s="44">
        <f>VLOOKUP($A341,'Dados StatusInvest'!$A:$AY,column(AC341)-$A$5,0)</f>
        <v>-0.28</v>
      </c>
      <c r="AD341" s="45">
        <f>VLOOKUP($A341,'Dados StatusInvest'!$A:$AY,column(AD341)-$A$5,0)</f>
        <v>27.6</v>
      </c>
      <c r="AE341" s="46">
        <f>VLOOKUP($A341,'Dados StatusInvest'!$A:$AY,column(AE341)-$A$5,0)</f>
        <v>89847.17</v>
      </c>
      <c r="AF341" s="18"/>
    </row>
    <row r="342">
      <c r="A342" s="10" t="s">
        <v>388</v>
      </c>
      <c r="B342" s="52" t="str">
        <f>VLOOKUP(LEFT($A342,4),Setor!$A:$E,3,0)</f>
        <v>Bens Industriais</v>
      </c>
      <c r="C342" s="52" t="str">
        <f>VLOOKUP(LEFT($A342,4),Setor!$A:$E,4,0)</f>
        <v>Máquinas e Equipamentos</v>
      </c>
      <c r="D342" s="52" t="str">
        <f>VLOOKUP(LEFT($A342,4),Setor!$A:$E,5,0)</f>
        <v>Máq. e Equip. Construção e Agrícolas</v>
      </c>
      <c r="E342" s="53">
        <f>IFERROR(__xludf.DUMMYFUNCTION("GOOGLEFINANCE(A342)"),42.95)</f>
        <v>42.95</v>
      </c>
      <c r="F342" s="53">
        <f>IFERROR(__xludf.DUMMYFUNCTION("GOOGLEFINANCE($A342,""high52"")"),54.8)</f>
        <v>54.8</v>
      </c>
      <c r="G342" s="54">
        <f t="shared" si="1"/>
        <v>-0.2162408759</v>
      </c>
      <c r="H342" s="55">
        <f>VLOOKUP($A342,'Dados StatusInvest'!$A:$AY,COLUMN(H342)-$A$5,0)*VLOOKUP($A342,'Dados StatusInvest'!$A:$AY,2,0)/$E342/100</f>
        <v>0.05065424913</v>
      </c>
      <c r="I342" s="56">
        <f>VLOOKUP($A342,'Dados StatusInvest'!$A:$AY,COLUMN(I342)-$A$5,0)/VLOOKUP($A342,'Dados StatusInvest'!$A:$AY,2,0)*$E342</f>
        <v>7.557154762</v>
      </c>
      <c r="J342" s="56">
        <f>VLOOKUP($A342,'Dados StatusInvest'!$A:$AY,COLUMN(J342)-$A$5,0)/VLOOKUP($A342,'Dados StatusInvest'!$A:$AY,2,0)*$E342</f>
        <v>1.308952381</v>
      </c>
      <c r="K342" s="57">
        <f>VLOOKUP($A342,'Dados StatusInvest'!$A:$AY,COLUMN(K342)-$A$5,0)/VLOOKUP($A342,'Dados StatusInvest'!$A:$AY,2,0)*$E342</f>
        <v>0.9510357143</v>
      </c>
      <c r="L342" s="58">
        <f>VLOOKUP($A342,'Dados StatusInvest'!$A:$AY,COLUMN(L342)-$A$5,0)/100</f>
        <v>0.2937</v>
      </c>
      <c r="M342" s="63">
        <f>VLOOKUP($A342,'Dados StatusInvest'!$A:$AY,COLUMN(M342)-$A$5,0)</f>
        <v>14.06</v>
      </c>
      <c r="N342" s="63">
        <f>VLOOKUP($A342,'Dados StatusInvest'!$A:$AY,COLUMN(N342)-$A$5,0)</f>
        <v>11.16</v>
      </c>
      <c r="O342" s="56">
        <f>VLOOKUP($A342,'Dados StatusInvest'!$A:$AY,COLUMN(O342)-$A$5,0)/VLOOKUP($A342,'Dados StatusInvest'!$A:$AY,2,0)*$E342</f>
        <v>6.00277381</v>
      </c>
      <c r="P342" s="56">
        <f>VLOOKUP($A342,'Dados StatusInvest'!$A:$AY,COLUMN(P342)-$A$5,0)-VLOOKUP($A342,'Dados StatusInvest'!$A:$AY,COLUMN(P342)-$A$5-1,0)+O342</f>
        <v>7.03277381</v>
      </c>
      <c r="Q342" s="59">
        <f>VLOOKUP($A342,'Dados StatusInvest'!$A:$AY,COLUMN(Q342)-$A$5,0)</f>
        <v>-0.39</v>
      </c>
      <c r="R342" s="59">
        <f>VLOOKUP($A342,'Dados StatusInvest'!$A:$AY,COLUMN(R342)-$A$5,0)</f>
        <v>-0.09</v>
      </c>
      <c r="S342" s="56">
        <f>VLOOKUP($A342,'Dados StatusInvest'!$A:$AY,COLUMN(S342)-$A$5,0)/VLOOKUP($A342,'Dados StatusInvest'!$A:$AY,2,0)*$E342</f>
        <v>0.838547619</v>
      </c>
      <c r="T342" s="57">
        <f>VLOOKUP($A342,'Dados StatusInvest'!$A:$AY,COLUMN(T342)-$A$5,0)/VLOOKUP($A342,'Dados StatusInvest'!$A:$AY,2,0)*$E342</f>
        <v>1.810035714</v>
      </c>
      <c r="U342" s="63">
        <f>VLOOKUP($A342,'Dados StatusInvest'!$A:$AY,COLUMN(U342)-$A$5,0)</f>
        <v>-4.05</v>
      </c>
      <c r="V342" s="60">
        <f>VLOOKUP($A342,'Dados StatusInvest'!$A:$AY,COLUMN(V342)-$A$5,0)</f>
        <v>3.13</v>
      </c>
      <c r="W342" s="60">
        <f>VLOOKUP($A342,'Dados StatusInvest'!$A:$AY,COLUMN(W342)-$A$5,0)</f>
        <v>17.32</v>
      </c>
      <c r="X342" s="60">
        <f>VLOOKUP($A342,'Dados StatusInvest'!$A:$AY,COLUMN(X342)-$A$5,0)</f>
        <v>12.55</v>
      </c>
      <c r="Y342" s="61">
        <f>VLOOKUP($A342,'Dados StatusInvest'!$A:$AY,COLUMN(Y342)-$A$5,0)</f>
        <v>12.73</v>
      </c>
      <c r="Z342" s="59">
        <f>VLOOKUP($A342,'Dados StatusInvest'!$A:$AY,COLUMN(Z342)-$A$5,0)</f>
        <v>0.72</v>
      </c>
      <c r="AA342" s="59">
        <f>VLOOKUP($A342,'Dados StatusInvest'!$A:$AY,COLUMN(AA342)-$A$5,0)</f>
        <v>0.28</v>
      </c>
      <c r="AB342" s="59">
        <f>VLOOKUP($A342,'Dados StatusInvest'!$A:$AY,COLUMN(AB342)-$A$5,0)</f>
        <v>1.12</v>
      </c>
      <c r="AC342" s="59">
        <f>VLOOKUP($A342,'Dados StatusInvest'!$A:$AY,COLUMN(AC342)-$A$5,0)</f>
        <v>10.62</v>
      </c>
      <c r="AD342" s="60">
        <f>VLOOKUP($A342,'Dados StatusInvest'!$A:$AY,COLUMN(AD342)-$A$5,0)</f>
        <v>25.65</v>
      </c>
      <c r="AE342" s="62">
        <f>VLOOKUP($A342,'Dados StatusInvest'!$A:$AY,COLUMN(AE342)-$A$5,0)</f>
        <v>160225.79</v>
      </c>
      <c r="AF342" s="18"/>
    </row>
    <row r="343">
      <c r="A343" s="10" t="s">
        <v>389</v>
      </c>
      <c r="B343" s="39" t="str">
        <f>VLOOKUP(lEFT($A343,4),Setor!$A:$E,3,0)</f>
        <v>#N/A</v>
      </c>
      <c r="C343" s="39" t="str">
        <f>VLOOKUP(lEFT($A343,4),Setor!$A:$E,4,0)</f>
        <v>#N/A</v>
      </c>
      <c r="D343" s="39" t="str">
        <f>VLOOKUP(lEFT($A343,4),Setor!$A:$E,5,0)</f>
        <v>#N/A</v>
      </c>
      <c r="E343" s="17">
        <f>IFERROR(__xludf.DUMMYFUNCTION("GOOGLEFINANCE(A343)"),31.67)</f>
        <v>31.67</v>
      </c>
      <c r="F343" s="17">
        <f>IFERROR(__xludf.DUMMYFUNCTION("GOOGLEFINANCE($A343,""high52"")"),32.98)</f>
        <v>32.98</v>
      </c>
      <c r="G343" s="16">
        <f t="shared" si="1"/>
        <v>-0.03972104306</v>
      </c>
      <c r="H343" s="40">
        <f>VLOOKUP($A343,'Dados StatusInvest'!$A:$AY,column(H343)-$A$5,0)*VLOOKUP($A343,'Dados StatusInvest'!$A:$AY,2,0)/$E343/100</f>
        <v>0</v>
      </c>
      <c r="I343" s="41">
        <f>VLOOKUP($A343,'Dados StatusInvest'!$A:$AY,column(I343)-$A$5,0)/VLOOKUP($A343,'Dados StatusInvest'!$A:$AY,2,0)*$E343</f>
        <v>-1.762257755</v>
      </c>
      <c r="J343" s="41">
        <f>VLOOKUP($A343,'Dados StatusInvest'!$A:$AY,column(J343)-$A$5,0)/VLOOKUP($A343,'Dados StatusInvest'!$A:$AY,2,0)*$E343</f>
        <v>2.87632875</v>
      </c>
      <c r="K343" s="42">
        <f>VLOOKUP($A343,'Dados StatusInvest'!$A:$AY,column(K343)-$A$5,0)/VLOOKUP($A343,'Dados StatusInvest'!$A:$AY,2,0)*$E343</f>
        <v>0.3240933802</v>
      </c>
      <c r="L343" s="43">
        <f>VLOOKUP($A343,'Dados StatusInvest'!$A:$AY,column(L343)-$A$5,0)/100</f>
        <v>0.0441</v>
      </c>
      <c r="M343" s="47">
        <f>VLOOKUP($A343,'Dados StatusInvest'!$A:$AY,column(M343)-$A$5,0)</f>
        <v>-64.55</v>
      </c>
      <c r="N343" s="47">
        <f>VLOOKUP($A343,'Dados StatusInvest'!$A:$AY,column(N343)-$A$5,0)</f>
        <v>-114.74</v>
      </c>
      <c r="O343" s="41">
        <f>VLOOKUP($A343,'Dados StatusInvest'!$A:$AY,column(O343)-$A$5,0)/VLOOKUP($A343,'Dados StatusInvest'!$A:$AY,2,0)*$E343</f>
        <v>-3.119398785</v>
      </c>
      <c r="P343" s="41">
        <f>VLOOKUP($A343,'Dados StatusInvest'!$A:$AY,column(P343)-$A$5,0)-VLOOKUP($A343,'Dados StatusInvest'!$A:$AY,column(P343)-$A$5-1,0)+O343</f>
        <v>-6.149398785</v>
      </c>
      <c r="Q343" s="44">
        <f>VLOOKUP($A343,'Dados StatusInvest'!$A:$AY,column(Q343)-$A$5,0)</f>
        <v>-3.05</v>
      </c>
      <c r="R343" s="44">
        <f>VLOOKUP($A343,'Dados StatusInvest'!$A:$AY,column(R343)-$A$5,0)</f>
        <v>2.81</v>
      </c>
      <c r="S343" s="41">
        <f>VLOOKUP($A343,'Dados StatusInvest'!$A:$AY,column(S343)-$A$5,0)/VLOOKUP($A343,'Dados StatusInvest'!$A:$AY,2,0)*$E343</f>
        <v>2.015455708</v>
      </c>
      <c r="T343" s="42">
        <f>VLOOKUP($A343,'Dados StatusInvest'!$A:$AY,column(T343)-$A$5,0)/VLOOKUP($A343,'Dados StatusInvest'!$A:$AY,2,0)*$E343</f>
        <v>5.732401663</v>
      </c>
      <c r="U343" s="47">
        <f>VLOOKUP($A343,'Dados StatusInvest'!$A:$AY,column(U343)-$A$5,0)</f>
        <v>-0.54</v>
      </c>
      <c r="V343" s="45">
        <f>VLOOKUP($A343,'Dados StatusInvest'!$A:$AY,column(V343)-$A$5,0)</f>
        <v>1.17</v>
      </c>
      <c r="W343" s="48">
        <f>VLOOKUP($A343,'Dados StatusInvest'!$A:$AY,column(W343)-$A$5,0)</f>
        <v>-163.84</v>
      </c>
      <c r="X343" s="48">
        <f>VLOOKUP($A343,'Dados StatusInvest'!$A:$AY,column(X343)-$A$5,0)</f>
        <v>-18.63</v>
      </c>
      <c r="Y343" s="48">
        <f>VLOOKUP($A343,'Dados StatusInvest'!$A:$AY,column(Y343)-$A$5,0)</f>
        <v>-19.42</v>
      </c>
      <c r="Z343" s="44">
        <f>VLOOKUP($A343,'Dados StatusInvest'!$A:$AY,column(Z343)-$A$5,0)</f>
        <v>0.11</v>
      </c>
      <c r="AA343" s="44">
        <f>VLOOKUP($A343,'Dados StatusInvest'!$A:$AY,column(AA343)-$A$5,0)</f>
        <v>0.89</v>
      </c>
      <c r="AB343" s="44">
        <f>VLOOKUP($A343,'Dados StatusInvest'!$A:$AY,column(AB343)-$A$5,0)</f>
        <v>0.16</v>
      </c>
      <c r="AC343" s="44">
        <f>VLOOKUP($A343,'Dados StatusInvest'!$A:$AY,column(AC343)-$A$5,0)</f>
        <v>0</v>
      </c>
      <c r="AD343" s="45">
        <f>VLOOKUP($A343,'Dados StatusInvest'!$A:$AY,column(AD343)-$A$5,0)</f>
        <v>0</v>
      </c>
      <c r="AE343" s="46">
        <f>VLOOKUP($A343,'Dados StatusInvest'!$A:$AY,column(AE343)-$A$5,0)</f>
        <v>157257.42</v>
      </c>
      <c r="AF343" s="51"/>
    </row>
    <row r="344">
      <c r="A344" s="10" t="s">
        <v>390</v>
      </c>
      <c r="B344" s="52" t="str">
        <f>VLOOKUP(LEFT($A344,4),Setor!$A:$E,3,0)</f>
        <v>Utilidade Pública</v>
      </c>
      <c r="C344" s="52" t="str">
        <f>VLOOKUP(LEFT($A344,4),Setor!$A:$E,4,0)</f>
        <v>Energia Elétrica</v>
      </c>
      <c r="D344" s="52" t="str">
        <f>VLOOKUP(LEFT($A344,4),Setor!$A:$E,5,0)</f>
        <v>Energia Elétrica</v>
      </c>
      <c r="E344" s="53">
        <f>IFERROR(__xludf.DUMMYFUNCTION("GOOGLEFINANCE(A344)"),7.05)</f>
        <v>7.05</v>
      </c>
      <c r="F344" s="53">
        <f>IFERROR(__xludf.DUMMYFUNCTION("GOOGLEFINANCE($A344,""high52"")"),8.96)</f>
        <v>8.96</v>
      </c>
      <c r="G344" s="54">
        <f t="shared" si="1"/>
        <v>-0.2131696429</v>
      </c>
      <c r="H344" s="55">
        <f>VLOOKUP($A344,'Dados StatusInvest'!$A:$AY,COLUMN(H344)-$A$5,0)*VLOOKUP($A344,'Dados StatusInvest'!$A:$AY,2,0)/$E344/100</f>
        <v>0.0496587234</v>
      </c>
      <c r="I344" s="56">
        <f>VLOOKUP($A344,'Dados StatusInvest'!$A:$AY,COLUMN(I344)-$A$5,0)/VLOOKUP($A344,'Dados StatusInvest'!$A:$AY,2,0)*$E344</f>
        <v>5.114509246</v>
      </c>
      <c r="J344" s="56">
        <f>VLOOKUP($A344,'Dados StatusInvest'!$A:$AY,COLUMN(J344)-$A$5,0)/VLOOKUP($A344,'Dados StatusInvest'!$A:$AY,2,0)*$E344</f>
        <v>1.564438122</v>
      </c>
      <c r="K344" s="57">
        <f>VLOOKUP($A344,'Dados StatusInvest'!$A:$AY,COLUMN(K344)-$A$5,0)/VLOOKUP($A344,'Dados StatusInvest'!$A:$AY,2,0)*$E344</f>
        <v>0.2707681366</v>
      </c>
      <c r="L344" s="58">
        <f>VLOOKUP($A344,'Dados StatusInvest'!$A:$AY,COLUMN(L344)-$A$5,0)/100</f>
        <v>0.2112</v>
      </c>
      <c r="M344" s="59">
        <f>VLOOKUP($A344,'Dados StatusInvest'!$A:$AY,COLUMN(M344)-$A$5,0)</f>
        <v>16.77</v>
      </c>
      <c r="N344" s="59">
        <f>VLOOKUP($A344,'Dados StatusInvest'!$A:$AY,COLUMN(N344)-$A$5,0)</f>
        <v>11.01</v>
      </c>
      <c r="O344" s="56">
        <f>VLOOKUP($A344,'Dados StatusInvest'!$A:$AY,COLUMN(O344)-$A$5,0)/VLOOKUP($A344,'Dados StatusInvest'!$A:$AY,2,0)*$E344</f>
        <v>3.359530583</v>
      </c>
      <c r="P344" s="56">
        <f>VLOOKUP($A344,'Dados StatusInvest'!$A:$AY,COLUMN(P344)-$A$5,0)-VLOOKUP($A344,'Dados StatusInvest'!$A:$AY,COLUMN(P344)-$A$5-1,0)+O344</f>
        <v>8.079530583</v>
      </c>
      <c r="Q344" s="59">
        <f>VLOOKUP($A344,'Dados StatusInvest'!$A:$AY,COLUMN(Q344)-$A$5,0)</f>
        <v>3.9</v>
      </c>
      <c r="R344" s="59">
        <f>VLOOKUP($A344,'Dados StatusInvest'!$A:$AY,COLUMN(R344)-$A$5,0)</f>
        <v>1.82</v>
      </c>
      <c r="S344" s="56">
        <f>VLOOKUP($A344,'Dados StatusInvest'!$A:$AY,COLUMN(S344)-$A$5,0)/VLOOKUP($A344,'Dados StatusInvest'!$A:$AY,2,0)*$E344</f>
        <v>0.5615931721</v>
      </c>
      <c r="T344" s="57">
        <f>VLOOKUP($A344,'Dados StatusInvest'!$A:$AY,COLUMN(T344)-$A$5,0)/VLOOKUP($A344,'Dados StatusInvest'!$A:$AY,2,0)*$E344</f>
        <v>5.355192034</v>
      </c>
      <c r="U344" s="59">
        <f>VLOOKUP($A344,'Dados StatusInvest'!$A:$AY,COLUMN(U344)-$A$5,0)</f>
        <v>-0.35</v>
      </c>
      <c r="V344" s="60">
        <f>VLOOKUP($A344,'Dados StatusInvest'!$A:$AY,COLUMN(V344)-$A$5,0)</f>
        <v>1.25</v>
      </c>
      <c r="W344" s="60">
        <f>VLOOKUP($A344,'Dados StatusInvest'!$A:$AY,COLUMN(W344)-$A$5,0)</f>
        <v>30.52</v>
      </c>
      <c r="X344" s="60">
        <f>VLOOKUP($A344,'Dados StatusInvest'!$A:$AY,COLUMN(X344)-$A$5,0)</f>
        <v>5.21</v>
      </c>
      <c r="Y344" s="60">
        <f>VLOOKUP($A344,'Dados StatusInvest'!$A:$AY,COLUMN(Y344)-$A$5,0)</f>
        <v>10.44</v>
      </c>
      <c r="Z344" s="59">
        <f>VLOOKUP($A344,'Dados StatusInvest'!$A:$AY,COLUMN(Z344)-$A$5,0)</f>
        <v>0.17</v>
      </c>
      <c r="AA344" s="59">
        <f>VLOOKUP($A344,'Dados StatusInvest'!$A:$AY,COLUMN(AA344)-$A$5,0)</f>
        <v>0.81</v>
      </c>
      <c r="AB344" s="59">
        <f>VLOOKUP($A344,'Dados StatusInvest'!$A:$AY,COLUMN(AB344)-$A$5,0)</f>
        <v>0.47</v>
      </c>
      <c r="AC344" s="59">
        <f>VLOOKUP($A344,'Dados StatusInvest'!$A:$AY,COLUMN(AC344)-$A$5,0)</f>
        <v>10.79</v>
      </c>
      <c r="AD344" s="60">
        <f>VLOOKUP($A344,'Dados StatusInvest'!$A:$AY,COLUMN(AD344)-$A$5,0)</f>
        <v>50.4</v>
      </c>
      <c r="AE344" s="62">
        <f>VLOOKUP($A344,'Dados StatusInvest'!$A:$AY,COLUMN(AE344)-$A$5,0)</f>
        <v>140938</v>
      </c>
      <c r="AF344" s="18"/>
    </row>
    <row r="345">
      <c r="A345" s="10" t="s">
        <v>391</v>
      </c>
      <c r="B345" s="39" t="str">
        <f>VLOOKUP(lEFT($A345,4),Setor!$A:$E,3,0)</f>
        <v>Utilidade Pública</v>
      </c>
      <c r="C345" s="39" t="str">
        <f>VLOOKUP(lEFT($A345,4),Setor!$A:$E,4,0)</f>
        <v>Energia Elétrica</v>
      </c>
      <c r="D345" s="39" t="str">
        <f>VLOOKUP(lEFT($A345,4),Setor!$A:$E,5,0)</f>
        <v>Energia Elétrica</v>
      </c>
      <c r="E345" s="17">
        <f>IFERROR(__xludf.DUMMYFUNCTION("GOOGLEFINANCE(A345)"),8.09)</f>
        <v>8.09</v>
      </c>
      <c r="F345" s="17">
        <f>IFERROR(__xludf.DUMMYFUNCTION("GOOGLEFINANCE($A345,""high52"")"),9.68)</f>
        <v>9.68</v>
      </c>
      <c r="G345" s="16">
        <f t="shared" si="1"/>
        <v>-0.1642561983</v>
      </c>
      <c r="H345" s="40">
        <f>VLOOKUP($A345,'Dados StatusInvest'!$A:$AY,column(H345)-$A$5,0)*VLOOKUP($A345,'Dados StatusInvest'!$A:$AY,2,0)/$E345/100</f>
        <v>0.03464944376</v>
      </c>
      <c r="I345" s="41">
        <f>VLOOKUP($A345,'Dados StatusInvest'!$A:$AY,column(I345)-$A$5,0)/VLOOKUP($A345,'Dados StatusInvest'!$A:$AY,2,0)*$E345</f>
        <v>5.279680715</v>
      </c>
      <c r="J345" s="41">
        <f>VLOOKUP($A345,'Dados StatusInvest'!$A:$AY,column(J345)-$A$5,0)/VLOOKUP($A345,'Dados StatusInvest'!$A:$AY,2,0)*$E345</f>
        <v>1.115862069</v>
      </c>
      <c r="K345" s="42">
        <f>VLOOKUP($A345,'Dados StatusInvest'!$A:$AY,column(K345)-$A$5,0)/VLOOKUP($A345,'Dados StatusInvest'!$A:$AY,2,0)*$E345</f>
        <v>0.2996296296</v>
      </c>
      <c r="L345" s="43">
        <f>VLOOKUP($A345,'Dados StatusInvest'!$A:$AY,column(L345)-$A$5,0)/100</f>
        <v>0.678</v>
      </c>
      <c r="M345" s="44">
        <f>VLOOKUP($A345,'Dados StatusInvest'!$A:$AY,column(M345)-$A$5,0)</f>
        <v>66.47</v>
      </c>
      <c r="N345" s="44">
        <f>VLOOKUP($A345,'Dados StatusInvest'!$A:$AY,column(N345)-$A$5,0)</f>
        <v>19.7</v>
      </c>
      <c r="O345" s="41">
        <f>VLOOKUP($A345,'Dados StatusInvest'!$A:$AY,column(O345)-$A$5,0)/VLOOKUP($A345,'Dados StatusInvest'!$A:$AY,2,0)*$E345</f>
        <v>1.570472542</v>
      </c>
      <c r="P345" s="41">
        <f>VLOOKUP($A345,'Dados StatusInvest'!$A:$AY,column(P345)-$A$5,0)-VLOOKUP($A345,'Dados StatusInvest'!$A:$AY,column(P345)-$A$5-1,0)+O345</f>
        <v>3.260472542</v>
      </c>
      <c r="Q345" s="44">
        <f>VLOOKUP($A345,'Dados StatusInvest'!$A:$AY,column(Q345)-$A$5,0)</f>
        <v>1.68</v>
      </c>
      <c r="R345" s="44">
        <f>VLOOKUP($A345,'Dados StatusInvest'!$A:$AY,column(R345)-$A$5,0)</f>
        <v>1.2</v>
      </c>
      <c r="S345" s="41">
        <f>VLOOKUP($A345,'Dados StatusInvest'!$A:$AY,column(S345)-$A$5,0)/VLOOKUP($A345,'Dados StatusInvest'!$A:$AY,2,0)*$E345</f>
        <v>1.043537676</v>
      </c>
      <c r="T345" s="42">
        <f>VLOOKUP($A345,'Dados StatusInvest'!$A:$AY,column(T345)-$A$5,0)/VLOOKUP($A345,'Dados StatusInvest'!$A:$AY,2,0)*$E345</f>
        <v>4.205146871</v>
      </c>
      <c r="U345" s="44">
        <f>VLOOKUP($A345,'Dados StatusInvest'!$A:$AY,column(U345)-$A$5,0)</f>
        <v>-0.34</v>
      </c>
      <c r="V345" s="45">
        <f>VLOOKUP($A345,'Dados StatusInvest'!$A:$AY,column(V345)-$A$5,0)</f>
        <v>1.76</v>
      </c>
      <c r="W345" s="45">
        <f>VLOOKUP($A345,'Dados StatusInvest'!$A:$AY,column(W345)-$A$5,0)</f>
        <v>21.13</v>
      </c>
      <c r="X345" s="45">
        <f>VLOOKUP($A345,'Dados StatusInvest'!$A:$AY,column(X345)-$A$5,0)</f>
        <v>5.59</v>
      </c>
      <c r="Y345" s="45">
        <f>VLOOKUP($A345,'Dados StatusInvest'!$A:$AY,column(Y345)-$A$5,0)</f>
        <v>18.28</v>
      </c>
      <c r="Z345" s="44">
        <f>VLOOKUP($A345,'Dados StatusInvest'!$A:$AY,column(Z345)-$A$5,0)</f>
        <v>0.26</v>
      </c>
      <c r="AA345" s="44">
        <f>VLOOKUP($A345,'Dados StatusInvest'!$A:$AY,column(AA345)-$A$5,0)</f>
        <v>0.59</v>
      </c>
      <c r="AB345" s="44">
        <f>VLOOKUP($A345,'Dados StatusInvest'!$A:$AY,column(AB345)-$A$5,0)</f>
        <v>0.28</v>
      </c>
      <c r="AC345" s="44">
        <f>VLOOKUP($A345,'Dados StatusInvest'!$A:$AY,column(AC345)-$A$5,0)</f>
        <v>32.68</v>
      </c>
      <c r="AD345" s="45">
        <f>VLOOKUP($A345,'Dados StatusInvest'!$A:$AY,column(AD345)-$A$5,0)</f>
        <v>45.13</v>
      </c>
      <c r="AE345" s="46">
        <f>VLOOKUP($A345,'Dados StatusInvest'!$A:$AY,column(AE345)-$A$5,0)</f>
        <v>160247.75</v>
      </c>
      <c r="AF345" s="18"/>
    </row>
    <row r="346">
      <c r="A346" s="10" t="s">
        <v>392</v>
      </c>
      <c r="B346" s="39" t="str">
        <f>VLOOKUP(lEFT($A346,4),Setor!$A:$E,3,0)</f>
        <v>Utilidade Pública</v>
      </c>
      <c r="C346" s="39" t="str">
        <f>VLOOKUP(lEFT($A346,4),Setor!$A:$E,4,0)</f>
        <v>Energia Elétrica</v>
      </c>
      <c r="D346" s="39" t="str">
        <f>VLOOKUP(lEFT($A346,4),Setor!$A:$E,5,0)</f>
        <v>Energia Elétrica</v>
      </c>
      <c r="E346" s="17">
        <f>IFERROR(__xludf.DUMMYFUNCTION("GOOGLEFINANCE(A346)"),350.0)</f>
        <v>350</v>
      </c>
      <c r="F346" s="17">
        <f>IFERROR(__xludf.DUMMYFUNCTION("GOOGLEFINANCE($A346,""high52"")"),800.0)</f>
        <v>800</v>
      </c>
      <c r="G346" s="16">
        <f t="shared" si="1"/>
        <v>-0.5625</v>
      </c>
      <c r="H346" s="40">
        <f>VLOOKUP($A346,'Dados StatusInvest'!$A:$AY,column(H346)-$A$5,0)*VLOOKUP($A346,'Dados StatusInvest'!$A:$AY,2,0)/$E346/100</f>
        <v>0.1472</v>
      </c>
      <c r="I346" s="41">
        <f>VLOOKUP($A346,'Dados StatusInvest'!$A:$AY,column(I346)-$A$5,0)/VLOOKUP($A346,'Dados StatusInvest'!$A:$AY,2,0)*$E346</f>
        <v>6.38</v>
      </c>
      <c r="J346" s="41">
        <f>VLOOKUP($A346,'Dados StatusInvest'!$A:$AY,column(J346)-$A$5,0)/VLOOKUP($A346,'Dados StatusInvest'!$A:$AY,2,0)*$E346</f>
        <v>1.85</v>
      </c>
      <c r="K346" s="42">
        <f>VLOOKUP($A346,'Dados StatusInvest'!$A:$AY,column(K346)-$A$5,0)/VLOOKUP($A346,'Dados StatusInvest'!$A:$AY,2,0)*$E346</f>
        <v>0.76</v>
      </c>
      <c r="L346" s="43">
        <f>VLOOKUP($A346,'Dados StatusInvest'!$A:$AY,column(L346)-$A$5,0)/100</f>
        <v>0.5007</v>
      </c>
      <c r="M346" s="44">
        <f>VLOOKUP($A346,'Dados StatusInvest'!$A:$AY,column(M346)-$A$5,0)</f>
        <v>50.16</v>
      </c>
      <c r="N346" s="44">
        <f>VLOOKUP($A346,'Dados StatusInvest'!$A:$AY,column(N346)-$A$5,0)</f>
        <v>40.22</v>
      </c>
      <c r="O346" s="41">
        <f>VLOOKUP($A346,'Dados StatusInvest'!$A:$AY,column(O346)-$A$5,0)/VLOOKUP($A346,'Dados StatusInvest'!$A:$AY,2,0)*$E346</f>
        <v>5.12</v>
      </c>
      <c r="P346" s="41">
        <f>VLOOKUP($A346,'Dados StatusInvest'!$A:$AY,column(P346)-$A$5,0)-VLOOKUP($A346,'Dados StatusInvest'!$A:$AY,column(P346)-$A$5-1,0)+O346</f>
        <v>4.8</v>
      </c>
      <c r="Q346" s="44">
        <f>VLOOKUP($A346,'Dados StatusInvest'!$A:$AY,column(Q346)-$A$5,0)</f>
        <v>0.04</v>
      </c>
      <c r="R346" s="44">
        <f>VLOOKUP($A346,'Dados StatusInvest'!$A:$AY,column(R346)-$A$5,0)</f>
        <v>0.02</v>
      </c>
      <c r="S346" s="41">
        <f>VLOOKUP($A346,'Dados StatusInvest'!$A:$AY,column(S346)-$A$5,0)/VLOOKUP($A346,'Dados StatusInvest'!$A:$AY,2,0)*$E346</f>
        <v>2.57</v>
      </c>
      <c r="T346" s="42">
        <f>VLOOKUP($A346,'Dados StatusInvest'!$A:$AY,column(T346)-$A$5,0)/VLOOKUP($A346,'Dados StatusInvest'!$A:$AY,2,0)*$E346</f>
        <v>3.22</v>
      </c>
      <c r="U346" s="47">
        <f>VLOOKUP($A346,'Dados StatusInvest'!$A:$AY,column(U346)-$A$5,0)</f>
        <v>-1.15</v>
      </c>
      <c r="V346" s="45">
        <f>VLOOKUP($A346,'Dados StatusInvest'!$A:$AY,column(V346)-$A$5,0)</f>
        <v>3.25</v>
      </c>
      <c r="W346" s="48">
        <f>VLOOKUP($A346,'Dados StatusInvest'!$A:$AY,column(W346)-$A$5,0)</f>
        <v>28.94</v>
      </c>
      <c r="X346" s="48">
        <f>VLOOKUP($A346,'Dados StatusInvest'!$A:$AY,column(X346)-$A$5,0)</f>
        <v>11.88</v>
      </c>
      <c r="Y346" s="48">
        <f>VLOOKUP($A346,'Dados StatusInvest'!$A:$AY,column(Y346)-$A$5,0)</f>
        <v>20.13</v>
      </c>
      <c r="Z346" s="44">
        <f>VLOOKUP($A346,'Dados StatusInvest'!$A:$AY,column(Z346)-$A$5,0)</f>
        <v>0.41</v>
      </c>
      <c r="AA346" s="44">
        <f>VLOOKUP($A346,'Dados StatusInvest'!$A:$AY,column(AA346)-$A$5,0)</f>
        <v>0.59</v>
      </c>
      <c r="AB346" s="44">
        <f>VLOOKUP($A346,'Dados StatusInvest'!$A:$AY,column(AB346)-$A$5,0)</f>
        <v>0.3</v>
      </c>
      <c r="AC346" s="44">
        <f>VLOOKUP($A346,'Dados StatusInvest'!$A:$AY,column(AC346)-$A$5,0)</f>
        <v>14.95</v>
      </c>
      <c r="AD346" s="45">
        <f>VLOOKUP($A346,'Dados StatusInvest'!$A:$AY,column(AD346)-$A$5,0)</f>
        <v>44.2</v>
      </c>
      <c r="AE346" s="46">
        <f>VLOOKUP($A346,'Dados StatusInvest'!$A:$AY,column(AE346)-$A$5,0)</f>
        <v>35000</v>
      </c>
      <c r="AF346" s="49"/>
    </row>
    <row r="347">
      <c r="A347" s="10" t="s">
        <v>393</v>
      </c>
      <c r="B347" s="39" t="str">
        <f>VLOOKUP(lEFT($A347,4),Setor!$A:$E,3,0)</f>
        <v>Consumo não Cíclico</v>
      </c>
      <c r="C347" s="39" t="str">
        <f>VLOOKUP(lEFT($A347,4),Setor!$A:$E,4,0)</f>
        <v>Produtos de Uso Pessoal e de Limpeza</v>
      </c>
      <c r="D347" s="39" t="str">
        <f>VLOOKUP(lEFT($A347,4),Setor!$A:$E,5,0)</f>
        <v>Produtos de Limpeza</v>
      </c>
      <c r="E347" s="17">
        <f>IFERROR(__xludf.DUMMYFUNCTION("GOOGLEFINANCE(A347)"),1.94)</f>
        <v>1.94</v>
      </c>
      <c r="F347" s="17">
        <f>IFERROR(__xludf.DUMMYFUNCTION("GOOGLEFINANCE($A347,""high52"")"),3.43)</f>
        <v>3.43</v>
      </c>
      <c r="G347" s="16">
        <f t="shared" si="1"/>
        <v>-0.4344023324</v>
      </c>
      <c r="H347" s="40">
        <f>VLOOKUP($A347,'Dados StatusInvest'!$A:$AY,column(H347)-$A$5,0)*VLOOKUP($A347,'Dados StatusInvest'!$A:$AY,2,0)/$E347/100</f>
        <v>0</v>
      </c>
      <c r="I347" s="41">
        <f>VLOOKUP($A347,'Dados StatusInvest'!$A:$AY,column(I347)-$A$5,0)/VLOOKUP($A347,'Dados StatusInvest'!$A:$AY,2,0)*$E347</f>
        <v>3.621333333</v>
      </c>
      <c r="J347" s="41">
        <f>VLOOKUP($A347,'Dados StatusInvest'!$A:$AY,column(J347)-$A$5,0)/VLOOKUP($A347,'Dados StatusInvest'!$A:$AY,2,0)*$E347</f>
        <v>-4.397333333</v>
      </c>
      <c r="K347" s="42">
        <f>VLOOKUP($A347,'Dados StatusInvest'!$A:$AY,column(K347)-$A$5,0)/VLOOKUP($A347,'Dados StatusInvest'!$A:$AY,2,0)*$E347</f>
        <v>0.5969230769</v>
      </c>
      <c r="L347" s="43">
        <f>VLOOKUP($A347,'Dados StatusInvest'!$A:$AY,column(L347)-$A$5,0)/100</f>
        <v>0.3202</v>
      </c>
      <c r="M347" s="47">
        <f>VLOOKUP($A347,'Dados StatusInvest'!$A:$AY,column(M347)-$A$5,0)</f>
        <v>14.71</v>
      </c>
      <c r="N347" s="47">
        <f>VLOOKUP($A347,'Dados StatusInvest'!$A:$AY,column(N347)-$A$5,0)</f>
        <v>12.46</v>
      </c>
      <c r="O347" s="41">
        <f>VLOOKUP($A347,'Dados StatusInvest'!$A:$AY,column(O347)-$A$5,0)/VLOOKUP($A347,'Dados StatusInvest'!$A:$AY,2,0)*$E347</f>
        <v>3.064205128</v>
      </c>
      <c r="P347" s="41">
        <f>VLOOKUP($A347,'Dados StatusInvest'!$A:$AY,column(P347)-$A$5,0)-VLOOKUP($A347,'Dados StatusInvest'!$A:$AY,column(P347)-$A$5-1,0)+O347</f>
        <v>3.214205128</v>
      </c>
      <c r="Q347" s="44">
        <f>VLOOKUP($A347,'Dados StatusInvest'!$A:$AY,column(Q347)-$A$5,0)</f>
        <v>1.79</v>
      </c>
      <c r="R347" s="44">
        <f>VLOOKUP($A347,'Dados StatusInvest'!$A:$AY,column(R347)-$A$5,0)</f>
        <v>0</v>
      </c>
      <c r="S347" s="41">
        <f>VLOOKUP($A347,'Dados StatusInvest'!$A:$AY,column(S347)-$A$5,0)/VLOOKUP($A347,'Dados StatusInvest'!$A:$AY,2,0)*$E347</f>
        <v>0.4476923077</v>
      </c>
      <c r="T347" s="42">
        <f>VLOOKUP($A347,'Dados StatusInvest'!$A:$AY,column(T347)-$A$5,0)/VLOOKUP($A347,'Dados StatusInvest'!$A:$AY,2,0)*$E347</f>
        <v>-2.129025641</v>
      </c>
      <c r="U347" s="44">
        <f>VLOOKUP($A347,'Dados StatusInvest'!$A:$AY,column(U347)-$A$5,0)</f>
        <v>-0.95</v>
      </c>
      <c r="V347" s="45">
        <f>VLOOKUP($A347,'Dados StatusInvest'!$A:$AY,column(V347)-$A$5,0)</f>
        <v>0.57</v>
      </c>
      <c r="W347" s="48">
        <f>VLOOKUP($A347,'Dados StatusInvest'!$A:$AY,column(W347)-$A$5,0)</f>
        <v>-121.55</v>
      </c>
      <c r="X347" s="48">
        <f>VLOOKUP($A347,'Dados StatusInvest'!$A:$AY,column(X347)-$A$5,0)</f>
        <v>16.48</v>
      </c>
      <c r="Y347" s="45">
        <f>VLOOKUP($A347,'Dados StatusInvest'!$A:$AY,column(Y347)-$A$5,0)</f>
        <v>59.79</v>
      </c>
      <c r="Z347" s="44">
        <f>VLOOKUP($A347,'Dados StatusInvest'!$A:$AY,column(Z347)-$A$5,0)</f>
        <v>-0.14</v>
      </c>
      <c r="AA347" s="44">
        <f>VLOOKUP($A347,'Dados StatusInvest'!$A:$AY,column(AA347)-$A$5,0)</f>
        <v>1.14</v>
      </c>
      <c r="AB347" s="44">
        <f>VLOOKUP($A347,'Dados StatusInvest'!$A:$AY,column(AB347)-$A$5,0)</f>
        <v>1.32</v>
      </c>
      <c r="AC347" s="44">
        <f>VLOOKUP($A347,'Dados StatusInvest'!$A:$AY,column(AC347)-$A$5,0)</f>
        <v>1.1</v>
      </c>
      <c r="AD347" s="45">
        <f>VLOOKUP($A347,'Dados StatusInvest'!$A:$AY,column(AD347)-$A$5,0)</f>
        <v>0</v>
      </c>
      <c r="AE347" s="46">
        <f>VLOOKUP($A347,'Dados StatusInvest'!$A:$AY,column(AE347)-$A$5,0)</f>
        <v>87098.08</v>
      </c>
      <c r="AF347" s="51"/>
    </row>
    <row r="348">
      <c r="A348" s="10" t="s">
        <v>394</v>
      </c>
      <c r="B348" s="52" t="str">
        <f>VLOOKUP(LEFT($A348,4),Setor!$A:$E,3,0)</f>
        <v>Utilidade Pública</v>
      </c>
      <c r="C348" s="52" t="str">
        <f>VLOOKUP(LEFT($A348,4),Setor!$A:$E,4,0)</f>
        <v>Energia Elétrica</v>
      </c>
      <c r="D348" s="52" t="str">
        <f>VLOOKUP(LEFT($A348,4),Setor!$A:$E,5,0)</f>
        <v>Energia Elétrica</v>
      </c>
      <c r="E348" s="53">
        <f>IFERROR(__xludf.DUMMYFUNCTION("GOOGLEFINANCE(A348)"),78.8)</f>
        <v>78.8</v>
      </c>
      <c r="F348" s="53">
        <f>IFERROR(__xludf.DUMMYFUNCTION("GOOGLEFINANCE($A348,""high52"")"),80.0)</f>
        <v>80</v>
      </c>
      <c r="G348" s="54">
        <f t="shared" si="1"/>
        <v>-0.015</v>
      </c>
      <c r="H348" s="55">
        <f>VLOOKUP($A348,'Dados StatusInvest'!$A:$AY,COLUMN(H348)-$A$5,0)*VLOOKUP($A348,'Dados StatusInvest'!$A:$AY,2,0)/$E348/100</f>
        <v>0.05859898477</v>
      </c>
      <c r="I348" s="56">
        <f>VLOOKUP($A348,'Dados StatusInvest'!$A:$AY,COLUMN(I348)-$A$5,0)/VLOOKUP($A348,'Dados StatusInvest'!$A:$AY,2,0)*$E348</f>
        <v>14.50728205</v>
      </c>
      <c r="J348" s="56">
        <f>VLOOKUP($A348,'Dados StatusInvest'!$A:$AY,COLUMN(J348)-$A$5,0)/VLOOKUP($A348,'Dados StatusInvest'!$A:$AY,2,0)*$E348</f>
        <v>5.73825641</v>
      </c>
      <c r="K348" s="57">
        <f>VLOOKUP($A348,'Dados StatusInvest'!$A:$AY,COLUMN(K348)-$A$5,0)/VLOOKUP($A348,'Dados StatusInvest'!$A:$AY,2,0)*$E348</f>
        <v>1.666923077</v>
      </c>
      <c r="L348" s="58">
        <f>VLOOKUP($A348,'Dados StatusInvest'!$A:$AY,COLUMN(L348)-$A$5,0)/100</f>
        <v>0.2821</v>
      </c>
      <c r="M348" s="59">
        <f>VLOOKUP($A348,'Dados StatusInvest'!$A:$AY,COLUMN(M348)-$A$5,0)</f>
        <v>24.77</v>
      </c>
      <c r="N348" s="63">
        <f>VLOOKUP($A348,'Dados StatusInvest'!$A:$AY,COLUMN(N348)-$A$5,0)</f>
        <v>19.86</v>
      </c>
      <c r="O348" s="56">
        <f>VLOOKUP($A348,'Dados StatusInvest'!$A:$AY,COLUMN(O348)-$A$5,0)/VLOOKUP($A348,'Dados StatusInvest'!$A:$AY,2,0)*$E348</f>
        <v>11.62805128</v>
      </c>
      <c r="P348" s="56">
        <f>VLOOKUP($A348,'Dados StatusInvest'!$A:$AY,COLUMN(P348)-$A$5,0)-VLOOKUP($A348,'Dados StatusInvest'!$A:$AY,COLUMN(P348)-$A$5-1,0)+O348</f>
        <v>13.81805128</v>
      </c>
      <c r="Q348" s="59">
        <f>VLOOKUP($A348,'Dados StatusInvest'!$A:$AY,COLUMN(Q348)-$A$5,0)</f>
        <v>2.02</v>
      </c>
      <c r="R348" s="59">
        <f>VLOOKUP($A348,'Dados StatusInvest'!$A:$AY,COLUMN(R348)-$A$5,0)</f>
        <v>1</v>
      </c>
      <c r="S348" s="56">
        <f>VLOOKUP($A348,'Dados StatusInvest'!$A:$AY,COLUMN(S348)-$A$5,0)/VLOOKUP($A348,'Dados StatusInvest'!$A:$AY,2,0)*$E348</f>
        <v>2.879230769</v>
      </c>
      <c r="T348" s="57">
        <f>VLOOKUP($A348,'Dados StatusInvest'!$A:$AY,COLUMN(T348)-$A$5,0)/VLOOKUP($A348,'Dados StatusInvest'!$A:$AY,2,0)*$E348</f>
        <v>26.87282051</v>
      </c>
      <c r="U348" s="59">
        <f>VLOOKUP($A348,'Dados StatusInvest'!$A:$AY,COLUMN(U348)-$A$5,0)</f>
        <v>-2.25</v>
      </c>
      <c r="V348" s="60">
        <f>VLOOKUP($A348,'Dados StatusInvest'!$A:$AY,COLUMN(V348)-$A$5,0)</f>
        <v>1.3</v>
      </c>
      <c r="W348" s="60">
        <f>VLOOKUP($A348,'Dados StatusInvest'!$A:$AY,COLUMN(W348)-$A$5,0)</f>
        <v>39.53</v>
      </c>
      <c r="X348" s="60">
        <f>VLOOKUP($A348,'Dados StatusInvest'!$A:$AY,COLUMN(X348)-$A$5,0)</f>
        <v>11.48</v>
      </c>
      <c r="Y348" s="60">
        <f>VLOOKUP($A348,'Dados StatusInvest'!$A:$AY,COLUMN(Y348)-$A$5,0)</f>
        <v>18.13</v>
      </c>
      <c r="Z348" s="59">
        <f>VLOOKUP($A348,'Dados StatusInvest'!$A:$AY,COLUMN(Z348)-$A$5,0)</f>
        <v>0.29</v>
      </c>
      <c r="AA348" s="59">
        <f>VLOOKUP($A348,'Dados StatusInvest'!$A:$AY,COLUMN(AA348)-$A$5,0)</f>
        <v>0.71</v>
      </c>
      <c r="AB348" s="59">
        <f>VLOOKUP($A348,'Dados StatusInvest'!$A:$AY,COLUMN(AB348)-$A$5,0)</f>
        <v>0.58</v>
      </c>
      <c r="AC348" s="59">
        <f>VLOOKUP($A348,'Dados StatusInvest'!$A:$AY,COLUMN(AC348)-$A$5,0)</f>
        <v>7.41</v>
      </c>
      <c r="AD348" s="60">
        <f>VLOOKUP($A348,'Dados StatusInvest'!$A:$AY,COLUMN(AD348)-$A$5,0)</f>
        <v>92.28</v>
      </c>
      <c r="AE348" s="62">
        <f>VLOOKUP($A348,'Dados StatusInvest'!$A:$AY,COLUMN(AE348)-$A$5,0)</f>
        <v>142842.77</v>
      </c>
      <c r="AF348" s="18"/>
    </row>
    <row r="349">
      <c r="A349" s="10" t="s">
        <v>395</v>
      </c>
      <c r="B349" s="39" t="str">
        <f>VLOOKUP(lEFT($A349,4),Setor!$A:$E,3,0)</f>
        <v>Financeiro</v>
      </c>
      <c r="C349" s="39" t="str">
        <f>VLOOKUP(lEFT($A349,4),Setor!$A:$E,4,0)</f>
        <v>Intermediários Financeiros</v>
      </c>
      <c r="D349" s="39" t="str">
        <f>VLOOKUP(lEFT($A349,4),Setor!$A:$E,5,0)</f>
        <v>Bancos</v>
      </c>
      <c r="E349" s="17">
        <f>IFERROR(__xludf.DUMMYFUNCTION("GOOGLEFINANCE(A349)"),4.97)</f>
        <v>4.97</v>
      </c>
      <c r="F349" s="17">
        <f>IFERROR(__xludf.DUMMYFUNCTION("GOOGLEFINANCE($A349,""high52"")"),6.03)</f>
        <v>6.03</v>
      </c>
      <c r="G349" s="16">
        <f t="shared" si="1"/>
        <v>-0.175787728</v>
      </c>
      <c r="H349" s="40">
        <f>VLOOKUP($A349,'Dados StatusInvest'!$A:$AY,column(H349)-$A$5,0)*VLOOKUP($A349,'Dados StatusInvest'!$A:$AY,2,0)/$E349/100</f>
        <v>0.05556257545</v>
      </c>
      <c r="I349" s="41">
        <f>VLOOKUP($A349,'Dados StatusInvest'!$A:$AY,column(I349)-$A$5,0)/VLOOKUP($A349,'Dados StatusInvest'!$A:$AY,2,0)*$E349</f>
        <v>7.092813765</v>
      </c>
      <c r="J349" s="41">
        <f>VLOOKUP($A349,'Dados StatusInvest'!$A:$AY,column(J349)-$A$5,0)/VLOOKUP($A349,'Dados StatusInvest'!$A:$AY,2,0)*$E349</f>
        <v>0.8752834008</v>
      </c>
      <c r="K349" s="42">
        <f>VLOOKUP($A349,'Dados StatusInvest'!$A:$AY,column(K349)-$A$5,0)/VLOOKUP($A349,'Dados StatusInvest'!$A:$AY,2,0)*$E349</f>
        <v>0.05030364372</v>
      </c>
      <c r="L349" s="43">
        <f>VLOOKUP($A349,'Dados StatusInvest'!$A:$AY,column(L349)-$A$5,0)/100</f>
        <v>0.5153</v>
      </c>
      <c r="M349" s="44">
        <f>VLOOKUP($A349,'Dados StatusInvest'!$A:$AY,column(M349)-$A$5,0)</f>
        <v>23.48</v>
      </c>
      <c r="N349" s="44">
        <f>VLOOKUP($A349,'Dados StatusInvest'!$A:$AY,column(N349)-$A$5,0)</f>
        <v>14.66</v>
      </c>
      <c r="O349" s="41">
        <f>VLOOKUP($A349,'Dados StatusInvest'!$A:$AY,column(O349)-$A$5,0)/VLOOKUP($A349,'Dados StatusInvest'!$A:$AY,2,0)*$E349</f>
        <v>4.436781377</v>
      </c>
      <c r="P349" s="41">
        <f>VLOOKUP($A349,'Dados StatusInvest'!$A:$AY,column(P349)-$A$5,0)-VLOOKUP($A349,'Dados StatusInvest'!$A:$AY,column(P349)-$A$5-1,0)+O349</f>
        <v>4.666781377</v>
      </c>
      <c r="Q349" s="44">
        <f>VLOOKUP($A349,'Dados StatusInvest'!$A:$AY,column(Q349)-$A$5,0)</f>
        <v>0</v>
      </c>
      <c r="R349" s="44">
        <f>VLOOKUP($A349,'Dados StatusInvest'!$A:$AY,column(R349)-$A$5,0)</f>
        <v>0</v>
      </c>
      <c r="S349" s="41">
        <f>VLOOKUP($A349,'Dados StatusInvest'!$A:$AY,column(S349)-$A$5,0)/VLOOKUP($A349,'Dados StatusInvest'!$A:$AY,2,0)*$E349</f>
        <v>1.036255061</v>
      </c>
      <c r="T349" s="42">
        <f>VLOOKUP($A349,'Dados StatusInvest'!$A:$AY,column(T349)-$A$5,0)/VLOOKUP($A349,'Dados StatusInvest'!$A:$AY,2,0)*$E349</f>
        <v>0.5332186235</v>
      </c>
      <c r="U349" s="44">
        <f>VLOOKUP($A349,'Dados StatusInvest'!$A:$AY,column(U349)-$A$5,0)</f>
        <v>-0.05</v>
      </c>
      <c r="V349" s="45">
        <f>VLOOKUP($A349,'Dados StatusInvest'!$A:$AY,column(V349)-$A$5,0)</f>
        <v>0</v>
      </c>
      <c r="W349" s="45">
        <f>VLOOKUP($A349,'Dados StatusInvest'!$A:$AY,column(W349)-$A$5,0)</f>
        <v>12.4</v>
      </c>
      <c r="X349" s="45">
        <f>VLOOKUP($A349,'Dados StatusInvest'!$A:$AY,column(X349)-$A$5,0)</f>
        <v>0.68</v>
      </c>
      <c r="Y349" s="45">
        <f>VLOOKUP($A349,'Dados StatusInvest'!$A:$AY,column(Y349)-$A$5,0)</f>
        <v>0</v>
      </c>
      <c r="Z349" s="44">
        <f>VLOOKUP($A349,'Dados StatusInvest'!$A:$AY,column(Z349)-$A$5,0)</f>
        <v>0.06</v>
      </c>
      <c r="AA349" s="44">
        <f>VLOOKUP($A349,'Dados StatusInvest'!$A:$AY,column(AA349)-$A$5,0)</f>
        <v>0.94</v>
      </c>
      <c r="AB349" s="44">
        <f>VLOOKUP($A349,'Dados StatusInvest'!$A:$AY,column(AB349)-$A$5,0)</f>
        <v>0.05</v>
      </c>
      <c r="AC349" s="44">
        <f>VLOOKUP($A349,'Dados StatusInvest'!$A:$AY,column(AC349)-$A$5,0)</f>
        <v>-7.16</v>
      </c>
      <c r="AD349" s="45">
        <f>VLOOKUP($A349,'Dados StatusInvest'!$A:$AY,column(AD349)-$A$5,0)</f>
        <v>7.19</v>
      </c>
      <c r="AE349" s="46">
        <f>VLOOKUP($A349,'Dados StatusInvest'!$A:$AY,column(AE349)-$A$5,0)</f>
        <v>88658.5</v>
      </c>
      <c r="AF349" s="50"/>
    </row>
    <row r="350">
      <c r="A350" s="10" t="s">
        <v>396</v>
      </c>
      <c r="B350" s="39" t="str">
        <f>VLOOKUP(lEFT($A350,4),Setor!$A:$E,3,0)</f>
        <v>Materiais Básicos</v>
      </c>
      <c r="C350" s="39" t="str">
        <f>VLOOKUP(lEFT($A350,4),Setor!$A:$E,4,0)</f>
        <v>Siderurgia e Metalurgia</v>
      </c>
      <c r="D350" s="39" t="str">
        <f>VLOOKUP(lEFT($A350,4),Setor!$A:$E,5,0)</f>
        <v>Artefatos de Ferro e Aço</v>
      </c>
      <c r="E350" s="17">
        <f>IFERROR(__xludf.DUMMYFUNCTION("GOOGLEFINANCE(A350)"),16.11)</f>
        <v>16.11</v>
      </c>
      <c r="F350" s="17">
        <f>IFERROR(__xludf.DUMMYFUNCTION("GOOGLEFINANCE($A350,""high52"")"),28.0)</f>
        <v>28</v>
      </c>
      <c r="G350" s="16">
        <f t="shared" si="1"/>
        <v>-0.4246428571</v>
      </c>
      <c r="H350" s="40">
        <f>VLOOKUP($A350,'Dados StatusInvest'!$A:$AY,column(H350)-$A$5,0)*VLOOKUP($A350,'Dados StatusInvest'!$A:$AY,2,0)/$E350/100</f>
        <v>0</v>
      </c>
      <c r="I350" s="41">
        <f>VLOOKUP($A350,'Dados StatusInvest'!$A:$AY,column(I350)-$A$5,0)/VLOOKUP($A350,'Dados StatusInvest'!$A:$AY,2,0)*$E350</f>
        <v>0.4242010772</v>
      </c>
      <c r="J350" s="41">
        <f>VLOOKUP($A350,'Dados StatusInvest'!$A:$AY,column(J350)-$A$5,0)/VLOOKUP($A350,'Dados StatusInvest'!$A:$AY,2,0)*$E350</f>
        <v>-0.3470736086</v>
      </c>
      <c r="K350" s="42">
        <f>VLOOKUP($A350,'Dados StatusInvest'!$A:$AY,column(K350)-$A$5,0)/VLOOKUP($A350,'Dados StatusInvest'!$A:$AY,2,0)*$E350</f>
        <v>0.1542549372</v>
      </c>
      <c r="L350" s="43">
        <f>VLOOKUP($A350,'Dados StatusInvest'!$A:$AY,column(L350)-$A$5,0)/100</f>
        <v>0.1683</v>
      </c>
      <c r="M350" s="44">
        <f>VLOOKUP($A350,'Dados StatusInvest'!$A:$AY,column(M350)-$A$5,0)</f>
        <v>27.74</v>
      </c>
      <c r="N350" s="44">
        <f>VLOOKUP($A350,'Dados StatusInvest'!$A:$AY,column(N350)-$A$5,0)</f>
        <v>30.24</v>
      </c>
      <c r="O350" s="41">
        <f>VLOOKUP($A350,'Dados StatusInvest'!$A:$AY,column(O350)-$A$5,0)/VLOOKUP($A350,'Dados StatusInvest'!$A:$AY,2,0)*$E350</f>
        <v>0.4627648115</v>
      </c>
      <c r="P350" s="41">
        <f>VLOOKUP($A350,'Dados StatusInvest'!$A:$AY,column(P350)-$A$5,0)-VLOOKUP($A350,'Dados StatusInvest'!$A:$AY,column(P350)-$A$5-1,0)+O350</f>
        <v>3.592764811</v>
      </c>
      <c r="Q350" s="44">
        <f>VLOOKUP($A350,'Dados StatusInvest'!$A:$AY,column(Q350)-$A$5,0)</f>
        <v>3.11</v>
      </c>
      <c r="R350" s="44">
        <f>VLOOKUP($A350,'Dados StatusInvest'!$A:$AY,column(R350)-$A$5,0)</f>
        <v>0</v>
      </c>
      <c r="S350" s="41">
        <f>VLOOKUP($A350,'Dados StatusInvest'!$A:$AY,column(S350)-$A$5,0)/VLOOKUP($A350,'Dados StatusInvest'!$A:$AY,2,0)*$E350</f>
        <v>0.1253321364</v>
      </c>
      <c r="T350" s="42">
        <f>VLOOKUP($A350,'Dados StatusInvest'!$A:$AY,column(T350)-$A$5,0)/VLOOKUP($A350,'Dados StatusInvest'!$A:$AY,2,0)*$E350</f>
        <v>0.3759964093</v>
      </c>
      <c r="U350" s="44">
        <f>VLOOKUP($A350,'Dados StatusInvest'!$A:$AY,column(U350)-$A$5,0)</f>
        <v>-0.56</v>
      </c>
      <c r="V350" s="45">
        <f>VLOOKUP($A350,'Dados StatusInvest'!$A:$AY,column(V350)-$A$5,0)</f>
        <v>2.42</v>
      </c>
      <c r="W350" s="48">
        <f>VLOOKUP($A350,'Dados StatusInvest'!$A:$AY,column(W350)-$A$5,0)</f>
        <v>-83.26</v>
      </c>
      <c r="X350" s="45">
        <f>VLOOKUP($A350,'Dados StatusInvest'!$A:$AY,column(X350)-$A$5,0)</f>
        <v>37.13</v>
      </c>
      <c r="Y350" s="45">
        <f>VLOOKUP($A350,'Dados StatusInvest'!$A:$AY,column(Y350)-$A$5,0)</f>
        <v>34.68</v>
      </c>
      <c r="Z350" s="44">
        <f>VLOOKUP($A350,'Dados StatusInvest'!$A:$AY,column(Z350)-$A$5,0)</f>
        <v>-0.45</v>
      </c>
      <c r="AA350" s="44">
        <f>VLOOKUP($A350,'Dados StatusInvest'!$A:$AY,column(AA350)-$A$5,0)</f>
        <v>1.45</v>
      </c>
      <c r="AB350" s="44">
        <f>VLOOKUP($A350,'Dados StatusInvest'!$A:$AY,column(AB350)-$A$5,0)</f>
        <v>1.23</v>
      </c>
      <c r="AC350" s="44">
        <f>VLOOKUP($A350,'Dados StatusInvest'!$A:$AY,column(AC350)-$A$5,0)</f>
        <v>5.03</v>
      </c>
      <c r="AD350" s="45">
        <f>VLOOKUP($A350,'Dados StatusInvest'!$A:$AY,column(AD350)-$A$5,0)</f>
        <v>0</v>
      </c>
      <c r="AE350" s="46">
        <f>VLOOKUP($A350,'Dados StatusInvest'!$A:$AY,column(AE350)-$A$5,0)</f>
        <v>87521.13</v>
      </c>
      <c r="AF350" s="49"/>
    </row>
    <row r="351">
      <c r="A351" s="10" t="s">
        <v>397</v>
      </c>
      <c r="B351" s="39" t="str">
        <f>VLOOKUP(lEFT($A351,4),Setor!$A:$E,3,0)</f>
        <v>Materiais Básicos</v>
      </c>
      <c r="C351" s="39" t="str">
        <f>VLOOKUP(lEFT($A351,4),Setor!$A:$E,4,0)</f>
        <v>Madeira e Papel</v>
      </c>
      <c r="D351" s="39" t="str">
        <f>VLOOKUP(lEFT($A351,4),Setor!$A:$E,5,0)</f>
        <v>Madeira</v>
      </c>
      <c r="E351" s="17">
        <f>IFERROR(__xludf.DUMMYFUNCTION("GOOGLEFINANCE(A351)"),14.16)</f>
        <v>14.16</v>
      </c>
      <c r="F351" s="17">
        <f>IFERROR(__xludf.DUMMYFUNCTION("GOOGLEFINANCE($A351,""high52"")"),28.7)</f>
        <v>28.7</v>
      </c>
      <c r="G351" s="16">
        <f t="shared" si="1"/>
        <v>-0.5066202091</v>
      </c>
      <c r="H351" s="40">
        <f>VLOOKUP($A351,'Dados StatusInvest'!$A:$AY,column(H351)-$A$5,0)*VLOOKUP($A351,'Dados StatusInvest'!$A:$AY,2,0)/$E351/100</f>
        <v>0.02629943503</v>
      </c>
      <c r="I351" s="41">
        <f>VLOOKUP($A351,'Dados StatusInvest'!$A:$AY,column(I351)-$A$5,0)/VLOOKUP($A351,'Dados StatusInvest'!$A:$AY,2,0)*$E351</f>
        <v>4.4604</v>
      </c>
      <c r="J351" s="41">
        <f>VLOOKUP($A351,'Dados StatusInvest'!$A:$AY,column(J351)-$A$5,0)/VLOOKUP($A351,'Dados StatusInvest'!$A:$AY,2,0)*$E351</f>
        <v>0.7686857143</v>
      </c>
      <c r="K351" s="42">
        <f>VLOOKUP($A351,'Dados StatusInvest'!$A:$AY,column(K351)-$A$5,0)/VLOOKUP($A351,'Dados StatusInvest'!$A:$AY,2,0)*$E351</f>
        <v>0.4349142857</v>
      </c>
      <c r="L351" s="43">
        <f>VLOOKUP($A351,'Dados StatusInvest'!$A:$AY,column(L351)-$A$5,0)/100</f>
        <v>0.3404</v>
      </c>
      <c r="M351" s="44">
        <f>VLOOKUP($A351,'Dados StatusInvest'!$A:$AY,column(M351)-$A$5,0)</f>
        <v>18.13</v>
      </c>
      <c r="N351" s="44">
        <f>VLOOKUP($A351,'Dados StatusInvest'!$A:$AY,column(N351)-$A$5,0)</f>
        <v>13.71</v>
      </c>
      <c r="O351" s="41">
        <f>VLOOKUP($A351,'Dados StatusInvest'!$A:$AY,column(O351)-$A$5,0)/VLOOKUP($A351,'Dados StatusInvest'!$A:$AY,2,0)*$E351</f>
        <v>3.368057143</v>
      </c>
      <c r="P351" s="41">
        <f>VLOOKUP($A351,'Dados StatusInvest'!$A:$AY,column(P351)-$A$5,0)-VLOOKUP($A351,'Dados StatusInvest'!$A:$AY,column(P351)-$A$5-1,0)+O351</f>
        <v>3.518057143</v>
      </c>
      <c r="Q351" s="44">
        <f>VLOOKUP($A351,'Dados StatusInvest'!$A:$AY,column(Q351)-$A$5,0)</f>
        <v>0.94</v>
      </c>
      <c r="R351" s="44">
        <f>VLOOKUP($A351,'Dados StatusInvest'!$A:$AY,column(R351)-$A$5,0)</f>
        <v>0.21</v>
      </c>
      <c r="S351" s="41">
        <f>VLOOKUP($A351,'Dados StatusInvest'!$A:$AY,column(S351)-$A$5,0)/VLOOKUP($A351,'Dados StatusInvest'!$A:$AY,2,0)*$E351</f>
        <v>0.6068571429</v>
      </c>
      <c r="T351" s="42">
        <f>VLOOKUP($A351,'Dados StatusInvest'!$A:$AY,column(T351)-$A$5,0)/VLOOKUP($A351,'Dados StatusInvest'!$A:$AY,2,0)*$E351</f>
        <v>4.662685714</v>
      </c>
      <c r="U351" s="44">
        <f>VLOOKUP($A351,'Dados StatusInvest'!$A:$AY,column(U351)-$A$5,0)</f>
        <v>-0.67</v>
      </c>
      <c r="V351" s="45">
        <f>VLOOKUP($A351,'Dados StatusInvest'!$A:$AY,column(V351)-$A$5,0)</f>
        <v>1.36</v>
      </c>
      <c r="W351" s="48">
        <f>VLOOKUP($A351,'Dados StatusInvest'!$A:$AY,column(W351)-$A$5,0)</f>
        <v>17.23</v>
      </c>
      <c r="X351" s="45">
        <f>VLOOKUP($A351,'Dados StatusInvest'!$A:$AY,column(X351)-$A$5,0)</f>
        <v>9.79</v>
      </c>
      <c r="Y351" s="45">
        <f>VLOOKUP($A351,'Dados StatusInvest'!$A:$AY,column(Y351)-$A$5,0)</f>
        <v>11.96</v>
      </c>
      <c r="Z351" s="44">
        <f>VLOOKUP($A351,'Dados StatusInvest'!$A:$AY,column(Z351)-$A$5,0)</f>
        <v>0.57</v>
      </c>
      <c r="AA351" s="44">
        <f>VLOOKUP($A351,'Dados StatusInvest'!$A:$AY,column(AA351)-$A$5,0)</f>
        <v>0.43</v>
      </c>
      <c r="AB351" s="44">
        <f>VLOOKUP($A351,'Dados StatusInvest'!$A:$AY,column(AB351)-$A$5,0)</f>
        <v>0.71</v>
      </c>
      <c r="AC351" s="44">
        <f>VLOOKUP($A351,'Dados StatusInvest'!$A:$AY,column(AC351)-$A$5,0)</f>
        <v>9.47</v>
      </c>
      <c r="AD351" s="45">
        <f>VLOOKUP($A351,'Dados StatusInvest'!$A:$AY,column(AD351)-$A$5,0)</f>
        <v>94.72</v>
      </c>
      <c r="AE351" s="46">
        <f>VLOOKUP($A351,'Dados StatusInvest'!$A:$AY,column(AE351)-$A$5,0)</f>
        <v>136100.75</v>
      </c>
      <c r="AF351" s="50"/>
    </row>
    <row r="352">
      <c r="A352" s="10" t="s">
        <v>398</v>
      </c>
      <c r="B352" s="39" t="str">
        <f>VLOOKUP(lEFT($A352,4),Setor!$A:$E,3,0)</f>
        <v>Utilidade Pública</v>
      </c>
      <c r="C352" s="39" t="str">
        <f>VLOOKUP(lEFT($A352,4),Setor!$A:$E,4,0)</f>
        <v>Energia Elétrica</v>
      </c>
      <c r="D352" s="39" t="str">
        <f>VLOOKUP(lEFT($A352,4),Setor!$A:$E,5,0)</f>
        <v>Energia Elétrica</v>
      </c>
      <c r="E352" s="17">
        <f>IFERROR(__xludf.DUMMYFUNCTION("GOOGLEFINANCE(A352)"),15.48)</f>
        <v>15.48</v>
      </c>
      <c r="F352" s="17">
        <f>IFERROR(__xludf.DUMMYFUNCTION("GOOGLEFINANCE($A352,""high52"")"),22.15)</f>
        <v>22.15</v>
      </c>
      <c r="G352" s="16">
        <f t="shared" si="1"/>
        <v>-0.3011286682</v>
      </c>
      <c r="H352" s="40">
        <f>VLOOKUP($A352,'Dados StatusInvest'!$A:$AY,column(H352)-$A$5,0)*VLOOKUP($A352,'Dados StatusInvest'!$A:$AY,2,0)/$E352/100</f>
        <v>0.02266046512</v>
      </c>
      <c r="I352" s="41">
        <f>VLOOKUP($A352,'Dados StatusInvest'!$A:$AY,column(I352)-$A$5,0)/VLOOKUP($A352,'Dados StatusInvest'!$A:$AY,2,0)*$E352</f>
        <v>11.23931034</v>
      </c>
      <c r="J352" s="41">
        <f>VLOOKUP($A352,'Dados StatusInvest'!$A:$AY,column(J352)-$A$5,0)/VLOOKUP($A352,'Dados StatusInvest'!$A:$AY,2,0)*$E352</f>
        <v>3.430114943</v>
      </c>
      <c r="K352" s="42">
        <f>VLOOKUP($A352,'Dados StatusInvest'!$A:$AY,column(K352)-$A$5,0)/VLOOKUP($A352,'Dados StatusInvest'!$A:$AY,2,0)*$E352</f>
        <v>0.5832183908</v>
      </c>
      <c r="L352" s="43">
        <f>VLOOKUP($A352,'Dados StatusInvest'!$A:$AY,column(L352)-$A$5,0)/100</f>
        <v>0.2112</v>
      </c>
      <c r="M352" s="44">
        <f>VLOOKUP($A352,'Dados StatusInvest'!$A:$AY,column(M352)-$A$5,0)</f>
        <v>16.77</v>
      </c>
      <c r="N352" s="44">
        <f>VLOOKUP($A352,'Dados StatusInvest'!$A:$AY,column(N352)-$A$5,0)</f>
        <v>11.01</v>
      </c>
      <c r="O352" s="41">
        <f>VLOOKUP($A352,'Dados StatusInvest'!$A:$AY,column(O352)-$A$5,0)/VLOOKUP($A352,'Dados StatusInvest'!$A:$AY,2,0)*$E352</f>
        <v>7.374252874</v>
      </c>
      <c r="P352" s="41">
        <f>VLOOKUP($A352,'Dados StatusInvest'!$A:$AY,column(P352)-$A$5,0)-VLOOKUP($A352,'Dados StatusInvest'!$A:$AY,column(P352)-$A$5-1,0)+O352</f>
        <v>7.984252874</v>
      </c>
      <c r="Q352" s="44">
        <f>VLOOKUP($A352,'Dados StatusInvest'!$A:$AY,column(Q352)-$A$5,0)</f>
        <v>3.9</v>
      </c>
      <c r="R352" s="44">
        <f>VLOOKUP($A352,'Dados StatusInvest'!$A:$AY,column(R352)-$A$5,0)</f>
        <v>1.82</v>
      </c>
      <c r="S352" s="41">
        <f>VLOOKUP($A352,'Dados StatusInvest'!$A:$AY,column(S352)-$A$5,0)/VLOOKUP($A352,'Dados StatusInvest'!$A:$AY,2,0)*$E352</f>
        <v>1.235632184</v>
      </c>
      <c r="T352" s="42">
        <f>VLOOKUP($A352,'Dados StatusInvest'!$A:$AY,column(T352)-$A$5,0)/VLOOKUP($A352,'Dados StatusInvest'!$A:$AY,2,0)*$E352</f>
        <v>11.76321839</v>
      </c>
      <c r="U352" s="44">
        <f>VLOOKUP($A352,'Dados StatusInvest'!$A:$AY,column(U352)-$A$5,0)</f>
        <v>-0.79</v>
      </c>
      <c r="V352" s="45">
        <f>VLOOKUP($A352,'Dados StatusInvest'!$A:$AY,column(V352)-$A$5,0)</f>
        <v>1.25</v>
      </c>
      <c r="W352" s="45">
        <f>VLOOKUP($A352,'Dados StatusInvest'!$A:$AY,column(W352)-$A$5,0)</f>
        <v>30.52</v>
      </c>
      <c r="X352" s="45">
        <f>VLOOKUP($A352,'Dados StatusInvest'!$A:$AY,column(X352)-$A$5,0)</f>
        <v>5.21</v>
      </c>
      <c r="Y352" s="45">
        <f>VLOOKUP($A352,'Dados StatusInvest'!$A:$AY,column(Y352)-$A$5,0)</f>
        <v>10.44</v>
      </c>
      <c r="Z352" s="44">
        <f>VLOOKUP($A352,'Dados StatusInvest'!$A:$AY,column(Z352)-$A$5,0)</f>
        <v>0.17</v>
      </c>
      <c r="AA352" s="44">
        <f>VLOOKUP($A352,'Dados StatusInvest'!$A:$AY,column(AA352)-$A$5,0)</f>
        <v>0.81</v>
      </c>
      <c r="AB352" s="44">
        <f>VLOOKUP($A352,'Dados StatusInvest'!$A:$AY,column(AB352)-$A$5,0)</f>
        <v>0.47</v>
      </c>
      <c r="AC352" s="44">
        <f>VLOOKUP($A352,'Dados StatusInvest'!$A:$AY,column(AC352)-$A$5,0)</f>
        <v>10.79</v>
      </c>
      <c r="AD352" s="45">
        <f>VLOOKUP($A352,'Dados StatusInvest'!$A:$AY,column(AD352)-$A$5,0)</f>
        <v>50.4</v>
      </c>
      <c r="AE352" s="46">
        <f>VLOOKUP($A352,'Dados StatusInvest'!$A:$AY,column(AE352)-$A$5,0)</f>
        <v>129734.88</v>
      </c>
      <c r="AF352" s="51"/>
    </row>
    <row r="353">
      <c r="A353" s="10" t="s">
        <v>399</v>
      </c>
      <c r="B353" s="39" t="str">
        <f>VLOOKUP(lEFT($A353,4),Setor!$A:$E,3,0)</f>
        <v>Financeiro</v>
      </c>
      <c r="C353" s="39" t="str">
        <f>VLOOKUP(lEFT($A353,4),Setor!$A:$E,4,0)</f>
        <v>Intermediários Financeiros</v>
      </c>
      <c r="D353" s="39" t="str">
        <f>VLOOKUP(lEFT($A353,4),Setor!$A:$E,5,0)</f>
        <v>Bancos</v>
      </c>
      <c r="E353" s="17">
        <f>IFERROR(__xludf.DUMMYFUNCTION("GOOGLEFINANCE(A353)"),6.0)</f>
        <v>6</v>
      </c>
      <c r="F353" s="17">
        <f>IFERROR(__xludf.DUMMYFUNCTION("GOOGLEFINANCE($A353,""high52"")"),9.38)</f>
        <v>9.38</v>
      </c>
      <c r="G353" s="16">
        <f t="shared" si="1"/>
        <v>-0.3603411514</v>
      </c>
      <c r="H353" s="40">
        <f>VLOOKUP($A353,'Dados StatusInvest'!$A:$AY,column(H353)-$A$5,0)*VLOOKUP($A353,'Dados StatusInvest'!$A:$AY,2,0)/$E353/100</f>
        <v>0.0180495</v>
      </c>
      <c r="I353" s="41">
        <f>VLOOKUP($A353,'Dados StatusInvest'!$A:$AY,column(I353)-$A$5,0)/VLOOKUP($A353,'Dados StatusInvest'!$A:$AY,2,0)*$E353</f>
        <v>14.16753927</v>
      </c>
      <c r="J353" s="41">
        <f>VLOOKUP($A353,'Dados StatusInvest'!$A:$AY,column(J353)-$A$5,0)/VLOOKUP($A353,'Dados StatusInvest'!$A:$AY,2,0)*$E353</f>
        <v>1.968586387</v>
      </c>
      <c r="K353" s="42">
        <f>VLOOKUP($A353,'Dados StatusInvest'!$A:$AY,column(K353)-$A$5,0)/VLOOKUP($A353,'Dados StatusInvest'!$A:$AY,2,0)*$E353</f>
        <v>0.2303664921</v>
      </c>
      <c r="L353" s="43">
        <f>VLOOKUP($A353,'Dados StatusInvest'!$A:$AY,column(L353)-$A$5,0)/100</f>
        <v>0.188</v>
      </c>
      <c r="M353" s="47">
        <f>VLOOKUP($A353,'Dados StatusInvest'!$A:$AY,column(M353)-$A$5,0)</f>
        <v>35.6</v>
      </c>
      <c r="N353" s="47">
        <f>VLOOKUP($A353,'Dados StatusInvest'!$A:$AY,column(N353)-$A$5,0)</f>
        <v>37.23</v>
      </c>
      <c r="O353" s="41">
        <f>VLOOKUP($A353,'Dados StatusInvest'!$A:$AY,column(O353)-$A$5,0)/VLOOKUP($A353,'Dados StatusInvest'!$A:$AY,2,0)*$E353</f>
        <v>14.81675393</v>
      </c>
      <c r="P353" s="41">
        <f>VLOOKUP($A353,'Dados StatusInvest'!$A:$AY,column(P353)-$A$5,0)-VLOOKUP($A353,'Dados StatusInvest'!$A:$AY,column(P353)-$A$5-1,0)+O353</f>
        <v>21.00675393</v>
      </c>
      <c r="Q353" s="44">
        <f>VLOOKUP($A353,'Dados StatusInvest'!$A:$AY,column(Q353)-$A$5,0)</f>
        <v>0</v>
      </c>
      <c r="R353" s="44">
        <f>VLOOKUP($A353,'Dados StatusInvest'!$A:$AY,column(R353)-$A$5,0)</f>
        <v>0</v>
      </c>
      <c r="S353" s="41">
        <f>VLOOKUP($A353,'Dados StatusInvest'!$A:$AY,column(S353)-$A$5,0)/VLOOKUP($A353,'Dados StatusInvest'!$A:$AY,2,0)*$E353</f>
        <v>5.277486911</v>
      </c>
      <c r="T353" s="42">
        <f>VLOOKUP($A353,'Dados StatusInvest'!$A:$AY,column(T353)-$A$5,0)/VLOOKUP($A353,'Dados StatusInvest'!$A:$AY,2,0)*$E353</f>
        <v>4.345549738</v>
      </c>
      <c r="U353" s="44">
        <f>VLOOKUP($A353,'Dados StatusInvest'!$A:$AY,column(U353)-$A$5,0)</f>
        <v>-0.84</v>
      </c>
      <c r="V353" s="45">
        <f>VLOOKUP($A353,'Dados StatusInvest'!$A:$AY,column(V353)-$A$5,0)</f>
        <v>1.08</v>
      </c>
      <c r="W353" s="48">
        <f>VLOOKUP($A353,'Dados StatusInvest'!$A:$AY,column(W353)-$A$5,0)</f>
        <v>13.87</v>
      </c>
      <c r="X353" s="48">
        <f>VLOOKUP($A353,'Dados StatusInvest'!$A:$AY,column(X353)-$A$5,0)</f>
        <v>1.61</v>
      </c>
      <c r="Y353" s="45">
        <f>VLOOKUP($A353,'Dados StatusInvest'!$A:$AY,column(Y353)-$A$5,0)</f>
        <v>0</v>
      </c>
      <c r="Z353" s="44">
        <f>VLOOKUP($A353,'Dados StatusInvest'!$A:$AY,column(Z353)-$A$5,0)</f>
        <v>0.12</v>
      </c>
      <c r="AA353" s="44">
        <f>VLOOKUP($A353,'Dados StatusInvest'!$A:$AY,column(AA353)-$A$5,0)</f>
        <v>0.88</v>
      </c>
      <c r="AB353" s="44">
        <f>VLOOKUP($A353,'Dados StatusInvest'!$A:$AY,column(AB353)-$A$5,0)</f>
        <v>0.04</v>
      </c>
      <c r="AC353" s="44">
        <f>VLOOKUP($A353,'Dados StatusInvest'!$A:$AY,column(AC353)-$A$5,0)</f>
        <v>2.49</v>
      </c>
      <c r="AD353" s="45">
        <f>VLOOKUP($A353,'Dados StatusInvest'!$A:$AY,column(AD353)-$A$5,0)</f>
        <v>45.84</v>
      </c>
      <c r="AE353" s="46">
        <f>VLOOKUP($A353,'Dados StatusInvest'!$A:$AY,column(AE353)-$A$5,0)</f>
        <v>90901.5</v>
      </c>
      <c r="AF353" s="51"/>
    </row>
    <row r="354">
      <c r="A354" s="10" t="s">
        <v>400</v>
      </c>
      <c r="B354" s="39" t="str">
        <f>VLOOKUP(lEFT($A354,4),Setor!$A:$E,3,0)</f>
        <v>Comunicações</v>
      </c>
      <c r="C354" s="39" t="str">
        <f>VLOOKUP(lEFT($A354,4),Setor!$A:$E,4,0)</f>
        <v>Telecomunicações</v>
      </c>
      <c r="D354" s="39" t="str">
        <f>VLOOKUP(lEFT($A354,4),Setor!$A:$E,5,0)</f>
        <v>Telecomunicações</v>
      </c>
      <c r="E354" s="17">
        <f>IFERROR(__xludf.DUMMYFUNCTION("GOOGLEFINANCE(A354)"),23.45)</f>
        <v>23.45</v>
      </c>
      <c r="F354" s="17">
        <f>IFERROR(__xludf.DUMMYFUNCTION("GOOGLEFINANCE($A354,""high52"")"),38.98)</f>
        <v>38.98</v>
      </c>
      <c r="G354" s="16">
        <f t="shared" si="1"/>
        <v>-0.3984094407</v>
      </c>
      <c r="H354" s="40">
        <f>VLOOKUP($A354,'Dados StatusInvest'!$A:$AY,column(H354)-$A$5,0)*VLOOKUP($A354,'Dados StatusInvest'!$A:$AY,2,0)/$E354/100</f>
        <v>0</v>
      </c>
      <c r="I354" s="41">
        <f>VLOOKUP($A354,'Dados StatusInvest'!$A:$AY,column(I354)-$A$5,0)/VLOOKUP($A354,'Dados StatusInvest'!$A:$AY,2,0)*$E354</f>
        <v>-14.4593282</v>
      </c>
      <c r="J354" s="41">
        <f>VLOOKUP($A354,'Dados StatusInvest'!$A:$AY,column(J354)-$A$5,0)/VLOOKUP($A354,'Dados StatusInvest'!$A:$AY,2,0)*$E354</f>
        <v>1.063628584</v>
      </c>
      <c r="K354" s="42">
        <f>VLOOKUP($A354,'Dados StatusInvest'!$A:$AY,column(K354)-$A$5,0)/VLOOKUP($A354,'Dados StatusInvest'!$A:$AY,2,0)*$E354</f>
        <v>0.3913350449</v>
      </c>
      <c r="L354" s="43">
        <f>VLOOKUP($A354,'Dados StatusInvest'!$A:$AY,column(L354)-$A$5,0)/100</f>
        <v>-0.8059</v>
      </c>
      <c r="M354" s="47">
        <f>VLOOKUP($A354,'Dados StatusInvest'!$A:$AY,column(M354)-$A$5,0)</f>
        <v>-28.23</v>
      </c>
      <c r="N354" s="47">
        <f>VLOOKUP($A354,'Dados StatusInvest'!$A:$AY,column(N354)-$A$5,0)</f>
        <v>-40.3</v>
      </c>
      <c r="O354" s="41">
        <f>VLOOKUP($A354,'Dados StatusInvest'!$A:$AY,column(O354)-$A$5,0)/VLOOKUP($A354,'Dados StatusInvest'!$A:$AY,2,0)*$E354</f>
        <v>-20.64041506</v>
      </c>
      <c r="P354" s="41">
        <f>VLOOKUP($A354,'Dados StatusInvest'!$A:$AY,column(P354)-$A$5,0)-VLOOKUP($A354,'Dados StatusInvest'!$A:$AY,column(P354)-$A$5-1,0)+O354</f>
        <v>-29.26041506</v>
      </c>
      <c r="Q354" s="44">
        <f>VLOOKUP($A354,'Dados StatusInvest'!$A:$AY,column(Q354)-$A$5,0)</f>
        <v>9.06</v>
      </c>
      <c r="R354" s="44">
        <f>VLOOKUP($A354,'Dados StatusInvest'!$A:$AY,column(R354)-$A$5,0)</f>
        <v>-0.47</v>
      </c>
      <c r="S354" s="41">
        <f>VLOOKUP($A354,'Dados StatusInvest'!$A:$AY,column(S354)-$A$5,0)/VLOOKUP($A354,'Dados StatusInvest'!$A:$AY,2,0)*$E354</f>
        <v>5.829888746</v>
      </c>
      <c r="T354" s="42">
        <f>VLOOKUP($A354,'Dados StatusInvest'!$A:$AY,column(T354)-$A$5,0)/VLOOKUP($A354,'Dados StatusInvest'!$A:$AY,2,0)*$E354</f>
        <v>1.485066324</v>
      </c>
      <c r="U354" s="44">
        <f>VLOOKUP($A354,'Dados StatusInvest'!$A:$AY,column(U354)-$A$5,0)</f>
        <v>-0.57</v>
      </c>
      <c r="V354" s="45">
        <f>VLOOKUP($A354,'Dados StatusInvest'!$A:$AY,column(V354)-$A$5,0)</f>
        <v>5.84</v>
      </c>
      <c r="W354" s="45">
        <f>VLOOKUP($A354,'Dados StatusInvest'!$A:$AY,column(W354)-$A$5,0)</f>
        <v>-7.39</v>
      </c>
      <c r="X354" s="45">
        <f>VLOOKUP($A354,'Dados StatusInvest'!$A:$AY,column(X354)-$A$5,0)</f>
        <v>-2.71</v>
      </c>
      <c r="Y354" s="45">
        <f>VLOOKUP($A354,'Dados StatusInvest'!$A:$AY,column(Y354)-$A$5,0)</f>
        <v>-4.45</v>
      </c>
      <c r="Z354" s="44">
        <f>VLOOKUP($A354,'Dados StatusInvest'!$A:$AY,column(Z354)-$A$5,0)</f>
        <v>0.37</v>
      </c>
      <c r="AA354" s="44">
        <f>VLOOKUP($A354,'Dados StatusInvest'!$A:$AY,column(AA354)-$A$5,0)</f>
        <v>0.63</v>
      </c>
      <c r="AB354" s="44">
        <f>VLOOKUP($A354,'Dados StatusInvest'!$A:$AY,column(AB354)-$A$5,0)</f>
        <v>0.07</v>
      </c>
      <c r="AC354" s="44">
        <f>VLOOKUP($A354,'Dados StatusInvest'!$A:$AY,column(AC354)-$A$5,0)</f>
        <v>42.7</v>
      </c>
      <c r="AD354" s="45">
        <f>VLOOKUP($A354,'Dados StatusInvest'!$A:$AY,column(AD354)-$A$5,0)</f>
        <v>0</v>
      </c>
      <c r="AE354" s="46">
        <f>VLOOKUP($A354,'Dados StatusInvest'!$A:$AY,column(AE354)-$A$5,0)</f>
        <v>143302.92</v>
      </c>
      <c r="AF354" s="18"/>
    </row>
    <row r="355">
      <c r="A355" s="10" t="s">
        <v>401</v>
      </c>
      <c r="B355" s="39" t="str">
        <f>VLOOKUP(lEFT($A355,4),Setor!$A:$E,3,0)</f>
        <v>Consumo Cíclico</v>
      </c>
      <c r="C355" s="39" t="str">
        <f>VLOOKUP(lEFT($A355,4),Setor!$A:$E,4,0)</f>
        <v>Utilidades Domésticas</v>
      </c>
      <c r="D355" s="39" t="str">
        <f>VLOOKUP(lEFT($A355,4),Setor!$A:$E,5,0)</f>
        <v>Eletrodomésticos</v>
      </c>
      <c r="E355" s="17">
        <f>IFERROR(__xludf.DUMMYFUNCTION("GOOGLEFINANCE(A355)"),6.68)</f>
        <v>6.68</v>
      </c>
      <c r="F355" s="17">
        <f>IFERROR(__xludf.DUMMYFUNCTION("GOOGLEFINANCE($A355,""high52"")"),7.8)</f>
        <v>7.8</v>
      </c>
      <c r="G355" s="16">
        <f t="shared" si="1"/>
        <v>-0.1435897436</v>
      </c>
      <c r="H355" s="40">
        <f>VLOOKUP($A355,'Dados StatusInvest'!$A:$AY,column(H355)-$A$5,0)*VLOOKUP($A355,'Dados StatusInvest'!$A:$AY,2,0)/$E355/100</f>
        <v>0.06668353293</v>
      </c>
      <c r="I355" s="41">
        <f>VLOOKUP($A355,'Dados StatusInvest'!$A:$AY,column(I355)-$A$5,0)/VLOOKUP($A355,'Dados StatusInvest'!$A:$AY,2,0)*$E355</f>
        <v>10.19734513</v>
      </c>
      <c r="J355" s="41">
        <f>VLOOKUP($A355,'Dados StatusInvest'!$A:$AY,column(J355)-$A$5,0)/VLOOKUP($A355,'Dados StatusInvest'!$A:$AY,2,0)*$E355</f>
        <v>4.945958702</v>
      </c>
      <c r="K355" s="42">
        <f>VLOOKUP($A355,'Dados StatusInvest'!$A:$AY,column(K355)-$A$5,0)/VLOOKUP($A355,'Dados StatusInvest'!$A:$AY,2,0)*$E355</f>
        <v>1.251268437</v>
      </c>
      <c r="L355" s="43">
        <f>VLOOKUP($A355,'Dados StatusInvest'!$A:$AY,column(L355)-$A$5,0)/100</f>
        <v>0.1961</v>
      </c>
      <c r="M355" s="44">
        <f>VLOOKUP($A355,'Dados StatusInvest'!$A:$AY,column(M355)-$A$5,0)</f>
        <v>11.66</v>
      </c>
      <c r="N355" s="44">
        <f>VLOOKUP($A355,'Dados StatusInvest'!$A:$AY,column(N355)-$A$5,0)</f>
        <v>8.83</v>
      </c>
      <c r="O355" s="41">
        <f>VLOOKUP($A355,'Dados StatusInvest'!$A:$AY,column(O355)-$A$5,0)/VLOOKUP($A355,'Dados StatusInvest'!$A:$AY,2,0)*$E355</f>
        <v>7.724365782</v>
      </c>
      <c r="P355" s="41">
        <f>VLOOKUP($A355,'Dados StatusInvest'!$A:$AY,column(P355)-$A$5,0)-VLOOKUP($A355,'Dados StatusInvest'!$A:$AY,column(P355)-$A$5-1,0)+O355</f>
        <v>7.304365782</v>
      </c>
      <c r="Q355" s="44">
        <f>VLOOKUP($A355,'Dados StatusInvest'!$A:$AY,column(Q355)-$A$5,0)</f>
        <v>-1.06</v>
      </c>
      <c r="R355" s="44">
        <f>VLOOKUP($A355,'Dados StatusInvest'!$A:$AY,column(R355)-$A$5,0)</f>
        <v>-0.68</v>
      </c>
      <c r="S355" s="41">
        <f>VLOOKUP($A355,'Dados StatusInvest'!$A:$AY,column(S355)-$A$5,0)/VLOOKUP($A355,'Dados StatusInvest'!$A:$AY,2,0)*$E355</f>
        <v>0.8965781711</v>
      </c>
      <c r="T355" s="42">
        <f>VLOOKUP($A355,'Dados StatusInvest'!$A:$AY,column(T355)-$A$5,0)/VLOOKUP($A355,'Dados StatusInvest'!$A:$AY,2,0)*$E355</f>
        <v>13.38955752</v>
      </c>
      <c r="U355" s="44">
        <f>VLOOKUP($A355,'Dados StatusInvest'!$A:$AY,column(U355)-$A$5,0)</f>
        <v>-5.74</v>
      </c>
      <c r="V355" s="45">
        <f>VLOOKUP($A355,'Dados StatusInvest'!$A:$AY,column(V355)-$A$5,0)</f>
        <v>1.14</v>
      </c>
      <c r="W355" s="45">
        <f>VLOOKUP($A355,'Dados StatusInvest'!$A:$AY,column(W355)-$A$5,0)</f>
        <v>48.54</v>
      </c>
      <c r="X355" s="45">
        <f>VLOOKUP($A355,'Dados StatusInvest'!$A:$AY,column(X355)-$A$5,0)</f>
        <v>12.25</v>
      </c>
      <c r="Y355" s="45">
        <f>VLOOKUP($A355,'Dados StatusInvest'!$A:$AY,column(Y355)-$A$5,0)</f>
        <v>33.12</v>
      </c>
      <c r="Z355" s="44">
        <f>VLOOKUP($A355,'Dados StatusInvest'!$A:$AY,column(Z355)-$A$5,0)</f>
        <v>0.25</v>
      </c>
      <c r="AA355" s="44">
        <f>VLOOKUP($A355,'Dados StatusInvest'!$A:$AY,column(AA355)-$A$5,0)</f>
        <v>0.75</v>
      </c>
      <c r="AB355" s="44">
        <f>VLOOKUP($A355,'Dados StatusInvest'!$A:$AY,column(AB355)-$A$5,0)</f>
        <v>1.39</v>
      </c>
      <c r="AC355" s="44">
        <f>VLOOKUP($A355,'Dados StatusInvest'!$A:$AY,column(AC355)-$A$5,0)</f>
        <v>-0.28</v>
      </c>
      <c r="AD355" s="45">
        <f>VLOOKUP($A355,'Dados StatusInvest'!$A:$AY,column(AD355)-$A$5,0)</f>
        <v>27.6</v>
      </c>
      <c r="AE355" s="46">
        <f>VLOOKUP($A355,'Dados StatusInvest'!$A:$AY,column(AE355)-$A$5,0)</f>
        <v>138570.29</v>
      </c>
      <c r="AF355" s="18"/>
    </row>
    <row r="356">
      <c r="A356" s="10" t="s">
        <v>402</v>
      </c>
      <c r="B356" s="52" t="str">
        <f>VLOOKUP(LEFT($A356,4),Setor!$A:$E,3,0)</f>
        <v>Utilidade Pública</v>
      </c>
      <c r="C356" s="52" t="str">
        <f>VLOOKUP(LEFT($A356,4),Setor!$A:$E,4,0)</f>
        <v>Energia Elétrica</v>
      </c>
      <c r="D356" s="52" t="str">
        <f>VLOOKUP(LEFT($A356,4),Setor!$A:$E,5,0)</f>
        <v>Energia Elétrica</v>
      </c>
      <c r="E356" s="53">
        <f>IFERROR(__xludf.DUMMYFUNCTION("GOOGLEFINANCE(A356)"),7.96)</f>
        <v>7.96</v>
      </c>
      <c r="F356" s="53">
        <f>IFERROR(__xludf.DUMMYFUNCTION("GOOGLEFINANCE($A356,""high52"")"),10.02)</f>
        <v>10.02</v>
      </c>
      <c r="G356" s="54">
        <f t="shared" si="1"/>
        <v>-0.2055888224</v>
      </c>
      <c r="H356" s="55">
        <f>VLOOKUP($A356,'Dados StatusInvest'!$A:$AY,COLUMN(H356)-$A$5,0)*VLOOKUP($A356,'Dados StatusInvest'!$A:$AY,2,0)/$E356/100</f>
        <v>0.03514409548</v>
      </c>
      <c r="I356" s="56">
        <f>VLOOKUP($A356,'Dados StatusInvest'!$A:$AY,COLUMN(I356)-$A$5,0)/VLOOKUP($A356,'Dados StatusInvest'!$A:$AY,2,0)*$E356</f>
        <v>5.203462986</v>
      </c>
      <c r="J356" s="56">
        <f>VLOOKUP($A356,'Dados StatusInvest'!$A:$AY,COLUMN(J356)-$A$5,0)/VLOOKUP($A356,'Dados StatusInvest'!$A:$AY,2,0)*$E356</f>
        <v>1.098619824</v>
      </c>
      <c r="K356" s="57">
        <f>VLOOKUP($A356,'Dados StatusInvest'!$A:$AY,COLUMN(K356)-$A$5,0)/VLOOKUP($A356,'Dados StatusInvest'!$A:$AY,2,0)*$E356</f>
        <v>0.2896361355</v>
      </c>
      <c r="L356" s="58">
        <f>VLOOKUP($A356,'Dados StatusInvest'!$A:$AY,COLUMN(L356)-$A$5,0)/100</f>
        <v>0.678</v>
      </c>
      <c r="M356" s="59">
        <f>VLOOKUP($A356,'Dados StatusInvest'!$A:$AY,COLUMN(M356)-$A$5,0)</f>
        <v>66.47</v>
      </c>
      <c r="N356" s="59">
        <f>VLOOKUP($A356,'Dados StatusInvest'!$A:$AY,COLUMN(N356)-$A$5,0)</f>
        <v>19.7</v>
      </c>
      <c r="O356" s="56">
        <f>VLOOKUP($A356,'Dados StatusInvest'!$A:$AY,COLUMN(O356)-$A$5,0)/VLOOKUP($A356,'Dados StatusInvest'!$A:$AY,2,0)*$E356</f>
        <v>1.538067754</v>
      </c>
      <c r="P356" s="56">
        <f>VLOOKUP($A356,'Dados StatusInvest'!$A:$AY,COLUMN(P356)-$A$5,0)-VLOOKUP($A356,'Dados StatusInvest'!$A:$AY,COLUMN(P356)-$A$5-1,0)+O356</f>
        <v>3.208067754</v>
      </c>
      <c r="Q356" s="59">
        <f>VLOOKUP($A356,'Dados StatusInvest'!$A:$AY,COLUMN(Q356)-$A$5,0)</f>
        <v>1.68</v>
      </c>
      <c r="R356" s="59">
        <f>VLOOKUP($A356,'Dados StatusInvest'!$A:$AY,COLUMN(R356)-$A$5,0)</f>
        <v>1.2</v>
      </c>
      <c r="S356" s="56">
        <f>VLOOKUP($A356,'Dados StatusInvest'!$A:$AY,COLUMN(S356)-$A$5,0)/VLOOKUP($A356,'Dados StatusInvest'!$A:$AY,2,0)*$E356</f>
        <v>1.028707654</v>
      </c>
      <c r="T356" s="57">
        <f>VLOOKUP($A356,'Dados StatusInvest'!$A:$AY,COLUMN(T356)-$A$5,0)/VLOOKUP($A356,'Dados StatusInvest'!$A:$AY,2,0)*$E356</f>
        <v>4.144792974</v>
      </c>
      <c r="U356" s="59">
        <f>VLOOKUP($A356,'Dados StatusInvest'!$A:$AY,COLUMN(U356)-$A$5,0)</f>
        <v>-0.35</v>
      </c>
      <c r="V356" s="60">
        <f>VLOOKUP($A356,'Dados StatusInvest'!$A:$AY,COLUMN(V356)-$A$5,0)</f>
        <v>1.76</v>
      </c>
      <c r="W356" s="60">
        <f>VLOOKUP($A356,'Dados StatusInvest'!$A:$AY,COLUMN(W356)-$A$5,0)</f>
        <v>21.13</v>
      </c>
      <c r="X356" s="60">
        <f>VLOOKUP($A356,'Dados StatusInvest'!$A:$AY,COLUMN(X356)-$A$5,0)</f>
        <v>5.59</v>
      </c>
      <c r="Y356" s="60">
        <f>VLOOKUP($A356,'Dados StatusInvest'!$A:$AY,COLUMN(Y356)-$A$5,0)</f>
        <v>18.28</v>
      </c>
      <c r="Z356" s="59">
        <f>VLOOKUP($A356,'Dados StatusInvest'!$A:$AY,COLUMN(Z356)-$A$5,0)</f>
        <v>0.26</v>
      </c>
      <c r="AA356" s="59">
        <f>VLOOKUP($A356,'Dados StatusInvest'!$A:$AY,COLUMN(AA356)-$A$5,0)</f>
        <v>0.59</v>
      </c>
      <c r="AB356" s="59">
        <f>VLOOKUP($A356,'Dados StatusInvest'!$A:$AY,COLUMN(AB356)-$A$5,0)</f>
        <v>0.28</v>
      </c>
      <c r="AC356" s="59">
        <f>VLOOKUP($A356,'Dados StatusInvest'!$A:$AY,COLUMN(AC356)-$A$5,0)</f>
        <v>32.68</v>
      </c>
      <c r="AD356" s="60">
        <f>VLOOKUP($A356,'Dados StatusInvest'!$A:$AY,COLUMN(AD356)-$A$5,0)</f>
        <v>45.13</v>
      </c>
      <c r="AE356" s="62">
        <f>VLOOKUP($A356,'Dados StatusInvest'!$A:$AY,COLUMN(AE356)-$A$5,0)</f>
        <v>106300.5</v>
      </c>
      <c r="AF356" s="18"/>
    </row>
    <row r="357">
      <c r="A357" s="10" t="s">
        <v>403</v>
      </c>
      <c r="B357" s="39" t="str">
        <f>VLOOKUP(lEFT($A357,4),Setor!$A:$E,3,0)</f>
        <v>Materiais Básicos</v>
      </c>
      <c r="C357" s="39" t="str">
        <f>VLOOKUP(lEFT($A357,4),Setor!$A:$E,4,0)</f>
        <v>Madeira e Papel</v>
      </c>
      <c r="D357" s="39" t="str">
        <f>VLOOKUP(lEFT($A357,4),Setor!$A:$E,5,0)</f>
        <v>Papel e Celulose</v>
      </c>
      <c r="E357" s="17">
        <f>IFERROR(__xludf.DUMMYFUNCTION("GOOGLEFINANCE(A357)"),48.31)</f>
        <v>48.31</v>
      </c>
      <c r="F357" s="17">
        <f>IFERROR(__xludf.DUMMYFUNCTION("GOOGLEFINANCE($A357,""high52"")"),135.0)</f>
        <v>135</v>
      </c>
      <c r="G357" s="16">
        <f t="shared" si="1"/>
        <v>-0.6421481481</v>
      </c>
      <c r="H357" s="40">
        <f>VLOOKUP($A357,'Dados StatusInvest'!$A:$AY,column(H357)-$A$5,0)*VLOOKUP($A357,'Dados StatusInvest'!$A:$AY,2,0)/$E357/100</f>
        <v>0</v>
      </c>
      <c r="I357" s="41">
        <f>VLOOKUP($A357,'Dados StatusInvest'!$A:$AY,column(I357)-$A$5,0)/VLOOKUP($A357,'Dados StatusInvest'!$A:$AY,2,0)*$E357</f>
        <v>-8.21</v>
      </c>
      <c r="J357" s="41">
        <f>VLOOKUP($A357,'Dados StatusInvest'!$A:$AY,column(J357)-$A$5,0)/VLOOKUP($A357,'Dados StatusInvest'!$A:$AY,2,0)*$E357</f>
        <v>0.38</v>
      </c>
      <c r="K357" s="42">
        <f>VLOOKUP($A357,'Dados StatusInvest'!$A:$AY,column(K357)-$A$5,0)/VLOOKUP($A357,'Dados StatusInvest'!$A:$AY,2,0)*$E357</f>
        <v>0.22</v>
      </c>
      <c r="L357" s="43">
        <f>VLOOKUP($A357,'Dados StatusInvest'!$A:$AY,column(L357)-$A$5,0)/100</f>
        <v>0.2691</v>
      </c>
      <c r="M357" s="44">
        <f>VLOOKUP($A357,'Dados StatusInvest'!$A:$AY,column(M357)-$A$5,0)</f>
        <v>-39.25</v>
      </c>
      <c r="N357" s="44">
        <f>VLOOKUP($A357,'Dados StatusInvest'!$A:$AY,column(N357)-$A$5,0)</f>
        <v>-30.29</v>
      </c>
      <c r="O357" s="41">
        <f>VLOOKUP($A357,'Dados StatusInvest'!$A:$AY,column(O357)-$A$5,0)/VLOOKUP($A357,'Dados StatusInvest'!$A:$AY,2,0)*$E357</f>
        <v>-6.34</v>
      </c>
      <c r="P357" s="41">
        <f>VLOOKUP($A357,'Dados StatusInvest'!$A:$AY,column(P357)-$A$5,0)-VLOOKUP($A357,'Dados StatusInvest'!$A:$AY,column(P357)-$A$5-1,0)+O357</f>
        <v>-7.31</v>
      </c>
      <c r="Q357" s="44">
        <f>VLOOKUP($A357,'Dados StatusInvest'!$A:$AY,column(Q357)-$A$5,0)</f>
        <v>-1.03</v>
      </c>
      <c r="R357" s="44">
        <f>VLOOKUP($A357,'Dados StatusInvest'!$A:$AY,column(R357)-$A$5,0)</f>
        <v>0.06</v>
      </c>
      <c r="S357" s="41">
        <f>VLOOKUP($A357,'Dados StatusInvest'!$A:$AY,column(S357)-$A$5,0)/VLOOKUP($A357,'Dados StatusInvest'!$A:$AY,2,0)*$E357</f>
        <v>2.49</v>
      </c>
      <c r="T357" s="42">
        <f>VLOOKUP($A357,'Dados StatusInvest'!$A:$AY,column(T357)-$A$5,0)/VLOOKUP($A357,'Dados StatusInvest'!$A:$AY,2,0)*$E357</f>
        <v>14.06</v>
      </c>
      <c r="U357" s="44">
        <f>VLOOKUP($A357,'Dados StatusInvest'!$A:$AY,column(U357)-$A$5,0)</f>
        <v>-0.24</v>
      </c>
      <c r="V357" s="45">
        <f>VLOOKUP($A357,'Dados StatusInvest'!$A:$AY,column(V357)-$A$5,0)</f>
        <v>1.38</v>
      </c>
      <c r="W357" s="45">
        <f>VLOOKUP($A357,'Dados StatusInvest'!$A:$AY,column(W357)-$A$5,0)</f>
        <v>-4.63</v>
      </c>
      <c r="X357" s="45">
        <f>VLOOKUP($A357,'Dados StatusInvest'!$A:$AY,column(X357)-$A$5,0)</f>
        <v>-2.72</v>
      </c>
      <c r="Y357" s="45">
        <f>VLOOKUP($A357,'Dados StatusInvest'!$A:$AY,column(Y357)-$A$5,0)</f>
        <v>-7.07</v>
      </c>
      <c r="Z357" s="44">
        <f>VLOOKUP($A357,'Dados StatusInvest'!$A:$AY,column(Z357)-$A$5,0)</f>
        <v>0.59</v>
      </c>
      <c r="AA357" s="44">
        <f>VLOOKUP($A357,'Dados StatusInvest'!$A:$AY,column(AA357)-$A$5,0)</f>
        <v>0.41</v>
      </c>
      <c r="AB357" s="44">
        <f>VLOOKUP($A357,'Dados StatusInvest'!$A:$AY,column(AB357)-$A$5,0)</f>
        <v>0.09</v>
      </c>
      <c r="AC357" s="44">
        <f>VLOOKUP($A357,'Dados StatusInvest'!$A:$AY,column(AC357)-$A$5,0)</f>
        <v>-2.17</v>
      </c>
      <c r="AD357" s="45">
        <f>VLOOKUP($A357,'Dados StatusInvest'!$A:$AY,column(AD357)-$A$5,0)</f>
        <v>0</v>
      </c>
      <c r="AE357" s="46">
        <f>VLOOKUP($A357,'Dados StatusInvest'!$A:$AY,column(AE357)-$A$5,0)</f>
        <v>96997</v>
      </c>
      <c r="AF357" s="18"/>
    </row>
    <row r="358">
      <c r="A358" s="10" t="s">
        <v>404</v>
      </c>
      <c r="B358" s="52" t="str">
        <f>VLOOKUP(LEFT($A358,4),Setor!$A:$E,3,0)</f>
        <v>Financeiro</v>
      </c>
      <c r="C358" s="52" t="str">
        <f>VLOOKUP(LEFT($A358,4),Setor!$A:$E,4,0)</f>
        <v>Intermediários Financeiros</v>
      </c>
      <c r="D358" s="52" t="str">
        <f>VLOOKUP(LEFT($A358,4),Setor!$A:$E,5,0)</f>
        <v>Bancos</v>
      </c>
      <c r="E358" s="53">
        <f>IFERROR(__xludf.DUMMYFUNCTION("GOOGLEFINANCE(A358)"),12.8)</f>
        <v>12.8</v>
      </c>
      <c r="F358" s="53">
        <f>IFERROR(__xludf.DUMMYFUNCTION("GOOGLEFINANCE($A358,""high52"")"),16.5)</f>
        <v>16.5</v>
      </c>
      <c r="G358" s="54">
        <f t="shared" si="1"/>
        <v>-0.2242424242</v>
      </c>
      <c r="H358" s="55">
        <f>VLOOKUP($A358,'Dados StatusInvest'!$A:$AY,COLUMN(H358)-$A$5,0)*VLOOKUP($A358,'Dados StatusInvest'!$A:$AY,2,0)/$E358/100</f>
        <v>0.07909523438</v>
      </c>
      <c r="I358" s="56">
        <f>VLOOKUP($A358,'Dados StatusInvest'!$A:$AY,COLUMN(I358)-$A$5,0)/VLOOKUP($A358,'Dados StatusInvest'!$A:$AY,2,0)*$E358</f>
        <v>5.850580046</v>
      </c>
      <c r="J358" s="56">
        <f>VLOOKUP($A358,'Dados StatusInvest'!$A:$AY,COLUMN(J358)-$A$5,0)/VLOOKUP($A358,'Dados StatusInvest'!$A:$AY,2,0)*$E358</f>
        <v>0.603866976</v>
      </c>
      <c r="K358" s="57">
        <f>VLOOKUP($A358,'Dados StatusInvest'!$A:$AY,COLUMN(K358)-$A$5,0)/VLOOKUP($A358,'Dados StatusInvest'!$A:$AY,2,0)*$E358</f>
        <v>0.04949729312</v>
      </c>
      <c r="L358" s="58">
        <f>VLOOKUP($A358,'Dados StatusInvest'!$A:$AY,COLUMN(L358)-$A$5,0)/100</f>
        <v>0.8568</v>
      </c>
      <c r="M358" s="59">
        <f>VLOOKUP($A358,'Dados StatusInvest'!$A:$AY,COLUMN(M358)-$A$5,0)</f>
        <v>17.04</v>
      </c>
      <c r="N358" s="59">
        <f>VLOOKUP($A358,'Dados StatusInvest'!$A:$AY,COLUMN(N358)-$A$5,0)</f>
        <v>13.76</v>
      </c>
      <c r="O358" s="56">
        <f>VLOOKUP($A358,'Dados StatusInvest'!$A:$AY,COLUMN(O358)-$A$5,0)/VLOOKUP($A358,'Dados StatusInvest'!$A:$AY,2,0)*$E358</f>
        <v>4.722041763</v>
      </c>
      <c r="P358" s="56">
        <f>VLOOKUP($A358,'Dados StatusInvest'!$A:$AY,COLUMN(P358)-$A$5,0)-VLOOKUP($A358,'Dados StatusInvest'!$A:$AY,COLUMN(P358)-$A$5-1,0)+O358</f>
        <v>4.572041763</v>
      </c>
      <c r="Q358" s="59">
        <f>VLOOKUP($A358,'Dados StatusInvest'!$A:$AY,COLUMN(Q358)-$A$5,0)</f>
        <v>0</v>
      </c>
      <c r="R358" s="59">
        <f>VLOOKUP($A358,'Dados StatusInvest'!$A:$AY,COLUMN(R358)-$A$5,0)</f>
        <v>0</v>
      </c>
      <c r="S358" s="56">
        <f>VLOOKUP($A358,'Dados StatusInvest'!$A:$AY,COLUMN(S358)-$A$5,0)/VLOOKUP($A358,'Dados StatusInvest'!$A:$AY,2,0)*$E358</f>
        <v>0.8018561485</v>
      </c>
      <c r="T358" s="57">
        <f>VLOOKUP($A358,'Dados StatusInvest'!$A:$AY,COLUMN(T358)-$A$5,0)/VLOOKUP($A358,'Dados StatusInvest'!$A:$AY,2,0)*$E358</f>
        <v>1.069141531</v>
      </c>
      <c r="U358" s="63">
        <f>VLOOKUP($A358,'Dados StatusInvest'!$A:$AY,COLUMN(U358)-$A$5,0)</f>
        <v>-0.06</v>
      </c>
      <c r="V358" s="60">
        <f>VLOOKUP($A358,'Dados StatusInvest'!$A:$AY,COLUMN(V358)-$A$5,0)</f>
        <v>2.07</v>
      </c>
      <c r="W358" s="60">
        <f>VLOOKUP($A358,'Dados StatusInvest'!$A:$AY,COLUMN(W358)-$A$5,0)</f>
        <v>10.34</v>
      </c>
      <c r="X358" s="60">
        <f>VLOOKUP($A358,'Dados StatusInvest'!$A:$AY,COLUMN(X358)-$A$5,0)</f>
        <v>0.91</v>
      </c>
      <c r="Y358" s="60">
        <f>VLOOKUP($A358,'Dados StatusInvest'!$A:$AY,COLUMN(Y358)-$A$5,0)</f>
        <v>0</v>
      </c>
      <c r="Z358" s="59">
        <f>VLOOKUP($A358,'Dados StatusInvest'!$A:$AY,COLUMN(Z358)-$A$5,0)</f>
        <v>0.09</v>
      </c>
      <c r="AA358" s="59">
        <f>VLOOKUP($A358,'Dados StatusInvest'!$A:$AY,COLUMN(AA358)-$A$5,0)</f>
        <v>0.91</v>
      </c>
      <c r="AB358" s="59">
        <f>VLOOKUP($A358,'Dados StatusInvest'!$A:$AY,COLUMN(AB358)-$A$5,0)</f>
        <v>0.07</v>
      </c>
      <c r="AC358" s="59">
        <f>VLOOKUP($A358,'Dados StatusInvest'!$A:$AY,COLUMN(AC358)-$A$5,0)</f>
        <v>-5.25</v>
      </c>
      <c r="AD358" s="60">
        <f>VLOOKUP($A358,'Dados StatusInvest'!$A:$AY,COLUMN(AD358)-$A$5,0)</f>
        <v>0.33</v>
      </c>
      <c r="AE358" s="62">
        <f>VLOOKUP($A358,'Dados StatusInvest'!$A:$AY,COLUMN(AE358)-$A$5,0)</f>
        <v>91833.96</v>
      </c>
      <c r="AF358" s="18"/>
    </row>
    <row r="359">
      <c r="A359" s="10" t="s">
        <v>405</v>
      </c>
      <c r="B359" s="39" t="str">
        <f>VLOOKUP(lEFT($A359,4),Setor!$A:$E,3,0)</f>
        <v>Consumo Cíclico</v>
      </c>
      <c r="C359" s="39" t="str">
        <f>VLOOKUP(lEFT($A359,4),Setor!$A:$E,4,0)</f>
        <v>Comércio</v>
      </c>
      <c r="D359" s="39" t="str">
        <f>VLOOKUP(lEFT($A359,4),Setor!$A:$E,5,0)</f>
        <v>Tecidos, Vestuário e Calçados</v>
      </c>
      <c r="E359" s="17">
        <f>IFERROR(__xludf.DUMMYFUNCTION("GOOGLEFINANCE(A359)"),45.45)</f>
        <v>45.45</v>
      </c>
      <c r="F359" s="17">
        <f>IFERROR(__xludf.DUMMYFUNCTION("GOOGLEFINANCE($A359,""high52"")"),46.0)</f>
        <v>46</v>
      </c>
      <c r="G359" s="16">
        <f t="shared" si="1"/>
        <v>-0.01195652174</v>
      </c>
      <c r="H359" s="40">
        <f>VLOOKUP($A359,'Dados StatusInvest'!$A:$AY,column(H359)-$A$5,0)*VLOOKUP($A359,'Dados StatusInvest'!$A:$AY,2,0)/$E359/100</f>
        <v>0.04177392739</v>
      </c>
      <c r="I359" s="41">
        <f>VLOOKUP($A359,'Dados StatusInvest'!$A:$AY,column(I359)-$A$5,0)/VLOOKUP($A359,'Dados StatusInvest'!$A:$AY,2,0)*$E359</f>
        <v>13.95786885</v>
      </c>
      <c r="J359" s="41">
        <f>VLOOKUP($A359,'Dados StatusInvest'!$A:$AY,column(J359)-$A$5,0)/VLOOKUP($A359,'Dados StatusInvest'!$A:$AY,2,0)*$E359</f>
        <v>1.281540984</v>
      </c>
      <c r="K359" s="42">
        <f>VLOOKUP($A359,'Dados StatusInvest'!$A:$AY,column(K359)-$A$5,0)/VLOOKUP($A359,'Dados StatusInvest'!$A:$AY,2,0)*$E359</f>
        <v>0.9338360656</v>
      </c>
      <c r="L359" s="43">
        <f>VLOOKUP($A359,'Dados StatusInvest'!$A:$AY,column(L359)-$A$5,0)/100</f>
        <v>0.5329</v>
      </c>
      <c r="M359" s="44">
        <f>VLOOKUP($A359,'Dados StatusInvest'!$A:$AY,column(M359)-$A$5,0)</f>
        <v>25.34</v>
      </c>
      <c r="N359" s="44">
        <f>VLOOKUP($A359,'Dados StatusInvest'!$A:$AY,column(N359)-$A$5,0)</f>
        <v>11.84</v>
      </c>
      <c r="O359" s="41">
        <f>VLOOKUP($A359,'Dados StatusInvest'!$A:$AY,column(O359)-$A$5,0)/VLOOKUP($A359,'Dados StatusInvest'!$A:$AY,2,0)*$E359</f>
        <v>6.516983607</v>
      </c>
      <c r="P359" s="41">
        <f>VLOOKUP($A359,'Dados StatusInvest'!$A:$AY,column(P359)-$A$5,0)-VLOOKUP($A359,'Dados StatusInvest'!$A:$AY,column(P359)-$A$5-1,0)+O359</f>
        <v>5.616983607</v>
      </c>
      <c r="Q359" s="44">
        <f>VLOOKUP($A359,'Dados StatusInvest'!$A:$AY,column(Q359)-$A$5,0)</f>
        <v>-0.84</v>
      </c>
      <c r="R359" s="44">
        <f>VLOOKUP($A359,'Dados StatusInvest'!$A:$AY,column(R359)-$A$5,0)</f>
        <v>-0.16</v>
      </c>
      <c r="S359" s="41">
        <f>VLOOKUP($A359,'Dados StatusInvest'!$A:$AY,column(S359)-$A$5,0)/VLOOKUP($A359,'Dados StatusInvest'!$A:$AY,2,0)*$E359</f>
        <v>1.649114754</v>
      </c>
      <c r="T359" s="42">
        <f>VLOOKUP($A359,'Dados StatusInvest'!$A:$AY,column(T359)-$A$5,0)/VLOOKUP($A359,'Dados StatusInvest'!$A:$AY,2,0)*$E359</f>
        <v>3.069737705</v>
      </c>
      <c r="U359" s="44">
        <f>VLOOKUP($A359,'Dados StatusInvest'!$A:$AY,column(U359)-$A$5,0)</f>
        <v>-1.84</v>
      </c>
      <c r="V359" s="45">
        <f>VLOOKUP($A359,'Dados StatusInvest'!$A:$AY,column(V359)-$A$5,0)</f>
        <v>2.64</v>
      </c>
      <c r="W359" s="45">
        <f>VLOOKUP($A359,'Dados StatusInvest'!$A:$AY,column(W359)-$A$5,0)</f>
        <v>9.18</v>
      </c>
      <c r="X359" s="45">
        <f>VLOOKUP($A359,'Dados StatusInvest'!$A:$AY,column(X359)-$A$5,0)</f>
        <v>6.69</v>
      </c>
      <c r="Y359" s="45">
        <f>VLOOKUP($A359,'Dados StatusInvest'!$A:$AY,column(Y359)-$A$5,0)</f>
        <v>15.95</v>
      </c>
      <c r="Z359" s="44">
        <f>VLOOKUP($A359,'Dados StatusInvest'!$A:$AY,column(Z359)-$A$5,0)</f>
        <v>0.73</v>
      </c>
      <c r="AA359" s="44">
        <f>VLOOKUP($A359,'Dados StatusInvest'!$A:$AY,column(AA359)-$A$5,0)</f>
        <v>0.27</v>
      </c>
      <c r="AB359" s="44">
        <f>VLOOKUP($A359,'Dados StatusInvest'!$A:$AY,column(AB359)-$A$5,0)</f>
        <v>0.57</v>
      </c>
      <c r="AC359" s="44">
        <f>VLOOKUP($A359,'Dados StatusInvest'!$A:$AY,column(AC359)-$A$5,0)</f>
        <v>3.76</v>
      </c>
      <c r="AD359" s="45">
        <f>VLOOKUP($A359,'Dados StatusInvest'!$A:$AY,column(AD359)-$A$5,0)</f>
        <v>6.48</v>
      </c>
      <c r="AE359" s="46">
        <f>VLOOKUP($A359,'Dados StatusInvest'!$A:$AY,column(AE359)-$A$5,0)</f>
        <v>58207.46</v>
      </c>
      <c r="AF359" s="49"/>
    </row>
    <row r="360">
      <c r="A360" s="10" t="s">
        <v>406</v>
      </c>
      <c r="B360" s="39" t="str">
        <f>VLOOKUP(lEFT($A360,4),Setor!$A:$E,3,0)</f>
        <v>Utilidade Pública</v>
      </c>
      <c r="C360" s="39" t="str">
        <f>VLOOKUP(lEFT($A360,4),Setor!$A:$E,4,0)</f>
        <v>Energia Elétrica</v>
      </c>
      <c r="D360" s="39" t="str">
        <f>VLOOKUP(lEFT($A360,4),Setor!$A:$E,5,0)</f>
        <v>Energia Elétrica</v>
      </c>
      <c r="E360" s="17">
        <f>IFERROR(__xludf.DUMMYFUNCTION("GOOGLEFINANCE(A360)"),128.0)</f>
        <v>128</v>
      </c>
      <c r="F360" s="17">
        <f>IFERROR(__xludf.DUMMYFUNCTION("GOOGLEFINANCE($A360,""high52"")"),133.14)</f>
        <v>133.14</v>
      </c>
      <c r="G360" s="16">
        <f t="shared" si="1"/>
        <v>-0.03860597867</v>
      </c>
      <c r="H360" s="40">
        <f>VLOOKUP($A360,'Dados StatusInvest'!$A:$AY,column(H360)-$A$5,0)*VLOOKUP($A360,'Dados StatusInvest'!$A:$AY,2,0)/$E360/100</f>
        <v>0.02319267188</v>
      </c>
      <c r="I360" s="41">
        <f>VLOOKUP($A360,'Dados StatusInvest'!$A:$AY,column(I360)-$A$5,0)/VLOOKUP($A360,'Dados StatusInvest'!$A:$AY,2,0)*$E360</f>
        <v>21.74548938</v>
      </c>
      <c r="J360" s="41">
        <f>VLOOKUP($A360,'Dados StatusInvest'!$A:$AY,column(J360)-$A$5,0)/VLOOKUP($A360,'Dados StatusInvest'!$A:$AY,2,0)*$E360</f>
        <v>5.313747405</v>
      </c>
      <c r="K360" s="42">
        <f>VLOOKUP($A360,'Dados StatusInvest'!$A:$AY,column(K360)-$A$5,0)/VLOOKUP($A360,'Dados StatusInvest'!$A:$AY,2,0)*$E360</f>
        <v>0.8277183458</v>
      </c>
      <c r="L360" s="43">
        <f>VLOOKUP($A360,'Dados StatusInvest'!$A:$AY,column(L360)-$A$5,0)/100</f>
        <v>0.1746</v>
      </c>
      <c r="M360" s="44">
        <f>VLOOKUP($A360,'Dados StatusInvest'!$A:$AY,column(M360)-$A$5,0)</f>
        <v>10.98</v>
      </c>
      <c r="N360" s="44">
        <f>VLOOKUP($A360,'Dados StatusInvest'!$A:$AY,column(N360)-$A$5,0)</f>
        <v>5.63</v>
      </c>
      <c r="O360" s="41">
        <f>VLOOKUP($A360,'Dados StatusInvest'!$A:$AY,column(O360)-$A$5,0)/VLOOKUP($A360,'Dados StatusInvest'!$A:$AY,2,0)*$E360</f>
        <v>11.14865081</v>
      </c>
      <c r="P360" s="41">
        <f>VLOOKUP($A360,'Dados StatusInvest'!$A:$AY,column(P360)-$A$5,0)-VLOOKUP($A360,'Dados StatusInvest'!$A:$AY,column(P360)-$A$5-1,0)+O360</f>
        <v>16.05865081</v>
      </c>
      <c r="Q360" s="44">
        <f>VLOOKUP($A360,'Dados StatusInvest'!$A:$AY,column(Q360)-$A$5,0)</f>
        <v>5.84</v>
      </c>
      <c r="R360" s="44">
        <f>VLOOKUP($A360,'Dados StatusInvest'!$A:$AY,column(R360)-$A$5,0)</f>
        <v>2.78</v>
      </c>
      <c r="S360" s="41">
        <f>VLOOKUP($A360,'Dados StatusInvest'!$A:$AY,column(S360)-$A$5,0)/VLOOKUP($A360,'Dados StatusInvest'!$A:$AY,2,0)*$E360</f>
        <v>1.226249401</v>
      </c>
      <c r="T360" s="42">
        <f>VLOOKUP($A360,'Dados StatusInvest'!$A:$AY,column(T360)-$A$5,0)/VLOOKUP($A360,'Dados StatusInvest'!$A:$AY,2,0)*$E360</f>
        <v>19.09883442</v>
      </c>
      <c r="U360" s="44">
        <f>VLOOKUP($A360,'Dados StatusInvest'!$A:$AY,column(U360)-$A$5,0)</f>
        <v>-1.08</v>
      </c>
      <c r="V360" s="45">
        <f>VLOOKUP($A360,'Dados StatusInvest'!$A:$AY,column(V360)-$A$5,0)</f>
        <v>1.21</v>
      </c>
      <c r="W360" s="45">
        <f>VLOOKUP($A360,'Dados StatusInvest'!$A:$AY,column(W360)-$A$5,0)</f>
        <v>24.44</v>
      </c>
      <c r="X360" s="45">
        <f>VLOOKUP($A360,'Dados StatusInvest'!$A:$AY,column(X360)-$A$5,0)</f>
        <v>3.81</v>
      </c>
      <c r="Y360" s="45">
        <f>VLOOKUP($A360,'Dados StatusInvest'!$A:$AY,column(Y360)-$A$5,0)</f>
        <v>10.08</v>
      </c>
      <c r="Z360" s="44">
        <f>VLOOKUP($A360,'Dados StatusInvest'!$A:$AY,column(Z360)-$A$5,0)</f>
        <v>0.16</v>
      </c>
      <c r="AA360" s="44">
        <f>VLOOKUP($A360,'Dados StatusInvest'!$A:$AY,column(AA360)-$A$5,0)</f>
        <v>0.84</v>
      </c>
      <c r="AB360" s="44">
        <f>VLOOKUP($A360,'Dados StatusInvest'!$A:$AY,column(AB360)-$A$5,0)</f>
        <v>0.68</v>
      </c>
      <c r="AC360" s="44">
        <f>VLOOKUP($A360,'Dados StatusInvest'!$A:$AY,column(AC360)-$A$5,0)</f>
        <v>8.76</v>
      </c>
      <c r="AD360" s="45">
        <f>VLOOKUP($A360,'Dados StatusInvest'!$A:$AY,column(AD360)-$A$5,0)</f>
        <v>87.22</v>
      </c>
      <c r="AE360" s="46">
        <f>VLOOKUP($A360,'Dados StatusInvest'!$A:$AY,column(AE360)-$A$5,0)</f>
        <v>92909.67</v>
      </c>
      <c r="AF360" s="51"/>
    </row>
    <row r="361">
      <c r="A361" s="10" t="s">
        <v>407</v>
      </c>
      <c r="B361" s="52" t="str">
        <f>VLOOKUP(LEFT($A361,4),Setor!$A:$E,3,0)</f>
        <v>Consumo Cíclico</v>
      </c>
      <c r="C361" s="52" t="str">
        <f>VLOOKUP(LEFT($A361,4),Setor!$A:$E,4,0)</f>
        <v>Tecidos, Vestuário e Calçados</v>
      </c>
      <c r="D361" s="52" t="str">
        <f>VLOOKUP(LEFT($A361,4),Setor!$A:$E,5,0)</f>
        <v>Fios e Tecidos</v>
      </c>
      <c r="E361" s="53">
        <f>IFERROR(__xludf.DUMMYFUNCTION("GOOGLEFINANCE(A361)"),4.78)</f>
        <v>4.78</v>
      </c>
      <c r="F361" s="53">
        <f>IFERROR(__xludf.DUMMYFUNCTION("GOOGLEFINANCE($A361,""high52"")"),8.49)</f>
        <v>8.49</v>
      </c>
      <c r="G361" s="54">
        <f t="shared" si="1"/>
        <v>-0.4369846879</v>
      </c>
      <c r="H361" s="55">
        <f>VLOOKUP($A361,'Dados StatusInvest'!$A:$AY,COLUMN(H361)-$A$5,0)*VLOOKUP($A361,'Dados StatusInvest'!$A:$AY,2,0)/$E361/100</f>
        <v>0</v>
      </c>
      <c r="I361" s="56">
        <f>VLOOKUP($A361,'Dados StatusInvest'!$A:$AY,COLUMN(I361)-$A$5,0)/VLOOKUP($A361,'Dados StatusInvest'!$A:$AY,2,0)*$E361</f>
        <v>-1.609395161</v>
      </c>
      <c r="J361" s="56">
        <f>VLOOKUP($A361,'Dados StatusInvest'!$A:$AY,COLUMN(J361)-$A$5,0)/VLOOKUP($A361,'Dados StatusInvest'!$A:$AY,2,0)*$E361</f>
        <v>0.1831048387</v>
      </c>
      <c r="K361" s="57">
        <f>VLOOKUP($A361,'Dados StatusInvest'!$A:$AY,COLUMN(K361)-$A$5,0)/VLOOKUP($A361,'Dados StatusInvest'!$A:$AY,2,0)*$E361</f>
        <v>0.0385483871</v>
      </c>
      <c r="L361" s="58">
        <f>VLOOKUP($A361,'Dados StatusInvest'!$A:$AY,COLUMN(L361)-$A$5,0)/100</f>
        <v>0.2995</v>
      </c>
      <c r="M361" s="59">
        <f>VLOOKUP($A361,'Dados StatusInvest'!$A:$AY,COLUMN(M361)-$A$5,0)</f>
        <v>8.92</v>
      </c>
      <c r="N361" s="59">
        <f>VLOOKUP($A361,'Dados StatusInvest'!$A:$AY,COLUMN(N361)-$A$5,0)</f>
        <v>-3.93</v>
      </c>
      <c r="O361" s="56">
        <f>VLOOKUP($A361,'Dados StatusInvest'!$A:$AY,COLUMN(O361)-$A$5,0)/VLOOKUP($A361,'Dados StatusInvest'!$A:$AY,2,0)*$E361</f>
        <v>0.7035080645</v>
      </c>
      <c r="P361" s="56">
        <f>VLOOKUP($A361,'Dados StatusInvest'!$A:$AY,COLUMN(P361)-$A$5,0)-VLOOKUP($A361,'Dados StatusInvest'!$A:$AY,COLUMN(P361)-$A$5-1,0)+O361</f>
        <v>7.013508065</v>
      </c>
      <c r="Q361" s="59">
        <f>VLOOKUP($A361,'Dados StatusInvest'!$A:$AY,COLUMN(Q361)-$A$5,0)</f>
        <v>5.97</v>
      </c>
      <c r="R361" s="59">
        <f>VLOOKUP($A361,'Dados StatusInvest'!$A:$AY,COLUMN(R361)-$A$5,0)</f>
        <v>1.56</v>
      </c>
      <c r="S361" s="56">
        <f>VLOOKUP($A361,'Dados StatusInvest'!$A:$AY,COLUMN(S361)-$A$5,0)/VLOOKUP($A361,'Dados StatusInvest'!$A:$AY,2,0)*$E361</f>
        <v>0.06745967742</v>
      </c>
      <c r="T361" s="57">
        <f>VLOOKUP($A361,'Dados StatusInvest'!$A:$AY,COLUMN(T361)-$A$5,0)/VLOOKUP($A361,'Dados StatusInvest'!$A:$AY,2,0)*$E361</f>
        <v>1.349193548</v>
      </c>
      <c r="U361" s="59">
        <f>VLOOKUP($A361,'Dados StatusInvest'!$A:$AY,COLUMN(U361)-$A$5,0)</f>
        <v>-0.06</v>
      </c>
      <c r="V361" s="60">
        <f>VLOOKUP($A361,'Dados StatusInvest'!$A:$AY,COLUMN(V361)-$A$5,0)</f>
        <v>1.07</v>
      </c>
      <c r="W361" s="60">
        <f>VLOOKUP($A361,'Dados StatusInvest'!$A:$AY,COLUMN(W361)-$A$5,0)</f>
        <v>-11.54</v>
      </c>
      <c r="X361" s="60">
        <f>VLOOKUP($A361,'Dados StatusInvest'!$A:$AY,COLUMN(X361)-$A$5,0)</f>
        <v>-2.17</v>
      </c>
      <c r="Y361" s="60">
        <f>VLOOKUP($A361,'Dados StatusInvest'!$A:$AY,COLUMN(Y361)-$A$5,0)</f>
        <v>7.01</v>
      </c>
      <c r="Z361" s="59">
        <f>VLOOKUP($A361,'Dados StatusInvest'!$A:$AY,COLUMN(Z361)-$A$5,0)</f>
        <v>0.19</v>
      </c>
      <c r="AA361" s="59">
        <f>VLOOKUP($A361,'Dados StatusInvest'!$A:$AY,COLUMN(AA361)-$A$5,0)</f>
        <v>0.66</v>
      </c>
      <c r="AB361" s="59">
        <f>VLOOKUP($A361,'Dados StatusInvest'!$A:$AY,COLUMN(AB361)-$A$5,0)</f>
        <v>0.55</v>
      </c>
      <c r="AC361" s="59">
        <f>VLOOKUP($A361,'Dados StatusInvest'!$A:$AY,COLUMN(AC361)-$A$5,0)</f>
        <v>-5.17</v>
      </c>
      <c r="AD361" s="60">
        <f>VLOOKUP($A361,'Dados StatusInvest'!$A:$AY,COLUMN(AD361)-$A$5,0)</f>
        <v>0</v>
      </c>
      <c r="AE361" s="62">
        <f>VLOOKUP($A361,'Dados StatusInvest'!$A:$AY,COLUMN(AE361)-$A$5,0)</f>
        <v>108508.42</v>
      </c>
      <c r="AF361" s="18"/>
    </row>
    <row r="362">
      <c r="A362" s="10" t="s">
        <v>408</v>
      </c>
      <c r="B362" s="52" t="str">
        <f>VLOOKUP(LEFT($A362,4),Setor!$A:$E,3,0)</f>
        <v>Consumo Cíclico</v>
      </c>
      <c r="C362" s="52" t="str">
        <f>VLOOKUP(LEFT($A362,4),Setor!$A:$E,4,0)</f>
        <v>Tecidos, Vestuário e Calçados</v>
      </c>
      <c r="D362" s="52" t="str">
        <f>VLOOKUP(LEFT($A362,4),Setor!$A:$E,5,0)</f>
        <v>Fios e Tecidos</v>
      </c>
      <c r="E362" s="53">
        <f>IFERROR(__xludf.DUMMYFUNCTION("GOOGLEFINANCE(A362)"),20.81)</f>
        <v>20.81</v>
      </c>
      <c r="F362" s="53">
        <f>IFERROR(__xludf.DUMMYFUNCTION("GOOGLEFINANCE($A362,""high52"")"),32.89)</f>
        <v>32.89</v>
      </c>
      <c r="G362" s="54">
        <f t="shared" si="1"/>
        <v>-0.367284889</v>
      </c>
      <c r="H362" s="55">
        <f>VLOOKUP($A362,'Dados StatusInvest'!$A:$AY,COLUMN(H362)-$A$5,0)*VLOOKUP($A362,'Dados StatusInvest'!$A:$AY,2,0)/$E362/100</f>
        <v>0</v>
      </c>
      <c r="I362" s="56">
        <f>VLOOKUP($A362,'Dados StatusInvest'!$A:$AY,COLUMN(I362)-$A$5,0)/VLOOKUP($A362,'Dados StatusInvest'!$A:$AY,2,0)*$E362</f>
        <v>1.343190909</v>
      </c>
      <c r="J362" s="56">
        <f>VLOOKUP($A362,'Dados StatusInvest'!$A:$AY,COLUMN(J362)-$A$5,0)/VLOOKUP($A362,'Dados StatusInvest'!$A:$AY,2,0)*$E362</f>
        <v>-0.7756454545</v>
      </c>
      <c r="K362" s="57">
        <f>VLOOKUP($A362,'Dados StatusInvest'!$A:$AY,COLUMN(K362)-$A$5,0)/VLOOKUP($A362,'Dados StatusInvest'!$A:$AY,2,0)*$E362</f>
        <v>0.2270181818</v>
      </c>
      <c r="L362" s="58">
        <f>VLOOKUP($A362,'Dados StatusInvest'!$A:$AY,COLUMN(L362)-$A$5,0)/100</f>
        <v>0.4212</v>
      </c>
      <c r="M362" s="59">
        <f>VLOOKUP($A362,'Dados StatusInvest'!$A:$AY,COLUMN(M362)-$A$5,0)</f>
        <v>21.8</v>
      </c>
      <c r="N362" s="59">
        <f>VLOOKUP($A362,'Dados StatusInvest'!$A:$AY,COLUMN(N362)-$A$5,0)</f>
        <v>20.41</v>
      </c>
      <c r="O362" s="56">
        <f>VLOOKUP($A362,'Dados StatusInvest'!$A:$AY,COLUMN(O362)-$A$5,0)/VLOOKUP($A362,'Dados StatusInvest'!$A:$AY,2,0)*$E362</f>
        <v>1.258059091</v>
      </c>
      <c r="P362" s="56">
        <f>VLOOKUP($A362,'Dados StatusInvest'!$A:$AY,COLUMN(P362)-$A$5,0)-VLOOKUP($A362,'Dados StatusInvest'!$A:$AY,COLUMN(P362)-$A$5-1,0)+O362</f>
        <v>6.178059091</v>
      </c>
      <c r="Q362" s="59">
        <f>VLOOKUP($A362,'Dados StatusInvest'!$A:$AY,COLUMN(Q362)-$A$5,0)</f>
        <v>4.78</v>
      </c>
      <c r="R362" s="59">
        <f>VLOOKUP($A362,'Dados StatusInvest'!$A:$AY,COLUMN(R362)-$A$5,0)</f>
        <v>0</v>
      </c>
      <c r="S362" s="56">
        <f>VLOOKUP($A362,'Dados StatusInvest'!$A:$AY,COLUMN(S362)-$A$5,0)/VLOOKUP($A362,'Dados StatusInvest'!$A:$AY,2,0)*$E362</f>
        <v>0.2743136364</v>
      </c>
      <c r="T362" s="57">
        <f>VLOOKUP($A362,'Dados StatusInvest'!$A:$AY,COLUMN(T362)-$A$5,0)/VLOOKUP($A362,'Dados StatusInvest'!$A:$AY,2,0)*$E362</f>
        <v>0.72835</v>
      </c>
      <c r="U362" s="59">
        <f>VLOOKUP($A362,'Dados StatusInvest'!$A:$AY,COLUMN(U362)-$A$5,0)</f>
        <v>-0.76</v>
      </c>
      <c r="V362" s="60">
        <f>VLOOKUP($A362,'Dados StatusInvest'!$A:$AY,COLUMN(V362)-$A$5,0)</f>
        <v>1.87</v>
      </c>
      <c r="W362" s="60">
        <f>VLOOKUP($A362,'Dados StatusInvest'!$A:$AY,COLUMN(W362)-$A$5,0)</f>
        <v>-58.08</v>
      </c>
      <c r="X362" s="60">
        <f>VLOOKUP($A362,'Dados StatusInvest'!$A:$AY,COLUMN(X362)-$A$5,0)</f>
        <v>17.2</v>
      </c>
      <c r="Y362" s="60">
        <f>VLOOKUP($A362,'Dados StatusInvest'!$A:$AY,COLUMN(Y362)-$A$5,0)</f>
        <v>19.4</v>
      </c>
      <c r="Z362" s="59">
        <f>VLOOKUP($A362,'Dados StatusInvest'!$A:$AY,COLUMN(Z362)-$A$5,0)</f>
        <v>-0.3</v>
      </c>
      <c r="AA362" s="59">
        <f>VLOOKUP($A362,'Dados StatusInvest'!$A:$AY,COLUMN(AA362)-$A$5,0)</f>
        <v>1.3</v>
      </c>
      <c r="AB362" s="59">
        <f>VLOOKUP($A362,'Dados StatusInvest'!$A:$AY,COLUMN(AB362)-$A$5,0)</f>
        <v>0.84</v>
      </c>
      <c r="AC362" s="59">
        <f>VLOOKUP($A362,'Dados StatusInvest'!$A:$AY,COLUMN(AC362)-$A$5,0)</f>
        <v>7.67</v>
      </c>
      <c r="AD362" s="60">
        <f>VLOOKUP($A362,'Dados StatusInvest'!$A:$AY,COLUMN(AD362)-$A$5,0)</f>
        <v>0</v>
      </c>
      <c r="AE362" s="62">
        <f>VLOOKUP($A362,'Dados StatusInvest'!$A:$AY,COLUMN(AE362)-$A$5,0)</f>
        <v>90597.05</v>
      </c>
      <c r="AF362" s="18"/>
    </row>
    <row r="363">
      <c r="A363" s="10" t="s">
        <v>409</v>
      </c>
      <c r="B363" s="39" t="str">
        <f>VLOOKUP(lEFT($A363,4),Setor!$A:$E,3,0)</f>
        <v>Consumo Cíclico</v>
      </c>
      <c r="C363" s="39" t="str">
        <f>VLOOKUP(lEFT($A363,4),Setor!$A:$E,4,0)</f>
        <v>Tecidos, Vestuário e Calçados</v>
      </c>
      <c r="D363" s="39" t="str">
        <f>VLOOKUP(lEFT($A363,4),Setor!$A:$E,5,0)</f>
        <v>Fios e Tecidos</v>
      </c>
      <c r="E363" s="17">
        <f>IFERROR(__xludf.DUMMYFUNCTION("GOOGLEFINANCE(A363)"),1.8)</f>
        <v>1.8</v>
      </c>
      <c r="F363" s="17">
        <f>IFERROR(__xludf.DUMMYFUNCTION("GOOGLEFINANCE($A363,""high52"")"),4.02)</f>
        <v>4.02</v>
      </c>
      <c r="G363" s="16">
        <f t="shared" si="1"/>
        <v>-0.552238806</v>
      </c>
      <c r="H363" s="40">
        <f>VLOOKUP($A363,'Dados StatusInvest'!$A:$AY,column(H363)-$A$5,0)*VLOOKUP($A363,'Dados StatusInvest'!$A:$AY,2,0)/$E363/100</f>
        <v>0</v>
      </c>
      <c r="I363" s="41">
        <f>VLOOKUP($A363,'Dados StatusInvest'!$A:$AY,column(I363)-$A$5,0)/VLOOKUP($A363,'Dados StatusInvest'!$A:$AY,2,0)*$E363</f>
        <v>83.09828571</v>
      </c>
      <c r="J363" s="41">
        <f>VLOOKUP($A363,'Dados StatusInvest'!$A:$AY,column(J363)-$A$5,0)/VLOOKUP($A363,'Dados StatusInvest'!$A:$AY,2,0)*$E363</f>
        <v>0.6685714286</v>
      </c>
      <c r="K363" s="42">
        <f>VLOOKUP($A363,'Dados StatusInvest'!$A:$AY,column(K363)-$A$5,0)/VLOOKUP($A363,'Dados StatusInvest'!$A:$AY,2,0)*$E363</f>
        <v>0.2777142857</v>
      </c>
      <c r="L363" s="43">
        <f>VLOOKUP($A363,'Dados StatusInvest'!$A:$AY,column(L363)-$A$5,0)/100</f>
        <v>0.1424</v>
      </c>
      <c r="M363" s="44">
        <f>VLOOKUP($A363,'Dados StatusInvest'!$A:$AY,column(M363)-$A$5,0)</f>
        <v>8.46</v>
      </c>
      <c r="N363" s="44">
        <f>VLOOKUP($A363,'Dados StatusInvest'!$A:$AY,column(N363)-$A$5,0)</f>
        <v>0.42</v>
      </c>
      <c r="O363" s="41">
        <f>VLOOKUP($A363,'Dados StatusInvest'!$A:$AY,column(O363)-$A$5,0)/VLOOKUP($A363,'Dados StatusInvest'!$A:$AY,2,0)*$E363</f>
        <v>4.145142857</v>
      </c>
      <c r="P363" s="41">
        <f>VLOOKUP($A363,'Dados StatusInvest'!$A:$AY,column(P363)-$A$5,0)-VLOOKUP($A363,'Dados StatusInvest'!$A:$AY,column(P363)-$A$5-1,0)+O363</f>
        <v>9.415142857</v>
      </c>
      <c r="Q363" s="44">
        <f>VLOOKUP($A363,'Dados StatusInvest'!$A:$AY,column(Q363)-$A$5,0)</f>
        <v>4.02</v>
      </c>
      <c r="R363" s="44">
        <f>VLOOKUP($A363,'Dados StatusInvest'!$A:$AY,column(R363)-$A$5,0)</f>
        <v>0.65</v>
      </c>
      <c r="S363" s="41">
        <f>VLOOKUP($A363,'Dados StatusInvest'!$A:$AY,column(S363)-$A$5,0)/VLOOKUP($A363,'Dados StatusInvest'!$A:$AY,2,0)*$E363</f>
        <v>0.3497142857</v>
      </c>
      <c r="T363" s="42">
        <f>VLOOKUP($A363,'Dados StatusInvest'!$A:$AY,column(T363)-$A$5,0)/VLOOKUP($A363,'Dados StatusInvest'!$A:$AY,2,0)*$E363</f>
        <v>15.59314286</v>
      </c>
      <c r="U363" s="44">
        <f>VLOOKUP($A363,'Dados StatusInvest'!$A:$AY,column(U363)-$A$5,0)</f>
        <v>-0.49</v>
      </c>
      <c r="V363" s="45">
        <f>VLOOKUP($A363,'Dados StatusInvest'!$A:$AY,column(V363)-$A$5,0)</f>
        <v>1.04</v>
      </c>
      <c r="W363" s="45">
        <f>VLOOKUP($A363,'Dados StatusInvest'!$A:$AY,column(W363)-$A$5,0)</f>
        <v>0.8</v>
      </c>
      <c r="X363" s="45">
        <f>VLOOKUP($A363,'Dados StatusInvest'!$A:$AY,column(X363)-$A$5,0)</f>
        <v>0.34</v>
      </c>
      <c r="Y363" s="45">
        <f>VLOOKUP($A363,'Dados StatusInvest'!$A:$AY,column(Y363)-$A$5,0)</f>
        <v>8.03</v>
      </c>
      <c r="Z363" s="44">
        <f>VLOOKUP($A363,'Dados StatusInvest'!$A:$AY,column(Z363)-$A$5,0)</f>
        <v>0.42</v>
      </c>
      <c r="AA363" s="44">
        <f>VLOOKUP($A363,'Dados StatusInvest'!$A:$AY,column(AA363)-$A$5,0)</f>
        <v>0.58</v>
      </c>
      <c r="AB363" s="44">
        <f>VLOOKUP($A363,'Dados StatusInvest'!$A:$AY,column(AB363)-$A$5,0)</f>
        <v>0.8</v>
      </c>
      <c r="AC363" s="44">
        <f>VLOOKUP($A363,'Dados StatusInvest'!$A:$AY,column(AC363)-$A$5,0)</f>
        <v>6.86</v>
      </c>
      <c r="AD363" s="45">
        <f>VLOOKUP($A363,'Dados StatusInvest'!$A:$AY,column(AD363)-$A$5,0)</f>
        <v>0</v>
      </c>
      <c r="AE363" s="46">
        <f>VLOOKUP($A363,'Dados StatusInvest'!$A:$AY,column(AE363)-$A$5,0)</f>
        <v>86357.38</v>
      </c>
      <c r="AF363" s="50"/>
    </row>
    <row r="364">
      <c r="A364" s="10" t="s">
        <v>410</v>
      </c>
      <c r="B364" s="39" t="str">
        <f>VLOOKUP(lEFT($A364,4),Setor!$A:$E,3,0)</f>
        <v>Consumo Cíclico</v>
      </c>
      <c r="C364" s="39" t="str">
        <f>VLOOKUP(lEFT($A364,4),Setor!$A:$E,4,0)</f>
        <v>Tecidos, Vestuário e Calçados</v>
      </c>
      <c r="D364" s="39" t="str">
        <f>VLOOKUP(lEFT($A364,4),Setor!$A:$E,5,0)</f>
        <v>Acessórios</v>
      </c>
      <c r="E364" s="17">
        <f>IFERROR(__xludf.DUMMYFUNCTION("GOOGLEFINANCE(A364)"),57.99)</f>
        <v>57.99</v>
      </c>
      <c r="F364" s="17">
        <f>IFERROR(__xludf.DUMMYFUNCTION("GOOGLEFINANCE($A364,""high52"")"),69.0)</f>
        <v>69</v>
      </c>
      <c r="G364" s="16">
        <f t="shared" si="1"/>
        <v>-0.1595652174</v>
      </c>
      <c r="H364" s="40">
        <f>VLOOKUP($A364,'Dados StatusInvest'!$A:$AY,column(H364)-$A$5,0)*VLOOKUP($A364,'Dados StatusInvest'!$A:$AY,2,0)/$E364/100</f>
        <v>0</v>
      </c>
      <c r="I364" s="41">
        <f>VLOOKUP($A364,'Dados StatusInvest'!$A:$AY,column(I364)-$A$5,0)/VLOOKUP($A364,'Dados StatusInvest'!$A:$AY,2,0)*$E364</f>
        <v>4.19690339</v>
      </c>
      <c r="J364" s="41">
        <f>VLOOKUP($A364,'Dados StatusInvest'!$A:$AY,column(J364)-$A$5,0)/VLOOKUP($A364,'Dados StatusInvest'!$A:$AY,2,0)*$E364</f>
        <v>-1.110655932</v>
      </c>
      <c r="K364" s="42">
        <f>VLOOKUP($A364,'Dados StatusInvest'!$A:$AY,column(K364)-$A$5,0)/VLOOKUP($A364,'Dados StatusInvest'!$A:$AY,2,0)*$E364</f>
        <v>0.1179457627</v>
      </c>
      <c r="L364" s="43">
        <f>VLOOKUP($A364,'Dados StatusInvest'!$A:$AY,column(L364)-$A$5,0)/100</f>
        <v>0.3642</v>
      </c>
      <c r="M364" s="44">
        <f>VLOOKUP($A364,'Dados StatusInvest'!$A:$AY,column(M364)-$A$5,0)</f>
        <v>13.15</v>
      </c>
      <c r="N364" s="44">
        <f>VLOOKUP($A364,'Dados StatusInvest'!$A:$AY,column(N364)-$A$5,0)</f>
        <v>5.4</v>
      </c>
      <c r="O364" s="41">
        <f>VLOOKUP($A364,'Dados StatusInvest'!$A:$AY,column(O364)-$A$5,0)/VLOOKUP($A364,'Dados StatusInvest'!$A:$AY,2,0)*$E364</f>
        <v>1.720042373</v>
      </c>
      <c r="P364" s="41">
        <f>VLOOKUP($A364,'Dados StatusInvest'!$A:$AY,column(P364)-$A$5,0)-VLOOKUP($A364,'Dados StatusInvest'!$A:$AY,column(P364)-$A$5-1,0)+O364</f>
        <v>4.720042373</v>
      </c>
      <c r="Q364" s="44">
        <f>VLOOKUP($A364,'Dados StatusInvest'!$A:$AY,column(Q364)-$A$5,0)</f>
        <v>3</v>
      </c>
      <c r="R364" s="44">
        <f>VLOOKUP($A364,'Dados StatusInvest'!$A:$AY,column(R364)-$A$5,0)</f>
        <v>0</v>
      </c>
      <c r="S364" s="41">
        <f>VLOOKUP($A364,'Dados StatusInvest'!$A:$AY,column(S364)-$A$5,0)/VLOOKUP($A364,'Dados StatusInvest'!$A:$AY,2,0)*$E364</f>
        <v>0.2260627119</v>
      </c>
      <c r="T364" s="42">
        <f>VLOOKUP($A364,'Dados StatusInvest'!$A:$AY,column(T364)-$A$5,0)/VLOOKUP($A364,'Dados StatusInvest'!$A:$AY,2,0)*$E364</f>
        <v>-0.2358915254</v>
      </c>
      <c r="U364" s="44">
        <f>VLOOKUP($A364,'Dados StatusInvest'!$A:$AY,column(U364)-$A$5,0)</f>
        <v>-0.18</v>
      </c>
      <c r="V364" s="45">
        <f>VLOOKUP($A364,'Dados StatusInvest'!$A:$AY,column(V364)-$A$5,0)</f>
        <v>0.38</v>
      </c>
      <c r="W364" s="45">
        <f>VLOOKUP($A364,'Dados StatusInvest'!$A:$AY,column(W364)-$A$5,0)</f>
        <v>-26.57</v>
      </c>
      <c r="X364" s="45">
        <f>VLOOKUP($A364,'Dados StatusInvest'!$A:$AY,column(X364)-$A$5,0)</f>
        <v>2.92</v>
      </c>
      <c r="Y364" s="45">
        <f>VLOOKUP($A364,'Dados StatusInvest'!$A:$AY,column(Y364)-$A$5,0)</f>
        <v>57.77</v>
      </c>
      <c r="Z364" s="44">
        <f>VLOOKUP($A364,'Dados StatusInvest'!$A:$AY,column(Z364)-$A$5,0)</f>
        <v>-0.11</v>
      </c>
      <c r="AA364" s="44">
        <f>VLOOKUP($A364,'Dados StatusInvest'!$A:$AY,column(AA364)-$A$5,0)</f>
        <v>1.11</v>
      </c>
      <c r="AB364" s="44">
        <f>VLOOKUP($A364,'Dados StatusInvest'!$A:$AY,column(AB364)-$A$5,0)</f>
        <v>0.54</v>
      </c>
      <c r="AC364" s="44">
        <f>VLOOKUP($A364,'Dados StatusInvest'!$A:$AY,column(AC364)-$A$5,0)</f>
        <v>4.94</v>
      </c>
      <c r="AD364" s="45">
        <f>VLOOKUP($A364,'Dados StatusInvest'!$A:$AY,column(AD364)-$A$5,0)</f>
        <v>0</v>
      </c>
      <c r="AE364" s="46">
        <f>VLOOKUP($A364,'Dados StatusInvest'!$A:$AY,column(AE364)-$A$5,0)</f>
        <v>73072.47</v>
      </c>
      <c r="AF364" s="51"/>
    </row>
    <row r="365">
      <c r="A365" s="10" t="s">
        <v>411</v>
      </c>
      <c r="B365" s="39" t="str">
        <f>VLOOKUP(lEFT($A365,4),Setor!$A:$E,3,0)</f>
        <v>Comunicações</v>
      </c>
      <c r="C365" s="39" t="str">
        <f>VLOOKUP(lEFT($A365,4),Setor!$A:$E,4,0)</f>
        <v>Telecomunicações</v>
      </c>
      <c r="D365" s="39" t="str">
        <f>VLOOKUP(lEFT($A365,4),Setor!$A:$E,5,0)</f>
        <v>Telecomunicações</v>
      </c>
      <c r="E365" s="17">
        <f>IFERROR(__xludf.DUMMYFUNCTION("GOOGLEFINANCE(A365)"),50.1)</f>
        <v>50.1</v>
      </c>
      <c r="F365" s="17">
        <f>IFERROR(__xludf.DUMMYFUNCTION("GOOGLEFINANCE($A365,""high52"")"),135.0)</f>
        <v>135</v>
      </c>
      <c r="G365" s="16">
        <f t="shared" si="1"/>
        <v>-0.6288888889</v>
      </c>
      <c r="H365" s="40">
        <f>VLOOKUP($A365,'Dados StatusInvest'!$A:$AY,column(H365)-$A$5,0)*VLOOKUP($A365,'Dados StatusInvest'!$A:$AY,2,0)/$E365/100</f>
        <v>0</v>
      </c>
      <c r="I365" s="41">
        <f>VLOOKUP($A365,'Dados StatusInvest'!$A:$AY,column(I365)-$A$5,0)/VLOOKUP($A365,'Dados StatusInvest'!$A:$AY,2,0)*$E365</f>
        <v>-30.88517647</v>
      </c>
      <c r="J365" s="41">
        <f>VLOOKUP($A365,'Dados StatusInvest'!$A:$AY,column(J365)-$A$5,0)/VLOOKUP($A365,'Dados StatusInvest'!$A:$AY,2,0)*$E365</f>
        <v>2.279058824</v>
      </c>
      <c r="K365" s="42">
        <f>VLOOKUP($A365,'Dados StatusInvest'!$A:$AY,column(K365)-$A$5,0)/VLOOKUP($A365,'Dados StatusInvest'!$A:$AY,2,0)*$E365</f>
        <v>0.835</v>
      </c>
      <c r="L365" s="43">
        <f>VLOOKUP($A365,'Dados StatusInvest'!$A:$AY,column(L365)-$A$5,0)/100</f>
        <v>-0.8059</v>
      </c>
      <c r="M365" s="44">
        <f>VLOOKUP($A365,'Dados StatusInvest'!$A:$AY,column(M365)-$A$5,0)</f>
        <v>-28.23</v>
      </c>
      <c r="N365" s="44">
        <f>VLOOKUP($A365,'Dados StatusInvest'!$A:$AY,column(N365)-$A$5,0)</f>
        <v>-40.3</v>
      </c>
      <c r="O365" s="41">
        <f>VLOOKUP($A365,'Dados StatusInvest'!$A:$AY,column(O365)-$A$5,0)/VLOOKUP($A365,'Dados StatusInvest'!$A:$AY,2,0)*$E365</f>
        <v>-44.09782353</v>
      </c>
      <c r="P365" s="41">
        <f>VLOOKUP($A365,'Dados StatusInvest'!$A:$AY,column(P365)-$A$5,0)-VLOOKUP($A365,'Dados StatusInvest'!$A:$AY,column(P365)-$A$5-1,0)+O365</f>
        <v>-28.39782353</v>
      </c>
      <c r="Q365" s="44">
        <f>VLOOKUP($A365,'Dados StatusInvest'!$A:$AY,column(Q365)-$A$5,0)</f>
        <v>9.06</v>
      </c>
      <c r="R365" s="44">
        <f>VLOOKUP($A365,'Dados StatusInvest'!$A:$AY,column(R365)-$A$5,0)</f>
        <v>-0.47</v>
      </c>
      <c r="S365" s="41">
        <f>VLOOKUP($A365,'Dados StatusInvest'!$A:$AY,column(S365)-$A$5,0)/VLOOKUP($A365,'Dados StatusInvest'!$A:$AY,2,0)*$E365</f>
        <v>12.44641176</v>
      </c>
      <c r="T365" s="42">
        <f>VLOOKUP($A365,'Dados StatusInvest'!$A:$AY,column(T365)-$A$5,0)/VLOOKUP($A365,'Dados StatusInvest'!$A:$AY,2,0)*$E365</f>
        <v>3.173</v>
      </c>
      <c r="U365" s="44">
        <f>VLOOKUP($A365,'Dados StatusInvest'!$A:$AY,column(U365)-$A$5,0)</f>
        <v>-1.25</v>
      </c>
      <c r="V365" s="45">
        <f>VLOOKUP($A365,'Dados StatusInvest'!$A:$AY,column(V365)-$A$5,0)</f>
        <v>5.84</v>
      </c>
      <c r="W365" s="45">
        <f>VLOOKUP($A365,'Dados StatusInvest'!$A:$AY,column(W365)-$A$5,0)</f>
        <v>-7.39</v>
      </c>
      <c r="X365" s="45">
        <f>VLOOKUP($A365,'Dados StatusInvest'!$A:$AY,column(X365)-$A$5,0)</f>
        <v>-2.71</v>
      </c>
      <c r="Y365" s="45">
        <f>VLOOKUP($A365,'Dados StatusInvest'!$A:$AY,column(Y365)-$A$5,0)</f>
        <v>-4.45</v>
      </c>
      <c r="Z365" s="44">
        <f>VLOOKUP($A365,'Dados StatusInvest'!$A:$AY,column(Z365)-$A$5,0)</f>
        <v>0.37</v>
      </c>
      <c r="AA365" s="44">
        <f>VLOOKUP($A365,'Dados StatusInvest'!$A:$AY,column(AA365)-$A$5,0)</f>
        <v>0.63</v>
      </c>
      <c r="AB365" s="44">
        <f>VLOOKUP($A365,'Dados StatusInvest'!$A:$AY,column(AB365)-$A$5,0)</f>
        <v>0.07</v>
      </c>
      <c r="AC365" s="44">
        <f>VLOOKUP($A365,'Dados StatusInvest'!$A:$AY,column(AC365)-$A$5,0)</f>
        <v>42.7</v>
      </c>
      <c r="AD365" s="45">
        <f>VLOOKUP($A365,'Dados StatusInvest'!$A:$AY,column(AD365)-$A$5,0)</f>
        <v>0</v>
      </c>
      <c r="AE365" s="46">
        <f>VLOOKUP($A365,'Dados StatusInvest'!$A:$AY,column(AE365)-$A$5,0)</f>
        <v>108945.05</v>
      </c>
      <c r="AF365" s="18"/>
    </row>
    <row r="366">
      <c r="A366" s="10" t="s">
        <v>412</v>
      </c>
      <c r="B366" s="39" t="str">
        <f>VLOOKUP(lEFT($A366,4),Setor!$A:$E,3,0)</f>
        <v>Utilidade Pública</v>
      </c>
      <c r="C366" s="39" t="str">
        <f>VLOOKUP(lEFT($A366,4),Setor!$A:$E,4,0)</f>
        <v>Gás</v>
      </c>
      <c r="D366" s="39" t="str">
        <f>VLOOKUP(lEFT($A366,4),Setor!$A:$E,5,0)</f>
        <v>Gás</v>
      </c>
      <c r="E366" s="17">
        <f>IFERROR(__xludf.DUMMYFUNCTION("GOOGLEFINANCE(A366)"),60.05)</f>
        <v>60.05</v>
      </c>
      <c r="F366" s="17">
        <f>IFERROR(__xludf.DUMMYFUNCTION("GOOGLEFINANCE($A366,""high52"")"),190.07)</f>
        <v>190.07</v>
      </c>
      <c r="G366" s="16">
        <f t="shared" si="1"/>
        <v>-0.684063766</v>
      </c>
      <c r="H366" s="40">
        <f>VLOOKUP($A366,'Dados StatusInvest'!$A:$AY,column(H366)-$A$5,0)*VLOOKUP($A366,'Dados StatusInvest'!$A:$AY,2,0)/$E366/100</f>
        <v>0.0226</v>
      </c>
      <c r="I366" s="41">
        <f>VLOOKUP($A366,'Dados StatusInvest'!$A:$AY,column(I366)-$A$5,0)/VLOOKUP($A366,'Dados StatusInvest'!$A:$AY,2,0)*$E366</f>
        <v>41.6</v>
      </c>
      <c r="J366" s="41">
        <f>VLOOKUP($A366,'Dados StatusInvest'!$A:$AY,column(J366)-$A$5,0)/VLOOKUP($A366,'Dados StatusInvest'!$A:$AY,2,0)*$E366</f>
        <v>13.91</v>
      </c>
      <c r="K366" s="42">
        <f>VLOOKUP($A366,'Dados StatusInvest'!$A:$AY,column(K366)-$A$5,0)/VLOOKUP($A366,'Dados StatusInvest'!$A:$AY,2,0)*$E366</f>
        <v>4.26</v>
      </c>
      <c r="L366" s="43">
        <f>VLOOKUP($A366,'Dados StatusInvest'!$A:$AY,column(L366)-$A$5,0)/100</f>
        <v>0.307</v>
      </c>
      <c r="M366" s="44">
        <f>VLOOKUP($A366,'Dados StatusInvest'!$A:$AY,column(M366)-$A$5,0)</f>
        <v>18.29</v>
      </c>
      <c r="N366" s="44">
        <f>VLOOKUP($A366,'Dados StatusInvest'!$A:$AY,column(N366)-$A$5,0)</f>
        <v>10.83</v>
      </c>
      <c r="O366" s="41">
        <f>VLOOKUP($A366,'Dados StatusInvest'!$A:$AY,column(O366)-$A$5,0)/VLOOKUP($A366,'Dados StatusInvest'!$A:$AY,2,0)*$E366</f>
        <v>24.64</v>
      </c>
      <c r="P366" s="41">
        <f>VLOOKUP($A366,'Dados StatusInvest'!$A:$AY,column(P366)-$A$5,0)-VLOOKUP($A366,'Dados StatusInvest'!$A:$AY,column(P366)-$A$5-1,0)+O366</f>
        <v>25.8</v>
      </c>
      <c r="Q366" s="44">
        <f>VLOOKUP($A366,'Dados StatusInvest'!$A:$AY,column(Q366)-$A$5,0)</f>
        <v>1.16</v>
      </c>
      <c r="R366" s="44">
        <f>VLOOKUP($A366,'Dados StatusInvest'!$A:$AY,column(R366)-$A$5,0)</f>
        <v>0.65</v>
      </c>
      <c r="S366" s="41">
        <f>VLOOKUP($A366,'Dados StatusInvest'!$A:$AY,column(S366)-$A$5,0)/VLOOKUP($A366,'Dados StatusInvest'!$A:$AY,2,0)*$E366</f>
        <v>4.51</v>
      </c>
      <c r="T366" s="42">
        <f>VLOOKUP($A366,'Dados StatusInvest'!$A:$AY,column(T366)-$A$5,0)/VLOOKUP($A366,'Dados StatusInvest'!$A:$AY,2,0)*$E366</f>
        <v>-362.26</v>
      </c>
      <c r="U366" s="44">
        <f>VLOOKUP($A366,'Dados StatusInvest'!$A:$AY,column(U366)-$A$5,0)</f>
        <v>-6.01</v>
      </c>
      <c r="V366" s="45">
        <f>VLOOKUP($A366,'Dados StatusInvest'!$A:$AY,column(V366)-$A$5,0)</f>
        <v>0.96</v>
      </c>
      <c r="W366" s="45">
        <f>VLOOKUP($A366,'Dados StatusInvest'!$A:$AY,column(W366)-$A$5,0)</f>
        <v>33.44</v>
      </c>
      <c r="X366" s="45">
        <f>VLOOKUP($A366,'Dados StatusInvest'!$A:$AY,column(X366)-$A$5,0)</f>
        <v>10.24</v>
      </c>
      <c r="Y366" s="45">
        <f>VLOOKUP($A366,'Dados StatusInvest'!$A:$AY,column(Y366)-$A$5,0)</f>
        <v>19.7</v>
      </c>
      <c r="Z366" s="44">
        <f>VLOOKUP($A366,'Dados StatusInvest'!$A:$AY,column(Z366)-$A$5,0)</f>
        <v>0.31</v>
      </c>
      <c r="AA366" s="44">
        <f>VLOOKUP($A366,'Dados StatusInvest'!$A:$AY,column(AA366)-$A$5,0)</f>
        <v>0.69</v>
      </c>
      <c r="AB366" s="44">
        <f>VLOOKUP($A366,'Dados StatusInvest'!$A:$AY,column(AB366)-$A$5,0)</f>
        <v>0.94</v>
      </c>
      <c r="AC366" s="44">
        <f>VLOOKUP($A366,'Dados StatusInvest'!$A:$AY,column(AC366)-$A$5,0)</f>
        <v>-3.1</v>
      </c>
      <c r="AD366" s="45">
        <f>VLOOKUP($A366,'Dados StatusInvest'!$A:$AY,column(AD366)-$A$5,0)</f>
        <v>5.68</v>
      </c>
      <c r="AE366" s="46">
        <f>VLOOKUP($A366,'Dados StatusInvest'!$A:$AY,column(AE366)-$A$5,0)</f>
        <v>9621</v>
      </c>
      <c r="AF366" s="51"/>
    </row>
    <row r="367">
      <c r="A367" s="10" t="s">
        <v>413</v>
      </c>
      <c r="B367" s="39" t="str">
        <f>VLOOKUP(lEFT($A367,4),Setor!$A:$E,3,0)</f>
        <v>Utilidade Pública</v>
      </c>
      <c r="C367" s="39" t="str">
        <f>VLOOKUP(lEFT($A367,4),Setor!$A:$E,4,0)</f>
        <v>Energia Elétrica</v>
      </c>
      <c r="D367" s="39" t="str">
        <f>VLOOKUP(lEFT($A367,4),Setor!$A:$E,5,0)</f>
        <v>Energia Elétrica</v>
      </c>
      <c r="E367" s="17">
        <f>IFERROR(__xludf.DUMMYFUNCTION("GOOGLEFINANCE(A367)"),5.01)</f>
        <v>5.01</v>
      </c>
      <c r="F367" s="17">
        <f>IFERROR(__xludf.DUMMYFUNCTION("GOOGLEFINANCE($A367,""high52"")"),6.99)</f>
        <v>6.99</v>
      </c>
      <c r="G367" s="16">
        <f t="shared" si="1"/>
        <v>-0.2832618026</v>
      </c>
      <c r="H367" s="40">
        <f>VLOOKUP($A367,'Dados StatusInvest'!$A:$AY,column(H367)-$A$5,0)*VLOOKUP($A367,'Dados StatusInvest'!$A:$AY,2,0)/$E367/100</f>
        <v>0.0898</v>
      </c>
      <c r="I367" s="41">
        <f>VLOOKUP($A367,'Dados StatusInvest'!$A:$AY,column(I367)-$A$5,0)/VLOOKUP($A367,'Dados StatusInvest'!$A:$AY,2,0)*$E367</f>
        <v>13.12</v>
      </c>
      <c r="J367" s="41">
        <f>VLOOKUP($A367,'Dados StatusInvest'!$A:$AY,column(J367)-$A$5,0)/VLOOKUP($A367,'Dados StatusInvest'!$A:$AY,2,0)*$E367</f>
        <v>3.11</v>
      </c>
      <c r="K367" s="42">
        <f>VLOOKUP($A367,'Dados StatusInvest'!$A:$AY,column(K367)-$A$5,0)/VLOOKUP($A367,'Dados StatusInvest'!$A:$AY,2,0)*$E367</f>
        <v>0.89</v>
      </c>
      <c r="L367" s="43">
        <f>VLOOKUP($A367,'Dados StatusInvest'!$A:$AY,column(L367)-$A$5,0)/100</f>
        <v>0.2978</v>
      </c>
      <c r="M367" s="44">
        <f>VLOOKUP($A367,'Dados StatusInvest'!$A:$AY,column(M367)-$A$5,0)</f>
        <v>20.7</v>
      </c>
      <c r="N367" s="44">
        <f>VLOOKUP($A367,'Dados StatusInvest'!$A:$AY,column(N367)-$A$5,0)</f>
        <v>12.93</v>
      </c>
      <c r="O367" s="41">
        <f>VLOOKUP($A367,'Dados StatusInvest'!$A:$AY,column(O367)-$A$5,0)/VLOOKUP($A367,'Dados StatusInvest'!$A:$AY,2,0)*$E367</f>
        <v>8.19</v>
      </c>
      <c r="P367" s="41">
        <f>VLOOKUP($A367,'Dados StatusInvest'!$A:$AY,column(P367)-$A$5,0)-VLOOKUP($A367,'Dados StatusInvest'!$A:$AY,column(P367)-$A$5-1,0)+O367</f>
        <v>9.22</v>
      </c>
      <c r="Q367" s="44">
        <f>VLOOKUP($A367,'Dados StatusInvest'!$A:$AY,column(Q367)-$A$5,0)</f>
        <v>1.01</v>
      </c>
      <c r="R367" s="44">
        <f>VLOOKUP($A367,'Dados StatusInvest'!$A:$AY,column(R367)-$A$5,0)</f>
        <v>0.38</v>
      </c>
      <c r="S367" s="41">
        <f>VLOOKUP($A367,'Dados StatusInvest'!$A:$AY,column(S367)-$A$5,0)/VLOOKUP($A367,'Dados StatusInvest'!$A:$AY,2,0)*$E367</f>
        <v>1.7</v>
      </c>
      <c r="T367" s="42">
        <f>VLOOKUP($A367,'Dados StatusInvest'!$A:$AY,column(T367)-$A$5,0)/VLOOKUP($A367,'Dados StatusInvest'!$A:$AY,2,0)*$E367</f>
        <v>3.87</v>
      </c>
      <c r="U367" s="44">
        <f>VLOOKUP($A367,'Dados StatusInvest'!$A:$AY,column(U367)-$A$5,0)</f>
        <v>-1.61</v>
      </c>
      <c r="V367" s="45">
        <f>VLOOKUP($A367,'Dados StatusInvest'!$A:$AY,column(V367)-$A$5,0)</f>
        <v>2.04</v>
      </c>
      <c r="W367" s="45">
        <f>VLOOKUP($A367,'Dados StatusInvest'!$A:$AY,column(W367)-$A$5,0)</f>
        <v>23.69</v>
      </c>
      <c r="X367" s="45">
        <f>VLOOKUP($A367,'Dados StatusInvest'!$A:$AY,column(X367)-$A$5,0)</f>
        <v>6.76</v>
      </c>
      <c r="Y367" s="45">
        <f>VLOOKUP($A367,'Dados StatusInvest'!$A:$AY,column(Y367)-$A$5,0)</f>
        <v>14.32</v>
      </c>
      <c r="Z367" s="44">
        <f>VLOOKUP($A367,'Dados StatusInvest'!$A:$AY,column(Z367)-$A$5,0)</f>
        <v>0.29</v>
      </c>
      <c r="AA367" s="44">
        <f>VLOOKUP($A367,'Dados StatusInvest'!$A:$AY,column(AA367)-$A$5,0)</f>
        <v>0.71</v>
      </c>
      <c r="AB367" s="44">
        <f>VLOOKUP($A367,'Dados StatusInvest'!$A:$AY,column(AB367)-$A$5,0)</f>
        <v>0.52</v>
      </c>
      <c r="AC367" s="44">
        <f>VLOOKUP($A367,'Dados StatusInvest'!$A:$AY,column(AC367)-$A$5,0)</f>
        <v>7.01</v>
      </c>
      <c r="AD367" s="45">
        <f>VLOOKUP($A367,'Dados StatusInvest'!$A:$AY,column(AD367)-$A$5,0)</f>
        <v>10.16</v>
      </c>
      <c r="AE367" s="46">
        <f>VLOOKUP($A367,'Dados StatusInvest'!$A:$AY,column(AE367)-$A$5,0)</f>
        <v>45287.92</v>
      </c>
      <c r="AF367" s="50"/>
    </row>
    <row r="368">
      <c r="A368" s="10" t="s">
        <v>414</v>
      </c>
      <c r="B368" s="39" t="str">
        <f>VLOOKUP(lEFT($A368,4),Setor!$A:$E,3,0)</f>
        <v>#N/A</v>
      </c>
      <c r="C368" s="39" t="str">
        <f>VLOOKUP(lEFT($A368,4),Setor!$A:$E,4,0)</f>
        <v>#N/A</v>
      </c>
      <c r="D368" s="39" t="str">
        <f>VLOOKUP(lEFT($A368,4),Setor!$A:$E,5,0)</f>
        <v>#N/A</v>
      </c>
      <c r="E368" s="17">
        <f>IFERROR(__xludf.DUMMYFUNCTION("GOOGLEFINANCE(A368)"),13.1)</f>
        <v>13.1</v>
      </c>
      <c r="F368" s="17">
        <f>IFERROR(__xludf.DUMMYFUNCTION("GOOGLEFINANCE($A368,""high52"")"),23.79)</f>
        <v>23.79</v>
      </c>
      <c r="G368" s="16">
        <f t="shared" si="1"/>
        <v>-0.4493484657</v>
      </c>
      <c r="H368" s="40">
        <f>VLOOKUP($A368,'Dados StatusInvest'!$A:$AY,column(H368)-$A$5,0)*VLOOKUP($A368,'Dados StatusInvest'!$A:$AY,2,0)/$E368/100</f>
        <v>0</v>
      </c>
      <c r="I368" s="41">
        <f>VLOOKUP($A368,'Dados StatusInvest'!$A:$AY,column(I368)-$A$5,0)/VLOOKUP($A368,'Dados StatusInvest'!$A:$AY,2,0)*$E368</f>
        <v>4.893144208</v>
      </c>
      <c r="J368" s="41">
        <f>VLOOKUP($A368,'Dados StatusInvest'!$A:$AY,column(J368)-$A$5,0)/VLOOKUP($A368,'Dados StatusInvest'!$A:$AY,2,0)*$E368</f>
        <v>3.582111899</v>
      </c>
      <c r="K368" s="42">
        <f>VLOOKUP($A368,'Dados StatusInvest'!$A:$AY,column(K368)-$A$5,0)/VLOOKUP($A368,'Dados StatusInvest'!$A:$AY,2,0)*$E368</f>
        <v>0.9394011032</v>
      </c>
      <c r="L368" s="43">
        <f>VLOOKUP($A368,'Dados StatusInvest'!$A:$AY,column(L368)-$A$5,0)/100</f>
        <v>0.1622</v>
      </c>
      <c r="M368" s="44">
        <f>VLOOKUP($A368,'Dados StatusInvest'!$A:$AY,column(M368)-$A$5,0)</f>
        <v>8.54</v>
      </c>
      <c r="N368" s="44">
        <f>VLOOKUP($A368,'Dados StatusInvest'!$A:$AY,column(N368)-$A$5,0)</f>
        <v>5.83</v>
      </c>
      <c r="O368" s="41">
        <f>VLOOKUP($A368,'Dados StatusInvest'!$A:$AY,column(O368)-$A$5,0)/VLOOKUP($A368,'Dados StatusInvest'!$A:$AY,2,0)*$E368</f>
        <v>3.344680851</v>
      </c>
      <c r="P368" s="41">
        <f>VLOOKUP($A368,'Dados StatusInvest'!$A:$AY,column(P368)-$A$5,0)-VLOOKUP($A368,'Dados StatusInvest'!$A:$AY,column(P368)-$A$5-1,0)+O368</f>
        <v>3.364680851</v>
      </c>
      <c r="Q368" s="44">
        <f>VLOOKUP($A368,'Dados StatusInvest'!$A:$AY,column(Q368)-$A$5,0)</f>
        <v>0.04</v>
      </c>
      <c r="R368" s="44">
        <f>VLOOKUP($A368,'Dados StatusInvest'!$A:$AY,column(R368)-$A$5,0)</f>
        <v>0.04</v>
      </c>
      <c r="S368" s="41">
        <f>VLOOKUP($A368,'Dados StatusInvest'!$A:$AY,column(S368)-$A$5,0)/VLOOKUP($A368,'Dados StatusInvest'!$A:$AY,2,0)*$E368</f>
        <v>0.2890464933</v>
      </c>
      <c r="T368" s="42">
        <f>VLOOKUP($A368,'Dados StatusInvest'!$A:$AY,column(T368)-$A$5,0)/VLOOKUP($A368,'Dados StatusInvest'!$A:$AY,2,0)*$E368</f>
        <v>5.853191489</v>
      </c>
      <c r="U368" s="44">
        <f>VLOOKUP($A368,'Dados StatusInvest'!$A:$AY,column(U368)-$A$5,0)</f>
        <v>-2.27</v>
      </c>
      <c r="V368" s="45">
        <f>VLOOKUP($A368,'Dados StatusInvest'!$A:$AY,column(V368)-$A$5,0)</f>
        <v>1.37</v>
      </c>
      <c r="W368" s="45">
        <f>VLOOKUP($A368,'Dados StatusInvest'!$A:$AY,column(W368)-$A$5,0)</f>
        <v>73.21</v>
      </c>
      <c r="X368" s="45">
        <f>VLOOKUP($A368,'Dados StatusInvest'!$A:$AY,column(X368)-$A$5,0)</f>
        <v>19.23</v>
      </c>
      <c r="Y368" s="45">
        <f>VLOOKUP($A368,'Dados StatusInvest'!$A:$AY,column(Y368)-$A$5,0)</f>
        <v>52.01</v>
      </c>
      <c r="Z368" s="44">
        <f>VLOOKUP($A368,'Dados StatusInvest'!$A:$AY,column(Z368)-$A$5,0)</f>
        <v>0.26</v>
      </c>
      <c r="AA368" s="44">
        <f>VLOOKUP($A368,'Dados StatusInvest'!$A:$AY,column(AA368)-$A$5,0)</f>
        <v>0.74</v>
      </c>
      <c r="AB368" s="44">
        <f>VLOOKUP($A368,'Dados StatusInvest'!$A:$AY,column(AB368)-$A$5,0)</f>
        <v>3.3</v>
      </c>
      <c r="AC368" s="44">
        <f>VLOOKUP($A368,'Dados StatusInvest'!$A:$AY,column(AC368)-$A$5,0)</f>
        <v>5.92</v>
      </c>
      <c r="AD368" s="45">
        <f>VLOOKUP($A368,'Dados StatusInvest'!$A:$AY,column(AD368)-$A$5,0)</f>
        <v>-9.14</v>
      </c>
      <c r="AE368" s="46">
        <f>VLOOKUP($A368,'Dados StatusInvest'!$A:$AY,column(AE368)-$A$5,0)</f>
        <v>75798.88</v>
      </c>
      <c r="AF368" s="51"/>
    </row>
    <row r="369">
      <c r="A369" s="10" t="s">
        <v>415</v>
      </c>
      <c r="B369" s="39" t="str">
        <f>VLOOKUP(lEFT($A369,4),Setor!$A:$E,3,0)</f>
        <v>Bens Industriais</v>
      </c>
      <c r="C369" s="39" t="str">
        <f>VLOOKUP(lEFT($A369,4),Setor!$A:$E,4,0)</f>
        <v>Comércio</v>
      </c>
      <c r="D369" s="39" t="str">
        <f>VLOOKUP(lEFT($A369,4),Setor!$A:$E,5,0)</f>
        <v>Material de Transporte</v>
      </c>
      <c r="E369" s="17">
        <f>IFERROR(__xludf.DUMMYFUNCTION("GOOGLEFINANCE(A369)"),40.0)</f>
        <v>40</v>
      </c>
      <c r="F369" s="17">
        <f>IFERROR(__xludf.DUMMYFUNCTION("GOOGLEFINANCE($A369,""high52"")"),43.63)</f>
        <v>43.63</v>
      </c>
      <c r="G369" s="16">
        <f t="shared" si="1"/>
        <v>-0.08319963328</v>
      </c>
      <c r="H369" s="40">
        <f>VLOOKUP($A369,'Dados StatusInvest'!$A:$AY,column(H369)-$A$5,0)*VLOOKUP($A369,'Dados StatusInvest'!$A:$AY,2,0)/$E369/100</f>
        <v>0.0136</v>
      </c>
      <c r="I369" s="41">
        <f>VLOOKUP($A369,'Dados StatusInvest'!$A:$AY,column(I369)-$A$5,0)/VLOOKUP($A369,'Dados StatusInvest'!$A:$AY,2,0)*$E369</f>
        <v>15.8</v>
      </c>
      <c r="J369" s="41">
        <f>VLOOKUP($A369,'Dados StatusInvest'!$A:$AY,column(J369)-$A$5,0)/VLOOKUP($A369,'Dados StatusInvest'!$A:$AY,2,0)*$E369</f>
        <v>2.84</v>
      </c>
      <c r="K369" s="42">
        <f>VLOOKUP($A369,'Dados StatusInvest'!$A:$AY,column(K369)-$A$5,0)/VLOOKUP($A369,'Dados StatusInvest'!$A:$AY,2,0)*$E369</f>
        <v>2.27</v>
      </c>
      <c r="L369" s="43">
        <f>VLOOKUP($A369,'Dados StatusInvest'!$A:$AY,column(L369)-$A$5,0)/100</f>
        <v>0.1356</v>
      </c>
      <c r="M369" s="44">
        <f>VLOOKUP($A369,'Dados StatusInvest'!$A:$AY,column(M369)-$A$5,0)</f>
        <v>8.09</v>
      </c>
      <c r="N369" s="44">
        <f>VLOOKUP($A369,'Dados StatusInvest'!$A:$AY,column(N369)-$A$5,0)</f>
        <v>5.87</v>
      </c>
      <c r="O369" s="41">
        <f>VLOOKUP($A369,'Dados StatusInvest'!$A:$AY,column(O369)-$A$5,0)/VLOOKUP($A369,'Dados StatusInvest'!$A:$AY,2,0)*$E369</f>
        <v>11.46</v>
      </c>
      <c r="P369" s="41">
        <f>VLOOKUP($A369,'Dados StatusInvest'!$A:$AY,column(P369)-$A$5,0)-VLOOKUP($A369,'Dados StatusInvest'!$A:$AY,column(P369)-$A$5-1,0)+O369</f>
        <v>9.79</v>
      </c>
      <c r="Q369" s="44">
        <f>VLOOKUP($A369,'Dados StatusInvest'!$A:$AY,column(Q369)-$A$5,0)</f>
        <v>-0.89</v>
      </c>
      <c r="R369" s="44">
        <f>VLOOKUP($A369,'Dados StatusInvest'!$A:$AY,column(R369)-$A$5,0)</f>
        <v>-0.22</v>
      </c>
      <c r="S369" s="41">
        <f>VLOOKUP($A369,'Dados StatusInvest'!$A:$AY,column(S369)-$A$5,0)/VLOOKUP($A369,'Dados StatusInvest'!$A:$AY,2,0)*$E369</f>
        <v>0.93</v>
      </c>
      <c r="T369" s="42">
        <f>VLOOKUP($A369,'Dados StatusInvest'!$A:$AY,column(T369)-$A$5,0)/VLOOKUP($A369,'Dados StatusInvest'!$A:$AY,2,0)*$E369</f>
        <v>6.15</v>
      </c>
      <c r="U369" s="44">
        <f>VLOOKUP($A369,'Dados StatusInvest'!$A:$AY,column(U369)-$A$5,0)</f>
        <v>-4.39</v>
      </c>
      <c r="V369" s="45">
        <f>VLOOKUP($A369,'Dados StatusInvest'!$A:$AY,column(V369)-$A$5,0)</f>
        <v>4.29</v>
      </c>
      <c r="W369" s="45">
        <f>VLOOKUP($A369,'Dados StatusInvest'!$A:$AY,column(W369)-$A$5,0)</f>
        <v>17.97</v>
      </c>
      <c r="X369" s="45">
        <f>VLOOKUP($A369,'Dados StatusInvest'!$A:$AY,column(X369)-$A$5,0)</f>
        <v>14.39</v>
      </c>
      <c r="Y369" s="45">
        <f>VLOOKUP($A369,'Dados StatusInvest'!$A:$AY,column(Y369)-$A$5,0)</f>
        <v>16.73</v>
      </c>
      <c r="Z369" s="44">
        <f>VLOOKUP($A369,'Dados StatusInvest'!$A:$AY,column(Z369)-$A$5,0)</f>
        <v>0.8</v>
      </c>
      <c r="AA369" s="44">
        <f>VLOOKUP($A369,'Dados StatusInvest'!$A:$AY,column(AA369)-$A$5,0)</f>
        <v>0.2</v>
      </c>
      <c r="AB369" s="44">
        <f>VLOOKUP($A369,'Dados StatusInvest'!$A:$AY,column(AB369)-$A$5,0)</f>
        <v>2.45</v>
      </c>
      <c r="AC369" s="44">
        <f>VLOOKUP($A369,'Dados StatusInvest'!$A:$AY,column(AC369)-$A$5,0)</f>
        <v>14.81</v>
      </c>
      <c r="AD369" s="45">
        <f>VLOOKUP($A369,'Dados StatusInvest'!$A:$AY,column(AD369)-$A$5,0)</f>
        <v>87.64</v>
      </c>
      <c r="AE369" s="46">
        <f>VLOOKUP($A369,'Dados StatusInvest'!$A:$AY,column(AE369)-$A$5,0)</f>
        <v>72783.7</v>
      </c>
      <c r="AF369" s="18"/>
    </row>
    <row r="370">
      <c r="A370" s="10" t="s">
        <v>416</v>
      </c>
      <c r="B370" s="39" t="str">
        <f>VLOOKUP(lEFT($A370,4),Setor!$A:$E,3,0)</f>
        <v>Petróleo, Gás e Biocombustíveis</v>
      </c>
      <c r="C370" s="39" t="str">
        <f>VLOOKUP(lEFT($A370,4),Setor!$A:$E,4,0)</f>
        <v>Petróleo, Gás e Biocombustíveis</v>
      </c>
      <c r="D370" s="39" t="str">
        <f>VLOOKUP(lEFT($A370,4),Setor!$A:$E,5,0)</f>
        <v>Equipamentos e Serviços</v>
      </c>
      <c r="E370" s="17">
        <f>IFERROR(__xludf.DUMMYFUNCTION("GOOGLEFINANCE(A370)"),7.59)</f>
        <v>7.59</v>
      </c>
      <c r="F370" s="17">
        <f>IFERROR(__xludf.DUMMYFUNCTION("GOOGLEFINANCE($A370,""high52"")"),45.5)</f>
        <v>45.5</v>
      </c>
      <c r="G370" s="16">
        <f t="shared" si="1"/>
        <v>-0.8331868132</v>
      </c>
      <c r="H370" s="40">
        <f>VLOOKUP($A370,'Dados StatusInvest'!$A:$AY,column(H370)-$A$5,0)*VLOOKUP($A370,'Dados StatusInvest'!$A:$AY,2,0)/$E370/100</f>
        <v>0</v>
      </c>
      <c r="I370" s="41">
        <f>VLOOKUP($A370,'Dados StatusInvest'!$A:$AY,column(I370)-$A$5,0)/VLOOKUP($A370,'Dados StatusInvest'!$A:$AY,2,0)*$E370</f>
        <v>-0.03023904382</v>
      </c>
      <c r="J370" s="41">
        <f>VLOOKUP($A370,'Dados StatusInvest'!$A:$AY,column(J370)-$A$5,0)/VLOOKUP($A370,'Dados StatusInvest'!$A:$AY,2,0)*$E370</f>
        <v>0</v>
      </c>
      <c r="K370" s="42">
        <f>VLOOKUP($A370,'Dados StatusInvest'!$A:$AY,column(K370)-$A$5,0)/VLOOKUP($A370,'Dados StatusInvest'!$A:$AY,2,0)*$E370</f>
        <v>0.02015936255</v>
      </c>
      <c r="L370" s="43">
        <f>VLOOKUP($A370,'Dados StatusInvest'!$A:$AY,column(L370)-$A$5,0)/100</f>
        <v>0.9489</v>
      </c>
      <c r="M370" s="47">
        <f>VLOOKUP($A370,'Dados StatusInvest'!$A:$AY,column(M370)-$A$5,0)</f>
        <v>-3821.21</v>
      </c>
      <c r="N370" s="47">
        <f>VLOOKUP($A370,'Dados StatusInvest'!$A:$AY,column(N370)-$A$5,0)</f>
        <v>-5619.94</v>
      </c>
      <c r="O370" s="41">
        <f>VLOOKUP($A370,'Dados StatusInvest'!$A:$AY,column(O370)-$A$5,0)/VLOOKUP($A370,'Dados StatusInvest'!$A:$AY,2,0)*$E370</f>
        <v>-0.0403187251</v>
      </c>
      <c r="P370" s="41">
        <f>VLOOKUP($A370,'Dados StatusInvest'!$A:$AY,column(P370)-$A$5,0)-VLOOKUP($A370,'Dados StatusInvest'!$A:$AY,column(P370)-$A$5-1,0)+O370</f>
        <v>-7.260318725</v>
      </c>
      <c r="Q370" s="44">
        <f>VLOOKUP($A370,'Dados StatusInvest'!$A:$AY,column(Q370)-$A$5,0)</f>
        <v>-7.22</v>
      </c>
      <c r="R370" s="44">
        <f>VLOOKUP($A370,'Dados StatusInvest'!$A:$AY,column(R370)-$A$5,0)</f>
        <v>0</v>
      </c>
      <c r="S370" s="41">
        <f>VLOOKUP($A370,'Dados StatusInvest'!$A:$AY,column(S370)-$A$5,0)/VLOOKUP($A370,'Dados StatusInvest'!$A:$AY,2,0)*$E370</f>
        <v>1.431314741</v>
      </c>
      <c r="T370" s="42">
        <f>VLOOKUP($A370,'Dados StatusInvest'!$A:$AY,column(T370)-$A$5,0)/VLOOKUP($A370,'Dados StatusInvest'!$A:$AY,2,0)*$E370</f>
        <v>-0.0403187251</v>
      </c>
      <c r="U370" s="44">
        <f>VLOOKUP($A370,'Dados StatusInvest'!$A:$AY,column(U370)-$A$5,0)</f>
        <v>-0.02</v>
      </c>
      <c r="V370" s="45">
        <f>VLOOKUP($A370,'Dados StatusInvest'!$A:$AY,column(V370)-$A$5,0)</f>
        <v>0.04</v>
      </c>
      <c r="W370" s="48">
        <f>VLOOKUP($A370,'Dados StatusInvest'!$A:$AY,column(W370)-$A$5,0)</f>
        <v>-16.54</v>
      </c>
      <c r="X370" s="45">
        <f>VLOOKUP($A370,'Dados StatusInvest'!$A:$AY,column(X370)-$A$5,0)</f>
        <v>-62.71</v>
      </c>
      <c r="Y370" s="45">
        <f>VLOOKUP($A370,'Dados StatusInvest'!$A:$AY,column(Y370)-$A$5,0)</f>
        <v>59.36</v>
      </c>
      <c r="Z370" s="44">
        <f>VLOOKUP($A370,'Dados StatusInvest'!$A:$AY,column(Z370)-$A$5,0)</f>
        <v>-3.79</v>
      </c>
      <c r="AA370" s="44">
        <f>VLOOKUP($A370,'Dados StatusInvest'!$A:$AY,column(AA370)-$A$5,0)</f>
        <v>4.8</v>
      </c>
      <c r="AB370" s="44">
        <f>VLOOKUP($A370,'Dados StatusInvest'!$A:$AY,column(AB370)-$A$5,0)</f>
        <v>0.01</v>
      </c>
      <c r="AC370" s="44">
        <f>VLOOKUP($A370,'Dados StatusInvest'!$A:$AY,column(AC370)-$A$5,0)</f>
        <v>-44.4</v>
      </c>
      <c r="AD370" s="45">
        <f>VLOOKUP($A370,'Dados StatusInvest'!$A:$AY,column(AD370)-$A$5,0)</f>
        <v>0</v>
      </c>
      <c r="AE370" s="46">
        <f>VLOOKUP($A370,'Dados StatusInvest'!$A:$AY,column(AE370)-$A$5,0)</f>
        <v>62727.96</v>
      </c>
      <c r="AF370" s="51"/>
    </row>
    <row r="371">
      <c r="A371" s="10" t="s">
        <v>417</v>
      </c>
      <c r="B371" s="39" t="str">
        <f>VLOOKUP(lEFT($A371,4),Setor!$A:$E,3,0)</f>
        <v>Financeiro</v>
      </c>
      <c r="C371" s="39" t="str">
        <f>VLOOKUP(lEFT($A371,4),Setor!$A:$E,4,0)</f>
        <v>Intermediários Financeiros</v>
      </c>
      <c r="D371" s="39" t="str">
        <f>VLOOKUP(lEFT($A371,4),Setor!$A:$E,5,0)</f>
        <v>Bancos</v>
      </c>
      <c r="E371" s="17">
        <f>IFERROR(__xludf.DUMMYFUNCTION("GOOGLEFINANCE(A371)"),18.4)</f>
        <v>18.4</v>
      </c>
      <c r="F371" s="17">
        <f>IFERROR(__xludf.DUMMYFUNCTION("GOOGLEFINANCE($A371,""high52"")"),21.8)</f>
        <v>21.8</v>
      </c>
      <c r="G371" s="16">
        <f t="shared" si="1"/>
        <v>-0.1559633028</v>
      </c>
      <c r="H371" s="40">
        <f>VLOOKUP($A371,'Dados StatusInvest'!$A:$AY,column(H371)-$A$5,0)*VLOOKUP($A371,'Dados StatusInvest'!$A:$AY,2,0)/$E371/100</f>
        <v>0.07065054348</v>
      </c>
      <c r="I371" s="41">
        <f>VLOOKUP($A371,'Dados StatusInvest'!$A:$AY,column(I371)-$A$5,0)/VLOOKUP($A371,'Dados StatusInvest'!$A:$AY,2,0)*$E371</f>
        <v>5.418047493</v>
      </c>
      <c r="J371" s="41">
        <f>VLOOKUP($A371,'Dados StatusInvest'!$A:$AY,column(J371)-$A$5,0)/VLOOKUP($A371,'Dados StatusInvest'!$A:$AY,2,0)*$E371</f>
        <v>0.9030079156</v>
      </c>
      <c r="K371" s="42">
        <f>VLOOKUP($A371,'Dados StatusInvest'!$A:$AY,column(K371)-$A$5,0)/VLOOKUP($A371,'Dados StatusInvest'!$A:$AY,2,0)*$E371</f>
        <v>0.0873878628</v>
      </c>
      <c r="L371" s="43">
        <f>VLOOKUP($A371,'Dados StatusInvest'!$A:$AY,column(L371)-$A$5,0)/100</f>
        <v>0.7901</v>
      </c>
      <c r="M371" s="44">
        <f>VLOOKUP($A371,'Dados StatusInvest'!$A:$AY,column(M371)-$A$5,0)</f>
        <v>11.29</v>
      </c>
      <c r="N371" s="44">
        <f>VLOOKUP($A371,'Dados StatusInvest'!$A:$AY,column(N371)-$A$5,0)</f>
        <v>7.93</v>
      </c>
      <c r="O371" s="41">
        <f>VLOOKUP($A371,'Dados StatusInvest'!$A:$AY,column(O371)-$A$5,0)/VLOOKUP($A371,'Dados StatusInvest'!$A:$AY,2,0)*$E371</f>
        <v>3.806226913</v>
      </c>
      <c r="P371" s="41">
        <f>VLOOKUP($A371,'Dados StatusInvest'!$A:$AY,column(P371)-$A$5,0)-VLOOKUP($A371,'Dados StatusInvest'!$A:$AY,column(P371)-$A$5-1,0)+O371</f>
        <v>4.296226913</v>
      </c>
      <c r="Q371" s="44">
        <f>VLOOKUP($A371,'Dados StatusInvest'!$A:$AY,column(Q371)-$A$5,0)</f>
        <v>0</v>
      </c>
      <c r="R371" s="44">
        <f>VLOOKUP($A371,'Dados StatusInvest'!$A:$AY,column(R371)-$A$5,0)</f>
        <v>0</v>
      </c>
      <c r="S371" s="41">
        <f>VLOOKUP($A371,'Dados StatusInvest'!$A:$AY,column(S371)-$A$5,0)/VLOOKUP($A371,'Dados StatusInvest'!$A:$AY,2,0)*$E371</f>
        <v>0.4272295515</v>
      </c>
      <c r="T371" s="42">
        <f>VLOOKUP($A371,'Dados StatusInvest'!$A:$AY,column(T371)-$A$5,0)/VLOOKUP($A371,'Dados StatusInvest'!$A:$AY,2,0)*$E371</f>
        <v>0.5243271768</v>
      </c>
      <c r="U371" s="44">
        <f>VLOOKUP($A371,'Dados StatusInvest'!$A:$AY,column(U371)-$A$5,0)</f>
        <v>-0.16</v>
      </c>
      <c r="V371" s="45">
        <f>VLOOKUP($A371,'Dados StatusInvest'!$A:$AY,column(V371)-$A$5,0)</f>
        <v>1.51</v>
      </c>
      <c r="W371" s="45">
        <f>VLOOKUP($A371,'Dados StatusInvest'!$A:$AY,column(W371)-$A$5,0)</f>
        <v>16.67</v>
      </c>
      <c r="X371" s="45">
        <f>VLOOKUP($A371,'Dados StatusInvest'!$A:$AY,column(X371)-$A$5,0)</f>
        <v>1.54</v>
      </c>
      <c r="Y371" s="48">
        <f>VLOOKUP($A371,'Dados StatusInvest'!$A:$AY,column(Y371)-$A$5,0)</f>
        <v>0</v>
      </c>
      <c r="Z371" s="44">
        <f>VLOOKUP($A371,'Dados StatusInvest'!$A:$AY,column(Z371)-$A$5,0)</f>
        <v>0.09</v>
      </c>
      <c r="AA371" s="44">
        <f>VLOOKUP($A371,'Dados StatusInvest'!$A:$AY,column(AA371)-$A$5,0)</f>
        <v>0.91</v>
      </c>
      <c r="AB371" s="44">
        <f>VLOOKUP($A371,'Dados StatusInvest'!$A:$AY,column(AB371)-$A$5,0)</f>
        <v>0.19</v>
      </c>
      <c r="AC371" s="44">
        <f>VLOOKUP($A371,'Dados StatusInvest'!$A:$AY,column(AC371)-$A$5,0)</f>
        <v>-9.42</v>
      </c>
      <c r="AD371" s="45">
        <f>VLOOKUP($A371,'Dados StatusInvest'!$A:$AY,column(AD371)-$A$5,0)</f>
        <v>11.41</v>
      </c>
      <c r="AE371" s="46">
        <f>VLOOKUP($A371,'Dados StatusInvest'!$A:$AY,column(AE371)-$A$5,0)</f>
        <v>46575.29</v>
      </c>
      <c r="AF371" s="51"/>
    </row>
    <row r="372">
      <c r="A372" s="10" t="s">
        <v>418</v>
      </c>
      <c r="B372" s="39" t="str">
        <f>VLOOKUP(lEFT($A372,4),Setor!$A:$E,3,0)</f>
        <v>Consumo não Cíclico</v>
      </c>
      <c r="C372" s="39" t="str">
        <f>VLOOKUP(lEFT($A372,4),Setor!$A:$E,4,0)</f>
        <v>Agropecuária</v>
      </c>
      <c r="D372" s="39" t="str">
        <f>VLOOKUP(lEFT($A372,4),Setor!$A:$E,5,0)</f>
        <v>Agricultura</v>
      </c>
      <c r="E372" s="17">
        <f>IFERROR(__xludf.DUMMYFUNCTION("GOOGLEFINANCE(A372)"),5.64)</f>
        <v>5.64</v>
      </c>
      <c r="F372" s="17">
        <f>IFERROR(__xludf.DUMMYFUNCTION("GOOGLEFINANCE($A372,""high52"")"),11.5)</f>
        <v>11.5</v>
      </c>
      <c r="G372" s="16">
        <f t="shared" si="1"/>
        <v>-0.5095652174</v>
      </c>
      <c r="H372" s="40">
        <f>VLOOKUP($A372,'Dados StatusInvest'!$A:$AY,column(H372)-$A$5,0)*VLOOKUP($A372,'Dados StatusInvest'!$A:$AY,2,0)/$E372/100</f>
        <v>0</v>
      </c>
      <c r="I372" s="41">
        <f>VLOOKUP($A372,'Dados StatusInvest'!$A:$AY,column(I372)-$A$5,0)/VLOOKUP($A372,'Dados StatusInvest'!$A:$AY,2,0)*$E372</f>
        <v>-19.49456483</v>
      </c>
      <c r="J372" s="41">
        <f>VLOOKUP($A372,'Dados StatusInvest'!$A:$AY,column(J372)-$A$5,0)/VLOOKUP($A372,'Dados StatusInvest'!$A:$AY,2,0)*$E372</f>
        <v>-0.1803197158</v>
      </c>
      <c r="K372" s="42">
        <f>VLOOKUP($A372,'Dados StatusInvest'!$A:$AY,column(K372)-$A$5,0)/VLOOKUP($A372,'Dados StatusInvest'!$A:$AY,2,0)*$E372</f>
        <v>0.3305861456</v>
      </c>
      <c r="L372" s="43">
        <f>VLOOKUP($A372,'Dados StatusInvest'!$A:$AY,column(L372)-$A$5,0)/100</f>
        <v>0.3292</v>
      </c>
      <c r="M372" s="47">
        <f>VLOOKUP($A372,'Dados StatusInvest'!$A:$AY,column(M372)-$A$5,0)</f>
        <v>9.48</v>
      </c>
      <c r="N372" s="47">
        <f>VLOOKUP($A372,'Dados StatusInvest'!$A:$AY,column(N372)-$A$5,0)</f>
        <v>-3.58</v>
      </c>
      <c r="O372" s="41">
        <f>VLOOKUP($A372,'Dados StatusInvest'!$A:$AY,column(O372)-$A$5,0)/VLOOKUP($A372,'Dados StatusInvest'!$A:$AY,2,0)*$E372</f>
        <v>7.363055062</v>
      </c>
      <c r="P372" s="41">
        <f>VLOOKUP($A372,'Dados StatusInvest'!$A:$AY,column(P372)-$A$5,0)-VLOOKUP($A372,'Dados StatusInvest'!$A:$AY,column(P372)-$A$5-1,0)+O372</f>
        <v>47.49305506</v>
      </c>
      <c r="Q372" s="44">
        <f>VLOOKUP($A372,'Dados StatusInvest'!$A:$AY,column(Q372)-$A$5,0)</f>
        <v>39.98</v>
      </c>
      <c r="R372" s="44">
        <f>VLOOKUP($A372,'Dados StatusInvest'!$A:$AY,column(R372)-$A$5,0)</f>
        <v>0</v>
      </c>
      <c r="S372" s="41">
        <f>VLOOKUP($A372,'Dados StatusInvest'!$A:$AY,column(S372)-$A$5,0)/VLOOKUP($A372,'Dados StatusInvest'!$A:$AY,2,0)*$E372</f>
        <v>0.7012433393</v>
      </c>
      <c r="T372" s="42">
        <f>VLOOKUP($A372,'Dados StatusInvest'!$A:$AY,column(T372)-$A$5,0)/VLOOKUP($A372,'Dados StatusInvest'!$A:$AY,2,0)*$E372</f>
        <v>-0.1502664298</v>
      </c>
      <c r="U372" s="44">
        <f>VLOOKUP($A372,'Dados StatusInvest'!$A:$AY,column(U372)-$A$5,0)</f>
        <v>-0.4</v>
      </c>
      <c r="V372" s="45">
        <f>VLOOKUP($A372,'Dados StatusInvest'!$A:$AY,column(V372)-$A$5,0)</f>
        <v>0.07</v>
      </c>
      <c r="W372" s="45">
        <f>VLOOKUP($A372,'Dados StatusInvest'!$A:$AY,column(W372)-$A$5,0)</f>
        <v>-0.9</v>
      </c>
      <c r="X372" s="45">
        <f>VLOOKUP($A372,'Dados StatusInvest'!$A:$AY,column(X372)-$A$5,0)</f>
        <v>-1.71</v>
      </c>
      <c r="Y372" s="45">
        <f>VLOOKUP($A372,'Dados StatusInvest'!$A:$AY,column(Y372)-$A$5,0)</f>
        <v>-35.08</v>
      </c>
      <c r="Z372" s="44">
        <f>VLOOKUP($A372,'Dados StatusInvest'!$A:$AY,column(Z372)-$A$5,0)</f>
        <v>-1.89</v>
      </c>
      <c r="AA372" s="44">
        <f>VLOOKUP($A372,'Dados StatusInvest'!$A:$AY,column(AA372)-$A$5,0)</f>
        <v>2.89</v>
      </c>
      <c r="AB372" s="44">
        <f>VLOOKUP($A372,'Dados StatusInvest'!$A:$AY,column(AB372)-$A$5,0)</f>
        <v>0.48</v>
      </c>
      <c r="AC372" s="44">
        <f>VLOOKUP($A372,'Dados StatusInvest'!$A:$AY,column(AC372)-$A$5,0)</f>
        <v>-19.35</v>
      </c>
      <c r="AD372" s="45">
        <f>VLOOKUP($A372,'Dados StatusInvest'!$A:$AY,column(AD372)-$A$5,0)</f>
        <v>0</v>
      </c>
      <c r="AE372" s="46">
        <f>VLOOKUP($A372,'Dados StatusInvest'!$A:$AY,column(AE372)-$A$5,0)</f>
        <v>83552.29</v>
      </c>
      <c r="AF372" s="51"/>
    </row>
    <row r="373">
      <c r="A373" s="10" t="s">
        <v>419</v>
      </c>
      <c r="B373" s="52" t="str">
        <f>VLOOKUP(LEFT($A373,4),Setor!$A:$E,3,0)</f>
        <v>Utilidade Pública</v>
      </c>
      <c r="C373" s="52" t="str">
        <f>VLOOKUP(LEFT($A373,4),Setor!$A:$E,4,0)</f>
        <v>Energia Elétrica</v>
      </c>
      <c r="D373" s="52" t="str">
        <f>VLOOKUP(LEFT($A373,4),Setor!$A:$E,5,0)</f>
        <v>Energia Elétrica</v>
      </c>
      <c r="E373" s="53">
        <f>IFERROR(__xludf.DUMMYFUNCTION("GOOGLEFINANCE(A373)"),79.0)</f>
        <v>79</v>
      </c>
      <c r="F373" s="53">
        <f>IFERROR(__xludf.DUMMYFUNCTION("GOOGLEFINANCE($A373,""high52"")"),80.0)</f>
        <v>80</v>
      </c>
      <c r="G373" s="54">
        <f t="shared" si="1"/>
        <v>-0.0125</v>
      </c>
      <c r="H373" s="55">
        <f>VLOOKUP($A373,'Dados StatusInvest'!$A:$AY,COLUMN(H373)-$A$5,0)*VLOOKUP($A373,'Dados StatusInvest'!$A:$AY,2,0)/$E373/100</f>
        <v>0.0584</v>
      </c>
      <c r="I373" s="56">
        <f>VLOOKUP($A373,'Dados StatusInvest'!$A:$AY,COLUMN(I373)-$A$5,0)/VLOOKUP($A373,'Dados StatusInvest'!$A:$AY,2,0)*$E373</f>
        <v>14.55</v>
      </c>
      <c r="J373" s="56">
        <f>VLOOKUP($A373,'Dados StatusInvest'!$A:$AY,COLUMN(J373)-$A$5,0)/VLOOKUP($A373,'Dados StatusInvest'!$A:$AY,2,0)*$E373</f>
        <v>5.75</v>
      </c>
      <c r="K373" s="57">
        <f>VLOOKUP($A373,'Dados StatusInvest'!$A:$AY,COLUMN(K373)-$A$5,0)/VLOOKUP($A373,'Dados StatusInvest'!$A:$AY,2,0)*$E373</f>
        <v>1.67</v>
      </c>
      <c r="L373" s="58">
        <f>VLOOKUP($A373,'Dados StatusInvest'!$A:$AY,COLUMN(L373)-$A$5,0)/100</f>
        <v>0.2821</v>
      </c>
      <c r="M373" s="59">
        <f>VLOOKUP($A373,'Dados StatusInvest'!$A:$AY,COLUMN(M373)-$A$5,0)</f>
        <v>24.77</v>
      </c>
      <c r="N373" s="63">
        <f>VLOOKUP($A373,'Dados StatusInvest'!$A:$AY,COLUMN(N373)-$A$5,0)</f>
        <v>19.86</v>
      </c>
      <c r="O373" s="56">
        <f>VLOOKUP($A373,'Dados StatusInvest'!$A:$AY,COLUMN(O373)-$A$5,0)/VLOOKUP($A373,'Dados StatusInvest'!$A:$AY,2,0)*$E373</f>
        <v>11.66</v>
      </c>
      <c r="P373" s="56">
        <f>VLOOKUP($A373,'Dados StatusInvest'!$A:$AY,COLUMN(P373)-$A$5,0)-VLOOKUP($A373,'Dados StatusInvest'!$A:$AY,COLUMN(P373)-$A$5-1,0)+O373</f>
        <v>13.7</v>
      </c>
      <c r="Q373" s="59">
        <f>VLOOKUP($A373,'Dados StatusInvest'!$A:$AY,COLUMN(Q373)-$A$5,0)</f>
        <v>2.02</v>
      </c>
      <c r="R373" s="59">
        <f>VLOOKUP($A373,'Dados StatusInvest'!$A:$AY,COLUMN(R373)-$A$5,0)</f>
        <v>1</v>
      </c>
      <c r="S373" s="56">
        <f>VLOOKUP($A373,'Dados StatusInvest'!$A:$AY,COLUMN(S373)-$A$5,0)/VLOOKUP($A373,'Dados StatusInvest'!$A:$AY,2,0)*$E373</f>
        <v>2.89</v>
      </c>
      <c r="T373" s="57">
        <f>VLOOKUP($A373,'Dados StatusInvest'!$A:$AY,COLUMN(T373)-$A$5,0)/VLOOKUP($A373,'Dados StatusInvest'!$A:$AY,2,0)*$E373</f>
        <v>26.94</v>
      </c>
      <c r="U373" s="59">
        <f>VLOOKUP($A373,'Dados StatusInvest'!$A:$AY,COLUMN(U373)-$A$5,0)</f>
        <v>-2.27</v>
      </c>
      <c r="V373" s="60">
        <f>VLOOKUP($A373,'Dados StatusInvest'!$A:$AY,COLUMN(V373)-$A$5,0)</f>
        <v>1.3</v>
      </c>
      <c r="W373" s="60">
        <f>VLOOKUP($A373,'Dados StatusInvest'!$A:$AY,COLUMN(W373)-$A$5,0)</f>
        <v>39.53</v>
      </c>
      <c r="X373" s="60">
        <f>VLOOKUP($A373,'Dados StatusInvest'!$A:$AY,COLUMN(X373)-$A$5,0)</f>
        <v>11.48</v>
      </c>
      <c r="Y373" s="60">
        <f>VLOOKUP($A373,'Dados StatusInvest'!$A:$AY,COLUMN(Y373)-$A$5,0)</f>
        <v>18.13</v>
      </c>
      <c r="Z373" s="59">
        <f>VLOOKUP($A373,'Dados StatusInvest'!$A:$AY,COLUMN(Z373)-$A$5,0)</f>
        <v>0.29</v>
      </c>
      <c r="AA373" s="59">
        <f>VLOOKUP($A373,'Dados StatusInvest'!$A:$AY,COLUMN(AA373)-$A$5,0)</f>
        <v>0.71</v>
      </c>
      <c r="AB373" s="59">
        <f>VLOOKUP($A373,'Dados StatusInvest'!$A:$AY,COLUMN(AB373)-$A$5,0)</f>
        <v>0.58</v>
      </c>
      <c r="AC373" s="59">
        <f>VLOOKUP($A373,'Dados StatusInvest'!$A:$AY,COLUMN(AC373)-$A$5,0)</f>
        <v>7.41</v>
      </c>
      <c r="AD373" s="60">
        <f>VLOOKUP($A373,'Dados StatusInvest'!$A:$AY,COLUMN(AD373)-$A$5,0)</f>
        <v>92.28</v>
      </c>
      <c r="AE373" s="62">
        <f>VLOOKUP($A373,'Dados StatusInvest'!$A:$AY,COLUMN(AE373)-$A$5,0)</f>
        <v>114327.78</v>
      </c>
      <c r="AF373" s="18"/>
    </row>
    <row r="374">
      <c r="A374" s="10" t="s">
        <v>420</v>
      </c>
      <c r="B374" s="52" t="str">
        <f>VLOOKUP(LEFT($A374,4),Setor!$A:$E,3,0)</f>
        <v>Utilidade Pública</v>
      </c>
      <c r="C374" s="52" t="str">
        <f>VLOOKUP(LEFT($A374,4),Setor!$A:$E,4,0)</f>
        <v>Energia Elétrica</v>
      </c>
      <c r="D374" s="52" t="str">
        <f>VLOOKUP(LEFT($A374,4),Setor!$A:$E,5,0)</f>
        <v>Energia Elétrica</v>
      </c>
      <c r="E374" s="53">
        <f>IFERROR(__xludf.DUMMYFUNCTION("GOOGLEFINANCE(A374)"),7.3)</f>
        <v>7.3</v>
      </c>
      <c r="F374" s="53">
        <f>IFERROR(__xludf.DUMMYFUNCTION("GOOGLEFINANCE($A374,""high52"")"),10.7)</f>
        <v>10.7</v>
      </c>
      <c r="G374" s="54">
        <f t="shared" si="1"/>
        <v>-0.3177570093</v>
      </c>
      <c r="H374" s="55">
        <f>VLOOKUP($A374,'Dados StatusInvest'!$A:$AY,COLUMN(H374)-$A$5,0)*VLOOKUP($A374,'Dados StatusInvest'!$A:$AY,2,0)/$E374/100</f>
        <v>0.06163287671</v>
      </c>
      <c r="I374" s="56">
        <f>VLOOKUP($A374,'Dados StatusInvest'!$A:$AY,COLUMN(I374)-$A$5,0)/VLOOKUP($A374,'Dados StatusInvest'!$A:$AY,2,0)*$E374</f>
        <v>19.10824324</v>
      </c>
      <c r="J374" s="56">
        <f>VLOOKUP($A374,'Dados StatusInvest'!$A:$AY,COLUMN(J374)-$A$5,0)/VLOOKUP($A374,'Dados StatusInvest'!$A:$AY,2,0)*$E374</f>
        <v>4.527972973</v>
      </c>
      <c r="K374" s="57">
        <f>VLOOKUP($A374,'Dados StatusInvest'!$A:$AY,COLUMN(K374)-$A$5,0)/VLOOKUP($A374,'Dados StatusInvest'!$A:$AY,2,0)*$E374</f>
        <v>1.292297297</v>
      </c>
      <c r="L374" s="58">
        <f>VLOOKUP($A374,'Dados StatusInvest'!$A:$AY,COLUMN(L374)-$A$5,0)/100</f>
        <v>0.2978</v>
      </c>
      <c r="M374" s="59">
        <f>VLOOKUP($A374,'Dados StatusInvest'!$A:$AY,COLUMN(M374)-$A$5,0)</f>
        <v>20.7</v>
      </c>
      <c r="N374" s="59">
        <f>VLOOKUP($A374,'Dados StatusInvest'!$A:$AY,COLUMN(N374)-$A$5,0)</f>
        <v>12.93</v>
      </c>
      <c r="O374" s="56">
        <f>VLOOKUP($A374,'Dados StatusInvest'!$A:$AY,COLUMN(O374)-$A$5,0)/VLOOKUP($A374,'Dados StatusInvest'!$A:$AY,2,0)*$E374</f>
        <v>11.93648649</v>
      </c>
      <c r="P374" s="56">
        <f>VLOOKUP($A374,'Dados StatusInvest'!$A:$AY,COLUMN(P374)-$A$5,0)-VLOOKUP($A374,'Dados StatusInvest'!$A:$AY,COLUMN(P374)-$A$5-1,0)+O374</f>
        <v>9.056486486</v>
      </c>
      <c r="Q374" s="59">
        <f>VLOOKUP($A374,'Dados StatusInvest'!$A:$AY,COLUMN(Q374)-$A$5,0)</f>
        <v>1.01</v>
      </c>
      <c r="R374" s="59">
        <f>VLOOKUP($A374,'Dados StatusInvest'!$A:$AY,COLUMN(R374)-$A$5,0)</f>
        <v>0.38</v>
      </c>
      <c r="S374" s="56">
        <f>VLOOKUP($A374,'Dados StatusInvest'!$A:$AY,COLUMN(S374)-$A$5,0)/VLOOKUP($A374,'Dados StatusInvest'!$A:$AY,2,0)*$E374</f>
        <v>2.466216216</v>
      </c>
      <c r="T374" s="57">
        <f>VLOOKUP($A374,'Dados StatusInvest'!$A:$AY,COLUMN(T374)-$A$5,0)/VLOOKUP($A374,'Dados StatusInvest'!$A:$AY,2,0)*$E374</f>
        <v>5.642702703</v>
      </c>
      <c r="U374" s="59">
        <f>VLOOKUP($A374,'Dados StatusInvest'!$A:$AY,COLUMN(U374)-$A$5,0)</f>
        <v>-2.38</v>
      </c>
      <c r="V374" s="60">
        <f>VLOOKUP($A374,'Dados StatusInvest'!$A:$AY,COLUMN(V374)-$A$5,0)</f>
        <v>2.04</v>
      </c>
      <c r="W374" s="60">
        <f>VLOOKUP($A374,'Dados StatusInvest'!$A:$AY,COLUMN(W374)-$A$5,0)</f>
        <v>23.69</v>
      </c>
      <c r="X374" s="60">
        <f>VLOOKUP($A374,'Dados StatusInvest'!$A:$AY,COLUMN(X374)-$A$5,0)</f>
        <v>6.76</v>
      </c>
      <c r="Y374" s="60">
        <f>VLOOKUP($A374,'Dados StatusInvest'!$A:$AY,COLUMN(Y374)-$A$5,0)</f>
        <v>14.32</v>
      </c>
      <c r="Z374" s="59">
        <f>VLOOKUP($A374,'Dados StatusInvest'!$A:$AY,COLUMN(Z374)-$A$5,0)</f>
        <v>0.29</v>
      </c>
      <c r="AA374" s="59">
        <f>VLOOKUP($A374,'Dados StatusInvest'!$A:$AY,COLUMN(AA374)-$A$5,0)</f>
        <v>0.71</v>
      </c>
      <c r="AB374" s="59">
        <f>VLOOKUP($A374,'Dados StatusInvest'!$A:$AY,COLUMN(AB374)-$A$5,0)</f>
        <v>0.52</v>
      </c>
      <c r="AC374" s="59">
        <f>VLOOKUP($A374,'Dados StatusInvest'!$A:$AY,COLUMN(AC374)-$A$5,0)</f>
        <v>7.01</v>
      </c>
      <c r="AD374" s="60">
        <f>VLOOKUP($A374,'Dados StatusInvest'!$A:$AY,COLUMN(AD374)-$A$5,0)</f>
        <v>10.16</v>
      </c>
      <c r="AE374" s="62">
        <f>VLOOKUP($A374,'Dados StatusInvest'!$A:$AY,COLUMN(AE374)-$A$5,0)</f>
        <v>5265.13</v>
      </c>
      <c r="AF374" s="18"/>
    </row>
    <row r="375">
      <c r="A375" s="10" t="s">
        <v>421</v>
      </c>
      <c r="B375" s="39" t="str">
        <f>VLOOKUP(lEFT($A375,4),Setor!$A:$E,3,0)</f>
        <v>Consumo Cíclico</v>
      </c>
      <c r="C375" s="39" t="str">
        <f>VLOOKUP(lEFT($A375,4),Setor!$A:$E,4,0)</f>
        <v>Tecidos, Vestuário e Calçados</v>
      </c>
      <c r="D375" s="39" t="str">
        <f>VLOOKUP(lEFT($A375,4),Setor!$A:$E,5,0)</f>
        <v>Fios e Tecidos</v>
      </c>
      <c r="E375" s="17">
        <f>IFERROR(__xludf.DUMMYFUNCTION("GOOGLEFINANCE(A375)"),6.38)</f>
        <v>6.38</v>
      </c>
      <c r="F375" s="17">
        <f>IFERROR(__xludf.DUMMYFUNCTION("GOOGLEFINANCE($A375,""high52"")"),7.48)</f>
        <v>7.48</v>
      </c>
      <c r="G375" s="16">
        <f t="shared" si="1"/>
        <v>-0.1470588235</v>
      </c>
      <c r="H375" s="40">
        <f>VLOOKUP($A375,'Dados StatusInvest'!$A:$AY,column(H375)-$A$5,0)*VLOOKUP($A375,'Dados StatusInvest'!$A:$AY,2,0)/$E375/100</f>
        <v>0.08088244514</v>
      </c>
      <c r="I375" s="41">
        <f>VLOOKUP($A375,'Dados StatusInvest'!$A:$AY,column(I375)-$A$5,0)/VLOOKUP($A375,'Dados StatusInvest'!$A:$AY,2,0)*$E375</f>
        <v>3.788770227</v>
      </c>
      <c r="J375" s="41">
        <f>VLOOKUP($A375,'Dados StatusInvest'!$A:$AY,column(J375)-$A$5,0)/VLOOKUP($A375,'Dados StatusInvest'!$A:$AY,2,0)*$E375</f>
        <v>0.7123300971</v>
      </c>
      <c r="K375" s="42">
        <f>VLOOKUP($A375,'Dados StatusInvest'!$A:$AY,column(K375)-$A$5,0)/VLOOKUP($A375,'Dados StatusInvest'!$A:$AY,2,0)*$E375</f>
        <v>0.5471521036</v>
      </c>
      <c r="L375" s="43">
        <f>VLOOKUP($A375,'Dados StatusInvest'!$A:$AY,column(L375)-$A$5,0)/100</f>
        <v>0.322</v>
      </c>
      <c r="M375" s="44">
        <f>VLOOKUP($A375,'Dados StatusInvest'!$A:$AY,column(M375)-$A$5,0)</f>
        <v>17.98</v>
      </c>
      <c r="N375" s="44">
        <f>VLOOKUP($A375,'Dados StatusInvest'!$A:$AY,column(N375)-$A$5,0)</f>
        <v>19.54</v>
      </c>
      <c r="O375" s="41">
        <f>VLOOKUP($A375,'Dados StatusInvest'!$A:$AY,column(O375)-$A$5,0)/VLOOKUP($A375,'Dados StatusInvest'!$A:$AY,2,0)*$E375</f>
        <v>4.119126214</v>
      </c>
      <c r="P375" s="41">
        <f>VLOOKUP($A375,'Dados StatusInvest'!$A:$AY,column(P375)-$A$5,0)-VLOOKUP($A375,'Dados StatusInvest'!$A:$AY,column(P375)-$A$5-1,0)+O375</f>
        <v>12.22912621</v>
      </c>
      <c r="Q375" s="44">
        <f>VLOOKUP($A375,'Dados StatusInvest'!$A:$AY,column(Q375)-$A$5,0)</f>
        <v>0.06</v>
      </c>
      <c r="R375" s="44">
        <f>VLOOKUP($A375,'Dados StatusInvest'!$A:$AY,column(R375)-$A$5,0)</f>
        <v>0.01</v>
      </c>
      <c r="S375" s="41">
        <f>VLOOKUP($A375,'Dados StatusInvest'!$A:$AY,column(S375)-$A$5,0)/VLOOKUP($A375,'Dados StatusInvest'!$A:$AY,2,0)*$E375</f>
        <v>0.7433009709</v>
      </c>
      <c r="T375" s="42">
        <f>VLOOKUP($A375,'Dados StatusInvest'!$A:$AY,column(T375)-$A$5,0)/VLOOKUP($A375,'Dados StatusInvest'!$A:$AY,2,0)*$E375</f>
        <v>1.259482201</v>
      </c>
      <c r="U375" s="44">
        <f>VLOOKUP($A375,'Dados StatusInvest'!$A:$AY,column(U375)-$A$5,0)</f>
        <v>-1.14</v>
      </c>
      <c r="V375" s="45">
        <f>VLOOKUP($A375,'Dados StatusInvest'!$A:$AY,column(V375)-$A$5,0)</f>
        <v>5.32</v>
      </c>
      <c r="W375" s="45">
        <f>VLOOKUP($A375,'Dados StatusInvest'!$A:$AY,column(W375)-$A$5,0)</f>
        <v>18.72</v>
      </c>
      <c r="X375" s="45">
        <f>VLOOKUP($A375,'Dados StatusInvest'!$A:$AY,column(X375)-$A$5,0)</f>
        <v>14.43</v>
      </c>
      <c r="Y375" s="45">
        <f>VLOOKUP($A375,'Dados StatusInvest'!$A:$AY,column(Y375)-$A$5,0)</f>
        <v>12.7</v>
      </c>
      <c r="Z375" s="44">
        <f>VLOOKUP($A375,'Dados StatusInvest'!$A:$AY,column(Z375)-$A$5,0)</f>
        <v>0.77</v>
      </c>
      <c r="AA375" s="44">
        <f>VLOOKUP($A375,'Dados StatusInvest'!$A:$AY,column(AA375)-$A$5,0)</f>
        <v>0.23</v>
      </c>
      <c r="AB375" s="44">
        <f>VLOOKUP($A375,'Dados StatusInvest'!$A:$AY,column(AB375)-$A$5,0)</f>
        <v>0.74</v>
      </c>
      <c r="AC375" s="44">
        <f>VLOOKUP($A375,'Dados StatusInvest'!$A:$AY,column(AC375)-$A$5,0)</f>
        <v>5.55</v>
      </c>
      <c r="AD375" s="45">
        <f>VLOOKUP($A375,'Dados StatusInvest'!$A:$AY,column(AD375)-$A$5,0)</f>
        <v>35.18</v>
      </c>
      <c r="AE375" s="46">
        <f>VLOOKUP($A375,'Dados StatusInvest'!$A:$AY,column(AE375)-$A$5,0)</f>
        <v>58824.83</v>
      </c>
      <c r="AF375" s="18"/>
    </row>
    <row r="376">
      <c r="A376" s="10" t="s">
        <v>422</v>
      </c>
      <c r="B376" s="39" t="str">
        <f>VLOOKUP(lEFT($A376,4),Setor!$A:$E,3,0)</f>
        <v>Bens Industriais</v>
      </c>
      <c r="C376" s="39" t="str">
        <f>VLOOKUP(lEFT($A376,4),Setor!$A:$E,4,0)</f>
        <v>Máquinas e Equipamentos</v>
      </c>
      <c r="D376" s="39" t="str">
        <f>VLOOKUP(lEFT($A376,4),Setor!$A:$E,5,0)</f>
        <v>Motores, Compressores e Outros</v>
      </c>
      <c r="E376" s="17">
        <f>IFERROR(__xludf.DUMMYFUNCTION("GOOGLEFINANCE(A376)"),112.01)</f>
        <v>112.01</v>
      </c>
      <c r="F376" s="17">
        <f>IFERROR(__xludf.DUMMYFUNCTION("GOOGLEFINANCE($A376,""high52"")"),112.01)</f>
        <v>112.01</v>
      </c>
      <c r="G376" s="16">
        <f t="shared" si="1"/>
        <v>0</v>
      </c>
      <c r="H376" s="40">
        <f>VLOOKUP($A376,'Dados StatusInvest'!$A:$AY,column(H376)-$A$5,0)*VLOOKUP($A376,'Dados StatusInvest'!$A:$AY,2,0)/$E376/100</f>
        <v>0.002398071601</v>
      </c>
      <c r="I376" s="41">
        <f>VLOOKUP($A376,'Dados StatusInvest'!$A:$AY,column(I376)-$A$5,0)/VLOOKUP($A376,'Dados StatusInvest'!$A:$AY,2,0)*$E376</f>
        <v>113.3310615</v>
      </c>
      <c r="J376" s="41">
        <f>VLOOKUP($A376,'Dados StatusInvest'!$A:$AY,column(J376)-$A$5,0)/VLOOKUP($A376,'Dados StatusInvest'!$A:$AY,2,0)*$E376</f>
        <v>25.09015994</v>
      </c>
      <c r="K376" s="42">
        <f>VLOOKUP($A376,'Dados StatusInvest'!$A:$AY,column(K376)-$A$5,0)/VLOOKUP($A376,'Dados StatusInvest'!$A:$AY,2,0)*$E376</f>
        <v>10.58850786</v>
      </c>
      <c r="L376" s="43">
        <f>VLOOKUP($A376,'Dados StatusInvest'!$A:$AY,column(L376)-$A$5,0)/100</f>
        <v>0.212</v>
      </c>
      <c r="M376" s="44">
        <f>VLOOKUP($A376,'Dados StatusInvest'!$A:$AY,column(M376)-$A$5,0)</f>
        <v>13.54</v>
      </c>
      <c r="N376" s="47">
        <f>VLOOKUP($A376,'Dados StatusInvest'!$A:$AY,column(N376)-$A$5,0)</f>
        <v>12.32</v>
      </c>
      <c r="O376" s="41">
        <f>VLOOKUP($A376,'Dados StatusInvest'!$A:$AY,column(O376)-$A$5,0)/VLOOKUP($A376,'Dados StatusInvest'!$A:$AY,2,0)*$E376</f>
        <v>103.1728994</v>
      </c>
      <c r="P376" s="41">
        <f>VLOOKUP($A376,'Dados StatusInvest'!$A:$AY,column(P376)-$A$5,0)-VLOOKUP($A376,'Dados StatusInvest'!$A:$AY,column(P376)-$A$5-1,0)+O376</f>
        <v>50.85289939</v>
      </c>
      <c r="Q376" s="44">
        <f>VLOOKUP($A376,'Dados StatusInvest'!$A:$AY,column(Q376)-$A$5,0)</f>
        <v>1.91</v>
      </c>
      <c r="R376" s="44">
        <f>VLOOKUP($A376,'Dados StatusInvest'!$A:$AY,column(R376)-$A$5,0)</f>
        <v>0.47</v>
      </c>
      <c r="S376" s="41">
        <f>VLOOKUP($A376,'Dados StatusInvest'!$A:$AY,column(S376)-$A$5,0)/VLOOKUP($A376,'Dados StatusInvest'!$A:$AY,2,0)*$E376</f>
        <v>13.97122588</v>
      </c>
      <c r="T376" s="42">
        <f>VLOOKUP($A376,'Dados StatusInvest'!$A:$AY,column(T376)-$A$5,0)/VLOOKUP($A376,'Dados StatusInvest'!$A:$AY,2,0)*$E376</f>
        <v>25.830755</v>
      </c>
      <c r="U376" s="47">
        <f>VLOOKUP($A376,'Dados StatusInvest'!$A:$AY,column(U376)-$A$5,0)</f>
        <v>-30.88</v>
      </c>
      <c r="V376" s="45">
        <f>VLOOKUP($A376,'Dados StatusInvest'!$A:$AY,column(V376)-$A$5,0)</f>
        <v>2.65</v>
      </c>
      <c r="W376" s="45">
        <f>VLOOKUP($A376,'Dados StatusInvest'!$A:$AY,column(W376)-$A$5,0)</f>
        <v>22.14</v>
      </c>
      <c r="X376" s="48">
        <f>VLOOKUP($A376,'Dados StatusInvest'!$A:$AY,column(X376)-$A$5,0)</f>
        <v>9.34</v>
      </c>
      <c r="Y376" s="45">
        <f>VLOOKUP($A376,'Dados StatusInvest'!$A:$AY,column(Y376)-$A$5,0)</f>
        <v>10.12</v>
      </c>
      <c r="Z376" s="44">
        <f>VLOOKUP($A376,'Dados StatusInvest'!$A:$AY,column(Z376)-$A$5,0)</f>
        <v>0.42</v>
      </c>
      <c r="AA376" s="44">
        <f>VLOOKUP($A376,'Dados StatusInvest'!$A:$AY,column(AA376)-$A$5,0)</f>
        <v>0.58</v>
      </c>
      <c r="AB376" s="44">
        <f>VLOOKUP($A376,'Dados StatusInvest'!$A:$AY,column(AB376)-$A$5,0)</f>
        <v>0.76</v>
      </c>
      <c r="AC376" s="44">
        <f>VLOOKUP($A376,'Dados StatusInvest'!$A:$AY,column(AC376)-$A$5,0)</f>
        <v>10.16</v>
      </c>
      <c r="AD376" s="45">
        <f>VLOOKUP($A376,'Dados StatusInvest'!$A:$AY,column(AD376)-$A$5,0)</f>
        <v>29.71</v>
      </c>
      <c r="AE376" s="46">
        <f>VLOOKUP($A376,'Dados StatusInvest'!$A:$AY,column(AE376)-$A$5,0)</f>
        <v>62944.5</v>
      </c>
      <c r="AF376" s="18"/>
    </row>
    <row r="377">
      <c r="A377" s="10" t="s">
        <v>423</v>
      </c>
      <c r="B377" s="39" t="str">
        <f>VLOOKUP(lEFT($A377,4),Setor!$A:$E,3,0)</f>
        <v>Saúde</v>
      </c>
      <c r="C377" s="39" t="str">
        <f>VLOOKUP(lEFT($A377,4),Setor!$A:$E,4,0)</f>
        <v>Equipamentos</v>
      </c>
      <c r="D377" s="39" t="str">
        <f>VLOOKUP(lEFT($A377,4),Setor!$A:$E,5,0)</f>
        <v>Equipamentos</v>
      </c>
      <c r="E377" s="17">
        <f>IFERROR(__xludf.DUMMYFUNCTION("GOOGLEFINANCE(A377)"),15.9)</f>
        <v>15.9</v>
      </c>
      <c r="F377" s="17">
        <f>IFERROR(__xludf.DUMMYFUNCTION("GOOGLEFINANCE($A377,""high52"")"),23.3)</f>
        <v>23.3</v>
      </c>
      <c r="G377" s="16">
        <f t="shared" si="1"/>
        <v>-0.3175965665</v>
      </c>
      <c r="H377" s="40">
        <f>VLOOKUP($A377,'Dados StatusInvest'!$A:$AY,column(H377)-$A$5,0)*VLOOKUP($A377,'Dados StatusInvest'!$A:$AY,2,0)/$E377/100</f>
        <v>0.02581459119</v>
      </c>
      <c r="I377" s="41">
        <f>VLOOKUP($A377,'Dados StatusInvest'!$A:$AY,column(I377)-$A$5,0)/VLOOKUP($A377,'Dados StatusInvest'!$A:$AY,2,0)*$E377</f>
        <v>22.39586115</v>
      </c>
      <c r="J377" s="41">
        <f>VLOOKUP($A377,'Dados StatusInvest'!$A:$AY,column(J377)-$A$5,0)/VLOOKUP($A377,'Dados StatusInvest'!$A:$AY,2,0)*$E377</f>
        <v>1.326769025</v>
      </c>
      <c r="K377" s="42">
        <f>VLOOKUP($A377,'Dados StatusInvest'!$A:$AY,column(K377)-$A$5,0)/VLOOKUP($A377,'Dados StatusInvest'!$A:$AY,2,0)*$E377</f>
        <v>0.7429906542</v>
      </c>
      <c r="L377" s="43">
        <f>VLOOKUP($A377,'Dados StatusInvest'!$A:$AY,column(L377)-$A$5,0)/100</f>
        <v>0.5356</v>
      </c>
      <c r="M377" s="44">
        <f>VLOOKUP($A377,'Dados StatusInvest'!$A:$AY,column(M377)-$A$5,0)</f>
        <v>8.25</v>
      </c>
      <c r="N377" s="44">
        <f>VLOOKUP($A377,'Dados StatusInvest'!$A:$AY,column(N377)-$A$5,0)</f>
        <v>4.75</v>
      </c>
      <c r="O377" s="41">
        <f>VLOOKUP($A377,'Dados StatusInvest'!$A:$AY,column(O377)-$A$5,0)/VLOOKUP($A377,'Dados StatusInvest'!$A:$AY,2,0)*$E377</f>
        <v>12.90680908</v>
      </c>
      <c r="P377" s="41">
        <f>VLOOKUP($A377,'Dados StatusInvest'!$A:$AY,column(P377)-$A$5,0)-VLOOKUP($A377,'Dados StatusInvest'!$A:$AY,column(P377)-$A$5-1,0)+O377</f>
        <v>12.04680908</v>
      </c>
      <c r="Q377" s="44">
        <f>VLOOKUP($A377,'Dados StatusInvest'!$A:$AY,column(Q377)-$A$5,0)</f>
        <v>-1.57</v>
      </c>
      <c r="R377" s="44">
        <f>VLOOKUP($A377,'Dados StatusInvest'!$A:$AY,column(R377)-$A$5,0)</f>
        <v>-0.16</v>
      </c>
      <c r="S377" s="41">
        <f>VLOOKUP($A377,'Dados StatusInvest'!$A:$AY,column(S377)-$A$5,0)/VLOOKUP($A377,'Dados StatusInvest'!$A:$AY,2,0)*$E377</f>
        <v>1.06141522</v>
      </c>
      <c r="T377" s="42">
        <f>VLOOKUP($A377,'Dados StatusInvest'!$A:$AY,column(T377)-$A$5,0)/VLOOKUP($A377,'Dados StatusInvest'!$A:$AY,2,0)*$E377</f>
        <v>1.793791722</v>
      </c>
      <c r="U377" s="44">
        <f>VLOOKUP($A377,'Dados StatusInvest'!$A:$AY,column(U377)-$A$5,0)</f>
        <v>-2.2</v>
      </c>
      <c r="V377" s="45">
        <f>VLOOKUP($A377,'Dados StatusInvest'!$A:$AY,column(V377)-$A$5,0)</f>
        <v>2.57</v>
      </c>
      <c r="W377" s="45">
        <f>VLOOKUP($A377,'Dados StatusInvest'!$A:$AY,column(W377)-$A$5,0)</f>
        <v>5.93</v>
      </c>
      <c r="X377" s="45">
        <f>VLOOKUP($A377,'Dados StatusInvest'!$A:$AY,column(X377)-$A$5,0)</f>
        <v>3.33</v>
      </c>
      <c r="Y377" s="45">
        <f>VLOOKUP($A377,'Dados StatusInvest'!$A:$AY,column(Y377)-$A$5,0)</f>
        <v>5.02</v>
      </c>
      <c r="Z377" s="44">
        <f>VLOOKUP($A377,'Dados StatusInvest'!$A:$AY,column(Z377)-$A$5,0)</f>
        <v>0.56</v>
      </c>
      <c r="AA377" s="44">
        <f>VLOOKUP($A377,'Dados StatusInvest'!$A:$AY,column(AA377)-$A$5,0)</f>
        <v>0.4</v>
      </c>
      <c r="AB377" s="44">
        <f>VLOOKUP($A377,'Dados StatusInvest'!$A:$AY,column(AB377)-$A$5,0)</f>
        <v>0.7</v>
      </c>
      <c r="AC377" s="44">
        <f>VLOOKUP($A377,'Dados StatusInvest'!$A:$AY,column(AC377)-$A$5,0)</f>
        <v>7.78</v>
      </c>
      <c r="AD377" s="45">
        <f>VLOOKUP($A377,'Dados StatusInvest'!$A:$AY,column(AD377)-$A$5,0)</f>
        <v>-13.19</v>
      </c>
      <c r="AE377" s="46">
        <f>VLOOKUP($A377,'Dados StatusInvest'!$A:$AY,column(AE377)-$A$5,0)</f>
        <v>33296.27</v>
      </c>
      <c r="AF377" s="51"/>
    </row>
    <row r="378">
      <c r="A378" s="10" t="s">
        <v>424</v>
      </c>
      <c r="B378" s="39" t="str">
        <f>VLOOKUP(lEFT($A378,4),Setor!$A:$E,3,0)</f>
        <v>Bens Industriais</v>
      </c>
      <c r="C378" s="39" t="str">
        <f>VLOOKUP(lEFT($A378,4),Setor!$A:$E,4,0)</f>
        <v>Construção e Engenharia</v>
      </c>
      <c r="D378" s="39" t="str">
        <f>VLOOKUP(lEFT($A378,4),Setor!$A:$E,5,0)</f>
        <v>Produtos para Construção</v>
      </c>
      <c r="E378" s="17">
        <f>IFERROR(__xludf.DUMMYFUNCTION("GOOGLEFINANCE(A378)"),3.41)</f>
        <v>3.41</v>
      </c>
      <c r="F378" s="17">
        <f>IFERROR(__xludf.DUMMYFUNCTION("GOOGLEFINANCE($A378,""high52"")"),5.29)</f>
        <v>5.29</v>
      </c>
      <c r="G378" s="16">
        <f t="shared" si="1"/>
        <v>-0.3553875236</v>
      </c>
      <c r="H378" s="40">
        <f>VLOOKUP($A378,'Dados StatusInvest'!$A:$AY,column(H378)-$A$5,0)*VLOOKUP($A378,'Dados StatusInvest'!$A:$AY,2,0)/$E378/100</f>
        <v>0</v>
      </c>
      <c r="I378" s="41">
        <f>VLOOKUP($A378,'Dados StatusInvest'!$A:$AY,column(I378)-$A$5,0)/VLOOKUP($A378,'Dados StatusInvest'!$A:$AY,2,0)*$E378</f>
        <v>4.15</v>
      </c>
      <c r="J378" s="41">
        <f>VLOOKUP($A378,'Dados StatusInvest'!$A:$AY,column(J378)-$A$5,0)/VLOOKUP($A378,'Dados StatusInvest'!$A:$AY,2,0)*$E378</f>
        <v>-0.6</v>
      </c>
      <c r="K378" s="42">
        <f>VLOOKUP($A378,'Dados StatusInvest'!$A:$AY,column(K378)-$A$5,0)/VLOOKUP($A378,'Dados StatusInvest'!$A:$AY,2,0)*$E378</f>
        <v>0.65</v>
      </c>
      <c r="L378" s="43">
        <f>VLOOKUP($A378,'Dados StatusInvest'!$A:$AY,column(L378)-$A$5,0)/100</f>
        <v>0.3158</v>
      </c>
      <c r="M378" s="47">
        <f>VLOOKUP($A378,'Dados StatusInvest'!$A:$AY,column(M378)-$A$5,0)</f>
        <v>26.28</v>
      </c>
      <c r="N378" s="47">
        <f>VLOOKUP($A378,'Dados StatusInvest'!$A:$AY,column(N378)-$A$5,0)</f>
        <v>22.42</v>
      </c>
      <c r="O378" s="41">
        <f>VLOOKUP($A378,'Dados StatusInvest'!$A:$AY,column(O378)-$A$5,0)/VLOOKUP($A378,'Dados StatusInvest'!$A:$AY,2,0)*$E378</f>
        <v>3.54</v>
      </c>
      <c r="P378" s="41">
        <f>VLOOKUP($A378,'Dados StatusInvest'!$A:$AY,column(P378)-$A$5,0)-VLOOKUP($A378,'Dados StatusInvest'!$A:$AY,column(P378)-$A$5-1,0)+O378</f>
        <v>2.67</v>
      </c>
      <c r="Q378" s="44">
        <f>VLOOKUP($A378,'Dados StatusInvest'!$A:$AY,column(Q378)-$A$5,0)</f>
        <v>-0.19</v>
      </c>
      <c r="R378" s="44">
        <f>VLOOKUP($A378,'Dados StatusInvest'!$A:$AY,column(R378)-$A$5,0)</f>
        <v>0</v>
      </c>
      <c r="S378" s="41">
        <f>VLOOKUP($A378,'Dados StatusInvest'!$A:$AY,column(S378)-$A$5,0)/VLOOKUP($A378,'Dados StatusInvest'!$A:$AY,2,0)*$E378</f>
        <v>0.93</v>
      </c>
      <c r="T378" s="42">
        <f>VLOOKUP($A378,'Dados StatusInvest'!$A:$AY,column(T378)-$A$5,0)/VLOOKUP($A378,'Dados StatusInvest'!$A:$AY,2,0)*$E378</f>
        <v>1.71</v>
      </c>
      <c r="U378" s="44">
        <f>VLOOKUP($A378,'Dados StatusInvest'!$A:$AY,column(U378)-$A$5,0)</f>
        <v>-3.81</v>
      </c>
      <c r="V378" s="45">
        <f>VLOOKUP($A378,'Dados StatusInvest'!$A:$AY,column(V378)-$A$5,0)</f>
        <v>1.85</v>
      </c>
      <c r="W378" s="45">
        <f>VLOOKUP($A378,'Dados StatusInvest'!$A:$AY,column(W378)-$A$5,0)</f>
        <v>-14.48</v>
      </c>
      <c r="X378" s="48">
        <f>VLOOKUP($A378,'Dados StatusInvest'!$A:$AY,column(X378)-$A$5,0)</f>
        <v>15.64</v>
      </c>
      <c r="Y378" s="45">
        <f>VLOOKUP($A378,'Dados StatusInvest'!$A:$AY,column(Y378)-$A$5,0)</f>
        <v>-29.65</v>
      </c>
      <c r="Z378" s="44">
        <f>VLOOKUP($A378,'Dados StatusInvest'!$A:$AY,column(Z378)-$A$5,0)</f>
        <v>-1.08</v>
      </c>
      <c r="AA378" s="44">
        <f>VLOOKUP($A378,'Dados StatusInvest'!$A:$AY,column(AA378)-$A$5,0)</f>
        <v>2.08</v>
      </c>
      <c r="AB378" s="44">
        <f>VLOOKUP($A378,'Dados StatusInvest'!$A:$AY,column(AB378)-$A$5,0)</f>
        <v>0.7</v>
      </c>
      <c r="AC378" s="44">
        <f>VLOOKUP($A378,'Dados StatusInvest'!$A:$AY,column(AC378)-$A$5,0)</f>
        <v>0.12</v>
      </c>
      <c r="AD378" s="45">
        <f>VLOOKUP($A378,'Dados StatusInvest'!$A:$AY,column(AD378)-$A$5,0)</f>
        <v>25.47</v>
      </c>
      <c r="AE378" s="46">
        <f>VLOOKUP($A378,'Dados StatusInvest'!$A:$AY,column(AE378)-$A$5,0)</f>
        <v>43283.58</v>
      </c>
      <c r="AF378" s="50"/>
    </row>
    <row r="379">
      <c r="A379" s="10" t="s">
        <v>425</v>
      </c>
      <c r="B379" s="52" t="str">
        <f>VLOOKUP(LEFT($A379,4),Setor!$A:$E,3,0)</f>
        <v>Bens Industriais</v>
      </c>
      <c r="C379" s="52" t="str">
        <f>VLOOKUP(LEFT($A379,4),Setor!$A:$E,4,0)</f>
        <v>Transporte</v>
      </c>
      <c r="D379" s="52" t="str">
        <f>VLOOKUP(LEFT($A379,4),Setor!$A:$E,5,0)</f>
        <v>Transporte Hidroviário</v>
      </c>
      <c r="E379" s="53">
        <f>IFERROR(__xludf.DUMMYFUNCTION("GOOGLEFINANCE(A379)"),80.95)</f>
        <v>80.95</v>
      </c>
      <c r="F379" s="53">
        <f>IFERROR(__xludf.DUMMYFUNCTION("GOOGLEFINANCE($A379,""high52"")"),80.99)</f>
        <v>80.99</v>
      </c>
      <c r="G379" s="54">
        <f t="shared" si="1"/>
        <v>-0.0004938881343</v>
      </c>
      <c r="H379" s="55">
        <f>VLOOKUP($A379,'Dados StatusInvest'!$A:$AY,COLUMN(H379)-$A$5,0)*VLOOKUP($A379,'Dados StatusInvest'!$A:$AY,2,0)/$E379/100</f>
        <v>0.01980489191</v>
      </c>
      <c r="I379" s="56">
        <f>VLOOKUP($A379,'Dados StatusInvest'!$A:$AY,COLUMN(I379)-$A$5,0)/VLOOKUP($A379,'Dados StatusInvest'!$A:$AY,2,0)*$E379</f>
        <v>35.92112511</v>
      </c>
      <c r="J379" s="56">
        <f>VLOOKUP($A379,'Dados StatusInvest'!$A:$AY,COLUMN(J379)-$A$5,0)/VLOOKUP($A379,'Dados StatusInvest'!$A:$AY,2,0)*$E379</f>
        <v>4.368920588</v>
      </c>
      <c r="K379" s="57">
        <f>VLOOKUP($A379,'Dados StatusInvest'!$A:$AY,COLUMN(K379)-$A$5,0)/VLOOKUP($A379,'Dados StatusInvest'!$A:$AY,2,0)*$E379</f>
        <v>2.779313326</v>
      </c>
      <c r="L379" s="58">
        <f>VLOOKUP($A379,'Dados StatusInvest'!$A:$AY,COLUMN(L379)-$A$5,0)/100</f>
        <v>0.2728</v>
      </c>
      <c r="M379" s="59">
        <f>VLOOKUP($A379,'Dados StatusInvest'!$A:$AY,COLUMN(M379)-$A$5,0)</f>
        <v>15.78</v>
      </c>
      <c r="N379" s="63">
        <f>VLOOKUP($A379,'Dados StatusInvest'!$A:$AY,COLUMN(N379)-$A$5,0)</f>
        <v>10.44</v>
      </c>
      <c r="O379" s="56">
        <f>VLOOKUP($A379,'Dados StatusInvest'!$A:$AY,COLUMN(O379)-$A$5,0)/VLOOKUP($A379,'Dados StatusInvest'!$A:$AY,2,0)*$E379</f>
        <v>23.76412869</v>
      </c>
      <c r="P379" s="56">
        <f>VLOOKUP($A379,'Dados StatusInvest'!$A:$AY,COLUMN(P379)-$A$5,0)-VLOOKUP($A379,'Dados StatusInvest'!$A:$AY,COLUMN(P379)-$A$5-1,0)+O379</f>
        <v>13.19412869</v>
      </c>
      <c r="Q379" s="59">
        <f>VLOOKUP($A379,'Dados StatusInvest'!$A:$AY,COLUMN(Q379)-$A$5,0)</f>
        <v>-0.06</v>
      </c>
      <c r="R379" s="59">
        <f>VLOOKUP($A379,'Dados StatusInvest'!$A:$AY,COLUMN(R379)-$A$5,0)</f>
        <v>-0.01</v>
      </c>
      <c r="S379" s="56">
        <f>VLOOKUP($A379,'Dados StatusInvest'!$A:$AY,COLUMN(S379)-$A$5,0)/VLOOKUP($A379,'Dados StatusInvest'!$A:$AY,2,0)*$E379</f>
        <v>3.749073731</v>
      </c>
      <c r="T379" s="57">
        <f>VLOOKUP($A379,'Dados StatusInvest'!$A:$AY,COLUMN(T379)-$A$5,0)/VLOOKUP($A379,'Dados StatusInvest'!$A:$AY,2,0)*$E379</f>
        <v>25.27375571</v>
      </c>
      <c r="U379" s="59">
        <f>VLOOKUP($A379,'Dados StatusInvest'!$A:$AY,COLUMN(U379)-$A$5,0)</f>
        <v>-3.68</v>
      </c>
      <c r="V379" s="60">
        <f>VLOOKUP($A379,'Dados StatusInvest'!$A:$AY,COLUMN(V379)-$A$5,0)</f>
        <v>1.81</v>
      </c>
      <c r="W379" s="60">
        <f>VLOOKUP($A379,'Dados StatusInvest'!$A:$AY,COLUMN(W379)-$A$5,0)</f>
        <v>12.16</v>
      </c>
      <c r="X379" s="60">
        <f>VLOOKUP($A379,'Dados StatusInvest'!$A:$AY,COLUMN(X379)-$A$5,0)</f>
        <v>7.73</v>
      </c>
      <c r="Y379" s="60">
        <f>VLOOKUP($A379,'Dados StatusInvest'!$A:$AY,COLUMN(Y379)-$A$5,0)</f>
        <v>11.45</v>
      </c>
      <c r="Z379" s="59">
        <f>VLOOKUP($A379,'Dados StatusInvest'!$A:$AY,COLUMN(Z379)-$A$5,0)</f>
        <v>0.64</v>
      </c>
      <c r="AA379" s="59">
        <f>VLOOKUP($A379,'Dados StatusInvest'!$A:$AY,COLUMN(AA379)-$A$5,0)</f>
        <v>0.36</v>
      </c>
      <c r="AB379" s="59">
        <f>VLOOKUP($A379,'Dados StatusInvest'!$A:$AY,COLUMN(AB379)-$A$5,0)</f>
        <v>0.74</v>
      </c>
      <c r="AC379" s="59">
        <f>VLOOKUP($A379,'Dados StatusInvest'!$A:$AY,COLUMN(AC379)-$A$5,0)</f>
        <v>7.04</v>
      </c>
      <c r="AD379" s="60">
        <f>VLOOKUP($A379,'Dados StatusInvest'!$A:$AY,COLUMN(AD379)-$A$5,0)</f>
        <v>6.73</v>
      </c>
      <c r="AE379" s="62">
        <f>VLOOKUP($A379,'Dados StatusInvest'!$A:$AY,COLUMN(AE379)-$A$5,0)</f>
        <v>67459.21</v>
      </c>
      <c r="AF379" s="18"/>
    </row>
    <row r="380">
      <c r="A380" s="10" t="s">
        <v>426</v>
      </c>
      <c r="B380" s="39" t="str">
        <f>VLOOKUP(lEFT($A380,4),Setor!$A:$E,3,0)</f>
        <v>Utilidade Pública</v>
      </c>
      <c r="C380" s="39" t="str">
        <f>VLOOKUP(lEFT($A380,4),Setor!$A:$E,4,0)</f>
        <v>Energia Elétrica</v>
      </c>
      <c r="D380" s="39" t="str">
        <f>VLOOKUP(lEFT($A380,4),Setor!$A:$E,5,0)</f>
        <v>Energia Elétrica</v>
      </c>
      <c r="E380" s="17">
        <f>IFERROR(__xludf.DUMMYFUNCTION("GOOGLEFINANCE(A380)"),32.5)</f>
        <v>32.5</v>
      </c>
      <c r="F380" s="17">
        <f>IFERROR(__xludf.DUMMYFUNCTION("GOOGLEFINANCE($A380,""high52"")"),34.2)</f>
        <v>34.2</v>
      </c>
      <c r="G380" s="16">
        <f t="shared" si="1"/>
        <v>-0.04970760234</v>
      </c>
      <c r="H380" s="40">
        <f>VLOOKUP($A380,'Dados StatusInvest'!$A:$AY,column(H380)-$A$5,0)*VLOOKUP($A380,'Dados StatusInvest'!$A:$AY,2,0)/$E380/100</f>
        <v>0.1066396923</v>
      </c>
      <c r="I380" s="41">
        <f>VLOOKUP($A380,'Dados StatusInvest'!$A:$AY,column(I380)-$A$5,0)/VLOOKUP($A380,'Dados StatusInvest'!$A:$AY,2,0)*$E380</f>
        <v>6.077399381</v>
      </c>
      <c r="J380" s="41">
        <f>VLOOKUP($A380,'Dados StatusInvest'!$A:$AY,column(J380)-$A$5,0)/VLOOKUP($A380,'Dados StatusInvest'!$A:$AY,2,0)*$E380</f>
        <v>1.519349845</v>
      </c>
      <c r="K380" s="42">
        <f>VLOOKUP($A380,'Dados StatusInvest'!$A:$AY,column(K380)-$A$5,0)/VLOOKUP($A380,'Dados StatusInvest'!$A:$AY,2,0)*$E380</f>
        <v>0.7647058824</v>
      </c>
      <c r="L380" s="43">
        <f>VLOOKUP($A380,'Dados StatusInvest'!$A:$AY,column(L380)-$A$5,0)/100</f>
        <v>0.6902</v>
      </c>
      <c r="M380" s="44">
        <f>VLOOKUP($A380,'Dados StatusInvest'!$A:$AY,column(M380)-$A$5,0)</f>
        <v>120.03</v>
      </c>
      <c r="N380" s="44">
        <f>VLOOKUP($A380,'Dados StatusInvest'!$A:$AY,column(N380)-$A$5,0)</f>
        <v>88.69</v>
      </c>
      <c r="O380" s="41">
        <f>VLOOKUP($A380,'Dados StatusInvest'!$A:$AY,column(O380)-$A$5,0)/VLOOKUP($A380,'Dados StatusInvest'!$A:$AY,2,0)*$E380</f>
        <v>4.487616099</v>
      </c>
      <c r="P380" s="41">
        <f>VLOOKUP($A380,'Dados StatusInvest'!$A:$AY,column(P380)-$A$5,0)-VLOOKUP($A380,'Dados StatusInvest'!$A:$AY,column(P380)-$A$5-1,0)+O380</f>
        <v>4.837616099</v>
      </c>
      <c r="Q380" s="44">
        <f>VLOOKUP($A380,'Dados StatusInvest'!$A:$AY,column(Q380)-$A$5,0)</f>
        <v>1.06</v>
      </c>
      <c r="R380" s="44">
        <f>VLOOKUP($A380,'Dados StatusInvest'!$A:$AY,column(R380)-$A$5,0)</f>
        <v>0.36</v>
      </c>
      <c r="S380" s="41">
        <f>VLOOKUP($A380,'Dados StatusInvest'!$A:$AY,column(S380)-$A$5,0)/VLOOKUP($A380,'Dados StatusInvest'!$A:$AY,2,0)*$E380</f>
        <v>5.393188854</v>
      </c>
      <c r="T380" s="42">
        <f>VLOOKUP($A380,'Dados StatusInvest'!$A:$AY,column(T380)-$A$5,0)/VLOOKUP($A380,'Dados StatusInvest'!$A:$AY,2,0)*$E380</f>
        <v>10.19272446</v>
      </c>
      <c r="U380" s="44">
        <f>VLOOKUP($A380,'Dados StatusInvest'!$A:$AY,column(U380)-$A$5,0)</f>
        <v>-0.9</v>
      </c>
      <c r="V380" s="45">
        <f>VLOOKUP($A380,'Dados StatusInvest'!$A:$AY,column(V380)-$A$5,0)</f>
        <v>2.05</v>
      </c>
      <c r="W380" s="45">
        <f>VLOOKUP($A380,'Dados StatusInvest'!$A:$AY,column(W380)-$A$5,0)</f>
        <v>24.93</v>
      </c>
      <c r="X380" s="45">
        <f>VLOOKUP($A380,'Dados StatusInvest'!$A:$AY,column(X380)-$A$5,0)</f>
        <v>12.64</v>
      </c>
      <c r="Y380" s="48">
        <f>VLOOKUP($A380,'Dados StatusInvest'!$A:$AY,column(Y380)-$A$5,0)</f>
        <v>18.37</v>
      </c>
      <c r="Z380" s="44">
        <f>VLOOKUP($A380,'Dados StatusInvest'!$A:$AY,column(Z380)-$A$5,0)</f>
        <v>0.51</v>
      </c>
      <c r="AA380" s="44">
        <f>VLOOKUP($A380,'Dados StatusInvest'!$A:$AY,column(AA380)-$A$5,0)</f>
        <v>0.48</v>
      </c>
      <c r="AB380" s="44">
        <f>VLOOKUP($A380,'Dados StatusInvest'!$A:$AY,column(AB380)-$A$5,0)</f>
        <v>0.14</v>
      </c>
      <c r="AC380" s="44">
        <f>VLOOKUP($A380,'Dados StatusInvest'!$A:$AY,column(AC380)-$A$5,0)</f>
        <v>23.49</v>
      </c>
      <c r="AD380" s="45">
        <f>VLOOKUP($A380,'Dados StatusInvest'!$A:$AY,column(AD380)-$A$5,0)</f>
        <v>47.51</v>
      </c>
      <c r="AE380" s="46">
        <f>VLOOKUP($A380,'Dados StatusInvest'!$A:$AY,column(AE380)-$A$5,0)</f>
        <v>64419.96</v>
      </c>
      <c r="AF380" s="18"/>
    </row>
    <row r="381">
      <c r="A381" s="10" t="s">
        <v>427</v>
      </c>
      <c r="B381" s="39" t="str">
        <f>VLOOKUP(lEFT($A381,4),Setor!$A:$E,3,0)</f>
        <v>Consumo Cíclico</v>
      </c>
      <c r="C381" s="39" t="str">
        <f>VLOOKUP(lEFT($A381,4),Setor!$A:$E,4,0)</f>
        <v>Tecidos, Vestuário e Calçados</v>
      </c>
      <c r="D381" s="39" t="str">
        <f>VLOOKUP(lEFT($A381,4),Setor!$A:$E,5,0)</f>
        <v>Fios e Tecidos</v>
      </c>
      <c r="E381" s="17">
        <f>IFERROR(__xludf.DUMMYFUNCTION("GOOGLEFINANCE(A381)"),2.26)</f>
        <v>2.26</v>
      </c>
      <c r="F381" s="17">
        <f>IFERROR(__xludf.DUMMYFUNCTION("GOOGLEFINANCE($A381,""high52"")"),4.2)</f>
        <v>4.2</v>
      </c>
      <c r="G381" s="16">
        <f t="shared" si="1"/>
        <v>-0.4619047619</v>
      </c>
      <c r="H381" s="40">
        <f>VLOOKUP($A381,'Dados StatusInvest'!$A:$AY,column(H381)-$A$5,0)*VLOOKUP($A381,'Dados StatusInvest'!$A:$AY,2,0)/$E381/100</f>
        <v>0</v>
      </c>
      <c r="I381" s="41">
        <f>VLOOKUP($A381,'Dados StatusInvest'!$A:$AY,column(I381)-$A$5,0)/VLOOKUP($A381,'Dados StatusInvest'!$A:$AY,2,0)*$E381</f>
        <v>104.3316444</v>
      </c>
      <c r="J381" s="41">
        <f>VLOOKUP($A381,'Dados StatusInvest'!$A:$AY,column(J381)-$A$5,0)/VLOOKUP($A381,'Dados StatusInvest'!$A:$AY,2,0)*$E381</f>
        <v>0.8336888889</v>
      </c>
      <c r="K381" s="42">
        <f>VLOOKUP($A381,'Dados StatusInvest'!$A:$AY,column(K381)-$A$5,0)/VLOOKUP($A381,'Dados StatusInvest'!$A:$AY,2,0)*$E381</f>
        <v>0.3515555556</v>
      </c>
      <c r="L381" s="43">
        <f>VLOOKUP($A381,'Dados StatusInvest'!$A:$AY,column(L381)-$A$5,0)/100</f>
        <v>0.1424</v>
      </c>
      <c r="M381" s="44">
        <f>VLOOKUP($A381,'Dados StatusInvest'!$A:$AY,column(M381)-$A$5,0)</f>
        <v>8.46</v>
      </c>
      <c r="N381" s="44">
        <f>VLOOKUP($A381,'Dados StatusInvest'!$A:$AY,column(N381)-$A$5,0)</f>
        <v>0.42</v>
      </c>
      <c r="O381" s="41">
        <f>VLOOKUP($A381,'Dados StatusInvest'!$A:$AY,column(O381)-$A$5,0)/VLOOKUP($A381,'Dados StatusInvest'!$A:$AY,2,0)*$E381</f>
        <v>5.203022222</v>
      </c>
      <c r="P381" s="41">
        <f>VLOOKUP($A381,'Dados StatusInvest'!$A:$AY,column(P381)-$A$5,0)-VLOOKUP($A381,'Dados StatusInvest'!$A:$AY,column(P381)-$A$5-1,0)+O381</f>
        <v>9.323022222</v>
      </c>
      <c r="Q381" s="44">
        <f>VLOOKUP($A381,'Dados StatusInvest'!$A:$AY,column(Q381)-$A$5,0)</f>
        <v>4.02</v>
      </c>
      <c r="R381" s="44">
        <f>VLOOKUP($A381,'Dados StatusInvest'!$A:$AY,column(R381)-$A$5,0)</f>
        <v>0.65</v>
      </c>
      <c r="S381" s="41">
        <f>VLOOKUP($A381,'Dados StatusInvest'!$A:$AY,column(S381)-$A$5,0)/VLOOKUP($A381,'Dados StatusInvest'!$A:$AY,2,0)*$E381</f>
        <v>0.4419555556</v>
      </c>
      <c r="T381" s="42">
        <f>VLOOKUP($A381,'Dados StatusInvest'!$A:$AY,column(T381)-$A$5,0)/VLOOKUP($A381,'Dados StatusInvest'!$A:$AY,2,0)*$E381</f>
        <v>19.58666667</v>
      </c>
      <c r="U381" s="44">
        <f>VLOOKUP($A381,'Dados StatusInvest'!$A:$AY,column(U381)-$A$5,0)</f>
        <v>-0.63</v>
      </c>
      <c r="V381" s="45">
        <f>VLOOKUP($A381,'Dados StatusInvest'!$A:$AY,column(V381)-$A$5,0)</f>
        <v>1.04</v>
      </c>
      <c r="W381" s="45">
        <f>VLOOKUP($A381,'Dados StatusInvest'!$A:$AY,column(W381)-$A$5,0)</f>
        <v>0.8</v>
      </c>
      <c r="X381" s="45">
        <f>VLOOKUP($A381,'Dados StatusInvest'!$A:$AY,column(X381)-$A$5,0)</f>
        <v>0.34</v>
      </c>
      <c r="Y381" s="45">
        <f>VLOOKUP($A381,'Dados StatusInvest'!$A:$AY,column(Y381)-$A$5,0)</f>
        <v>8.03</v>
      </c>
      <c r="Z381" s="44">
        <f>VLOOKUP($A381,'Dados StatusInvest'!$A:$AY,column(Z381)-$A$5,0)</f>
        <v>0.42</v>
      </c>
      <c r="AA381" s="44">
        <f>VLOOKUP($A381,'Dados StatusInvest'!$A:$AY,column(AA381)-$A$5,0)</f>
        <v>0.58</v>
      </c>
      <c r="AB381" s="44">
        <f>VLOOKUP($A381,'Dados StatusInvest'!$A:$AY,column(AB381)-$A$5,0)</f>
        <v>0.8</v>
      </c>
      <c r="AC381" s="44">
        <f>VLOOKUP($A381,'Dados StatusInvest'!$A:$AY,column(AC381)-$A$5,0)</f>
        <v>6.86</v>
      </c>
      <c r="AD381" s="45">
        <f>VLOOKUP($A381,'Dados StatusInvest'!$A:$AY,column(AD381)-$A$5,0)</f>
        <v>0</v>
      </c>
      <c r="AE381" s="46">
        <f>VLOOKUP($A381,'Dados StatusInvest'!$A:$AY,column(AE381)-$A$5,0)</f>
        <v>47294.46</v>
      </c>
      <c r="AF381" s="18"/>
    </row>
    <row r="382">
      <c r="A382" s="10" t="s">
        <v>428</v>
      </c>
      <c r="B382" s="39" t="str">
        <f>VLOOKUP(lEFT($A382,4),Setor!$A:$E,3,0)</f>
        <v>Financeiro</v>
      </c>
      <c r="C382" s="39" t="str">
        <f>VLOOKUP(lEFT($A382,4),Setor!$A:$E,4,0)</f>
        <v>Intermediários Financeiros</v>
      </c>
      <c r="D382" s="39" t="str">
        <f>VLOOKUP(lEFT($A382,4),Setor!$A:$E,5,0)</f>
        <v>Bancos</v>
      </c>
      <c r="E382" s="17">
        <f>IFERROR(__xludf.DUMMYFUNCTION("GOOGLEFINANCE(A382)"),22.72)</f>
        <v>22.72</v>
      </c>
      <c r="F382" s="17">
        <f>IFERROR(__xludf.DUMMYFUNCTION("GOOGLEFINANCE($A382,""high52"")"),25.99)</f>
        <v>25.99</v>
      </c>
      <c r="G382" s="16">
        <f t="shared" si="1"/>
        <v>-0.1258176222</v>
      </c>
      <c r="H382" s="40">
        <f>VLOOKUP($A382,'Dados StatusInvest'!$A:$AY,column(H382)-$A$5,0)*VLOOKUP($A382,'Dados StatusInvest'!$A:$AY,2,0)/$E382/100</f>
        <v>0.052</v>
      </c>
      <c r="I382" s="41">
        <f>VLOOKUP($A382,'Dados StatusInvest'!$A:$AY,column(I382)-$A$5,0)/VLOOKUP($A382,'Dados StatusInvest'!$A:$AY,2,0)*$E382</f>
        <v>6.69</v>
      </c>
      <c r="J382" s="41">
        <f>VLOOKUP($A382,'Dados StatusInvest'!$A:$AY,column(J382)-$A$5,0)/VLOOKUP($A382,'Dados StatusInvest'!$A:$AY,2,0)*$E382</f>
        <v>1.12</v>
      </c>
      <c r="K382" s="42">
        <f>VLOOKUP($A382,'Dados StatusInvest'!$A:$AY,column(K382)-$A$5,0)/VLOOKUP($A382,'Dados StatusInvest'!$A:$AY,2,0)*$E382</f>
        <v>0.1</v>
      </c>
      <c r="L382" s="43">
        <f>VLOOKUP($A382,'Dados StatusInvest'!$A:$AY,column(L382)-$A$5,0)/100</f>
        <v>0.7901</v>
      </c>
      <c r="M382" s="44">
        <f>VLOOKUP($A382,'Dados StatusInvest'!$A:$AY,column(M382)-$A$5,0)</f>
        <v>11.29</v>
      </c>
      <c r="N382" s="44">
        <f>VLOOKUP($A382,'Dados StatusInvest'!$A:$AY,column(N382)-$A$5,0)</f>
        <v>7.93</v>
      </c>
      <c r="O382" s="41">
        <f>VLOOKUP($A382,'Dados StatusInvest'!$A:$AY,column(O382)-$A$5,0)/VLOOKUP($A382,'Dados StatusInvest'!$A:$AY,2,0)*$E382</f>
        <v>4.7</v>
      </c>
      <c r="P382" s="41">
        <f>VLOOKUP($A382,'Dados StatusInvest'!$A:$AY,column(P382)-$A$5,0)-VLOOKUP($A382,'Dados StatusInvest'!$A:$AY,column(P382)-$A$5-1,0)+O382</f>
        <v>4.41</v>
      </c>
      <c r="Q382" s="44">
        <f>VLOOKUP($A382,'Dados StatusInvest'!$A:$AY,column(Q382)-$A$5,0)</f>
        <v>0</v>
      </c>
      <c r="R382" s="44">
        <f>VLOOKUP($A382,'Dados StatusInvest'!$A:$AY,column(R382)-$A$5,0)</f>
        <v>0</v>
      </c>
      <c r="S382" s="41">
        <f>VLOOKUP($A382,'Dados StatusInvest'!$A:$AY,column(S382)-$A$5,0)/VLOOKUP($A382,'Dados StatusInvest'!$A:$AY,2,0)*$E382</f>
        <v>0.53</v>
      </c>
      <c r="T382" s="42">
        <f>VLOOKUP($A382,'Dados StatusInvest'!$A:$AY,column(T382)-$A$5,0)/VLOOKUP($A382,'Dados StatusInvest'!$A:$AY,2,0)*$E382</f>
        <v>0.65</v>
      </c>
      <c r="U382" s="44">
        <f>VLOOKUP($A382,'Dados StatusInvest'!$A:$AY,column(U382)-$A$5,0)</f>
        <v>-0.19</v>
      </c>
      <c r="V382" s="45">
        <f>VLOOKUP($A382,'Dados StatusInvest'!$A:$AY,column(V382)-$A$5,0)</f>
        <v>1.51</v>
      </c>
      <c r="W382" s="45">
        <f>VLOOKUP($A382,'Dados StatusInvest'!$A:$AY,column(W382)-$A$5,0)</f>
        <v>16.67</v>
      </c>
      <c r="X382" s="45">
        <f>VLOOKUP($A382,'Dados StatusInvest'!$A:$AY,column(X382)-$A$5,0)</f>
        <v>1.54</v>
      </c>
      <c r="Y382" s="48">
        <f>VLOOKUP($A382,'Dados StatusInvest'!$A:$AY,column(Y382)-$A$5,0)</f>
        <v>0</v>
      </c>
      <c r="Z382" s="44">
        <f>VLOOKUP($A382,'Dados StatusInvest'!$A:$AY,column(Z382)-$A$5,0)</f>
        <v>0.09</v>
      </c>
      <c r="AA382" s="44">
        <f>VLOOKUP($A382,'Dados StatusInvest'!$A:$AY,column(AA382)-$A$5,0)</f>
        <v>0.91</v>
      </c>
      <c r="AB382" s="44">
        <f>VLOOKUP($A382,'Dados StatusInvest'!$A:$AY,column(AB382)-$A$5,0)</f>
        <v>0.19</v>
      </c>
      <c r="AC382" s="44">
        <f>VLOOKUP($A382,'Dados StatusInvest'!$A:$AY,column(AC382)-$A$5,0)</f>
        <v>-9.42</v>
      </c>
      <c r="AD382" s="45">
        <f>VLOOKUP($A382,'Dados StatusInvest'!$A:$AY,column(AD382)-$A$5,0)</f>
        <v>11.41</v>
      </c>
      <c r="AE382" s="46">
        <f>VLOOKUP($A382,'Dados StatusInvest'!$A:$AY,column(AE382)-$A$5,0)</f>
        <v>10475.07</v>
      </c>
      <c r="AF382" s="51"/>
    </row>
    <row r="383">
      <c r="A383" s="10" t="s">
        <v>429</v>
      </c>
      <c r="B383" s="39" t="str">
        <f>VLOOKUP(lEFT($A383,4),Setor!$A:$E,3,0)</f>
        <v>Utilidade Pública</v>
      </c>
      <c r="C383" s="39" t="str">
        <f>VLOOKUP(lEFT($A383,4),Setor!$A:$E,4,0)</f>
        <v>Energia Elétrica</v>
      </c>
      <c r="D383" s="39" t="str">
        <f>VLOOKUP(lEFT($A383,4),Setor!$A:$E,5,0)</f>
        <v>Energia Elétrica</v>
      </c>
      <c r="E383" s="17">
        <f>IFERROR(__xludf.DUMMYFUNCTION("GOOGLEFINANCE(A383)"),34.2)</f>
        <v>34.2</v>
      </c>
      <c r="F383" s="17">
        <f>IFERROR(__xludf.DUMMYFUNCTION("GOOGLEFINANCE($A383,""high52"")"),68.0)</f>
        <v>68</v>
      </c>
      <c r="G383" s="16">
        <f t="shared" si="1"/>
        <v>-0.4970588235</v>
      </c>
      <c r="H383" s="40">
        <f>VLOOKUP($A383,'Dados StatusInvest'!$A:$AY,column(H383)-$A$5,0)*VLOOKUP($A383,'Dados StatusInvest'!$A:$AY,2,0)/$E383/100</f>
        <v>0.1347</v>
      </c>
      <c r="I383" s="41">
        <f>VLOOKUP($A383,'Dados StatusInvest'!$A:$AY,column(I383)-$A$5,0)/VLOOKUP($A383,'Dados StatusInvest'!$A:$AY,2,0)*$E383</f>
        <v>5.87</v>
      </c>
      <c r="J383" s="41">
        <f>VLOOKUP($A383,'Dados StatusInvest'!$A:$AY,column(J383)-$A$5,0)/VLOOKUP($A383,'Dados StatusInvest'!$A:$AY,2,0)*$E383</f>
        <v>1.52</v>
      </c>
      <c r="K383" s="42">
        <f>VLOOKUP($A383,'Dados StatusInvest'!$A:$AY,column(K383)-$A$5,0)/VLOOKUP($A383,'Dados StatusInvest'!$A:$AY,2,0)*$E383</f>
        <v>0.4</v>
      </c>
      <c r="L383" s="43">
        <f>VLOOKUP($A383,'Dados StatusInvest'!$A:$AY,column(L383)-$A$5,0)/100</f>
        <v>0.2351</v>
      </c>
      <c r="M383" s="44">
        <f>VLOOKUP($A383,'Dados StatusInvest'!$A:$AY,column(M383)-$A$5,0)</f>
        <v>17.69</v>
      </c>
      <c r="N383" s="44">
        <f>VLOOKUP($A383,'Dados StatusInvest'!$A:$AY,column(N383)-$A$5,0)</f>
        <v>11.84</v>
      </c>
      <c r="O383" s="41">
        <f>VLOOKUP($A383,'Dados StatusInvest'!$A:$AY,column(O383)-$A$5,0)/VLOOKUP($A383,'Dados StatusInvest'!$A:$AY,2,0)*$E383</f>
        <v>3.93</v>
      </c>
      <c r="P383" s="41">
        <f>VLOOKUP($A383,'Dados StatusInvest'!$A:$AY,column(P383)-$A$5,0)-VLOOKUP($A383,'Dados StatusInvest'!$A:$AY,column(P383)-$A$5-1,0)+O383</f>
        <v>8.74</v>
      </c>
      <c r="Q383" s="44">
        <f>VLOOKUP($A383,'Dados StatusInvest'!$A:$AY,column(Q383)-$A$5,0)</f>
        <v>3.54</v>
      </c>
      <c r="R383" s="44">
        <f>VLOOKUP($A383,'Dados StatusInvest'!$A:$AY,column(R383)-$A$5,0)</f>
        <v>1.37</v>
      </c>
      <c r="S383" s="41">
        <f>VLOOKUP($A383,'Dados StatusInvest'!$A:$AY,column(S383)-$A$5,0)/VLOOKUP($A383,'Dados StatusInvest'!$A:$AY,2,0)*$E383</f>
        <v>0.69</v>
      </c>
      <c r="T383" s="42">
        <f>VLOOKUP($A383,'Dados StatusInvest'!$A:$AY,column(T383)-$A$5,0)/VLOOKUP($A383,'Dados StatusInvest'!$A:$AY,2,0)*$E383</f>
        <v>-61.82</v>
      </c>
      <c r="U383" s="44">
        <f>VLOOKUP($A383,'Dados StatusInvest'!$A:$AY,column(U383)-$A$5,0)</f>
        <v>-0.5</v>
      </c>
      <c r="V383" s="45">
        <f>VLOOKUP($A383,'Dados StatusInvest'!$A:$AY,column(V383)-$A$5,0)</f>
        <v>0.97</v>
      </c>
      <c r="W383" s="45">
        <f>VLOOKUP($A383,'Dados StatusInvest'!$A:$AY,column(W383)-$A$5,0)</f>
        <v>25.99</v>
      </c>
      <c r="X383" s="45">
        <f>VLOOKUP($A383,'Dados StatusInvest'!$A:$AY,column(X383)-$A$5,0)</f>
        <v>6.74</v>
      </c>
      <c r="Y383" s="45">
        <f>VLOOKUP($A383,'Dados StatusInvest'!$A:$AY,column(Y383)-$A$5,0)</f>
        <v>13.2</v>
      </c>
      <c r="Z383" s="44">
        <f>VLOOKUP($A383,'Dados StatusInvest'!$A:$AY,column(Z383)-$A$5,0)</f>
        <v>0.26</v>
      </c>
      <c r="AA383" s="44">
        <f>VLOOKUP($A383,'Dados StatusInvest'!$A:$AY,column(AA383)-$A$5,0)</f>
        <v>0.74</v>
      </c>
      <c r="AB383" s="44">
        <f>VLOOKUP($A383,'Dados StatusInvest'!$A:$AY,column(AB383)-$A$5,0)</f>
        <v>0.57</v>
      </c>
      <c r="AC383" s="44">
        <f>VLOOKUP($A383,'Dados StatusInvest'!$A:$AY,column(AC383)-$A$5,0)</f>
        <v>10.93</v>
      </c>
      <c r="AD383" s="45">
        <f>VLOOKUP($A383,'Dados StatusInvest'!$A:$AY,column(AD383)-$A$5,0)</f>
        <v>35.37</v>
      </c>
      <c r="AE383" s="46">
        <f>VLOOKUP($A383,'Dados StatusInvest'!$A:$AY,column(AE383)-$A$5,0)</f>
        <v>101931.88</v>
      </c>
      <c r="AF383" s="51"/>
    </row>
    <row r="384">
      <c r="A384" s="10" t="s">
        <v>430</v>
      </c>
      <c r="B384" s="39" t="str">
        <f>VLOOKUP(lEFT($A384,4),Setor!$A:$E,3,0)</f>
        <v>Financeiro</v>
      </c>
      <c r="C384" s="39" t="str">
        <f>VLOOKUP(lEFT($A384,4),Setor!$A:$E,4,0)</f>
        <v>Intermediários Financeiros</v>
      </c>
      <c r="D384" s="39" t="str">
        <f>VLOOKUP(lEFT($A384,4),Setor!$A:$E,5,0)</f>
        <v>Bancos</v>
      </c>
      <c r="E384" s="17">
        <f>IFERROR(__xludf.DUMMYFUNCTION("GOOGLEFINANCE(A384)"),38.15)</f>
        <v>38.15</v>
      </c>
      <c r="F384" s="17">
        <f>IFERROR(__xludf.DUMMYFUNCTION("GOOGLEFINANCE($A384,""high52"")"),43.2)</f>
        <v>43.2</v>
      </c>
      <c r="G384" s="16">
        <f t="shared" si="1"/>
        <v>-0.1168981481</v>
      </c>
      <c r="H384" s="40">
        <f>VLOOKUP($A384,'Dados StatusInvest'!$A:$AY,column(H384)-$A$5,0)*VLOOKUP($A384,'Dados StatusInvest'!$A:$AY,2,0)/$E384/100</f>
        <v>0.06814154653</v>
      </c>
      <c r="I384" s="41">
        <f>VLOOKUP($A384,'Dados StatusInvest'!$A:$AY,column(I384)-$A$5,0)/VLOOKUP($A384,'Dados StatusInvest'!$A:$AY,2,0)*$E384</f>
        <v>2.458118557</v>
      </c>
      <c r="J384" s="41">
        <f>VLOOKUP($A384,'Dados StatusInvest'!$A:$AY,column(J384)-$A$5,0)/VLOOKUP($A384,'Dados StatusInvest'!$A:$AY,2,0)*$E384</f>
        <v>0.4129639175</v>
      </c>
      <c r="K384" s="42">
        <f>VLOOKUP($A384,'Dados StatusInvest'!$A:$AY,column(K384)-$A$5,0)/VLOOKUP($A384,'Dados StatusInvest'!$A:$AY,2,0)*$E384</f>
        <v>0.04916237113</v>
      </c>
      <c r="L384" s="43">
        <f>VLOOKUP($A384,'Dados StatusInvest'!$A:$AY,column(L384)-$A$5,0)/100</f>
        <v>0.4432</v>
      </c>
      <c r="M384" s="44">
        <f>VLOOKUP($A384,'Dados StatusInvest'!$A:$AY,column(M384)-$A$5,0)</f>
        <v>89.66</v>
      </c>
      <c r="N384" s="44">
        <f>VLOOKUP($A384,'Dados StatusInvest'!$A:$AY,column(N384)-$A$5,0)</f>
        <v>49.27</v>
      </c>
      <c r="O384" s="41">
        <f>VLOOKUP($A384,'Dados StatusInvest'!$A:$AY,column(O384)-$A$5,0)/VLOOKUP($A384,'Dados StatusInvest'!$A:$AY,2,0)*$E384</f>
        <v>1.356881443</v>
      </c>
      <c r="P384" s="41">
        <f>VLOOKUP($A384,'Dados StatusInvest'!$A:$AY,column(P384)-$A$5,0)-VLOOKUP($A384,'Dados StatusInvest'!$A:$AY,column(P384)-$A$5-1,0)+O384</f>
        <v>1.356881443</v>
      </c>
      <c r="Q384" s="44">
        <f>VLOOKUP($A384,'Dados StatusInvest'!$A:$AY,column(Q384)-$A$5,0)</f>
        <v>0</v>
      </c>
      <c r="R384" s="44">
        <f>VLOOKUP($A384,'Dados StatusInvest'!$A:$AY,column(R384)-$A$5,0)</f>
        <v>0</v>
      </c>
      <c r="S384" s="41">
        <f>VLOOKUP($A384,'Dados StatusInvest'!$A:$AY,column(S384)-$A$5,0)/VLOOKUP($A384,'Dados StatusInvest'!$A:$AY,2,0)*$E384</f>
        <v>1.20939433</v>
      </c>
      <c r="T384" s="42">
        <f>VLOOKUP($A384,'Dados StatusInvest'!$A:$AY,column(T384)-$A$5,0)/VLOOKUP($A384,'Dados StatusInvest'!$A:$AY,2,0)*$E384</f>
        <v>1.632190722</v>
      </c>
      <c r="U384" s="44">
        <f>VLOOKUP($A384,'Dados StatusInvest'!$A:$AY,column(U384)-$A$5,0)</f>
        <v>-0.05</v>
      </c>
      <c r="V384" s="45">
        <f>VLOOKUP($A384,'Dados StatusInvest'!$A:$AY,column(V384)-$A$5,0)</f>
        <v>0</v>
      </c>
      <c r="W384" s="48">
        <f>VLOOKUP($A384,'Dados StatusInvest'!$A:$AY,column(W384)-$A$5,0)</f>
        <v>16.87</v>
      </c>
      <c r="X384" s="45">
        <f>VLOOKUP($A384,'Dados StatusInvest'!$A:$AY,column(X384)-$A$5,0)</f>
        <v>2</v>
      </c>
      <c r="Y384" s="45">
        <f>VLOOKUP($A384,'Dados StatusInvest'!$A:$AY,column(Y384)-$A$5,0)</f>
        <v>0</v>
      </c>
      <c r="Z384" s="44">
        <f>VLOOKUP($A384,'Dados StatusInvest'!$A:$AY,column(Z384)-$A$5,0)</f>
        <v>0.12</v>
      </c>
      <c r="AA384" s="44">
        <f>VLOOKUP($A384,'Dados StatusInvest'!$A:$AY,column(AA384)-$A$5,0)</f>
        <v>0.88</v>
      </c>
      <c r="AB384" s="44">
        <f>VLOOKUP($A384,'Dados StatusInvest'!$A:$AY,column(AB384)-$A$5,0)</f>
        <v>0.04</v>
      </c>
      <c r="AC384" s="44">
        <f>VLOOKUP($A384,'Dados StatusInvest'!$A:$AY,column(AC384)-$A$5,0)</f>
        <v>-8.12</v>
      </c>
      <c r="AD384" s="45">
        <f>VLOOKUP($A384,'Dados StatusInvest'!$A:$AY,column(AD384)-$A$5,0)</f>
        <v>13.03</v>
      </c>
      <c r="AE384" s="46">
        <f>VLOOKUP($A384,'Dados StatusInvest'!$A:$AY,column(AE384)-$A$5,0)</f>
        <v>33252.18</v>
      </c>
      <c r="AF384" s="49"/>
    </row>
    <row r="385">
      <c r="A385" s="10" t="s">
        <v>431</v>
      </c>
      <c r="B385" s="39" t="str">
        <f>VLOOKUP(lEFT($A385,4),Setor!$A:$E,3,0)</f>
        <v>Utilidade Pública</v>
      </c>
      <c r="C385" s="39" t="str">
        <f>VLOOKUP(lEFT($A385,4),Setor!$A:$E,4,0)</f>
        <v>Energia Elétrica</v>
      </c>
      <c r="D385" s="39" t="str">
        <f>VLOOKUP(lEFT($A385,4),Setor!$A:$E,5,0)</f>
        <v>Energia Elétrica</v>
      </c>
      <c r="E385" s="17">
        <f>IFERROR(__xludf.DUMMYFUNCTION("GOOGLEFINANCE(A385)"),335.0)</f>
        <v>335</v>
      </c>
      <c r="F385" s="17">
        <f>IFERROR(__xludf.DUMMYFUNCTION("GOOGLEFINANCE($A385,""high52"")"),800.0)</f>
        <v>800</v>
      </c>
      <c r="G385" s="16">
        <f t="shared" si="1"/>
        <v>-0.58125</v>
      </c>
      <c r="H385" s="40">
        <f>VLOOKUP($A385,'Dados StatusInvest'!$A:$AY,column(H385)-$A$5,0)*VLOOKUP($A385,'Dados StatusInvest'!$A:$AY,2,0)/$E385/100</f>
        <v>0.1130223881</v>
      </c>
      <c r="I385" s="41">
        <f>VLOOKUP($A385,'Dados StatusInvest'!$A:$AY,column(I385)-$A$5,0)/VLOOKUP($A385,'Dados StatusInvest'!$A:$AY,2,0)*$E385</f>
        <v>6.112461538</v>
      </c>
      <c r="J385" s="41">
        <f>VLOOKUP($A385,'Dados StatusInvest'!$A:$AY,column(J385)-$A$5,0)/VLOOKUP($A385,'Dados StatusInvest'!$A:$AY,2,0)*$E385</f>
        <v>1.772923077</v>
      </c>
      <c r="K385" s="42">
        <f>VLOOKUP($A385,'Dados StatusInvest'!$A:$AY,column(K385)-$A$5,0)/VLOOKUP($A385,'Dados StatusInvest'!$A:$AY,2,0)*$E385</f>
        <v>0.7215384615</v>
      </c>
      <c r="L385" s="43">
        <f>VLOOKUP($A385,'Dados StatusInvest'!$A:$AY,column(L385)-$A$5,0)/100</f>
        <v>0.5007</v>
      </c>
      <c r="M385" s="44">
        <f>VLOOKUP($A385,'Dados StatusInvest'!$A:$AY,column(M385)-$A$5,0)</f>
        <v>50.16</v>
      </c>
      <c r="N385" s="47">
        <f>VLOOKUP($A385,'Dados StatusInvest'!$A:$AY,column(N385)-$A$5,0)</f>
        <v>40.22</v>
      </c>
      <c r="O385" s="41">
        <f>VLOOKUP($A385,'Dados StatusInvest'!$A:$AY,column(O385)-$A$5,0)/VLOOKUP($A385,'Dados StatusInvest'!$A:$AY,2,0)*$E385</f>
        <v>4.896153846</v>
      </c>
      <c r="P385" s="41">
        <f>VLOOKUP($A385,'Dados StatusInvest'!$A:$AY,column(P385)-$A$5,0)-VLOOKUP($A385,'Dados StatusInvest'!$A:$AY,column(P385)-$A$5-1,0)+O385</f>
        <v>4.946153846</v>
      </c>
      <c r="Q385" s="44">
        <f>VLOOKUP($A385,'Dados StatusInvest'!$A:$AY,column(Q385)-$A$5,0)</f>
        <v>0.04</v>
      </c>
      <c r="R385" s="44">
        <f>VLOOKUP($A385,'Dados StatusInvest'!$A:$AY,column(R385)-$A$5,0)</f>
        <v>0.02</v>
      </c>
      <c r="S385" s="41">
        <f>VLOOKUP($A385,'Dados StatusInvest'!$A:$AY,column(S385)-$A$5,0)/VLOOKUP($A385,'Dados StatusInvest'!$A:$AY,2,0)*$E385</f>
        <v>2.453230769</v>
      </c>
      <c r="T385" s="42">
        <f>VLOOKUP($A385,'Dados StatusInvest'!$A:$AY,column(T385)-$A$5,0)/VLOOKUP($A385,'Dados StatusInvest'!$A:$AY,2,0)*$E385</f>
        <v>3.082</v>
      </c>
      <c r="U385" s="44">
        <f>VLOOKUP($A385,'Dados StatusInvest'!$A:$AY,column(U385)-$A$5,0)</f>
        <v>-1.07</v>
      </c>
      <c r="V385" s="45">
        <f>VLOOKUP($A385,'Dados StatusInvest'!$A:$AY,column(V385)-$A$5,0)</f>
        <v>3.25</v>
      </c>
      <c r="W385" s="45">
        <f>VLOOKUP($A385,'Dados StatusInvest'!$A:$AY,column(W385)-$A$5,0)</f>
        <v>28.94</v>
      </c>
      <c r="X385" s="45">
        <f>VLOOKUP($A385,'Dados StatusInvest'!$A:$AY,column(X385)-$A$5,0)</f>
        <v>11.88</v>
      </c>
      <c r="Y385" s="45">
        <f>VLOOKUP($A385,'Dados StatusInvest'!$A:$AY,column(Y385)-$A$5,0)</f>
        <v>20.13</v>
      </c>
      <c r="Z385" s="44">
        <f>VLOOKUP($A385,'Dados StatusInvest'!$A:$AY,column(Z385)-$A$5,0)</f>
        <v>0.41</v>
      </c>
      <c r="AA385" s="44">
        <f>VLOOKUP($A385,'Dados StatusInvest'!$A:$AY,column(AA385)-$A$5,0)</f>
        <v>0.59</v>
      </c>
      <c r="AB385" s="44">
        <f>VLOOKUP($A385,'Dados StatusInvest'!$A:$AY,column(AB385)-$A$5,0)</f>
        <v>0.3</v>
      </c>
      <c r="AC385" s="44">
        <f>VLOOKUP($A385,'Dados StatusInvest'!$A:$AY,column(AC385)-$A$5,0)</f>
        <v>14.95</v>
      </c>
      <c r="AD385" s="45">
        <f>VLOOKUP($A385,'Dados StatusInvest'!$A:$AY,column(AD385)-$A$5,0)</f>
        <v>44.2</v>
      </c>
      <c r="AE385" s="46">
        <f>VLOOKUP($A385,'Dados StatusInvest'!$A:$AY,column(AE385)-$A$5,0)</f>
        <v>58125</v>
      </c>
      <c r="AF385" s="18"/>
    </row>
    <row r="386">
      <c r="A386" s="10" t="s">
        <v>432</v>
      </c>
      <c r="B386" s="39" t="str">
        <f>VLOOKUP(lEFT($A386,4),Setor!$A:$E,3,0)</f>
        <v>Bens Industriais</v>
      </c>
      <c r="C386" s="39" t="str">
        <f>VLOOKUP(lEFT($A386,4),Setor!$A:$E,4,0)</f>
        <v>Máquinas e Equipamentos</v>
      </c>
      <c r="D386" s="39" t="str">
        <f>VLOOKUP(lEFT($A386,4),Setor!$A:$E,5,0)</f>
        <v>Máq. e Equip. Industriais</v>
      </c>
      <c r="E386" s="17">
        <f>IFERROR(__xludf.DUMMYFUNCTION("GOOGLEFINANCE(A386)"),17.99)</f>
        <v>17.99</v>
      </c>
      <c r="F386" s="17">
        <f>IFERROR(__xludf.DUMMYFUNCTION("GOOGLEFINANCE($A386,""high52"")"),60.0)</f>
        <v>60</v>
      </c>
      <c r="G386" s="16">
        <f t="shared" si="1"/>
        <v>-0.7001666667</v>
      </c>
      <c r="H386" s="40">
        <f>VLOOKUP($A386,'Dados StatusInvest'!$A:$AY,column(H386)-$A$5,0)*VLOOKUP($A386,'Dados StatusInvest'!$A:$AY,2,0)/$E386/100</f>
        <v>0</v>
      </c>
      <c r="I386" s="41">
        <f>VLOOKUP($A386,'Dados StatusInvest'!$A:$AY,column(I386)-$A$5,0)/VLOOKUP($A386,'Dados StatusInvest'!$A:$AY,2,0)*$E386</f>
        <v>-101.7278842</v>
      </c>
      <c r="J386" s="41">
        <f>VLOOKUP($A386,'Dados StatusInvest'!$A:$AY,column(J386)-$A$5,0)/VLOOKUP($A386,'Dados StatusInvest'!$A:$AY,2,0)*$E386</f>
        <v>-0.8498270126</v>
      </c>
      <c r="K386" s="42">
        <f>VLOOKUP($A386,'Dados StatusInvest'!$A:$AY,column(K386)-$A$5,0)/VLOOKUP($A386,'Dados StatusInvest'!$A:$AY,2,0)*$E386</f>
        <v>6.870432468</v>
      </c>
      <c r="L386" s="43">
        <f>VLOOKUP($A386,'Dados StatusInvest'!$A:$AY,column(L386)-$A$5,0)/100</f>
        <v>0.9084</v>
      </c>
      <c r="M386" s="47">
        <f>VLOOKUP($A386,'Dados StatusInvest'!$A:$AY,column(M386)-$A$5,0)</f>
        <v>81.8</v>
      </c>
      <c r="N386" s="47">
        <f>VLOOKUP($A386,'Dados StatusInvest'!$A:$AY,column(N386)-$A$5,0)</f>
        <v>-64.59</v>
      </c>
      <c r="O386" s="41">
        <f>VLOOKUP($A386,'Dados StatusInvest'!$A:$AY,column(O386)-$A$5,0)/VLOOKUP($A386,'Dados StatusInvest'!$A:$AY,2,0)*$E386</f>
        <v>80.32660679</v>
      </c>
      <c r="P386" s="41">
        <f>VLOOKUP($A386,'Dados StatusInvest'!$A:$AY,column(P386)-$A$5,0)-VLOOKUP($A386,'Dados StatusInvest'!$A:$AY,column(P386)-$A$5-1,0)+O386</f>
        <v>105.4566068</v>
      </c>
      <c r="Q386" s="44">
        <f>VLOOKUP($A386,'Dados StatusInvest'!$A:$AY,column(Q386)-$A$5,0)</f>
        <v>25.13</v>
      </c>
      <c r="R386" s="44">
        <f>VLOOKUP($A386,'Dados StatusInvest'!$A:$AY,column(R386)-$A$5,0)</f>
        <v>0</v>
      </c>
      <c r="S386" s="41">
        <f>VLOOKUP($A386,'Dados StatusInvest'!$A:$AY,column(S386)-$A$5,0)/VLOOKUP($A386,'Dados StatusInvest'!$A:$AY,2,0)*$E386</f>
        <v>65.70000665</v>
      </c>
      <c r="T386" s="42">
        <f>VLOOKUP($A386,'Dados StatusInvest'!$A:$AY,column(T386)-$A$5,0)/VLOOKUP($A386,'Dados StatusInvest'!$A:$AY,2,0)*$E386</f>
        <v>-2.537511643</v>
      </c>
      <c r="U386" s="47">
        <f>VLOOKUP($A386,'Dados StatusInvest'!$A:$AY,column(U386)-$A$5,0)</f>
        <v>-6.19</v>
      </c>
      <c r="V386" s="45">
        <f>VLOOKUP($A386,'Dados StatusInvest'!$A:$AY,column(V386)-$A$5,0)</f>
        <v>0.03</v>
      </c>
      <c r="W386" s="48">
        <f>VLOOKUP($A386,'Dados StatusInvest'!$A:$AY,column(W386)-$A$5,0)</f>
        <v>-0.83</v>
      </c>
      <c r="X386" s="48">
        <f>VLOOKUP($A386,'Dados StatusInvest'!$A:$AY,column(X386)-$A$5,0)</f>
        <v>-6.75</v>
      </c>
      <c r="Y386" s="48">
        <f>VLOOKUP($A386,'Dados StatusInvest'!$A:$AY,column(Y386)-$A$5,0)</f>
        <v>-1.43</v>
      </c>
      <c r="Z386" s="44">
        <f>VLOOKUP($A386,'Dados StatusInvest'!$A:$AY,column(Z386)-$A$5,0)</f>
        <v>-8.12</v>
      </c>
      <c r="AA386" s="44">
        <f>VLOOKUP($A386,'Dados StatusInvest'!$A:$AY,column(AA386)-$A$5,0)</f>
        <v>9.12</v>
      </c>
      <c r="AB386" s="44">
        <f>VLOOKUP($A386,'Dados StatusInvest'!$A:$AY,column(AB386)-$A$5,0)</f>
        <v>0.1</v>
      </c>
      <c r="AC386" s="44">
        <f>VLOOKUP($A386,'Dados StatusInvest'!$A:$AY,column(AC386)-$A$5,0)</f>
        <v>0</v>
      </c>
      <c r="AD386" s="45">
        <f>VLOOKUP($A386,'Dados StatusInvest'!$A:$AY,column(AD386)-$A$5,0)</f>
        <v>0</v>
      </c>
      <c r="AE386" s="46">
        <f>VLOOKUP($A386,'Dados StatusInvest'!$A:$AY,column(AE386)-$A$5,0)</f>
        <v>73987.39</v>
      </c>
      <c r="AF386" s="50"/>
    </row>
    <row r="387">
      <c r="A387" s="10" t="s">
        <v>433</v>
      </c>
      <c r="B387" s="39" t="str">
        <f>VLOOKUP(lEFT($A387,4),Setor!$A:$E,3,0)</f>
        <v>Consumo Cíclico</v>
      </c>
      <c r="C387" s="39" t="str">
        <f>VLOOKUP(lEFT($A387,4),Setor!$A:$E,4,0)</f>
        <v>Tecidos, Vestuário e Calçados</v>
      </c>
      <c r="D387" s="39" t="str">
        <f>VLOOKUP(lEFT($A387,4),Setor!$A:$E,5,0)</f>
        <v>Fios e Tecidos</v>
      </c>
      <c r="E387" s="17">
        <f>IFERROR(__xludf.DUMMYFUNCTION("GOOGLEFINANCE(A387)"),6.14)</f>
        <v>6.14</v>
      </c>
      <c r="F387" s="17">
        <f>IFERROR(__xludf.DUMMYFUNCTION("GOOGLEFINANCE($A387,""high52"")"),13.28)</f>
        <v>13.28</v>
      </c>
      <c r="G387" s="16">
        <f t="shared" si="1"/>
        <v>-0.5376506024</v>
      </c>
      <c r="H387" s="40">
        <f>VLOOKUP($A387,'Dados StatusInvest'!$A:$AY,column(H387)-$A$5,0)*VLOOKUP($A387,'Dados StatusInvest'!$A:$AY,2,0)/$E387/100</f>
        <v>0</v>
      </c>
      <c r="I387" s="41">
        <f>VLOOKUP($A387,'Dados StatusInvest'!$A:$AY,column(I387)-$A$5,0)/VLOOKUP($A387,'Dados StatusInvest'!$A:$AY,2,0)*$E387</f>
        <v>19.01805195</v>
      </c>
      <c r="J387" s="41">
        <f>VLOOKUP($A387,'Dados StatusInvest'!$A:$AY,column(J387)-$A$5,0)/VLOOKUP($A387,'Dados StatusInvest'!$A:$AY,2,0)*$E387</f>
        <v>0.448538961</v>
      </c>
      <c r="K387" s="42">
        <f>VLOOKUP($A387,'Dados StatusInvest'!$A:$AY,column(K387)-$A$5,0)/VLOOKUP($A387,'Dados StatusInvest'!$A:$AY,2,0)*$E387</f>
        <v>0.07974025974</v>
      </c>
      <c r="L387" s="43">
        <f>VLOOKUP($A387,'Dados StatusInvest'!$A:$AY,column(L387)-$A$5,0)/100</f>
        <v>0.1721</v>
      </c>
      <c r="M387" s="44">
        <f>VLOOKUP($A387,'Dados StatusInvest'!$A:$AY,column(M387)-$A$5,0)</f>
        <v>5.01</v>
      </c>
      <c r="N387" s="44">
        <f>VLOOKUP($A387,'Dados StatusInvest'!$A:$AY,column(N387)-$A$5,0)</f>
        <v>0.4</v>
      </c>
      <c r="O387" s="41">
        <f>VLOOKUP($A387,'Dados StatusInvest'!$A:$AY,column(O387)-$A$5,0)/VLOOKUP($A387,'Dados StatusInvest'!$A:$AY,2,0)*$E387</f>
        <v>1.515064935</v>
      </c>
      <c r="P387" s="41">
        <f>VLOOKUP($A387,'Dados StatusInvest'!$A:$AY,column(P387)-$A$5,0)-VLOOKUP($A387,'Dados StatusInvest'!$A:$AY,column(P387)-$A$5-1,0)+O387</f>
        <v>6.525064935</v>
      </c>
      <c r="Q387" s="44">
        <f>VLOOKUP($A387,'Dados StatusInvest'!$A:$AY,column(Q387)-$A$5,0)</f>
        <v>4.84</v>
      </c>
      <c r="R387" s="44">
        <f>VLOOKUP($A387,'Dados StatusInvest'!$A:$AY,column(R387)-$A$5,0)</f>
        <v>1.44</v>
      </c>
      <c r="S387" s="41">
        <f>VLOOKUP($A387,'Dados StatusInvest'!$A:$AY,column(S387)-$A$5,0)/VLOOKUP($A387,'Dados StatusInvest'!$A:$AY,2,0)*$E387</f>
        <v>0.07974025974</v>
      </c>
      <c r="T387" s="42">
        <f>VLOOKUP($A387,'Dados StatusInvest'!$A:$AY,column(T387)-$A$5,0)/VLOOKUP($A387,'Dados StatusInvest'!$A:$AY,2,0)*$E387</f>
        <v>-1.465227273</v>
      </c>
      <c r="U387" s="44">
        <f>VLOOKUP($A387,'Dados StatusInvest'!$A:$AY,column(U387)-$A$5,0)</f>
        <v>-0.15</v>
      </c>
      <c r="V387" s="45">
        <f>VLOOKUP($A387,'Dados StatusInvest'!$A:$AY,column(V387)-$A$5,0)</f>
        <v>0.9</v>
      </c>
      <c r="W387" s="45">
        <f>VLOOKUP($A387,'Dados StatusInvest'!$A:$AY,column(W387)-$A$5,0)</f>
        <v>2.36</v>
      </c>
      <c r="X387" s="45">
        <f>VLOOKUP($A387,'Dados StatusInvest'!$A:$AY,column(X387)-$A$5,0)</f>
        <v>0.42</v>
      </c>
      <c r="Y387" s="45">
        <f>VLOOKUP($A387,'Dados StatusInvest'!$A:$AY,column(Y387)-$A$5,0)</f>
        <v>10.82</v>
      </c>
      <c r="Z387" s="44">
        <f>VLOOKUP($A387,'Dados StatusInvest'!$A:$AY,column(Z387)-$A$5,0)</f>
        <v>0.18</v>
      </c>
      <c r="AA387" s="44">
        <f>VLOOKUP($A387,'Dados StatusInvest'!$A:$AY,column(AA387)-$A$5,0)</f>
        <v>0.8</v>
      </c>
      <c r="AB387" s="44">
        <f>VLOOKUP($A387,'Dados StatusInvest'!$A:$AY,column(AB387)-$A$5,0)</f>
        <v>1.06</v>
      </c>
      <c r="AC387" s="44">
        <f>VLOOKUP($A387,'Dados StatusInvest'!$A:$AY,column(AC387)-$A$5,0)</f>
        <v>9.31</v>
      </c>
      <c r="AD387" s="45">
        <f>VLOOKUP($A387,'Dados StatusInvest'!$A:$AY,column(AD387)-$A$5,0)</f>
        <v>0</v>
      </c>
      <c r="AE387" s="46">
        <f>VLOOKUP($A387,'Dados StatusInvest'!$A:$AY,column(AE387)-$A$5,0)</f>
        <v>28942.14</v>
      </c>
      <c r="AF387" s="50"/>
    </row>
    <row r="388">
      <c r="A388" s="10" t="s">
        <v>434</v>
      </c>
      <c r="B388" s="39" t="str">
        <f>VLOOKUP(lEFT($A388,4),Setor!$A:$E,3,0)</f>
        <v>Financeiro</v>
      </c>
      <c r="C388" s="39" t="str">
        <f>VLOOKUP(lEFT($A388,4),Setor!$A:$E,4,0)</f>
        <v>Intermediários Financeiros</v>
      </c>
      <c r="D388" s="39" t="str">
        <f>VLOOKUP(lEFT($A388,4),Setor!$A:$E,5,0)</f>
        <v>Bancos</v>
      </c>
      <c r="E388" s="17">
        <f>IFERROR(__xludf.DUMMYFUNCTION("GOOGLEFINANCE(A388)"),27.0)</f>
        <v>27</v>
      </c>
      <c r="F388" s="17">
        <f>IFERROR(__xludf.DUMMYFUNCTION("GOOGLEFINANCE($A388,""high52"")"),140.0)</f>
        <v>140</v>
      </c>
      <c r="G388" s="16">
        <f t="shared" si="1"/>
        <v>-0.8071428571</v>
      </c>
      <c r="H388" s="40">
        <f>VLOOKUP($A388,'Dados StatusInvest'!$A:$AY,column(H388)-$A$5,0)*VLOOKUP($A388,'Dados StatusInvest'!$A:$AY,2,0)/$E388/100</f>
        <v>0.0532</v>
      </c>
      <c r="I388" s="41">
        <f>VLOOKUP($A388,'Dados StatusInvest'!$A:$AY,column(I388)-$A$5,0)/VLOOKUP($A388,'Dados StatusInvest'!$A:$AY,2,0)*$E388</f>
        <v>19.95</v>
      </c>
      <c r="J388" s="41">
        <f>VLOOKUP($A388,'Dados StatusInvest'!$A:$AY,column(J388)-$A$5,0)/VLOOKUP($A388,'Dados StatusInvest'!$A:$AY,2,0)*$E388</f>
        <v>4.56</v>
      </c>
      <c r="K388" s="42">
        <f>VLOOKUP($A388,'Dados StatusInvest'!$A:$AY,column(K388)-$A$5,0)/VLOOKUP($A388,'Dados StatusInvest'!$A:$AY,2,0)*$E388</f>
        <v>0.36</v>
      </c>
      <c r="L388" s="43">
        <f>VLOOKUP($A388,'Dados StatusInvest'!$A:$AY,column(L388)-$A$5,0)/100</f>
        <v>0.7402</v>
      </c>
      <c r="M388" s="44">
        <f>VLOOKUP($A388,'Dados StatusInvest'!$A:$AY,column(M388)-$A$5,0)</f>
        <v>26.69</v>
      </c>
      <c r="N388" s="44">
        <f>VLOOKUP($A388,'Dados StatusInvest'!$A:$AY,column(N388)-$A$5,0)</f>
        <v>18.8</v>
      </c>
      <c r="O388" s="41">
        <f>VLOOKUP($A388,'Dados StatusInvest'!$A:$AY,column(O388)-$A$5,0)/VLOOKUP($A388,'Dados StatusInvest'!$A:$AY,2,0)*$E388</f>
        <v>14.05</v>
      </c>
      <c r="P388" s="41">
        <f>VLOOKUP($A388,'Dados StatusInvest'!$A:$AY,column(P388)-$A$5,0)-VLOOKUP($A388,'Dados StatusInvest'!$A:$AY,column(P388)-$A$5-1,0)+O388</f>
        <v>13.26</v>
      </c>
      <c r="Q388" s="44">
        <f>VLOOKUP($A388,'Dados StatusInvest'!$A:$AY,column(Q388)-$A$5,0)</f>
        <v>0</v>
      </c>
      <c r="R388" s="44">
        <f>VLOOKUP($A388,'Dados StatusInvest'!$A:$AY,column(R388)-$A$5,0)</f>
        <v>0</v>
      </c>
      <c r="S388" s="41">
        <f>VLOOKUP($A388,'Dados StatusInvest'!$A:$AY,column(S388)-$A$5,0)/VLOOKUP($A388,'Dados StatusInvest'!$A:$AY,2,0)*$E388</f>
        <v>3.75</v>
      </c>
      <c r="T388" s="42">
        <f>VLOOKUP($A388,'Dados StatusInvest'!$A:$AY,column(T388)-$A$5,0)/VLOOKUP($A388,'Dados StatusInvest'!$A:$AY,2,0)*$E388</f>
        <v>-1.3</v>
      </c>
      <c r="U388" s="47">
        <f>VLOOKUP($A388,'Dados StatusInvest'!$A:$AY,column(U388)-$A$5,0)</f>
        <v>-0.4</v>
      </c>
      <c r="V388" s="45">
        <f>VLOOKUP($A388,'Dados StatusInvest'!$A:$AY,column(V388)-$A$5,0)</f>
        <v>0.23</v>
      </c>
      <c r="W388" s="45">
        <f>VLOOKUP($A388,'Dados StatusInvest'!$A:$AY,column(W388)-$A$5,0)</f>
        <v>22.86</v>
      </c>
      <c r="X388" s="45">
        <f>VLOOKUP($A388,'Dados StatusInvest'!$A:$AY,column(X388)-$A$5,0)</f>
        <v>1.82</v>
      </c>
      <c r="Y388" s="45">
        <f>VLOOKUP($A388,'Dados StatusInvest'!$A:$AY,column(Y388)-$A$5,0)</f>
        <v>0</v>
      </c>
      <c r="Z388" s="44">
        <f>VLOOKUP($A388,'Dados StatusInvest'!$A:$AY,column(Z388)-$A$5,0)</f>
        <v>0.08</v>
      </c>
      <c r="AA388" s="44">
        <f>VLOOKUP($A388,'Dados StatusInvest'!$A:$AY,column(AA388)-$A$5,0)</f>
        <v>0.92</v>
      </c>
      <c r="AB388" s="44">
        <f>VLOOKUP($A388,'Dados StatusInvest'!$A:$AY,column(AB388)-$A$5,0)</f>
        <v>0.1</v>
      </c>
      <c r="AC388" s="44">
        <f>VLOOKUP($A388,'Dados StatusInvest'!$A:$AY,column(AC388)-$A$5,0)</f>
        <v>-2.43</v>
      </c>
      <c r="AD388" s="45">
        <f>VLOOKUP($A388,'Dados StatusInvest'!$A:$AY,column(AD388)-$A$5,0)</f>
        <v>36.13</v>
      </c>
      <c r="AE388" s="46">
        <f>VLOOKUP($A388,'Dados StatusInvest'!$A:$AY,column(AE388)-$A$5,0)</f>
        <v>34785.31</v>
      </c>
      <c r="AF388" s="50"/>
    </row>
    <row r="389">
      <c r="A389" s="10" t="s">
        <v>435</v>
      </c>
      <c r="B389" s="39" t="str">
        <f>VLOOKUP(lEFT($A389,4),Setor!$A:$E,3,0)</f>
        <v>Materiais Básicos</v>
      </c>
      <c r="C389" s="39" t="str">
        <f>VLOOKUP(lEFT($A389,4),Setor!$A:$E,4,0)</f>
        <v>Siderurgia e Metalurgia</v>
      </c>
      <c r="D389" s="39" t="str">
        <f>VLOOKUP(lEFT($A389,4),Setor!$A:$E,5,0)</f>
        <v>Artefatos de Ferro e Aço</v>
      </c>
      <c r="E389" s="17">
        <f>IFERROR(__xludf.DUMMYFUNCTION("GOOGLEFINANCE(A389)"),72.5)</f>
        <v>72.5</v>
      </c>
      <c r="F389" s="17">
        <f>IFERROR(__xludf.DUMMYFUNCTION("GOOGLEFINANCE($A389,""high52"")"),86.02)</f>
        <v>86.02</v>
      </c>
      <c r="G389" s="16">
        <f t="shared" si="1"/>
        <v>-0.1571727505</v>
      </c>
      <c r="H389" s="40">
        <f>VLOOKUP($A389,'Dados StatusInvest'!$A:$AY,column(H389)-$A$5,0)*VLOOKUP($A389,'Dados StatusInvest'!$A:$AY,2,0)/$E389/100</f>
        <v>0.032742</v>
      </c>
      <c r="I389" s="41">
        <f>VLOOKUP($A389,'Dados StatusInvest'!$A:$AY,column(I389)-$A$5,0)/VLOOKUP($A389,'Dados StatusInvest'!$A:$AY,2,0)*$E389</f>
        <v>6.803921569</v>
      </c>
      <c r="J389" s="41">
        <f>VLOOKUP($A389,'Dados StatusInvest'!$A:$AY,column(J389)-$A$5,0)/VLOOKUP($A389,'Dados StatusInvest'!$A:$AY,2,0)*$E389</f>
        <v>2.235294118</v>
      </c>
      <c r="K389" s="42">
        <f>VLOOKUP($A389,'Dados StatusInvest'!$A:$AY,column(K389)-$A$5,0)/VLOOKUP($A389,'Dados StatusInvest'!$A:$AY,2,0)*$E389</f>
        <v>1</v>
      </c>
      <c r="L389" s="43">
        <f>VLOOKUP($A389,'Dados StatusInvest'!$A:$AY,column(L389)-$A$5,0)/100</f>
        <v>0.2213</v>
      </c>
      <c r="M389" s="44">
        <f>VLOOKUP($A389,'Dados StatusInvest'!$A:$AY,column(M389)-$A$5,0)</f>
        <v>17.29</v>
      </c>
      <c r="N389" s="44">
        <f>VLOOKUP($A389,'Dados StatusInvest'!$A:$AY,column(N389)-$A$5,0)</f>
        <v>11.18</v>
      </c>
      <c r="O389" s="41">
        <f>VLOOKUP($A389,'Dados StatusInvest'!$A:$AY,column(O389)-$A$5,0)/VLOOKUP($A389,'Dados StatusInvest'!$A:$AY,2,0)*$E389</f>
        <v>4.401960784</v>
      </c>
      <c r="P389" s="41">
        <f>VLOOKUP($A389,'Dados StatusInvest'!$A:$AY,column(P389)-$A$5,0)-VLOOKUP($A389,'Dados StatusInvest'!$A:$AY,column(P389)-$A$5-1,0)+O389</f>
        <v>4.831960784</v>
      </c>
      <c r="Q389" s="44">
        <f>VLOOKUP($A389,'Dados StatusInvest'!$A:$AY,column(Q389)-$A$5,0)</f>
        <v>0.47</v>
      </c>
      <c r="R389" s="44">
        <f>VLOOKUP($A389,'Dados StatusInvest'!$A:$AY,column(R389)-$A$5,0)</f>
        <v>0.24</v>
      </c>
      <c r="S389" s="41">
        <f>VLOOKUP($A389,'Dados StatusInvest'!$A:$AY,column(S389)-$A$5,0)/VLOOKUP($A389,'Dados StatusInvest'!$A:$AY,2,0)*$E389</f>
        <v>0.7647058824</v>
      </c>
      <c r="T389" s="42">
        <f>VLOOKUP($A389,'Dados StatusInvest'!$A:$AY,column(T389)-$A$5,0)/VLOOKUP($A389,'Dados StatusInvest'!$A:$AY,2,0)*$E389</f>
        <v>1.754901961</v>
      </c>
      <c r="U389" s="44">
        <f>VLOOKUP($A389,'Dados StatusInvest'!$A:$AY,column(U389)-$A$5,0)</f>
        <v>-6.81</v>
      </c>
      <c r="V389" s="45">
        <f>VLOOKUP($A389,'Dados StatusInvest'!$A:$AY,column(V389)-$A$5,0)</f>
        <v>3.06</v>
      </c>
      <c r="W389" s="48">
        <f>VLOOKUP($A389,'Dados StatusInvest'!$A:$AY,column(W389)-$A$5,0)</f>
        <v>32.87</v>
      </c>
      <c r="X389" s="45">
        <f>VLOOKUP($A389,'Dados StatusInvest'!$A:$AY,column(X389)-$A$5,0)</f>
        <v>14.71</v>
      </c>
      <c r="Y389" s="45">
        <f>VLOOKUP($A389,'Dados StatusInvest'!$A:$AY,column(Y389)-$A$5,0)</f>
        <v>20.08</v>
      </c>
      <c r="Z389" s="44">
        <f>VLOOKUP($A389,'Dados StatusInvest'!$A:$AY,column(Z389)-$A$5,0)</f>
        <v>0.45</v>
      </c>
      <c r="AA389" s="44">
        <f>VLOOKUP($A389,'Dados StatusInvest'!$A:$AY,column(AA389)-$A$5,0)</f>
        <v>0.55</v>
      </c>
      <c r="AB389" s="44">
        <f>VLOOKUP($A389,'Dados StatusInvest'!$A:$AY,column(AB389)-$A$5,0)</f>
        <v>1.32</v>
      </c>
      <c r="AC389" s="44">
        <f>VLOOKUP($A389,'Dados StatusInvest'!$A:$AY,column(AC389)-$A$5,0)</f>
        <v>17.73</v>
      </c>
      <c r="AD389" s="45">
        <f>VLOOKUP($A389,'Dados StatusInvest'!$A:$AY,column(AD389)-$A$5,0)</f>
        <v>87.28</v>
      </c>
      <c r="AE389" s="46">
        <f>VLOOKUP($A389,'Dados StatusInvest'!$A:$AY,column(AE389)-$A$5,0)</f>
        <v>37136.5</v>
      </c>
      <c r="AF389" s="49"/>
    </row>
    <row r="390">
      <c r="A390" s="10" t="s">
        <v>436</v>
      </c>
      <c r="B390" s="39" t="str">
        <f>VLOOKUP(lEFT($A390,4),Setor!$A:$E,3,0)</f>
        <v>Materiais Básicos</v>
      </c>
      <c r="C390" s="39" t="str">
        <f>VLOOKUP(lEFT($A390,4),Setor!$A:$E,4,0)</f>
        <v>Químicos</v>
      </c>
      <c r="D390" s="39" t="str">
        <f>VLOOKUP(lEFT($A390,4),Setor!$A:$E,5,0)</f>
        <v>Químicos Diversos</v>
      </c>
      <c r="E390" s="17">
        <f>IFERROR(__xludf.DUMMYFUNCTION("GOOGLEFINANCE(A390)"),80.0)</f>
        <v>80</v>
      </c>
      <c r="F390" s="17">
        <f>IFERROR(__xludf.DUMMYFUNCTION("GOOGLEFINANCE($A390,""high52"")"),109.95)</f>
        <v>109.95</v>
      </c>
      <c r="G390" s="16">
        <f t="shared" si="1"/>
        <v>-0.2723965439</v>
      </c>
      <c r="H390" s="40">
        <f>VLOOKUP($A390,'Dados StatusInvest'!$A:$AY,column(H390)-$A$5,0)*VLOOKUP($A390,'Dados StatusInvest'!$A:$AY,2,0)/$E390/100</f>
        <v>0.1003</v>
      </c>
      <c r="I390" s="41">
        <f>VLOOKUP($A390,'Dados StatusInvest'!$A:$AY,column(I390)-$A$5,0)/VLOOKUP($A390,'Dados StatusInvest'!$A:$AY,2,0)*$E390</f>
        <v>7.85</v>
      </c>
      <c r="J390" s="41">
        <f>VLOOKUP($A390,'Dados StatusInvest'!$A:$AY,column(J390)-$A$5,0)/VLOOKUP($A390,'Dados StatusInvest'!$A:$AY,2,0)*$E390</f>
        <v>3.81</v>
      </c>
      <c r="K390" s="42">
        <f>VLOOKUP($A390,'Dados StatusInvest'!$A:$AY,column(K390)-$A$5,0)/VLOOKUP($A390,'Dados StatusInvest'!$A:$AY,2,0)*$E390</f>
        <v>1.54</v>
      </c>
      <c r="L390" s="43">
        <f>VLOOKUP($A390,'Dados StatusInvest'!$A:$AY,column(L390)-$A$5,0)/100</f>
        <v>0.4228</v>
      </c>
      <c r="M390" s="44">
        <f>VLOOKUP($A390,'Dados StatusInvest'!$A:$AY,column(M390)-$A$5,0)</f>
        <v>31.44</v>
      </c>
      <c r="N390" s="44">
        <f>VLOOKUP($A390,'Dados StatusInvest'!$A:$AY,column(N390)-$A$5,0)</f>
        <v>20.02</v>
      </c>
      <c r="O390" s="41">
        <f>VLOOKUP($A390,'Dados StatusInvest'!$A:$AY,column(O390)-$A$5,0)/VLOOKUP($A390,'Dados StatusInvest'!$A:$AY,2,0)*$E390</f>
        <v>5</v>
      </c>
      <c r="P390" s="41">
        <f>VLOOKUP($A390,'Dados StatusInvest'!$A:$AY,column(P390)-$A$5,0)-VLOOKUP($A390,'Dados StatusInvest'!$A:$AY,column(P390)-$A$5-1,0)+O390</f>
        <v>4.85</v>
      </c>
      <c r="Q390" s="44">
        <f>VLOOKUP($A390,'Dados StatusInvest'!$A:$AY,column(Q390)-$A$5,0)</f>
        <v>-0.21</v>
      </c>
      <c r="R390" s="44">
        <f>VLOOKUP($A390,'Dados StatusInvest'!$A:$AY,column(R390)-$A$5,0)</f>
        <v>-0.16</v>
      </c>
      <c r="S390" s="41">
        <f>VLOOKUP($A390,'Dados StatusInvest'!$A:$AY,column(S390)-$A$5,0)/VLOOKUP($A390,'Dados StatusInvest'!$A:$AY,2,0)*$E390</f>
        <v>1.57</v>
      </c>
      <c r="T390" s="42">
        <f>VLOOKUP($A390,'Dados StatusInvest'!$A:$AY,column(T390)-$A$5,0)/VLOOKUP($A390,'Dados StatusInvest'!$A:$AY,2,0)*$E390</f>
        <v>6.24</v>
      </c>
      <c r="U390" s="44">
        <f>VLOOKUP($A390,'Dados StatusInvest'!$A:$AY,column(U390)-$A$5,0)</f>
        <v>-2.84</v>
      </c>
      <c r="V390" s="45">
        <f>VLOOKUP($A390,'Dados StatusInvest'!$A:$AY,column(V390)-$A$5,0)</f>
        <v>2.17</v>
      </c>
      <c r="W390" s="45">
        <f>VLOOKUP($A390,'Dados StatusInvest'!$A:$AY,column(W390)-$A$5,0)</f>
        <v>48.58</v>
      </c>
      <c r="X390" s="45">
        <f>VLOOKUP($A390,'Dados StatusInvest'!$A:$AY,column(X390)-$A$5,0)</f>
        <v>19.62</v>
      </c>
      <c r="Y390" s="48">
        <f>VLOOKUP($A390,'Dados StatusInvest'!$A:$AY,column(Y390)-$A$5,0)</f>
        <v>36.14</v>
      </c>
      <c r="Z390" s="44">
        <f>VLOOKUP($A390,'Dados StatusInvest'!$A:$AY,column(Z390)-$A$5,0)</f>
        <v>0.4</v>
      </c>
      <c r="AA390" s="44">
        <f>VLOOKUP($A390,'Dados StatusInvest'!$A:$AY,column(AA390)-$A$5,0)</f>
        <v>0.59</v>
      </c>
      <c r="AB390" s="44">
        <f>VLOOKUP($A390,'Dados StatusInvest'!$A:$AY,column(AB390)-$A$5,0)</f>
        <v>0.98</v>
      </c>
      <c r="AC390" s="44">
        <f>VLOOKUP($A390,'Dados StatusInvest'!$A:$AY,column(AC390)-$A$5,0)</f>
        <v>35.12</v>
      </c>
      <c r="AD390" s="45">
        <f>VLOOKUP($A390,'Dados StatusInvest'!$A:$AY,column(AD390)-$A$5,0)</f>
        <v>61.42</v>
      </c>
      <c r="AE390" s="46">
        <f>VLOOKUP($A390,'Dados StatusInvest'!$A:$AY,column(AE390)-$A$5,0)</f>
        <v>51403.92</v>
      </c>
      <c r="AF390" s="18"/>
    </row>
    <row r="391">
      <c r="A391" s="10" t="s">
        <v>437</v>
      </c>
      <c r="B391" s="39" t="str">
        <f>VLOOKUP(lEFT($A391,4),Setor!$A:$E,3,0)</f>
        <v>Consumo Cíclico</v>
      </c>
      <c r="C391" s="39" t="str">
        <f>VLOOKUP(lEFT($A391,4),Setor!$A:$E,4,0)</f>
        <v>Automóveis e Motocicletas</v>
      </c>
      <c r="D391" s="39" t="str">
        <f>VLOOKUP(lEFT($A391,4),Setor!$A:$E,5,0)</f>
        <v>Automóveis e Motocicletas</v>
      </c>
      <c r="E391" s="17">
        <f>IFERROR(__xludf.DUMMYFUNCTION("GOOGLEFINANCE(A391)"),12.16)</f>
        <v>12.16</v>
      </c>
      <c r="F391" s="17">
        <f>IFERROR(__xludf.DUMMYFUNCTION("GOOGLEFINANCE($A391,""high52"")"),20.0)</f>
        <v>20</v>
      </c>
      <c r="G391" s="16">
        <f t="shared" si="1"/>
        <v>-0.392</v>
      </c>
      <c r="H391" s="40">
        <f>VLOOKUP($A391,'Dados StatusInvest'!$A:$AY,column(H391)-$A$5,0)*VLOOKUP($A391,'Dados StatusInvest'!$A:$AY,2,0)/$E391/100</f>
        <v>0</v>
      </c>
      <c r="I391" s="41">
        <f>VLOOKUP($A391,'Dados StatusInvest'!$A:$AY,column(I391)-$A$5,0)/VLOOKUP($A391,'Dados StatusInvest'!$A:$AY,2,0)*$E391</f>
        <v>-1.692168285</v>
      </c>
      <c r="J391" s="41">
        <f>VLOOKUP($A391,'Dados StatusInvest'!$A:$AY,column(J391)-$A$5,0)/VLOOKUP($A391,'Dados StatusInvest'!$A:$AY,2,0)*$E391</f>
        <v>-0.6689967638</v>
      </c>
      <c r="K391" s="42">
        <f>VLOOKUP($A391,'Dados StatusInvest'!$A:$AY,column(K391)-$A$5,0)/VLOOKUP($A391,'Dados StatusInvest'!$A:$AY,2,0)*$E391</f>
        <v>0.2361165049</v>
      </c>
      <c r="L391" s="43">
        <f>VLOOKUP($A391,'Dados StatusInvest'!$A:$AY,column(L391)-$A$5,0)/100</f>
        <v>0.0606</v>
      </c>
      <c r="M391" s="47">
        <f>VLOOKUP($A391,'Dados StatusInvest'!$A:$AY,column(M391)-$A$5,0)</f>
        <v>-10.84</v>
      </c>
      <c r="N391" s="47">
        <f>VLOOKUP($A391,'Dados StatusInvest'!$A:$AY,column(N391)-$A$5,0)</f>
        <v>-17.09</v>
      </c>
      <c r="O391" s="41">
        <f>VLOOKUP($A391,'Dados StatusInvest'!$A:$AY,column(O391)-$A$5,0)/VLOOKUP($A391,'Dados StatusInvest'!$A:$AY,2,0)*$E391</f>
        <v>-2.666148867</v>
      </c>
      <c r="P391" s="41">
        <f>VLOOKUP($A391,'Dados StatusInvest'!$A:$AY,column(P391)-$A$5,0)-VLOOKUP($A391,'Dados StatusInvest'!$A:$AY,column(P391)-$A$5-1,0)+O391</f>
        <v>-5.746148867</v>
      </c>
      <c r="Q391" s="44">
        <f>VLOOKUP($A391,'Dados StatusInvest'!$A:$AY,column(Q391)-$A$5,0)</f>
        <v>-3.09</v>
      </c>
      <c r="R391" s="44">
        <f>VLOOKUP($A391,'Dados StatusInvest'!$A:$AY,column(R391)-$A$5,0)</f>
        <v>0</v>
      </c>
      <c r="S391" s="41">
        <f>VLOOKUP($A391,'Dados StatusInvest'!$A:$AY,column(S391)-$A$5,0)/VLOOKUP($A391,'Dados StatusInvest'!$A:$AY,2,0)*$E391</f>
        <v>0.2853074434</v>
      </c>
      <c r="T391" s="42">
        <f>VLOOKUP($A391,'Dados StatusInvest'!$A:$AY,column(T391)-$A$5,0)/VLOOKUP($A391,'Dados StatusInvest'!$A:$AY,2,0)*$E391</f>
        <v>-0.9543042071</v>
      </c>
      <c r="U391" s="44">
        <f>VLOOKUP($A391,'Dados StatusInvest'!$A:$AY,column(U391)-$A$5,0)</f>
        <v>-0.36</v>
      </c>
      <c r="V391" s="45">
        <f>VLOOKUP($A391,'Dados StatusInvest'!$A:$AY,column(V391)-$A$5,0)</f>
        <v>0.56</v>
      </c>
      <c r="W391" s="45">
        <f>VLOOKUP($A391,'Dados StatusInvest'!$A:$AY,column(W391)-$A$5,0)</f>
        <v>-39.64</v>
      </c>
      <c r="X391" s="45">
        <f>VLOOKUP($A391,'Dados StatusInvest'!$A:$AY,column(X391)-$A$5,0)</f>
        <v>-14.15</v>
      </c>
      <c r="Y391" s="45">
        <f>VLOOKUP($A391,'Dados StatusInvest'!$A:$AY,column(Y391)-$A$5,0)</f>
        <v>195.55</v>
      </c>
      <c r="Z391" s="44">
        <f>VLOOKUP($A391,'Dados StatusInvest'!$A:$AY,column(Z391)-$A$5,0)</f>
        <v>-0.36</v>
      </c>
      <c r="AA391" s="44">
        <f>VLOOKUP($A391,'Dados StatusInvest'!$A:$AY,column(AA391)-$A$5,0)</f>
        <v>1.36</v>
      </c>
      <c r="AB391" s="44">
        <f>VLOOKUP($A391,'Dados StatusInvest'!$A:$AY,column(AB391)-$A$5,0)</f>
        <v>0.83</v>
      </c>
      <c r="AC391" s="44">
        <f>VLOOKUP($A391,'Dados StatusInvest'!$A:$AY,column(AC391)-$A$5,0)</f>
        <v>-5.14</v>
      </c>
      <c r="AD391" s="45">
        <f>VLOOKUP($A391,'Dados StatusInvest'!$A:$AY,column(AD391)-$A$5,0)</f>
        <v>0</v>
      </c>
      <c r="AE391" s="46">
        <f>VLOOKUP($A391,'Dados StatusInvest'!$A:$AY,column(AE391)-$A$5,0)</f>
        <v>24116.48</v>
      </c>
      <c r="AF391" s="18"/>
    </row>
    <row r="392">
      <c r="A392" s="10" t="s">
        <v>438</v>
      </c>
      <c r="B392" s="39" t="str">
        <f>VLOOKUP(lEFT($A392,4),Setor!$A:$E,3,0)</f>
        <v>Consumo Cíclico</v>
      </c>
      <c r="C392" s="39" t="str">
        <f>VLOOKUP(lEFT($A392,4),Setor!$A:$E,4,0)</f>
        <v>Diversos</v>
      </c>
      <c r="D392" s="39" t="str">
        <f>VLOOKUP(lEFT($A392,4),Setor!$A:$E,5,0)</f>
        <v>Serviços Educacionais</v>
      </c>
      <c r="E392" s="17">
        <f>IFERROR(__xludf.DUMMYFUNCTION("GOOGLEFINANCE(A392)"),15.4)</f>
        <v>15.4</v>
      </c>
      <c r="F392" s="17">
        <f>IFERROR(__xludf.DUMMYFUNCTION("GOOGLEFINANCE($A392,""high52"")"),21.0)</f>
        <v>21</v>
      </c>
      <c r="G392" s="16">
        <f t="shared" si="1"/>
        <v>-0.2666666667</v>
      </c>
      <c r="H392" s="40">
        <f>VLOOKUP($A392,'Dados StatusInvest'!$A:$AY,column(H392)-$A$5,0)*VLOOKUP($A392,'Dados StatusInvest'!$A:$AY,2,0)/$E392/100</f>
        <v>0</v>
      </c>
      <c r="I392" s="41">
        <f>VLOOKUP($A392,'Dados StatusInvest'!$A:$AY,column(I392)-$A$5,0)/VLOOKUP($A392,'Dados StatusInvest'!$A:$AY,2,0)*$E392</f>
        <v>-5.372779553</v>
      </c>
      <c r="J392" s="41">
        <f>VLOOKUP($A392,'Dados StatusInvest'!$A:$AY,column(J392)-$A$5,0)/VLOOKUP($A392,'Dados StatusInvest'!$A:$AY,2,0)*$E392</f>
        <v>1.544920128</v>
      </c>
      <c r="K392" s="42">
        <f>VLOOKUP($A392,'Dados StatusInvest'!$A:$AY,column(K392)-$A$5,0)/VLOOKUP($A392,'Dados StatusInvest'!$A:$AY,2,0)*$E392</f>
        <v>0.432971246</v>
      </c>
      <c r="L392" s="43">
        <f>VLOOKUP($A392,'Dados StatusInvest'!$A:$AY,column(L392)-$A$5,0)/100</f>
        <v>0.3946</v>
      </c>
      <c r="M392" s="44">
        <f>VLOOKUP($A392,'Dados StatusInvest'!$A:$AY,column(M392)-$A$5,0)</f>
        <v>-4.96</v>
      </c>
      <c r="N392" s="44">
        <f>VLOOKUP($A392,'Dados StatusInvest'!$A:$AY,column(N392)-$A$5,0)</f>
        <v>-18.95</v>
      </c>
      <c r="O392" s="41">
        <f>VLOOKUP($A392,'Dados StatusInvest'!$A:$AY,column(O392)-$A$5,0)/VLOOKUP($A392,'Dados StatusInvest'!$A:$AY,2,0)*$E392</f>
        <v>-20.4972524</v>
      </c>
      <c r="P392" s="41">
        <f>VLOOKUP($A392,'Dados StatusInvest'!$A:$AY,column(P392)-$A$5,0)-VLOOKUP($A392,'Dados StatusInvest'!$A:$AY,column(P392)-$A$5-1,0)+O392</f>
        <v>-21.9472524</v>
      </c>
      <c r="Q392" s="44">
        <f>VLOOKUP($A392,'Dados StatusInvest'!$A:$AY,column(Q392)-$A$5,0)</f>
        <v>-1.5</v>
      </c>
      <c r="R392" s="44">
        <f>VLOOKUP($A392,'Dados StatusInvest'!$A:$AY,column(R392)-$A$5,0)</f>
        <v>0.11</v>
      </c>
      <c r="S392" s="41">
        <f>VLOOKUP($A392,'Dados StatusInvest'!$A:$AY,column(S392)-$A$5,0)/VLOOKUP($A392,'Dados StatusInvest'!$A:$AY,2,0)*$E392</f>
        <v>1.013546326</v>
      </c>
      <c r="T392" s="42">
        <f>VLOOKUP($A392,'Dados StatusInvest'!$A:$AY,column(T392)-$A$5,0)/VLOOKUP($A392,'Dados StatusInvest'!$A:$AY,2,0)*$E392</f>
        <v>-1.613801917</v>
      </c>
      <c r="U392" s="44">
        <f>VLOOKUP($A392,'Dados StatusInvest'!$A:$AY,column(U392)-$A$5,0)</f>
        <v>-0.5</v>
      </c>
      <c r="V392" s="45">
        <f>VLOOKUP($A392,'Dados StatusInvest'!$A:$AY,column(V392)-$A$5,0)</f>
        <v>0.32</v>
      </c>
      <c r="W392" s="45">
        <f>VLOOKUP($A392,'Dados StatusInvest'!$A:$AY,column(W392)-$A$5,0)</f>
        <v>-28.85</v>
      </c>
      <c r="X392" s="45">
        <f>VLOOKUP($A392,'Dados StatusInvest'!$A:$AY,column(X392)-$A$5,0)</f>
        <v>-8</v>
      </c>
      <c r="Y392" s="45">
        <f>VLOOKUP($A392,'Dados StatusInvest'!$A:$AY,column(Y392)-$A$5,0)</f>
        <v>-10.93</v>
      </c>
      <c r="Z392" s="44">
        <f>VLOOKUP($A392,'Dados StatusInvest'!$A:$AY,column(Z392)-$A$5,0)</f>
        <v>0.28</v>
      </c>
      <c r="AA392" s="44">
        <f>VLOOKUP($A392,'Dados StatusInvest'!$A:$AY,column(AA392)-$A$5,0)</f>
        <v>0.71</v>
      </c>
      <c r="AB392" s="44">
        <f>VLOOKUP($A392,'Dados StatusInvest'!$A:$AY,column(AB392)-$A$5,0)</f>
        <v>0.42</v>
      </c>
      <c r="AC392" s="44">
        <f>VLOOKUP($A392,'Dados StatusInvest'!$A:$AY,column(AC392)-$A$5,0)</f>
        <v>0</v>
      </c>
      <c r="AD392" s="45">
        <f>VLOOKUP($A392,'Dados StatusInvest'!$A:$AY,column(AD392)-$A$5,0)</f>
        <v>0</v>
      </c>
      <c r="AE392" s="46">
        <f>VLOOKUP($A392,'Dados StatusInvest'!$A:$AY,column(AE392)-$A$5,0)</f>
        <v>53912.17</v>
      </c>
      <c r="AF392" s="51"/>
    </row>
    <row r="393">
      <c r="A393" s="10" t="s">
        <v>439</v>
      </c>
      <c r="B393" s="39" t="str">
        <f>VLOOKUP(lEFT($A393,4),Setor!$A:$E,3,0)</f>
        <v>Consumo Cíclico</v>
      </c>
      <c r="C393" s="39" t="str">
        <f>VLOOKUP(lEFT($A393,4),Setor!$A:$E,4,0)</f>
        <v>Tecidos, Vestuário e Calçados</v>
      </c>
      <c r="D393" s="39" t="str">
        <f>VLOOKUP(lEFT($A393,4),Setor!$A:$E,5,0)</f>
        <v>Fios e Tecidos</v>
      </c>
      <c r="E393" s="17">
        <f>IFERROR(__xludf.DUMMYFUNCTION("GOOGLEFINANCE(A393)"),85.8)</f>
        <v>85.8</v>
      </c>
      <c r="F393" s="17">
        <f>IFERROR(__xludf.DUMMYFUNCTION("GOOGLEFINANCE($A393,""high52"")"),88.23)</f>
        <v>88.23</v>
      </c>
      <c r="G393" s="16">
        <f t="shared" si="1"/>
        <v>-0.0275416525</v>
      </c>
      <c r="H393" s="40">
        <f>VLOOKUP($A393,'Dados StatusInvest'!$A:$AY,column(H393)-$A$5,0)*VLOOKUP($A393,'Dados StatusInvest'!$A:$AY,2,0)/$E393/100</f>
        <v>0</v>
      </c>
      <c r="I393" s="41">
        <f>VLOOKUP($A393,'Dados StatusInvest'!$A:$AY,column(I393)-$A$5,0)/VLOOKUP($A393,'Dados StatusInvest'!$A:$AY,2,0)*$E393</f>
        <v>-25.76</v>
      </c>
      <c r="J393" s="41">
        <f>VLOOKUP($A393,'Dados StatusInvest'!$A:$AY,column(J393)-$A$5,0)/VLOOKUP($A393,'Dados StatusInvest'!$A:$AY,2,0)*$E393</f>
        <v>1.13</v>
      </c>
      <c r="K393" s="42">
        <f>VLOOKUP($A393,'Dados StatusInvest'!$A:$AY,column(K393)-$A$5,0)/VLOOKUP($A393,'Dados StatusInvest'!$A:$AY,2,0)*$E393</f>
        <v>0.6</v>
      </c>
      <c r="L393" s="43">
        <f>VLOOKUP($A393,'Dados StatusInvest'!$A:$AY,column(L393)-$A$5,0)/100</f>
        <v>0</v>
      </c>
      <c r="M393" s="44">
        <f>VLOOKUP($A393,'Dados StatusInvest'!$A:$AY,column(M393)-$A$5,0)</f>
        <v>0</v>
      </c>
      <c r="N393" s="47">
        <f>VLOOKUP($A393,'Dados StatusInvest'!$A:$AY,column(N393)-$A$5,0)</f>
        <v>0</v>
      </c>
      <c r="O393" s="41">
        <f>VLOOKUP($A393,'Dados StatusInvest'!$A:$AY,column(O393)-$A$5,0)/VLOOKUP($A393,'Dados StatusInvest'!$A:$AY,2,0)*$E393</f>
        <v>-8.61</v>
      </c>
      <c r="P393" s="41">
        <f>VLOOKUP($A393,'Dados StatusInvest'!$A:$AY,column(P393)-$A$5,0)-VLOOKUP($A393,'Dados StatusInvest'!$A:$AY,column(P393)-$A$5-1,0)+O393</f>
        <v>-8.27</v>
      </c>
      <c r="Q393" s="44">
        <f>VLOOKUP($A393,'Dados StatusInvest'!$A:$AY,column(Q393)-$A$5,0)</f>
        <v>0.02</v>
      </c>
      <c r="R393" s="44">
        <f>VLOOKUP($A393,'Dados StatusInvest'!$A:$AY,column(R393)-$A$5,0)</f>
        <v>0</v>
      </c>
      <c r="S393" s="41">
        <f>VLOOKUP($A393,'Dados StatusInvest'!$A:$AY,column(S393)-$A$5,0)/VLOOKUP($A393,'Dados StatusInvest'!$A:$AY,2,0)*$E393</f>
        <v>0</v>
      </c>
      <c r="T393" s="42">
        <f>VLOOKUP($A393,'Dados StatusInvest'!$A:$AY,column(T393)-$A$5,0)/VLOOKUP($A393,'Dados StatusInvest'!$A:$AY,2,0)*$E393</f>
        <v>-1393.38</v>
      </c>
      <c r="U393" s="44">
        <f>VLOOKUP($A393,'Dados StatusInvest'!$A:$AY,column(U393)-$A$5,0)</f>
        <v>-0.6</v>
      </c>
      <c r="V393" s="45">
        <f>VLOOKUP($A393,'Dados StatusInvest'!$A:$AY,column(V393)-$A$5,0)</f>
        <v>0.93</v>
      </c>
      <c r="W393" s="45">
        <f>VLOOKUP($A393,'Dados StatusInvest'!$A:$AY,column(W393)-$A$5,0)</f>
        <v>-4.39</v>
      </c>
      <c r="X393" s="45">
        <f>VLOOKUP($A393,'Dados StatusInvest'!$A:$AY,column(X393)-$A$5,0)</f>
        <v>-2.32</v>
      </c>
      <c r="Y393" s="45">
        <f>VLOOKUP($A393,'Dados StatusInvest'!$A:$AY,column(Y393)-$A$5,0)</f>
        <v>-13.38</v>
      </c>
      <c r="Z393" s="44">
        <f>VLOOKUP($A393,'Dados StatusInvest'!$A:$AY,column(Z393)-$A$5,0)</f>
        <v>0.53</v>
      </c>
      <c r="AA393" s="44">
        <f>VLOOKUP($A393,'Dados StatusInvest'!$A:$AY,column(AA393)-$A$5,0)</f>
        <v>0.47</v>
      </c>
      <c r="AB393" s="44">
        <f>VLOOKUP($A393,'Dados StatusInvest'!$A:$AY,column(AB393)-$A$5,0)</f>
        <v>0</v>
      </c>
      <c r="AC393" s="44">
        <f>VLOOKUP($A393,'Dados StatusInvest'!$A:$AY,column(AC393)-$A$5,0)</f>
        <v>0</v>
      </c>
      <c r="AD393" s="45">
        <f>VLOOKUP($A393,'Dados StatusInvest'!$A:$AY,column(AD393)-$A$5,0)</f>
        <v>0</v>
      </c>
      <c r="AE393" s="46">
        <f>VLOOKUP($A393,'Dados StatusInvest'!$A:$AY,column(AE393)-$A$5,0)</f>
        <v>43866.67</v>
      </c>
      <c r="AF393" s="51"/>
    </row>
    <row r="394">
      <c r="A394" s="10" t="s">
        <v>440</v>
      </c>
      <c r="B394" s="52" t="str">
        <f>VLOOKUP(lEFT($A394,4),Setor!$A:$E,3,0)</f>
        <v>Consumo Cíclico</v>
      </c>
      <c r="C394" s="52" t="str">
        <f>VLOOKUP(lEFT($A394,4),Setor!$A:$E,4,0)</f>
        <v>Utilidades Domésticas</v>
      </c>
      <c r="D394" s="52" t="str">
        <f>VLOOKUP(lEFT($A394,4),Setor!$A:$E,5,0)</f>
        <v>Utensílios Domésticos</v>
      </c>
      <c r="E394" s="53">
        <f>IFERROR(__xludf.DUMMYFUNCTION("GOOGLEFINANCE(A394)"),96.0)</f>
        <v>96</v>
      </c>
      <c r="F394" s="53">
        <f>IFERROR(__xludf.DUMMYFUNCTION("GOOGLEFINANCE($A394,""high52"")"),183.02)</f>
        <v>183.02</v>
      </c>
      <c r="G394" s="54">
        <f t="shared" si="1"/>
        <v>-0.4754671621</v>
      </c>
      <c r="H394" s="55">
        <f>VLOOKUP($A394,'Dados StatusInvest'!$A:$AY,column(H394)-$A$5,0)*VLOOKUP($A394,'Dados StatusInvest'!$A:$AY,2,0)/$E394/100</f>
        <v>0</v>
      </c>
      <c r="I394" s="56">
        <f>VLOOKUP($A394,'Dados StatusInvest'!$A:$AY,column(I394)-$A$5,0)/VLOOKUP($A394,'Dados StatusInvest'!$A:$AY,2,0)*$E394</f>
        <v>-0.28</v>
      </c>
      <c r="J394" s="56">
        <f>VLOOKUP($A394,'Dados StatusInvest'!$A:$AY,column(J394)-$A$5,0)/VLOOKUP($A394,'Dados StatusInvest'!$A:$AY,2,0)*$E394</f>
        <v>-0.09</v>
      </c>
      <c r="K394" s="57">
        <f>VLOOKUP($A394,'Dados StatusInvest'!$A:$AY,column(K394)-$A$5,0)/VLOOKUP($A394,'Dados StatusInvest'!$A:$AY,2,0)*$E394</f>
        <v>4.44</v>
      </c>
      <c r="L394" s="58">
        <f>VLOOKUP($A394,'Dados StatusInvest'!$A:$AY,column(L394)-$A$5,0)/100</f>
        <v>1</v>
      </c>
      <c r="M394" s="63">
        <f>VLOOKUP($A394,'Dados StatusInvest'!$A:$AY,column(M394)-$A$5,0)</f>
        <v>-8738.8</v>
      </c>
      <c r="N394" s="63">
        <f>VLOOKUP($A394,'Dados StatusInvest'!$A:$AY,column(N394)-$A$5,0)</f>
        <v>-8859.01</v>
      </c>
      <c r="O394" s="56">
        <f>VLOOKUP($A394,'Dados StatusInvest'!$A:$AY,column(O394)-$A$5,0)/VLOOKUP($A394,'Dados StatusInvest'!$A:$AY,2,0)*$E394</f>
        <v>-0.29</v>
      </c>
      <c r="P394" s="56">
        <f>VLOOKUP($A394,'Dados StatusInvest'!$A:$AY,column(P394)-$A$5,0)-VLOOKUP($A394,'Dados StatusInvest'!$A:$AY,column(P394)-$A$5-1,0)+O394</f>
        <v>-2.01</v>
      </c>
      <c r="Q394" s="59">
        <f>VLOOKUP($A394,'Dados StatusInvest'!$A:$AY,column(Q394)-$A$5,0)</f>
        <v>-1.89</v>
      </c>
      <c r="R394" s="59">
        <f>VLOOKUP($A394,'Dados StatusInvest'!$A:$AY,column(R394)-$A$5,0)</f>
        <v>0</v>
      </c>
      <c r="S394" s="56">
        <f>VLOOKUP($A394,'Dados StatusInvest'!$A:$AY,column(S394)-$A$5,0)/VLOOKUP($A394,'Dados StatusInvest'!$A:$AY,2,0)*$E394</f>
        <v>24.93</v>
      </c>
      <c r="T394" s="57">
        <f>VLOOKUP($A394,'Dados StatusInvest'!$A:$AY,column(T394)-$A$5,0)/VLOOKUP($A394,'Dados StatusInvest'!$A:$AY,2,0)*$E394</f>
        <v>-0.71</v>
      </c>
      <c r="U394" s="63">
        <f>VLOOKUP($A394,'Dados StatusInvest'!$A:$AY,column(U394)-$A$5,0)</f>
        <v>-4.52</v>
      </c>
      <c r="V394" s="60">
        <f>VLOOKUP($A394,'Dados StatusInvest'!$A:$AY,column(V394)-$A$5,0)</f>
        <v>0</v>
      </c>
      <c r="W394" s="61">
        <f>VLOOKUP($A394,'Dados StatusInvest'!$A:$AY,column(W394)-$A$5,0)</f>
        <v>-31.24</v>
      </c>
      <c r="X394" s="61">
        <f>VLOOKUP($A394,'Dados StatusInvest'!$A:$AY,column(X394)-$A$5,0)</f>
        <v>-1578.44</v>
      </c>
      <c r="Y394" s="61">
        <f>VLOOKUP($A394,'Dados StatusInvest'!$A:$AY,column(Y394)-$A$5,0)</f>
        <v>73.88</v>
      </c>
      <c r="Z394" s="59">
        <f>VLOOKUP($A394,'Dados StatusInvest'!$A:$AY,column(Z394)-$A$5,0)</f>
        <v>-50.52</v>
      </c>
      <c r="AA394" s="59">
        <f>VLOOKUP($A394,'Dados StatusInvest'!$A:$AY,column(AA394)-$A$5,0)</f>
        <v>51.52</v>
      </c>
      <c r="AB394" s="59">
        <f>VLOOKUP($A394,'Dados StatusInvest'!$A:$AY,column(AB394)-$A$5,0)</f>
        <v>0.18</v>
      </c>
      <c r="AC394" s="59">
        <f>VLOOKUP($A394,'Dados StatusInvest'!$A:$AY,column(AC394)-$A$5,0)</f>
        <v>-2.24</v>
      </c>
      <c r="AD394" s="60">
        <f>VLOOKUP($A394,'Dados StatusInvest'!$A:$AY,column(AD394)-$A$5,0)</f>
        <v>0</v>
      </c>
      <c r="AE394" s="62">
        <f>VLOOKUP($A394,'Dados StatusInvest'!$A:$AY,column(AE394)-$A$5,0)</f>
        <v>42600</v>
      </c>
      <c r="AF394" s="18"/>
    </row>
    <row r="395">
      <c r="A395" s="10" t="s">
        <v>441</v>
      </c>
      <c r="B395" s="39" t="str">
        <f>VLOOKUP(lEFT($A395,4),Setor!$A:$E,3,0)</f>
        <v>Consumo não Cíclico</v>
      </c>
      <c r="C395" s="39" t="str">
        <f>VLOOKUP(lEFT($A395,4),Setor!$A:$E,4,0)</f>
        <v>Alimentos Processados</v>
      </c>
      <c r="D395" s="39" t="str">
        <f>VLOOKUP(lEFT($A395,4),Setor!$A:$E,5,0)</f>
        <v>Carnes e Derivados</v>
      </c>
      <c r="E395" s="17">
        <f>IFERROR(__xludf.DUMMYFUNCTION("GOOGLEFINANCE(A395)"),88.34)</f>
        <v>88.34</v>
      </c>
      <c r="F395" s="17">
        <f>IFERROR(__xludf.DUMMYFUNCTION("GOOGLEFINANCE($A395,""high52"")"),98.93)</f>
        <v>98.93</v>
      </c>
      <c r="G395" s="16">
        <f t="shared" si="1"/>
        <v>-0.1070453856</v>
      </c>
      <c r="H395" s="40">
        <f>VLOOKUP($A395,'Dados StatusInvest'!$A:$AY,column(H395)-$A$5,0)*VLOOKUP($A395,'Dados StatusInvest'!$A:$AY,2,0)/$E395/100</f>
        <v>0</v>
      </c>
      <c r="I395" s="41">
        <f>VLOOKUP($A395,'Dados StatusInvest'!$A:$AY,column(I395)-$A$5,0)/VLOOKUP($A395,'Dados StatusInvest'!$A:$AY,2,0)*$E395</f>
        <v>20.71716772</v>
      </c>
      <c r="J395" s="41">
        <f>VLOOKUP($A395,'Dados StatusInvest'!$A:$AY,column(J395)-$A$5,0)/VLOOKUP($A395,'Dados StatusInvest'!$A:$AY,2,0)*$E395</f>
        <v>4.752468354</v>
      </c>
      <c r="K395" s="42">
        <f>VLOOKUP($A395,'Dados StatusInvest'!$A:$AY,column(K395)-$A$5,0)/VLOOKUP($A395,'Dados StatusInvest'!$A:$AY,2,0)*$E395</f>
        <v>3.125047468</v>
      </c>
      <c r="L395" s="43">
        <f>VLOOKUP($A395,'Dados StatusInvest'!$A:$AY,column(L395)-$A$5,0)/100</f>
        <v>0.2083</v>
      </c>
      <c r="M395" s="44">
        <f>VLOOKUP($A395,'Dados StatusInvest'!$A:$AY,column(M395)-$A$5,0)</f>
        <v>11.24</v>
      </c>
      <c r="N395" s="44">
        <f>VLOOKUP($A395,'Dados StatusInvest'!$A:$AY,column(N395)-$A$5,0)</f>
        <v>11.86</v>
      </c>
      <c r="O395" s="41">
        <f>VLOOKUP($A395,'Dados StatusInvest'!$A:$AY,column(O395)-$A$5,0)/VLOOKUP($A395,'Dados StatusInvest'!$A:$AY,2,0)*$E395</f>
        <v>21.84537975</v>
      </c>
      <c r="P395" s="41">
        <f>VLOOKUP($A395,'Dados StatusInvest'!$A:$AY,column(P395)-$A$5,0)-VLOOKUP($A395,'Dados StatusInvest'!$A:$AY,column(P395)-$A$5-1,0)+O395</f>
        <v>21.13537975</v>
      </c>
      <c r="Q395" s="44">
        <f>VLOOKUP($A395,'Dados StatusInvest'!$A:$AY,column(Q395)-$A$5,0)</f>
        <v>-0.71</v>
      </c>
      <c r="R395" s="44">
        <f>VLOOKUP($A395,'Dados StatusInvest'!$A:$AY,column(R395)-$A$5,0)</f>
        <v>-0.15</v>
      </c>
      <c r="S395" s="41">
        <f>VLOOKUP($A395,'Dados StatusInvest'!$A:$AY,column(S395)-$A$5,0)/VLOOKUP($A395,'Dados StatusInvest'!$A:$AY,2,0)*$E395</f>
        <v>2.456107595</v>
      </c>
      <c r="T395" s="42">
        <f>VLOOKUP($A395,'Dados StatusInvest'!$A:$AY,column(T395)-$A$5,0)/VLOOKUP($A395,'Dados StatusInvest'!$A:$AY,2,0)*$E395</f>
        <v>213.4816772</v>
      </c>
      <c r="U395" s="44">
        <f>VLOOKUP($A395,'Dados StatusInvest'!$A:$AY,column(U395)-$A$5,0)</f>
        <v>-4.7</v>
      </c>
      <c r="V395" s="45">
        <f>VLOOKUP($A395,'Dados StatusInvest'!$A:$AY,column(V395)-$A$5,0)</f>
        <v>1.05</v>
      </c>
      <c r="W395" s="45">
        <f>VLOOKUP($A395,'Dados StatusInvest'!$A:$AY,column(W395)-$A$5,0)</f>
        <v>22.92</v>
      </c>
      <c r="X395" s="45">
        <f>VLOOKUP($A395,'Dados StatusInvest'!$A:$AY,column(X395)-$A$5,0)</f>
        <v>15.1</v>
      </c>
      <c r="Y395" s="45">
        <f>VLOOKUP($A395,'Dados StatusInvest'!$A:$AY,column(Y395)-$A$5,0)</f>
        <v>15.49</v>
      </c>
      <c r="Z395" s="44">
        <f>VLOOKUP($A395,'Dados StatusInvest'!$A:$AY,column(Z395)-$A$5,0)</f>
        <v>0.66</v>
      </c>
      <c r="AA395" s="44">
        <f>VLOOKUP($A395,'Dados StatusInvest'!$A:$AY,column(AA395)-$A$5,0)</f>
        <v>0.34</v>
      </c>
      <c r="AB395" s="44">
        <f>VLOOKUP($A395,'Dados StatusInvest'!$A:$AY,column(AB395)-$A$5,0)</f>
        <v>1.27</v>
      </c>
      <c r="AC395" s="44">
        <f>VLOOKUP($A395,'Dados StatusInvest'!$A:$AY,column(AC395)-$A$5,0)</f>
        <v>10.9</v>
      </c>
      <c r="AD395" s="45">
        <f>VLOOKUP($A395,'Dados StatusInvest'!$A:$AY,column(AD395)-$A$5,0)</f>
        <v>32.17</v>
      </c>
      <c r="AE395" s="46">
        <f>VLOOKUP($A395,'Dados StatusInvest'!$A:$AY,column(AE395)-$A$5,0)</f>
        <v>33506.33</v>
      </c>
      <c r="AF395" s="51"/>
    </row>
    <row r="396">
      <c r="A396" s="10" t="s">
        <v>442</v>
      </c>
      <c r="B396" s="39" t="str">
        <f>VLOOKUP(lEFT($A396,4),Setor!$A:$E,3,0)</f>
        <v>Materiais Básicos</v>
      </c>
      <c r="C396" s="39" t="str">
        <f>VLOOKUP(lEFT($A396,4),Setor!$A:$E,4,0)</f>
        <v>Embalagens</v>
      </c>
      <c r="D396" s="39" t="str">
        <f>VLOOKUP(lEFT($A396,4),Setor!$A:$E,5,0)</f>
        <v>Embalagens</v>
      </c>
      <c r="E396" s="17">
        <f>IFERROR(__xludf.DUMMYFUNCTION("GOOGLEFINANCE(A396)"),34.11)</f>
        <v>34.11</v>
      </c>
      <c r="F396" s="17">
        <f>IFERROR(__xludf.DUMMYFUNCTION("GOOGLEFINANCE($A396,""high52"")"),108.96)</f>
        <v>108.96</v>
      </c>
      <c r="G396" s="16">
        <f t="shared" si="1"/>
        <v>-0.6869493392</v>
      </c>
      <c r="H396" s="40">
        <f>VLOOKUP($A396,'Dados StatusInvest'!$A:$AY,column(H396)-$A$5,0)*VLOOKUP($A396,'Dados StatusInvest'!$A:$AY,2,0)/$E396/100</f>
        <v>0</v>
      </c>
      <c r="I396" s="41">
        <f>VLOOKUP($A396,'Dados StatusInvest'!$A:$AY,column(I396)-$A$5,0)/VLOOKUP($A396,'Dados StatusInvest'!$A:$AY,2,0)*$E396</f>
        <v>3.81271235</v>
      </c>
      <c r="J396" s="41">
        <f>VLOOKUP($A396,'Dados StatusInvest'!$A:$AY,column(J396)-$A$5,0)/VLOOKUP($A396,'Dados StatusInvest'!$A:$AY,2,0)*$E396</f>
        <v>-0.2932855654</v>
      </c>
      <c r="K396" s="42">
        <f>VLOOKUP($A396,'Dados StatusInvest'!$A:$AY,column(K396)-$A$5,0)/VLOOKUP($A396,'Dados StatusInvest'!$A:$AY,2,0)*$E396</f>
        <v>0.08887441376</v>
      </c>
      <c r="L396" s="43">
        <f>VLOOKUP($A396,'Dados StatusInvest'!$A:$AY,column(L396)-$A$5,0)/100</f>
        <v>0.1157</v>
      </c>
      <c r="M396" s="47">
        <f>VLOOKUP($A396,'Dados StatusInvest'!$A:$AY,column(M396)-$A$5,0)</f>
        <v>5.69</v>
      </c>
      <c r="N396" s="47">
        <f>VLOOKUP($A396,'Dados StatusInvest'!$A:$AY,column(N396)-$A$5,0)</f>
        <v>2.3</v>
      </c>
      <c r="O396" s="41">
        <f>VLOOKUP($A396,'Dados StatusInvest'!$A:$AY,column(O396)-$A$5,0)/VLOOKUP($A396,'Dados StatusInvest'!$A:$AY,2,0)*$E396</f>
        <v>1.537527358</v>
      </c>
      <c r="P396" s="41">
        <f>VLOOKUP($A396,'Dados StatusInvest'!$A:$AY,column(P396)-$A$5,0)-VLOOKUP($A396,'Dados StatusInvest'!$A:$AY,column(P396)-$A$5-1,0)+O396</f>
        <v>15.72752736</v>
      </c>
      <c r="Q396" s="44">
        <f>VLOOKUP($A396,'Dados StatusInvest'!$A:$AY,column(Q396)-$A$5,0)</f>
        <v>14.76</v>
      </c>
      <c r="R396" s="44">
        <f>VLOOKUP($A396,'Dados StatusInvest'!$A:$AY,column(R396)-$A$5,0)</f>
        <v>0</v>
      </c>
      <c r="S396" s="41">
        <f>VLOOKUP($A396,'Dados StatusInvest'!$A:$AY,column(S396)-$A$5,0)/VLOOKUP($A396,'Dados StatusInvest'!$A:$AY,2,0)*$E396</f>
        <v>0.08887441376</v>
      </c>
      <c r="T396" s="42">
        <f>VLOOKUP($A396,'Dados StatusInvest'!$A:$AY,column(T396)-$A$5,0)/VLOOKUP($A396,'Dados StatusInvest'!$A:$AY,2,0)*$E396</f>
        <v>-0.3377227723</v>
      </c>
      <c r="U396" s="44">
        <f>VLOOKUP($A396,'Dados StatusInvest'!$A:$AY,column(U396)-$A$5,0)</f>
        <v>-0.23</v>
      </c>
      <c r="V396" s="45">
        <f>VLOOKUP($A396,'Dados StatusInvest'!$A:$AY,column(V396)-$A$5,0)</f>
        <v>0.68</v>
      </c>
      <c r="W396" s="45">
        <f>VLOOKUP($A396,'Dados StatusInvest'!$A:$AY,column(W396)-$A$5,0)</f>
        <v>-7.7</v>
      </c>
      <c r="X396" s="45">
        <f>VLOOKUP($A396,'Dados StatusInvest'!$A:$AY,column(X396)-$A$5,0)</f>
        <v>2.38</v>
      </c>
      <c r="Y396" s="45">
        <f>VLOOKUP($A396,'Dados StatusInvest'!$A:$AY,column(Y396)-$A$5,0)</f>
        <v>9.46</v>
      </c>
      <c r="Z396" s="44">
        <f>VLOOKUP($A396,'Dados StatusInvest'!$A:$AY,column(Z396)-$A$5,0)</f>
        <v>-0.31</v>
      </c>
      <c r="AA396" s="44">
        <f>VLOOKUP($A396,'Dados StatusInvest'!$A:$AY,column(AA396)-$A$5,0)</f>
        <v>1.31</v>
      </c>
      <c r="AB396" s="44">
        <f>VLOOKUP($A396,'Dados StatusInvest'!$A:$AY,column(AB396)-$A$5,0)</f>
        <v>1.03</v>
      </c>
      <c r="AC396" s="44">
        <f>VLOOKUP($A396,'Dados StatusInvest'!$A:$AY,column(AC396)-$A$5,0)</f>
        <v>0.14</v>
      </c>
      <c r="AD396" s="45">
        <f>VLOOKUP($A396,'Dados StatusInvest'!$A:$AY,column(AD396)-$A$5,0)</f>
        <v>0</v>
      </c>
      <c r="AE396" s="46">
        <f>VLOOKUP($A396,'Dados StatusInvest'!$A:$AY,column(AE396)-$A$5,0)</f>
        <v>25340.67</v>
      </c>
      <c r="AF396" s="51"/>
    </row>
    <row r="397">
      <c r="A397" s="10" t="s">
        <v>443</v>
      </c>
      <c r="B397" s="39" t="str">
        <f>VLOOKUP(lEFT($A397,4),Setor!$A:$E,3,0)</f>
        <v>Consumo não Cíclico</v>
      </c>
      <c r="C397" s="39" t="str">
        <f>VLOOKUP(lEFT($A397,4),Setor!$A:$E,4,0)</f>
        <v>Alimentos Processados</v>
      </c>
      <c r="D397" s="39" t="str">
        <f>VLOOKUP(lEFT($A397,4),Setor!$A:$E,5,0)</f>
        <v>Alimentos Diversos</v>
      </c>
      <c r="E397" s="17">
        <f>IFERROR(__xludf.DUMMYFUNCTION("GOOGLEFINANCE(A397)"),190.0)</f>
        <v>190</v>
      </c>
      <c r="F397" s="17">
        <f>IFERROR(__xludf.DUMMYFUNCTION("GOOGLEFINANCE($A397,""high52"")"),378.0)</f>
        <v>378</v>
      </c>
      <c r="G397" s="16">
        <f t="shared" si="1"/>
        <v>-0.4973544974</v>
      </c>
      <c r="H397" s="40">
        <f>VLOOKUP($A397,'Dados StatusInvest'!$A:$AY,column(H397)-$A$5,0)*VLOOKUP($A397,'Dados StatusInvest'!$A:$AY,2,0)/$E397/100</f>
        <v>0.003266478947</v>
      </c>
      <c r="I397" s="41">
        <f>VLOOKUP($A397,'Dados StatusInvest'!$A:$AY,column(I397)-$A$5,0)/VLOOKUP($A397,'Dados StatusInvest'!$A:$AY,2,0)*$E397</f>
        <v>16.54809379</v>
      </c>
      <c r="J397" s="41">
        <f>VLOOKUP($A397,'Dados StatusInvest'!$A:$AY,column(J397)-$A$5,0)/VLOOKUP($A397,'Dados StatusInvest'!$A:$AY,2,0)*$E397</f>
        <v>6.627319615</v>
      </c>
      <c r="K397" s="42">
        <f>VLOOKUP($A397,'Dados StatusInvest'!$A:$AY,column(K397)-$A$5,0)/VLOOKUP($A397,'Dados StatusInvest'!$A:$AY,2,0)*$E397</f>
        <v>3.869303983</v>
      </c>
      <c r="L397" s="43">
        <f>VLOOKUP($A397,'Dados StatusInvest'!$A:$AY,column(L397)-$A$5,0)/100</f>
        <v>0.3319</v>
      </c>
      <c r="M397" s="44">
        <f>VLOOKUP($A397,'Dados StatusInvest'!$A:$AY,column(M397)-$A$5,0)</f>
        <v>23.12</v>
      </c>
      <c r="N397" s="44">
        <f>VLOOKUP($A397,'Dados StatusInvest'!$A:$AY,column(N397)-$A$5,0)</f>
        <v>20.57</v>
      </c>
      <c r="O397" s="41">
        <f>VLOOKUP($A397,'Dados StatusInvest'!$A:$AY,column(O397)-$A$5,0)/VLOOKUP($A397,'Dados StatusInvest'!$A:$AY,2,0)*$E397</f>
        <v>14.71951933</v>
      </c>
      <c r="P397" s="41">
        <f>VLOOKUP($A397,'Dados StatusInvest'!$A:$AY,column(P397)-$A$5,0)-VLOOKUP($A397,'Dados StatusInvest'!$A:$AY,column(P397)-$A$5-1,0)+O397</f>
        <v>15.14951933</v>
      </c>
      <c r="Q397" s="44">
        <f>VLOOKUP($A397,'Dados StatusInvest'!$A:$AY,column(Q397)-$A$5,0)</f>
        <v>0.43</v>
      </c>
      <c r="R397" s="44">
        <f>VLOOKUP($A397,'Dados StatusInvest'!$A:$AY,column(R397)-$A$5,0)</f>
        <v>0.19</v>
      </c>
      <c r="S397" s="41">
        <f>VLOOKUP($A397,'Dados StatusInvest'!$A:$AY,column(S397)-$A$5,0)/VLOOKUP($A397,'Dados StatusInvest'!$A:$AY,2,0)*$E397</f>
        <v>3.4045834</v>
      </c>
      <c r="T397" s="42">
        <f>VLOOKUP($A397,'Dados StatusInvest'!$A:$AY,column(T397)-$A$5,0)/VLOOKUP($A397,'Dados StatusInvest'!$A:$AY,2,0)*$E397</f>
        <v>8.80948583</v>
      </c>
      <c r="U397" s="44">
        <f>VLOOKUP($A397,'Dados StatusInvest'!$A:$AY,column(U397)-$A$5,0)</f>
        <v>-14.56</v>
      </c>
      <c r="V397" s="45">
        <f>VLOOKUP($A397,'Dados StatusInvest'!$A:$AY,column(V397)-$A$5,0)</f>
        <v>2.48</v>
      </c>
      <c r="W397" s="48">
        <f>VLOOKUP($A397,'Dados StatusInvest'!$A:$AY,column(W397)-$A$5,0)</f>
        <v>40.05</v>
      </c>
      <c r="X397" s="45">
        <f>VLOOKUP($A397,'Dados StatusInvest'!$A:$AY,column(X397)-$A$5,0)</f>
        <v>23.39</v>
      </c>
      <c r="Y397" s="48">
        <f>VLOOKUP($A397,'Dados StatusInvest'!$A:$AY,column(Y397)-$A$5,0)</f>
        <v>22.96</v>
      </c>
      <c r="Z397" s="44">
        <f>VLOOKUP($A397,'Dados StatusInvest'!$A:$AY,column(Z397)-$A$5,0)</f>
        <v>0.58</v>
      </c>
      <c r="AA397" s="44">
        <f>VLOOKUP($A397,'Dados StatusInvest'!$A:$AY,column(AA397)-$A$5,0)</f>
        <v>0.42</v>
      </c>
      <c r="AB397" s="44">
        <f>VLOOKUP($A397,'Dados StatusInvest'!$A:$AY,column(AB397)-$A$5,0)</f>
        <v>1.14</v>
      </c>
      <c r="AC397" s="44">
        <f>VLOOKUP($A397,'Dados StatusInvest'!$A:$AY,column(AC397)-$A$5,0)</f>
        <v>8.36</v>
      </c>
      <c r="AD397" s="45">
        <f>VLOOKUP($A397,'Dados StatusInvest'!$A:$AY,column(AD397)-$A$5,0)</f>
        <v>0</v>
      </c>
      <c r="AE397" s="46">
        <f>VLOOKUP($A397,'Dados StatusInvest'!$A:$AY,column(AE397)-$A$5,0)</f>
        <v>37500</v>
      </c>
      <c r="AF397" s="51"/>
    </row>
    <row r="398">
      <c r="A398" s="10" t="s">
        <v>444</v>
      </c>
      <c r="B398" s="52" t="str">
        <f>VLOOKUP(LEFT($A398,4),Setor!$A:$E,3,0)</f>
        <v>Utilidade Pública</v>
      </c>
      <c r="C398" s="52" t="str">
        <f>VLOOKUP(LEFT($A398,4),Setor!$A:$E,4,0)</f>
        <v>Energia Elétrica</v>
      </c>
      <c r="D398" s="52" t="str">
        <f>VLOOKUP(LEFT($A398,4),Setor!$A:$E,5,0)</f>
        <v>Energia Elétrica</v>
      </c>
      <c r="E398" s="53">
        <f>IFERROR(__xludf.DUMMYFUNCTION("GOOGLEFINANCE(A398)"),36.52)</f>
        <v>36.52</v>
      </c>
      <c r="F398" s="53">
        <f>IFERROR(__xludf.DUMMYFUNCTION("GOOGLEFINANCE($A398,""high52"")"),68.0)</f>
        <v>68</v>
      </c>
      <c r="G398" s="54">
        <f t="shared" si="1"/>
        <v>-0.4629411765</v>
      </c>
      <c r="H398" s="55">
        <f>VLOOKUP($A398,'Dados StatusInvest'!$A:$AY,COLUMN(H398)-$A$5,0)*VLOOKUP($A398,'Dados StatusInvest'!$A:$AY,2,0)/$E398/100</f>
        <v>0.08814939759</v>
      </c>
      <c r="I398" s="56">
        <f>VLOOKUP($A398,'Dados StatusInvest'!$A:$AY,COLUMN(I398)-$A$5,0)/VLOOKUP($A398,'Dados StatusInvest'!$A:$AY,2,0)*$E398</f>
        <v>9.406666667</v>
      </c>
      <c r="J398" s="56">
        <f>VLOOKUP($A398,'Dados StatusInvest'!$A:$AY,COLUMN(J398)-$A$5,0)/VLOOKUP($A398,'Dados StatusInvest'!$A:$AY,2,0)*$E398</f>
        <v>2.608571429</v>
      </c>
      <c r="K398" s="57">
        <f>VLOOKUP($A398,'Dados StatusInvest'!$A:$AY,COLUMN(K398)-$A$5,0)/VLOOKUP($A398,'Dados StatusInvest'!$A:$AY,2,0)*$E398</f>
        <v>0.7311904762</v>
      </c>
      <c r="L398" s="58">
        <f>VLOOKUP($A398,'Dados StatusInvest'!$A:$AY,COLUMN(L398)-$A$5,0)/100</f>
        <v>0.205</v>
      </c>
      <c r="M398" s="59">
        <f>VLOOKUP($A398,'Dados StatusInvest'!$A:$AY,COLUMN(M398)-$A$5,0)</f>
        <v>15.37</v>
      </c>
      <c r="N398" s="63">
        <f>VLOOKUP($A398,'Dados StatusInvest'!$A:$AY,COLUMN(N398)-$A$5,0)</f>
        <v>9.97</v>
      </c>
      <c r="O398" s="56">
        <f>VLOOKUP($A398,'Dados StatusInvest'!$A:$AY,COLUMN(O398)-$A$5,0)/VLOOKUP($A398,'Dados StatusInvest'!$A:$AY,2,0)*$E398</f>
        <v>6.106428571</v>
      </c>
      <c r="P398" s="56">
        <f>VLOOKUP($A398,'Dados StatusInvest'!$A:$AY,COLUMN(P398)-$A$5,0)-VLOOKUP($A398,'Dados StatusInvest'!$A:$AY,COLUMN(P398)-$A$5-1,0)+O398</f>
        <v>8.106428571</v>
      </c>
      <c r="Q398" s="59">
        <f>VLOOKUP($A398,'Dados StatusInvest'!$A:$AY,COLUMN(Q398)-$A$5,0)</f>
        <v>2.92</v>
      </c>
      <c r="R398" s="59">
        <f>VLOOKUP($A398,'Dados StatusInvest'!$A:$AY,COLUMN(R398)-$A$5,0)</f>
        <v>1.25</v>
      </c>
      <c r="S398" s="56">
        <f>VLOOKUP($A398,'Dados StatusInvest'!$A:$AY,COLUMN(S398)-$A$5,0)/VLOOKUP($A398,'Dados StatusInvest'!$A:$AY,2,0)*$E398</f>
        <v>0.9386904762</v>
      </c>
      <c r="T398" s="57">
        <f>VLOOKUP($A398,'Dados StatusInvest'!$A:$AY,COLUMN(T398)-$A$5,0)/VLOOKUP($A398,'Dados StatusInvest'!$A:$AY,2,0)*$E398</f>
        <v>24.23797619</v>
      </c>
      <c r="U398" s="63">
        <f>VLOOKUP($A398,'Dados StatusInvest'!$A:$AY,COLUMN(U398)-$A$5,0)</f>
        <v>-1.08</v>
      </c>
      <c r="V398" s="60">
        <f>VLOOKUP($A398,'Dados StatusInvest'!$A:$AY,COLUMN(V398)-$A$5,0)</f>
        <v>1.11</v>
      </c>
      <c r="W398" s="61">
        <f>VLOOKUP($A398,'Dados StatusInvest'!$A:$AY,COLUMN(W398)-$A$5,0)</f>
        <v>27.78</v>
      </c>
      <c r="X398" s="61">
        <f>VLOOKUP($A398,'Dados StatusInvest'!$A:$AY,COLUMN(X398)-$A$5,0)</f>
        <v>7.79</v>
      </c>
      <c r="Y398" s="61">
        <f>VLOOKUP($A398,'Dados StatusInvest'!$A:$AY,COLUMN(Y398)-$A$5,0)</f>
        <v>13.07</v>
      </c>
      <c r="Z398" s="59">
        <f>VLOOKUP($A398,'Dados StatusInvest'!$A:$AY,COLUMN(Z398)-$A$5,0)</f>
        <v>0.28</v>
      </c>
      <c r="AA398" s="59">
        <f>VLOOKUP($A398,'Dados StatusInvest'!$A:$AY,COLUMN(AA398)-$A$5,0)</f>
        <v>0.72</v>
      </c>
      <c r="AB398" s="59">
        <f>VLOOKUP($A398,'Dados StatusInvest'!$A:$AY,COLUMN(AB398)-$A$5,0)</f>
        <v>0.78</v>
      </c>
      <c r="AC398" s="59">
        <f>VLOOKUP($A398,'Dados StatusInvest'!$A:$AY,COLUMN(AC398)-$A$5,0)</f>
        <v>4.01</v>
      </c>
      <c r="AD398" s="60">
        <f>VLOOKUP($A398,'Dados StatusInvest'!$A:$AY,COLUMN(AD398)-$A$5,0)</f>
        <v>15.18</v>
      </c>
      <c r="AE398" s="62">
        <f>VLOOKUP($A398,'Dados StatusInvest'!$A:$AY,COLUMN(AE398)-$A$5,0)</f>
        <v>17269.8</v>
      </c>
      <c r="AF398" s="18"/>
    </row>
    <row r="399">
      <c r="A399" s="10" t="s">
        <v>445</v>
      </c>
      <c r="B399" s="39" t="str">
        <f>VLOOKUP(lEFT($A399,4),Setor!$A:$E,3,0)</f>
        <v>Consumo Cíclico</v>
      </c>
      <c r="C399" s="39" t="str">
        <f>VLOOKUP(lEFT($A399,4),Setor!$A:$E,4,0)</f>
        <v>Tecidos, Vestuário e Calçados</v>
      </c>
      <c r="D399" s="39" t="str">
        <f>VLOOKUP(lEFT($A399,4),Setor!$A:$E,5,0)</f>
        <v>Fios e Tecidos</v>
      </c>
      <c r="E399" s="17">
        <f>IFERROR(__xludf.DUMMYFUNCTION("GOOGLEFINANCE(A399)"),13.5)</f>
        <v>13.5</v>
      </c>
      <c r="F399" s="17">
        <f>IFERROR(__xludf.DUMMYFUNCTION("GOOGLEFINANCE($A399,""high52"")"),32.3)</f>
        <v>32.3</v>
      </c>
      <c r="G399" s="16">
        <f t="shared" si="1"/>
        <v>-0.5820433437</v>
      </c>
      <c r="H399" s="40">
        <f>VLOOKUP($A399,'Dados StatusInvest'!$A:$AY,column(H399)-$A$5,0)*VLOOKUP($A399,'Dados StatusInvest'!$A:$AY,2,0)/$E399/100</f>
        <v>0</v>
      </c>
      <c r="I399" s="41">
        <f>VLOOKUP($A399,'Dados StatusInvest'!$A:$AY,column(I399)-$A$5,0)/VLOOKUP($A399,'Dados StatusInvest'!$A:$AY,2,0)*$E399</f>
        <v>-0.05465587045</v>
      </c>
      <c r="J399" s="41">
        <f>VLOOKUP($A399,'Dados StatusInvest'!$A:$AY,column(J399)-$A$5,0)/VLOOKUP($A399,'Dados StatusInvest'!$A:$AY,2,0)*$E399</f>
        <v>0</v>
      </c>
      <c r="K399" s="42">
        <f>VLOOKUP($A399,'Dados StatusInvest'!$A:$AY,column(K399)-$A$5,0)/VLOOKUP($A399,'Dados StatusInvest'!$A:$AY,2,0)*$E399</f>
        <v>0.01093117409</v>
      </c>
      <c r="L399" s="43">
        <f>VLOOKUP($A399,'Dados StatusInvest'!$A:$AY,column(L399)-$A$5,0)/100</f>
        <v>0.1668</v>
      </c>
      <c r="M399" s="44">
        <f>VLOOKUP($A399,'Dados StatusInvest'!$A:$AY,column(M399)-$A$5,0)</f>
        <v>3.31</v>
      </c>
      <c r="N399" s="44">
        <f>VLOOKUP($A399,'Dados StatusInvest'!$A:$AY,column(N399)-$A$5,0)</f>
        <v>-63.59</v>
      </c>
      <c r="O399" s="41">
        <f>VLOOKUP($A399,'Dados StatusInvest'!$A:$AY,column(O399)-$A$5,0)/VLOOKUP($A399,'Dados StatusInvest'!$A:$AY,2,0)*$E399</f>
        <v>1.104048583</v>
      </c>
      <c r="P399" s="41">
        <f>VLOOKUP($A399,'Dados StatusInvest'!$A:$AY,column(P399)-$A$5,0)-VLOOKUP($A399,'Dados StatusInvest'!$A:$AY,column(P399)-$A$5-1,0)+O399</f>
        <v>90.86404858</v>
      </c>
      <c r="Q399" s="44">
        <f>VLOOKUP($A399,'Dados StatusInvest'!$A:$AY,column(Q399)-$A$5,0)</f>
        <v>89.4</v>
      </c>
      <c r="R399" s="44">
        <f>VLOOKUP($A399,'Dados StatusInvest'!$A:$AY,column(R399)-$A$5,0)</f>
        <v>0</v>
      </c>
      <c r="S399" s="41">
        <f>VLOOKUP($A399,'Dados StatusInvest'!$A:$AY,column(S399)-$A$5,0)/VLOOKUP($A399,'Dados StatusInvest'!$A:$AY,2,0)*$E399</f>
        <v>0.03279352227</v>
      </c>
      <c r="T399" s="42">
        <f>VLOOKUP($A399,'Dados StatusInvest'!$A:$AY,column(T399)-$A$5,0)/VLOOKUP($A399,'Dados StatusInvest'!$A:$AY,2,0)*$E399</f>
        <v>0</v>
      </c>
      <c r="U399" s="44">
        <f>VLOOKUP($A399,'Dados StatusInvest'!$A:$AY,column(U399)-$A$5,0)</f>
        <v>-0.01</v>
      </c>
      <c r="V399" s="45">
        <f>VLOOKUP($A399,'Dados StatusInvest'!$A:$AY,column(V399)-$A$5,0)</f>
        <v>0.03</v>
      </c>
      <c r="W399" s="45">
        <f>VLOOKUP($A399,'Dados StatusInvest'!$A:$AY,column(W399)-$A$5,0)</f>
        <v>-6.78</v>
      </c>
      <c r="X399" s="45">
        <f>VLOOKUP($A399,'Dados StatusInvest'!$A:$AY,column(X399)-$A$5,0)</f>
        <v>-11.62</v>
      </c>
      <c r="Y399" s="45">
        <f>VLOOKUP($A399,'Dados StatusInvest'!$A:$AY,column(Y399)-$A$5,0)</f>
        <v>-0.08</v>
      </c>
      <c r="Z399" s="44">
        <f>VLOOKUP($A399,'Dados StatusInvest'!$A:$AY,column(Z399)-$A$5,0)</f>
        <v>-1.71</v>
      </c>
      <c r="AA399" s="44">
        <f>VLOOKUP($A399,'Dados StatusInvest'!$A:$AY,column(AA399)-$A$5,0)</f>
        <v>2.71</v>
      </c>
      <c r="AB399" s="44">
        <f>VLOOKUP($A399,'Dados StatusInvest'!$A:$AY,column(AB399)-$A$5,0)</f>
        <v>0.18</v>
      </c>
      <c r="AC399" s="44">
        <f>VLOOKUP($A399,'Dados StatusInvest'!$A:$AY,column(AC399)-$A$5,0)</f>
        <v>-1.38</v>
      </c>
      <c r="AD399" s="45">
        <f>VLOOKUP($A399,'Dados StatusInvest'!$A:$AY,column(AD399)-$A$5,0)</f>
        <v>0</v>
      </c>
      <c r="AE399" s="46">
        <f>VLOOKUP($A399,'Dados StatusInvest'!$A:$AY,column(AE399)-$A$5,0)</f>
        <v>41068.52</v>
      </c>
      <c r="AF399" s="18"/>
    </row>
    <row r="400">
      <c r="A400" s="10" t="s">
        <v>446</v>
      </c>
      <c r="B400" s="39" t="str">
        <f>VLOOKUP(lEFT($A400,4),Setor!$A:$E,3,0)</f>
        <v>Consumo Cíclico</v>
      </c>
      <c r="C400" s="39" t="str">
        <f>VLOOKUP(lEFT($A400,4),Setor!$A:$E,4,0)</f>
        <v>Viagens e Lazer</v>
      </c>
      <c r="D400" s="39" t="str">
        <f>VLOOKUP(lEFT($A400,4),Setor!$A:$E,5,0)</f>
        <v>Bicicletas</v>
      </c>
      <c r="E400" s="17">
        <f>IFERROR(__xludf.DUMMYFUNCTION("GOOGLEFINANCE(A400)"),230.36)</f>
        <v>230.36</v>
      </c>
      <c r="F400" s="17">
        <f>IFERROR(__xludf.DUMMYFUNCTION("GOOGLEFINANCE($A400,""high52"")"),297.0)</f>
        <v>297</v>
      </c>
      <c r="G400" s="16">
        <f t="shared" si="1"/>
        <v>-0.2243771044</v>
      </c>
      <c r="H400" s="40">
        <f>VLOOKUP($A400,'Dados StatusInvest'!$A:$AY,column(H400)-$A$5,0)*VLOOKUP($A400,'Dados StatusInvest'!$A:$AY,2,0)/$E400/100</f>
        <v>0.03444608439</v>
      </c>
      <c r="I400" s="41">
        <f>VLOOKUP($A400,'Dados StatusInvest'!$A:$AY,column(I400)-$A$5,0)/VLOOKUP($A400,'Dados StatusInvest'!$A:$AY,2,0)*$E400</f>
        <v>35.97622261</v>
      </c>
      <c r="J400" s="41">
        <f>VLOOKUP($A400,'Dados StatusInvest'!$A:$AY,column(J400)-$A$5,0)/VLOOKUP($A400,'Dados StatusInvest'!$A:$AY,2,0)*$E400</f>
        <v>0.5508608696</v>
      </c>
      <c r="K400" s="42">
        <f>VLOOKUP($A400,'Dados StatusInvest'!$A:$AY,column(K400)-$A$5,0)/VLOOKUP($A400,'Dados StatusInvest'!$A:$AY,2,0)*$E400</f>
        <v>0.4907669565</v>
      </c>
      <c r="L400" s="43">
        <f>VLOOKUP($A400,'Dados StatusInvest'!$A:$AY,column(L400)-$A$5,0)/100</f>
        <v>0.344</v>
      </c>
      <c r="M400" s="44">
        <f>VLOOKUP($A400,'Dados StatusInvest'!$A:$AY,column(M400)-$A$5,0)</f>
        <v>3.85</v>
      </c>
      <c r="N400" s="44">
        <f>VLOOKUP($A400,'Dados StatusInvest'!$A:$AY,column(N400)-$A$5,0)</f>
        <v>12.43</v>
      </c>
      <c r="O400" s="41">
        <f>VLOOKUP($A400,'Dados StatusInvest'!$A:$AY,column(O400)-$A$5,0)/VLOOKUP($A400,'Dados StatusInvest'!$A:$AY,2,0)*$E400</f>
        <v>116.0112991</v>
      </c>
      <c r="P400" s="41">
        <f>VLOOKUP($A400,'Dados StatusInvest'!$A:$AY,column(P400)-$A$5,0)-VLOOKUP($A400,'Dados StatusInvest'!$A:$AY,column(P400)-$A$5-1,0)+O400</f>
        <v>-35.93870087</v>
      </c>
      <c r="Q400" s="44">
        <f>VLOOKUP($A400,'Dados StatusInvest'!$A:$AY,column(Q400)-$A$5,0)</f>
        <v>-151.95</v>
      </c>
      <c r="R400" s="44">
        <f>VLOOKUP($A400,'Dados StatusInvest'!$A:$AY,column(R400)-$A$5,0)</f>
        <v>-0.72</v>
      </c>
      <c r="S400" s="41">
        <f>VLOOKUP($A400,'Dados StatusInvest'!$A:$AY,column(S400)-$A$5,0)/VLOOKUP($A400,'Dados StatusInvest'!$A:$AY,2,0)*$E400</f>
        <v>4.46698087</v>
      </c>
      <c r="T400" s="42">
        <f>VLOOKUP($A400,'Dados StatusInvest'!$A:$AY,column(T400)-$A$5,0)/VLOOKUP($A400,'Dados StatusInvest'!$A:$AY,2,0)*$E400</f>
        <v>0.6610330435</v>
      </c>
      <c r="U400" s="44">
        <f>VLOOKUP($A400,'Dados StatusInvest'!$A:$AY,column(U400)-$A$5,0)</f>
        <v>-1.99</v>
      </c>
      <c r="V400" s="45">
        <f>VLOOKUP($A400,'Dados StatusInvest'!$A:$AY,column(V400)-$A$5,0)</f>
        <v>34</v>
      </c>
      <c r="W400" s="45">
        <f>VLOOKUP($A400,'Dados StatusInvest'!$A:$AY,column(W400)-$A$5,0)</f>
        <v>1.53</v>
      </c>
      <c r="X400" s="48">
        <f>VLOOKUP($A400,'Dados StatusInvest'!$A:$AY,column(X400)-$A$5,0)</f>
        <v>1.35</v>
      </c>
      <c r="Y400" s="45">
        <f>VLOOKUP($A400,'Dados StatusInvest'!$A:$AY,column(Y400)-$A$5,0)</f>
        <v>-0.11</v>
      </c>
      <c r="Z400" s="44">
        <f>VLOOKUP($A400,'Dados StatusInvest'!$A:$AY,column(Z400)-$A$5,0)</f>
        <v>0.88</v>
      </c>
      <c r="AA400" s="44">
        <f>VLOOKUP($A400,'Dados StatusInvest'!$A:$AY,column(AA400)-$A$5,0)</f>
        <v>0.12</v>
      </c>
      <c r="AB400" s="44">
        <f>VLOOKUP($A400,'Dados StatusInvest'!$A:$AY,column(AB400)-$A$5,0)</f>
        <v>0.11</v>
      </c>
      <c r="AC400" s="44">
        <f>VLOOKUP($A400,'Dados StatusInvest'!$A:$AY,column(AC400)-$A$5,0)</f>
        <v>1.12</v>
      </c>
      <c r="AD400" s="45">
        <f>VLOOKUP($A400,'Dados StatusInvest'!$A:$AY,column(AD400)-$A$5,0)</f>
        <v>-22.91</v>
      </c>
      <c r="AE400" s="46">
        <f>VLOOKUP($A400,'Dados StatusInvest'!$A:$AY,column(AE400)-$A$5,0)</f>
        <v>80067.19</v>
      </c>
      <c r="AF400" s="49"/>
    </row>
    <row r="401">
      <c r="A401" s="10" t="s">
        <v>447</v>
      </c>
      <c r="B401" s="52" t="str">
        <f>VLOOKUP(LEFT($A401,4),Setor!$A:$E,3,0)</f>
        <v>Financeiro</v>
      </c>
      <c r="C401" s="52" t="str">
        <f>VLOOKUP(LEFT($A401,4),Setor!$A:$E,4,0)</f>
        <v>Exploração de Imóveis</v>
      </c>
      <c r="D401" s="52" t="str">
        <f>VLOOKUP(LEFT($A401,4),Setor!$A:$E,5,0)</f>
        <v>Exploração de Imóveis</v>
      </c>
      <c r="E401" s="53">
        <f>IFERROR(__xludf.DUMMYFUNCTION("GOOGLEFINANCE(A401)"),54.5)</f>
        <v>54.5</v>
      </c>
      <c r="F401" s="53">
        <f>IFERROR(__xludf.DUMMYFUNCTION("GOOGLEFINANCE($A401,""high52"")"),81.99)</f>
        <v>81.99</v>
      </c>
      <c r="G401" s="54">
        <f t="shared" si="1"/>
        <v>-0.3352847908</v>
      </c>
      <c r="H401" s="55">
        <f>VLOOKUP($A401,'Dados StatusInvest'!$A:$AY,COLUMN(H401)-$A$5,0)*VLOOKUP($A401,'Dados StatusInvest'!$A:$AY,2,0)/$E401/100</f>
        <v>0.002927926606</v>
      </c>
      <c r="I401" s="56">
        <f>VLOOKUP($A401,'Dados StatusInvest'!$A:$AY,COLUMN(I401)-$A$5,0)/VLOOKUP($A401,'Dados StatusInvest'!$A:$AY,2,0)*$E401</f>
        <v>5.498771714</v>
      </c>
      <c r="J401" s="56">
        <f>VLOOKUP($A401,'Dados StatusInvest'!$A:$AY,COLUMN(J401)-$A$5,0)/VLOOKUP($A401,'Dados StatusInvest'!$A:$AY,2,0)*$E401</f>
        <v>1.300579049</v>
      </c>
      <c r="K401" s="57">
        <f>VLOOKUP($A401,'Dados StatusInvest'!$A:$AY,COLUMN(K401)-$A$5,0)/VLOOKUP($A401,'Dados StatusInvest'!$A:$AY,2,0)*$E401</f>
        <v>0.3633970872</v>
      </c>
      <c r="L401" s="58">
        <f>VLOOKUP($A401,'Dados StatusInvest'!$A:$AY,COLUMN(L401)-$A$5,0)/100</f>
        <v>0.6209</v>
      </c>
      <c r="M401" s="63">
        <f>VLOOKUP($A401,'Dados StatusInvest'!$A:$AY,COLUMN(M401)-$A$5,0)</f>
        <v>45.06</v>
      </c>
      <c r="N401" s="63">
        <f>VLOOKUP($A401,'Dados StatusInvest'!$A:$AY,COLUMN(N401)-$A$5,0)</f>
        <v>39.08</v>
      </c>
      <c r="O401" s="56">
        <f>VLOOKUP($A401,'Dados StatusInvest'!$A:$AY,COLUMN(O401)-$A$5,0)/VLOOKUP($A401,'Dados StatusInvest'!$A:$AY,2,0)*$E401</f>
        <v>4.762414459</v>
      </c>
      <c r="P401" s="56">
        <f>VLOOKUP($A401,'Dados StatusInvest'!$A:$AY,COLUMN(P401)-$A$5,0)-VLOOKUP($A401,'Dados StatusInvest'!$A:$AY,COLUMN(P401)-$A$5-1,0)+O401</f>
        <v>4.772414459</v>
      </c>
      <c r="Q401" s="59">
        <f>VLOOKUP($A401,'Dados StatusInvest'!$A:$AY,COLUMN(Q401)-$A$5,0)</f>
        <v>0.01</v>
      </c>
      <c r="R401" s="59">
        <f>VLOOKUP($A401,'Dados StatusInvest'!$A:$AY,COLUMN(R401)-$A$5,0)</f>
        <v>0</v>
      </c>
      <c r="S401" s="56">
        <f>VLOOKUP($A401,'Dados StatusInvest'!$A:$AY,COLUMN(S401)-$A$5,0)/VLOOKUP($A401,'Dados StatusInvest'!$A:$AY,2,0)*$E401</f>
        <v>2.15169328</v>
      </c>
      <c r="T401" s="57">
        <f>VLOOKUP($A401,'Dados StatusInvest'!$A:$AY,COLUMN(T401)-$A$5,0)/VLOOKUP($A401,'Dados StatusInvest'!$A:$AY,2,0)*$E401</f>
        <v>-2.687225829</v>
      </c>
      <c r="U401" s="63">
        <f>VLOOKUP($A401,'Dados StatusInvest'!$A:$AY,COLUMN(U401)-$A$5,0)</f>
        <v>-0.44</v>
      </c>
      <c r="V401" s="60">
        <f>VLOOKUP($A401,'Dados StatusInvest'!$A:$AY,COLUMN(V401)-$A$5,0)</f>
        <v>0.51</v>
      </c>
      <c r="W401" s="61">
        <f>VLOOKUP($A401,'Dados StatusInvest'!$A:$AY,COLUMN(W401)-$A$5,0)</f>
        <v>23.72</v>
      </c>
      <c r="X401" s="61">
        <f>VLOOKUP($A401,'Dados StatusInvest'!$A:$AY,COLUMN(X401)-$A$5,0)</f>
        <v>6.56</v>
      </c>
      <c r="Y401" s="61">
        <f>VLOOKUP($A401,'Dados StatusInvest'!$A:$AY,COLUMN(Y401)-$A$5,0)</f>
        <v>21.5</v>
      </c>
      <c r="Z401" s="59">
        <f>VLOOKUP($A401,'Dados StatusInvest'!$A:$AY,COLUMN(Z401)-$A$5,0)</f>
        <v>0.28</v>
      </c>
      <c r="AA401" s="59">
        <f>VLOOKUP($A401,'Dados StatusInvest'!$A:$AY,COLUMN(AA401)-$A$5,0)</f>
        <v>0.72</v>
      </c>
      <c r="AB401" s="59">
        <f>VLOOKUP($A401,'Dados StatusInvest'!$A:$AY,COLUMN(AB401)-$A$5,0)</f>
        <v>0.17</v>
      </c>
      <c r="AC401" s="59">
        <f>VLOOKUP($A401,'Dados StatusInvest'!$A:$AY,COLUMN(AC401)-$A$5,0)</f>
        <v>7.42</v>
      </c>
      <c r="AD401" s="60">
        <f>VLOOKUP($A401,'Dados StatusInvest'!$A:$AY,COLUMN(AD401)-$A$5,0)</f>
        <v>71.82</v>
      </c>
      <c r="AE401" s="62">
        <f>VLOOKUP($A401,'Dados StatusInvest'!$A:$AY,COLUMN(AE401)-$A$5,0)</f>
        <v>11258.13</v>
      </c>
      <c r="AF401" s="18"/>
    </row>
    <row r="402">
      <c r="A402" s="10" t="s">
        <v>448</v>
      </c>
      <c r="B402" s="39" t="str">
        <f>VLOOKUP(lEFT($A402,4),Setor!$A:$E,3,0)</f>
        <v>Utilidade Pública</v>
      </c>
      <c r="C402" s="39" t="str">
        <f>VLOOKUP(lEFT($A402,4),Setor!$A:$E,4,0)</f>
        <v>Energia Elétrica</v>
      </c>
      <c r="D402" s="39" t="str">
        <f>VLOOKUP(lEFT($A402,4),Setor!$A:$E,5,0)</f>
        <v>Energia Elétrica</v>
      </c>
      <c r="E402" s="17">
        <f>IFERROR(__xludf.DUMMYFUNCTION("GOOGLEFINANCE(A402)"),6.79)</f>
        <v>6.79</v>
      </c>
      <c r="F402" s="17">
        <f>IFERROR(__xludf.DUMMYFUNCTION("GOOGLEFINANCE($A402,""high52"")"),11.76)</f>
        <v>11.76</v>
      </c>
      <c r="G402" s="16">
        <f t="shared" si="1"/>
        <v>-0.4226190476</v>
      </c>
      <c r="H402" s="40">
        <f>VLOOKUP($A402,'Dados StatusInvest'!$A:$AY,column(H402)-$A$5,0)*VLOOKUP($A402,'Dados StatusInvest'!$A:$AY,2,0)/$E402/100</f>
        <v>0.1170318115</v>
      </c>
      <c r="I402" s="41">
        <f>VLOOKUP($A402,'Dados StatusInvest'!$A:$AY,column(I402)-$A$5,0)/VLOOKUP($A402,'Dados StatusInvest'!$A:$AY,2,0)*$E402</f>
        <v>9.842477745</v>
      </c>
      <c r="J402" s="41">
        <f>VLOOKUP($A402,'Dados StatusInvest'!$A:$AY,column(J402)-$A$5,0)/VLOOKUP($A402,'Dados StatusInvest'!$A:$AY,2,0)*$E402</f>
        <v>3.898709199</v>
      </c>
      <c r="K402" s="42">
        <f>VLOOKUP($A402,'Dados StatusInvest'!$A:$AY,column(K402)-$A$5,0)/VLOOKUP($A402,'Dados StatusInvest'!$A:$AY,2,0)*$E402</f>
        <v>0.6245994065</v>
      </c>
      <c r="L402" s="43">
        <f>VLOOKUP($A402,'Dados StatusInvest'!$A:$AY,column(L402)-$A$5,0)/100</f>
        <v>0.254</v>
      </c>
      <c r="M402" s="47">
        <f>VLOOKUP($A402,'Dados StatusInvest'!$A:$AY,column(M402)-$A$5,0)</f>
        <v>20.76</v>
      </c>
      <c r="N402" s="47">
        <f>VLOOKUP($A402,'Dados StatusInvest'!$A:$AY,column(N402)-$A$5,0)</f>
        <v>11.23</v>
      </c>
      <c r="O402" s="41">
        <f>VLOOKUP($A402,'Dados StatusInvest'!$A:$AY,column(O402)-$A$5,0)/VLOOKUP($A402,'Dados StatusInvest'!$A:$AY,2,0)*$E402</f>
        <v>5.329243323</v>
      </c>
      <c r="P402" s="41">
        <f>VLOOKUP($A402,'Dados StatusInvest'!$A:$AY,column(P402)-$A$5,0)-VLOOKUP($A402,'Dados StatusInvest'!$A:$AY,column(P402)-$A$5-1,0)+O402</f>
        <v>7.489243323</v>
      </c>
      <c r="Q402" s="44">
        <f>VLOOKUP($A402,'Dados StatusInvest'!$A:$AY,column(Q402)-$A$5,0)</f>
        <v>2.17</v>
      </c>
      <c r="R402" s="44">
        <f>VLOOKUP($A402,'Dados StatusInvest'!$A:$AY,column(R402)-$A$5,0)</f>
        <v>1.59</v>
      </c>
      <c r="S402" s="41">
        <f>VLOOKUP($A402,'Dados StatusInvest'!$A:$AY,column(S402)-$A$5,0)/VLOOKUP($A402,'Dados StatusInvest'!$A:$AY,2,0)*$E402</f>
        <v>1.108160237</v>
      </c>
      <c r="T402" s="42">
        <f>VLOOKUP($A402,'Dados StatusInvest'!$A:$AY,column(T402)-$A$5,0)/VLOOKUP($A402,'Dados StatusInvest'!$A:$AY,2,0)*$E402</f>
        <v>10.23537092</v>
      </c>
      <c r="U402" s="44">
        <f>VLOOKUP($A402,'Dados StatusInvest'!$A:$AY,column(U402)-$A$5,0)</f>
        <v>-0.87</v>
      </c>
      <c r="V402" s="45">
        <f>VLOOKUP($A402,'Dados StatusInvest'!$A:$AY,column(V402)-$A$5,0)</f>
        <v>1.26</v>
      </c>
      <c r="W402" s="45">
        <f>VLOOKUP($A402,'Dados StatusInvest'!$A:$AY,column(W402)-$A$5,0)</f>
        <v>39.62</v>
      </c>
      <c r="X402" s="45">
        <f>VLOOKUP($A402,'Dados StatusInvest'!$A:$AY,column(X402)-$A$5,0)</f>
        <v>6.32</v>
      </c>
      <c r="Y402" s="45">
        <f>VLOOKUP($A402,'Dados StatusInvest'!$A:$AY,column(Y402)-$A$5,0)</f>
        <v>15.84</v>
      </c>
      <c r="Z402" s="44">
        <f>VLOOKUP($A402,'Dados StatusInvest'!$A:$AY,column(Z402)-$A$5,0)</f>
        <v>0.16</v>
      </c>
      <c r="AA402" s="44">
        <f>VLOOKUP($A402,'Dados StatusInvest'!$A:$AY,column(AA402)-$A$5,0)</f>
        <v>0.77</v>
      </c>
      <c r="AB402" s="44">
        <f>VLOOKUP($A402,'Dados StatusInvest'!$A:$AY,column(AB402)-$A$5,0)</f>
        <v>0.56</v>
      </c>
      <c r="AC402" s="44">
        <f>VLOOKUP($A402,'Dados StatusInvest'!$A:$AY,column(AC402)-$A$5,0)</f>
        <v>6.59</v>
      </c>
      <c r="AD402" s="45">
        <f>VLOOKUP($A402,'Dados StatusInvest'!$A:$AY,column(AD402)-$A$5,0)</f>
        <v>28.9</v>
      </c>
      <c r="AE402" s="46">
        <f>VLOOKUP($A402,'Dados StatusInvest'!$A:$AY,column(AE402)-$A$5,0)</f>
        <v>14297.86</v>
      </c>
      <c r="AF402" s="18"/>
    </row>
    <row r="403">
      <c r="A403" s="10" t="s">
        <v>449</v>
      </c>
      <c r="B403" s="39" t="str">
        <f>VLOOKUP(lEFT($A403,4),Setor!$A:$E,3,0)</f>
        <v>Materiais Básicos</v>
      </c>
      <c r="C403" s="39" t="str">
        <f>VLOOKUP(lEFT($A403,4),Setor!$A:$E,4,0)</f>
        <v>Siderurgia e Metalurgia</v>
      </c>
      <c r="D403" s="39" t="str">
        <f>VLOOKUP(lEFT($A403,4),Setor!$A:$E,5,0)</f>
        <v>Siderurgia</v>
      </c>
      <c r="E403" s="17">
        <f>IFERROR(__xludf.DUMMYFUNCTION("GOOGLEFINANCE(A403)"),52.11)</f>
        <v>52.11</v>
      </c>
      <c r="F403" s="17">
        <f>IFERROR(__xludf.DUMMYFUNCTION("GOOGLEFINANCE($A403,""high52"")"),64.32)</f>
        <v>64.32</v>
      </c>
      <c r="G403" s="16">
        <f t="shared" si="1"/>
        <v>-0.1898320896</v>
      </c>
      <c r="H403" s="40">
        <f>VLOOKUP($A403,'Dados StatusInvest'!$A:$AY,column(H403)-$A$5,0)*VLOOKUP($A403,'Dados StatusInvest'!$A:$AY,2,0)/$E403/100</f>
        <v>0.0236</v>
      </c>
      <c r="I403" s="41">
        <f>VLOOKUP($A403,'Dados StatusInvest'!$A:$AY,column(I403)-$A$5,0)/VLOOKUP($A403,'Dados StatusInvest'!$A:$AY,2,0)*$E403</f>
        <v>20.7</v>
      </c>
      <c r="J403" s="41">
        <f>VLOOKUP($A403,'Dados StatusInvest'!$A:$AY,column(J403)-$A$5,0)/VLOOKUP($A403,'Dados StatusInvest'!$A:$AY,2,0)*$E403</f>
        <v>2.34</v>
      </c>
      <c r="K403" s="42">
        <f>VLOOKUP($A403,'Dados StatusInvest'!$A:$AY,column(K403)-$A$5,0)/VLOOKUP($A403,'Dados StatusInvest'!$A:$AY,2,0)*$E403</f>
        <v>1.58</v>
      </c>
      <c r="L403" s="43">
        <f>VLOOKUP($A403,'Dados StatusInvest'!$A:$AY,column(L403)-$A$5,0)/100</f>
        <v>0.3329</v>
      </c>
      <c r="M403" s="44">
        <f>VLOOKUP($A403,'Dados StatusInvest'!$A:$AY,column(M403)-$A$5,0)</f>
        <v>23.8</v>
      </c>
      <c r="N403" s="44">
        <f>VLOOKUP($A403,'Dados StatusInvest'!$A:$AY,column(N403)-$A$5,0)</f>
        <v>11.84</v>
      </c>
      <c r="O403" s="41">
        <f>VLOOKUP($A403,'Dados StatusInvest'!$A:$AY,column(O403)-$A$5,0)/VLOOKUP($A403,'Dados StatusInvest'!$A:$AY,2,0)*$E403</f>
        <v>10.3</v>
      </c>
      <c r="P403" s="41">
        <f>VLOOKUP($A403,'Dados StatusInvest'!$A:$AY,column(P403)-$A$5,0)-VLOOKUP($A403,'Dados StatusInvest'!$A:$AY,column(P403)-$A$5-1,0)+O403</f>
        <v>10.42</v>
      </c>
      <c r="Q403" s="44">
        <f>VLOOKUP($A403,'Dados StatusInvest'!$A:$AY,column(Q403)-$A$5,0)</f>
        <v>0.15</v>
      </c>
      <c r="R403" s="44">
        <f>VLOOKUP($A403,'Dados StatusInvest'!$A:$AY,column(R403)-$A$5,0)</f>
        <v>0.03</v>
      </c>
      <c r="S403" s="41">
        <f>VLOOKUP($A403,'Dados StatusInvest'!$A:$AY,column(S403)-$A$5,0)/VLOOKUP($A403,'Dados StatusInvest'!$A:$AY,2,0)*$E403</f>
        <v>2.45</v>
      </c>
      <c r="T403" s="42">
        <f>VLOOKUP($A403,'Dados StatusInvest'!$A:$AY,column(T403)-$A$5,0)/VLOOKUP($A403,'Dados StatusInvest'!$A:$AY,2,0)*$E403</f>
        <v>6.56</v>
      </c>
      <c r="U403" s="47">
        <f>VLOOKUP($A403,'Dados StatusInvest'!$A:$AY,column(U403)-$A$5,0)</f>
        <v>-2.45</v>
      </c>
      <c r="V403" s="45">
        <f>VLOOKUP($A403,'Dados StatusInvest'!$A:$AY,column(V403)-$A$5,0)</f>
        <v>3.16</v>
      </c>
      <c r="W403" s="48">
        <f>VLOOKUP($A403,'Dados StatusInvest'!$A:$AY,column(W403)-$A$5,0)</f>
        <v>11.32</v>
      </c>
      <c r="X403" s="45">
        <f>VLOOKUP($A403,'Dados StatusInvest'!$A:$AY,column(X403)-$A$5,0)</f>
        <v>7.65</v>
      </c>
      <c r="Y403" s="45">
        <f>VLOOKUP($A403,'Dados StatusInvest'!$A:$AY,column(Y403)-$A$5,0)</f>
        <v>17.63</v>
      </c>
      <c r="Z403" s="44">
        <f>VLOOKUP($A403,'Dados StatusInvest'!$A:$AY,column(Z403)-$A$5,0)</f>
        <v>0.68</v>
      </c>
      <c r="AA403" s="44">
        <f>VLOOKUP($A403,'Dados StatusInvest'!$A:$AY,column(AA403)-$A$5,0)</f>
        <v>0.32</v>
      </c>
      <c r="AB403" s="44">
        <f>VLOOKUP($A403,'Dados StatusInvest'!$A:$AY,column(AB403)-$A$5,0)</f>
        <v>0.65</v>
      </c>
      <c r="AC403" s="44">
        <f>VLOOKUP($A403,'Dados StatusInvest'!$A:$AY,column(AC403)-$A$5,0)</f>
        <v>11.62</v>
      </c>
      <c r="AD403" s="45">
        <f>VLOOKUP($A403,'Dados StatusInvest'!$A:$AY,column(AD403)-$A$5,0)</f>
        <v>5.12</v>
      </c>
      <c r="AE403" s="46">
        <f>VLOOKUP($A403,'Dados StatusInvest'!$A:$AY,column(AE403)-$A$5,0)</f>
        <v>35902.42</v>
      </c>
      <c r="AF403" s="49"/>
    </row>
    <row r="404">
      <c r="A404" s="10" t="s">
        <v>450</v>
      </c>
      <c r="B404" s="39" t="str">
        <f>VLOOKUP(lEFT($A404,4),Setor!$A:$E,3,0)</f>
        <v>Financeiro</v>
      </c>
      <c r="C404" s="39" t="str">
        <f>VLOOKUP(lEFT($A404,4),Setor!$A:$E,4,0)</f>
        <v>Intermediários Financeiros</v>
      </c>
      <c r="D404" s="39" t="str">
        <f>VLOOKUP(lEFT($A404,4),Setor!$A:$E,5,0)</f>
        <v>Bancos</v>
      </c>
      <c r="E404" s="17">
        <f>IFERROR(__xludf.DUMMYFUNCTION("GOOGLEFINANCE(A404)"),5.91)</f>
        <v>5.91</v>
      </c>
      <c r="F404" s="17">
        <f>IFERROR(__xludf.DUMMYFUNCTION("GOOGLEFINANCE($A404,""high52"")"),8.6)</f>
        <v>8.6</v>
      </c>
      <c r="G404" s="16">
        <f t="shared" si="1"/>
        <v>-0.3127906977</v>
      </c>
      <c r="H404" s="40">
        <f>VLOOKUP($A404,'Dados StatusInvest'!$A:$AY,column(H404)-$A$5,0)*VLOOKUP($A404,'Dados StatusInvest'!$A:$AY,2,0)/$E404/100</f>
        <v>0.0468</v>
      </c>
      <c r="I404" s="41">
        <f>VLOOKUP($A404,'Dados StatusInvest'!$A:$AY,column(I404)-$A$5,0)/VLOOKUP($A404,'Dados StatusInvest'!$A:$AY,2,0)*$E404</f>
        <v>8.44</v>
      </c>
      <c r="J404" s="41">
        <f>VLOOKUP($A404,'Dados StatusInvest'!$A:$AY,column(J404)-$A$5,0)/VLOOKUP($A404,'Dados StatusInvest'!$A:$AY,2,0)*$E404</f>
        <v>1.05</v>
      </c>
      <c r="K404" s="42">
        <f>VLOOKUP($A404,'Dados StatusInvest'!$A:$AY,column(K404)-$A$5,0)/VLOOKUP($A404,'Dados StatusInvest'!$A:$AY,2,0)*$E404</f>
        <v>0.06</v>
      </c>
      <c r="L404" s="43">
        <f>VLOOKUP($A404,'Dados StatusInvest'!$A:$AY,column(L404)-$A$5,0)/100</f>
        <v>0.5153</v>
      </c>
      <c r="M404" s="44">
        <f>VLOOKUP($A404,'Dados StatusInvest'!$A:$AY,column(M404)-$A$5,0)</f>
        <v>23.48</v>
      </c>
      <c r="N404" s="44">
        <f>VLOOKUP($A404,'Dados StatusInvest'!$A:$AY,column(N404)-$A$5,0)</f>
        <v>14.66</v>
      </c>
      <c r="O404" s="41">
        <f>VLOOKUP($A404,'Dados StatusInvest'!$A:$AY,column(O404)-$A$5,0)/VLOOKUP($A404,'Dados StatusInvest'!$A:$AY,2,0)*$E404</f>
        <v>5.27</v>
      </c>
      <c r="P404" s="41">
        <f>VLOOKUP($A404,'Dados StatusInvest'!$A:$AY,column(P404)-$A$5,0)-VLOOKUP($A404,'Dados StatusInvest'!$A:$AY,column(P404)-$A$5-1,0)+O404</f>
        <v>4.64</v>
      </c>
      <c r="Q404" s="44">
        <f>VLOOKUP($A404,'Dados StatusInvest'!$A:$AY,column(Q404)-$A$5,0)</f>
        <v>0</v>
      </c>
      <c r="R404" s="44">
        <f>VLOOKUP($A404,'Dados StatusInvest'!$A:$AY,column(R404)-$A$5,0)</f>
        <v>0</v>
      </c>
      <c r="S404" s="41">
        <f>VLOOKUP($A404,'Dados StatusInvest'!$A:$AY,column(S404)-$A$5,0)/VLOOKUP($A404,'Dados StatusInvest'!$A:$AY,2,0)*$E404</f>
        <v>1.24</v>
      </c>
      <c r="T404" s="42">
        <f>VLOOKUP($A404,'Dados StatusInvest'!$A:$AY,column(T404)-$A$5,0)/VLOOKUP($A404,'Dados StatusInvest'!$A:$AY,2,0)*$E404</f>
        <v>0.64</v>
      </c>
      <c r="U404" s="44">
        <f>VLOOKUP($A404,'Dados StatusInvest'!$A:$AY,column(U404)-$A$5,0)</f>
        <v>-0.06</v>
      </c>
      <c r="V404" s="45">
        <f>VLOOKUP($A404,'Dados StatusInvest'!$A:$AY,column(V404)-$A$5,0)</f>
        <v>0</v>
      </c>
      <c r="W404" s="45">
        <f>VLOOKUP($A404,'Dados StatusInvest'!$A:$AY,column(W404)-$A$5,0)</f>
        <v>12.4</v>
      </c>
      <c r="X404" s="45">
        <f>VLOOKUP($A404,'Dados StatusInvest'!$A:$AY,column(X404)-$A$5,0)</f>
        <v>0.68</v>
      </c>
      <c r="Y404" s="45">
        <f>VLOOKUP($A404,'Dados StatusInvest'!$A:$AY,column(Y404)-$A$5,0)</f>
        <v>0</v>
      </c>
      <c r="Z404" s="44">
        <f>VLOOKUP($A404,'Dados StatusInvest'!$A:$AY,column(Z404)-$A$5,0)</f>
        <v>0.06</v>
      </c>
      <c r="AA404" s="44">
        <f>VLOOKUP($A404,'Dados StatusInvest'!$A:$AY,column(AA404)-$A$5,0)</f>
        <v>0.94</v>
      </c>
      <c r="AB404" s="44">
        <f>VLOOKUP($A404,'Dados StatusInvest'!$A:$AY,column(AB404)-$A$5,0)</f>
        <v>0.05</v>
      </c>
      <c r="AC404" s="44">
        <f>VLOOKUP($A404,'Dados StatusInvest'!$A:$AY,column(AC404)-$A$5,0)</f>
        <v>-7.16</v>
      </c>
      <c r="AD404" s="45">
        <f>VLOOKUP($A404,'Dados StatusInvest'!$A:$AY,column(AD404)-$A$5,0)</f>
        <v>7.19</v>
      </c>
      <c r="AE404" s="46">
        <f>VLOOKUP($A404,'Dados StatusInvest'!$A:$AY,column(AE404)-$A$5,0)</f>
        <v>51948.54</v>
      </c>
      <c r="AF404" s="51"/>
    </row>
    <row r="405">
      <c r="A405" s="10" t="s">
        <v>451</v>
      </c>
      <c r="B405" s="39" t="str">
        <f>VLOOKUP(lEFT($A405,4),Setor!$A:$E,3,0)</f>
        <v>Utilidade Pública</v>
      </c>
      <c r="C405" s="39" t="str">
        <f>VLOOKUP(lEFT($A405,4),Setor!$A:$E,4,0)</f>
        <v>Energia Elétrica</v>
      </c>
      <c r="D405" s="39" t="str">
        <f>VLOOKUP(lEFT($A405,4),Setor!$A:$E,5,0)</f>
        <v>Energia Elétrica</v>
      </c>
      <c r="E405" s="17">
        <f>IFERROR(__xludf.DUMMYFUNCTION("GOOGLEFINANCE(A405)"),69.0)</f>
        <v>69</v>
      </c>
      <c r="F405" s="17">
        <f>IFERROR(__xludf.DUMMYFUNCTION("GOOGLEFINANCE($A405,""high52"")"),88.0)</f>
        <v>88</v>
      </c>
      <c r="G405" s="16">
        <f t="shared" si="1"/>
        <v>-0.2159090909</v>
      </c>
      <c r="H405" s="40">
        <f>VLOOKUP($A405,'Dados StatusInvest'!$A:$AY,column(H405)-$A$5,0)*VLOOKUP($A405,'Dados StatusInvest'!$A:$AY,2,0)/$E405/100</f>
        <v>0.0293</v>
      </c>
      <c r="I405" s="41">
        <f>VLOOKUP($A405,'Dados StatusInvest'!$A:$AY,column(I405)-$A$5,0)/VLOOKUP($A405,'Dados StatusInvest'!$A:$AY,2,0)*$E405</f>
        <v>31.45</v>
      </c>
      <c r="J405" s="41">
        <f>VLOOKUP($A405,'Dados StatusInvest'!$A:$AY,column(J405)-$A$5,0)/VLOOKUP($A405,'Dados StatusInvest'!$A:$AY,2,0)*$E405</f>
        <v>3.96</v>
      </c>
      <c r="K405" s="42">
        <f>VLOOKUP($A405,'Dados StatusInvest'!$A:$AY,column(K405)-$A$5,0)/VLOOKUP($A405,'Dados StatusInvest'!$A:$AY,2,0)*$E405</f>
        <v>3.44</v>
      </c>
      <c r="L405" s="43">
        <f>VLOOKUP($A405,'Dados StatusInvest'!$A:$AY,column(L405)-$A$5,0)/100</f>
        <v>0</v>
      </c>
      <c r="M405" s="47">
        <f>VLOOKUP($A405,'Dados StatusInvest'!$A:$AY,column(M405)-$A$5,0)</f>
        <v>0</v>
      </c>
      <c r="N405" s="47">
        <f>VLOOKUP($A405,'Dados StatusInvest'!$A:$AY,column(N405)-$A$5,0)</f>
        <v>0</v>
      </c>
      <c r="O405" s="41">
        <f>VLOOKUP($A405,'Dados StatusInvest'!$A:$AY,column(O405)-$A$5,0)/VLOOKUP($A405,'Dados StatusInvest'!$A:$AY,2,0)*$E405</f>
        <v>34.6</v>
      </c>
      <c r="P405" s="41">
        <f>VLOOKUP($A405,'Dados StatusInvest'!$A:$AY,column(P405)-$A$5,0)-VLOOKUP($A405,'Dados StatusInvest'!$A:$AY,column(P405)-$A$5-1,0)+O405</f>
        <v>30.9</v>
      </c>
      <c r="Q405" s="44">
        <f>VLOOKUP($A405,'Dados StatusInvest'!$A:$AY,column(Q405)-$A$5,0)</f>
        <v>-3.7</v>
      </c>
      <c r="R405" s="44">
        <f>VLOOKUP($A405,'Dados StatusInvest'!$A:$AY,column(R405)-$A$5,0)</f>
        <v>-0.42</v>
      </c>
      <c r="S405" s="41">
        <f>VLOOKUP($A405,'Dados StatusInvest'!$A:$AY,column(S405)-$A$5,0)/VLOOKUP($A405,'Dados StatusInvest'!$A:$AY,2,0)*$E405</f>
        <v>0</v>
      </c>
      <c r="T405" s="42">
        <f>VLOOKUP($A405,'Dados StatusInvest'!$A:$AY,column(T405)-$A$5,0)/VLOOKUP($A405,'Dados StatusInvest'!$A:$AY,2,0)*$E405</f>
        <v>11.98</v>
      </c>
      <c r="U405" s="44">
        <f>VLOOKUP($A405,'Dados StatusInvest'!$A:$AY,column(U405)-$A$5,0)</f>
        <v>-5.61</v>
      </c>
      <c r="V405" s="45">
        <f>VLOOKUP($A405,'Dados StatusInvest'!$A:$AY,column(V405)-$A$5,0)</f>
        <v>3.85</v>
      </c>
      <c r="W405" s="45">
        <f>VLOOKUP($A405,'Dados StatusInvest'!$A:$AY,column(W405)-$A$5,0)</f>
        <v>12.61</v>
      </c>
      <c r="X405" s="45">
        <f>VLOOKUP($A405,'Dados StatusInvest'!$A:$AY,column(X405)-$A$5,0)</f>
        <v>10.92</v>
      </c>
      <c r="Y405" s="45">
        <f>VLOOKUP($A405,'Dados StatusInvest'!$A:$AY,column(Y405)-$A$5,0)</f>
        <v>10.88</v>
      </c>
      <c r="Z405" s="44">
        <f>VLOOKUP($A405,'Dados StatusInvest'!$A:$AY,column(Z405)-$A$5,0)</f>
        <v>0.87</v>
      </c>
      <c r="AA405" s="44">
        <f>VLOOKUP($A405,'Dados StatusInvest'!$A:$AY,column(AA405)-$A$5,0)</f>
        <v>0.13</v>
      </c>
      <c r="AB405" s="44">
        <f>VLOOKUP($A405,'Dados StatusInvest'!$A:$AY,column(AB405)-$A$5,0)</f>
        <v>0</v>
      </c>
      <c r="AC405" s="44">
        <f>VLOOKUP($A405,'Dados StatusInvest'!$A:$AY,column(AC405)-$A$5,0)</f>
        <v>0</v>
      </c>
      <c r="AD405" s="45">
        <f>VLOOKUP($A405,'Dados StatusInvest'!$A:$AY,column(AD405)-$A$5,0)</f>
        <v>37.2</v>
      </c>
      <c r="AE405" s="46">
        <f>VLOOKUP($A405,'Dados StatusInvest'!$A:$AY,column(AE405)-$A$5,0)</f>
        <v>23300</v>
      </c>
      <c r="AF405" s="49"/>
    </row>
    <row r="406">
      <c r="A406" s="10" t="s">
        <v>452</v>
      </c>
      <c r="B406" s="39" t="str">
        <f>VLOOKUP(lEFT($A406,4),Setor!$A:$E,3,0)</f>
        <v>Financeiro</v>
      </c>
      <c r="C406" s="39" t="str">
        <f>VLOOKUP(lEFT($A406,4),Setor!$A:$E,4,0)</f>
        <v>Exploração de Imóveis</v>
      </c>
      <c r="D406" s="39" t="str">
        <f>VLOOKUP(lEFT($A406,4),Setor!$A:$E,5,0)</f>
        <v>Exploração de Imóveis</v>
      </c>
      <c r="E406" s="17">
        <f>IFERROR(__xludf.DUMMYFUNCTION("GOOGLEFINANCE(A406)"),39.99)</f>
        <v>39.99</v>
      </c>
      <c r="F406" s="17">
        <f>IFERROR(__xludf.DUMMYFUNCTION("GOOGLEFINANCE($A406,""high52"")"),87.0)</f>
        <v>87</v>
      </c>
      <c r="G406" s="16">
        <f t="shared" si="1"/>
        <v>-0.5403448276</v>
      </c>
      <c r="H406" s="40">
        <f>VLOOKUP($A406,'Dados StatusInvest'!$A:$AY,column(H406)-$A$5,0)*VLOOKUP($A406,'Dados StatusInvest'!$A:$AY,2,0)/$E406/100</f>
        <v>0</v>
      </c>
      <c r="I406" s="41">
        <f>VLOOKUP($A406,'Dados StatusInvest'!$A:$AY,column(I406)-$A$5,0)/VLOOKUP($A406,'Dados StatusInvest'!$A:$AY,2,0)*$E406</f>
        <v>-4.711178089</v>
      </c>
      <c r="J406" s="41">
        <f>VLOOKUP($A406,'Dados StatusInvest'!$A:$AY,column(J406)-$A$5,0)/VLOOKUP($A406,'Dados StatusInvest'!$A:$AY,2,0)*$E406</f>
        <v>-0.16004002</v>
      </c>
      <c r="K406" s="42">
        <f>VLOOKUP($A406,'Dados StatusInvest'!$A:$AY,column(K406)-$A$5,0)/VLOOKUP($A406,'Dados StatusInvest'!$A:$AY,2,0)*$E406</f>
        <v>0.05001250625</v>
      </c>
      <c r="L406" s="43">
        <f>VLOOKUP($A406,'Dados StatusInvest'!$A:$AY,column(L406)-$A$5,0)/100</f>
        <v>0.6801</v>
      </c>
      <c r="M406" s="47">
        <f>VLOOKUP($A406,'Dados StatusInvest'!$A:$AY,column(M406)-$A$5,0)</f>
        <v>50.73</v>
      </c>
      <c r="N406" s="47">
        <f>VLOOKUP($A406,'Dados StatusInvest'!$A:$AY,column(N406)-$A$5,0)</f>
        <v>-15.9</v>
      </c>
      <c r="O406" s="41">
        <f>VLOOKUP($A406,'Dados StatusInvest'!$A:$AY,column(O406)-$A$5,0)/VLOOKUP($A406,'Dados StatusInvest'!$A:$AY,2,0)*$E406</f>
        <v>1.480370185</v>
      </c>
      <c r="P406" s="41">
        <f>VLOOKUP($A406,'Dados StatusInvest'!$A:$AY,column(P406)-$A$5,0)-VLOOKUP($A406,'Dados StatusInvest'!$A:$AY,column(P406)-$A$5-1,0)+O406</f>
        <v>33.02037019</v>
      </c>
      <c r="Q406" s="44">
        <f>VLOOKUP($A406,'Dados StatusInvest'!$A:$AY,column(Q406)-$A$5,0)</f>
        <v>31.55</v>
      </c>
      <c r="R406" s="44">
        <f>VLOOKUP($A406,'Dados StatusInvest'!$A:$AY,column(R406)-$A$5,0)</f>
        <v>0</v>
      </c>
      <c r="S406" s="41">
        <f>VLOOKUP($A406,'Dados StatusInvest'!$A:$AY,column(S406)-$A$5,0)/VLOOKUP($A406,'Dados StatusInvest'!$A:$AY,2,0)*$E406</f>
        <v>0.7501875938</v>
      </c>
      <c r="T406" s="42">
        <f>VLOOKUP($A406,'Dados StatusInvest'!$A:$AY,column(T406)-$A$5,0)/VLOOKUP($A406,'Dados StatusInvest'!$A:$AY,2,0)*$E406</f>
        <v>-0.600150075</v>
      </c>
      <c r="U406" s="44">
        <f>VLOOKUP($A406,'Dados StatusInvest'!$A:$AY,column(U406)-$A$5,0)</f>
        <v>-0.05</v>
      </c>
      <c r="V406" s="45">
        <f>VLOOKUP($A406,'Dados StatusInvest'!$A:$AY,column(V406)-$A$5,0)</f>
        <v>0.55</v>
      </c>
      <c r="W406" s="48">
        <f>VLOOKUP($A406,'Dados StatusInvest'!$A:$AY,column(W406)-$A$5,0)</f>
        <v>-3.29</v>
      </c>
      <c r="X406" s="48">
        <f>VLOOKUP($A406,'Dados StatusInvest'!$A:$AY,column(X406)-$A$5,0)</f>
        <v>-1</v>
      </c>
      <c r="Y406" s="48">
        <f>VLOOKUP($A406,'Dados StatusInvest'!$A:$AY,column(Y406)-$A$5,0)</f>
        <v>3.19</v>
      </c>
      <c r="Z406" s="44">
        <f>VLOOKUP($A406,'Dados StatusInvest'!$A:$AY,column(Z406)-$A$5,0)</f>
        <v>-0.3</v>
      </c>
      <c r="AA406" s="44">
        <f>VLOOKUP($A406,'Dados StatusInvest'!$A:$AY,column(AA406)-$A$5,0)</f>
        <v>1.3</v>
      </c>
      <c r="AB406" s="44">
        <f>VLOOKUP($A406,'Dados StatusInvest'!$A:$AY,column(AB406)-$A$5,0)</f>
        <v>0.06</v>
      </c>
      <c r="AC406" s="44">
        <f>VLOOKUP($A406,'Dados StatusInvest'!$A:$AY,column(AC406)-$A$5,0)</f>
        <v>-18.98</v>
      </c>
      <c r="AD406" s="45">
        <f>VLOOKUP($A406,'Dados StatusInvest'!$A:$AY,column(AD406)-$A$5,0)</f>
        <v>0</v>
      </c>
      <c r="AE406" s="46">
        <f>VLOOKUP($A406,'Dados StatusInvest'!$A:$AY,column(AE406)-$A$5,0)</f>
        <v>31928.95</v>
      </c>
      <c r="AF406" s="50"/>
    </row>
    <row r="407">
      <c r="A407" s="10" t="s">
        <v>453</v>
      </c>
      <c r="B407" s="52" t="str">
        <f>VLOOKUP(LEFT($A407,4),Setor!$A:$E,3,0)</f>
        <v>Consumo não Cíclico</v>
      </c>
      <c r="C407" s="52" t="str">
        <f>VLOOKUP(LEFT($A407,4),Setor!$A:$E,4,0)</f>
        <v>Alimentos Processados</v>
      </c>
      <c r="D407" s="52" t="str">
        <f>VLOOKUP(LEFT($A407,4),Setor!$A:$E,5,0)</f>
        <v>Alimentos Diversos</v>
      </c>
      <c r="E407" s="53">
        <f>IFERROR(__xludf.DUMMYFUNCTION("GOOGLEFINANCE(A407)"),37.0)</f>
        <v>37</v>
      </c>
      <c r="F407" s="53">
        <f>IFERROR(__xludf.DUMMYFUNCTION("GOOGLEFINANCE($A407,""high52"")"),74.9)</f>
        <v>74.9</v>
      </c>
      <c r="G407" s="54">
        <f t="shared" si="1"/>
        <v>-0.5060080107</v>
      </c>
      <c r="H407" s="55">
        <f>VLOOKUP($A407,'Dados StatusInvest'!$A:$AY,COLUMN(H407)-$A$5,0)*VLOOKUP($A407,'Dados StatusInvest'!$A:$AY,2,0)/$E407/100</f>
        <v>0.02540686486</v>
      </c>
      <c r="I407" s="56">
        <f>VLOOKUP($A407,'Dados StatusInvest'!$A:$AY,COLUMN(I407)-$A$5,0)/VLOOKUP($A407,'Dados StatusInvest'!$A:$AY,2,0)*$E407</f>
        <v>15.85571467</v>
      </c>
      <c r="J407" s="56">
        <f>VLOOKUP($A407,'Dados StatusInvest'!$A:$AY,COLUMN(J407)-$A$5,0)/VLOOKUP($A407,'Dados StatusInvest'!$A:$AY,2,0)*$E407</f>
        <v>0.729802756</v>
      </c>
      <c r="K407" s="57">
        <f>VLOOKUP($A407,'Dados StatusInvest'!$A:$AY,COLUMN(K407)-$A$5,0)/VLOOKUP($A407,'Dados StatusInvest'!$A:$AY,2,0)*$E407</f>
        <v>0.1899486625</v>
      </c>
      <c r="L407" s="58">
        <f>VLOOKUP($A407,'Dados StatusInvest'!$A:$AY,COLUMN(L407)-$A$5,0)/100</f>
        <v>0.2291</v>
      </c>
      <c r="M407" s="59">
        <f>VLOOKUP($A407,'Dados StatusInvest'!$A:$AY,COLUMN(M407)-$A$5,0)</f>
        <v>5.22</v>
      </c>
      <c r="N407" s="63">
        <f>VLOOKUP($A407,'Dados StatusInvest'!$A:$AY,COLUMN(N407)-$A$5,0)</f>
        <v>1.4</v>
      </c>
      <c r="O407" s="56">
        <f>VLOOKUP($A407,'Dados StatusInvest'!$A:$AY,COLUMN(O407)-$A$5,0)/VLOOKUP($A407,'Dados StatusInvest'!$A:$AY,2,0)*$E407</f>
        <v>4.25884896</v>
      </c>
      <c r="P407" s="56">
        <f>VLOOKUP($A407,'Dados StatusInvest'!$A:$AY,COLUMN(P407)-$A$5,0)-VLOOKUP($A407,'Dados StatusInvest'!$A:$AY,COLUMN(P407)-$A$5-1,0)+O407</f>
        <v>8.00884896</v>
      </c>
      <c r="Q407" s="59">
        <f>VLOOKUP($A407,'Dados StatusInvest'!$A:$AY,COLUMN(Q407)-$A$5,0)</f>
        <v>4.55</v>
      </c>
      <c r="R407" s="59">
        <f>VLOOKUP($A407,'Dados StatusInvest'!$A:$AY,COLUMN(R407)-$A$5,0)</f>
        <v>0.78</v>
      </c>
      <c r="S407" s="56">
        <f>VLOOKUP($A407,'Dados StatusInvest'!$A:$AY,COLUMN(S407)-$A$5,0)/VLOOKUP($A407,'Dados StatusInvest'!$A:$AY,2,0)*$E407</f>
        <v>0.2199405566</v>
      </c>
      <c r="T407" s="57">
        <f>VLOOKUP($A407,'Dados StatusInvest'!$A:$AY,COLUMN(T407)-$A$5,0)/VLOOKUP($A407,'Dados StatusInvest'!$A:$AY,2,0)*$E407</f>
        <v>0.5498513915</v>
      </c>
      <c r="U407" s="59">
        <f>VLOOKUP($A407,'Dados StatusInvest'!$A:$AY,COLUMN(U407)-$A$5,0)</f>
        <v>-0.58</v>
      </c>
      <c r="V407" s="60">
        <f>VLOOKUP($A407,'Dados StatusInvest'!$A:$AY,COLUMN(V407)-$A$5,0)</f>
        <v>2.05</v>
      </c>
      <c r="W407" s="60">
        <f>VLOOKUP($A407,'Dados StatusInvest'!$A:$AY,COLUMN(W407)-$A$5,0)</f>
        <v>4.62</v>
      </c>
      <c r="X407" s="61">
        <f>VLOOKUP($A407,'Dados StatusInvest'!$A:$AY,COLUMN(X407)-$A$5,0)</f>
        <v>1.19</v>
      </c>
      <c r="Y407" s="60">
        <f>VLOOKUP($A407,'Dados StatusInvest'!$A:$AY,COLUMN(Y407)-$A$5,0)</f>
        <v>3.04</v>
      </c>
      <c r="Z407" s="59">
        <f>VLOOKUP($A407,'Dados StatusInvest'!$A:$AY,COLUMN(Z407)-$A$5,0)</f>
        <v>0.26</v>
      </c>
      <c r="AA407" s="59">
        <f>VLOOKUP($A407,'Dados StatusInvest'!$A:$AY,COLUMN(AA407)-$A$5,0)</f>
        <v>0.66</v>
      </c>
      <c r="AB407" s="59">
        <f>VLOOKUP($A407,'Dados StatusInvest'!$A:$AY,COLUMN(AB407)-$A$5,0)</f>
        <v>0.85</v>
      </c>
      <c r="AC407" s="59">
        <f>VLOOKUP($A407,'Dados StatusInvest'!$A:$AY,COLUMN(AC407)-$A$5,0)</f>
        <v>8.16</v>
      </c>
      <c r="AD407" s="60">
        <f>VLOOKUP($A407,'Dados StatusInvest'!$A:$AY,COLUMN(AD407)-$A$5,0)</f>
        <v>0.43</v>
      </c>
      <c r="AE407" s="62">
        <f>VLOOKUP($A407,'Dados StatusInvest'!$A:$AY,COLUMN(AE407)-$A$5,0)</f>
        <v>10717</v>
      </c>
      <c r="AF407" s="18"/>
    </row>
    <row r="408">
      <c r="A408" s="10" t="s">
        <v>454</v>
      </c>
      <c r="B408" s="39" t="str">
        <f>VLOOKUP(lEFT($A408,4),Setor!$A:$E,3,0)</f>
        <v>Financeiro</v>
      </c>
      <c r="C408" s="39" t="str">
        <f>VLOOKUP(lEFT($A408,4),Setor!$A:$E,4,0)</f>
        <v>Holdings Diversificadas</v>
      </c>
      <c r="D408" s="39" t="str">
        <f>VLOOKUP(lEFT($A408,4),Setor!$A:$E,5,0)</f>
        <v>Holdings Diversificadas</v>
      </c>
      <c r="E408" s="17">
        <f>IFERROR(__xludf.DUMMYFUNCTION("GOOGLEFINANCE(A408)"),64.0)</f>
        <v>64</v>
      </c>
      <c r="F408" s="17">
        <f>IFERROR(__xludf.DUMMYFUNCTION("GOOGLEFINANCE($A408,""high52"")"),114.0)</f>
        <v>114</v>
      </c>
      <c r="G408" s="16">
        <f t="shared" si="1"/>
        <v>-0.4385964912</v>
      </c>
      <c r="H408" s="40">
        <f>VLOOKUP($A408,'Dados StatusInvest'!$A:$AY,column(H408)-$A$5,0)*VLOOKUP($A408,'Dados StatusInvest'!$A:$AY,2,0)/$E408/100</f>
        <v>0.4741</v>
      </c>
      <c r="I408" s="41">
        <f>VLOOKUP($A408,'Dados StatusInvest'!$A:$AY,column(I408)-$A$5,0)/VLOOKUP($A408,'Dados StatusInvest'!$A:$AY,2,0)*$E408</f>
        <v>1.6</v>
      </c>
      <c r="J408" s="41">
        <f>VLOOKUP($A408,'Dados StatusInvest'!$A:$AY,column(J408)-$A$5,0)/VLOOKUP($A408,'Dados StatusInvest'!$A:$AY,2,0)*$E408</f>
        <v>1.42</v>
      </c>
      <c r="K408" s="42">
        <f>VLOOKUP($A408,'Dados StatusInvest'!$A:$AY,column(K408)-$A$5,0)/VLOOKUP($A408,'Dados StatusInvest'!$A:$AY,2,0)*$E408</f>
        <v>1.24</v>
      </c>
      <c r="L408" s="43">
        <f>VLOOKUP($A408,'Dados StatusInvest'!$A:$AY,column(L408)-$A$5,0)/100</f>
        <v>0.9222</v>
      </c>
      <c r="M408" s="47">
        <f>VLOOKUP($A408,'Dados StatusInvest'!$A:$AY,column(M408)-$A$5,0)</f>
        <v>3112.42</v>
      </c>
      <c r="N408" s="47">
        <f>VLOOKUP($A408,'Dados StatusInvest'!$A:$AY,column(N408)-$A$5,0)</f>
        <v>2155.32</v>
      </c>
      <c r="O408" s="41">
        <f>VLOOKUP($A408,'Dados StatusInvest'!$A:$AY,column(O408)-$A$5,0)/VLOOKUP($A408,'Dados StatusInvest'!$A:$AY,2,0)*$E408</f>
        <v>1.11</v>
      </c>
      <c r="P408" s="41">
        <f>VLOOKUP($A408,'Dados StatusInvest'!$A:$AY,column(P408)-$A$5,0)-VLOOKUP($A408,'Dados StatusInvest'!$A:$AY,column(P408)-$A$5-1,0)+O408</f>
        <v>0.82</v>
      </c>
      <c r="Q408" s="44">
        <f>VLOOKUP($A408,'Dados StatusInvest'!$A:$AY,column(Q408)-$A$5,0)</f>
        <v>-0.34</v>
      </c>
      <c r="R408" s="44">
        <f>VLOOKUP($A408,'Dados StatusInvest'!$A:$AY,column(R408)-$A$5,0)</f>
        <v>-0.44</v>
      </c>
      <c r="S408" s="41">
        <f>VLOOKUP($A408,'Dados StatusInvest'!$A:$AY,column(S408)-$A$5,0)/VLOOKUP($A408,'Dados StatusInvest'!$A:$AY,2,0)*$E408</f>
        <v>34.43</v>
      </c>
      <c r="T408" s="42">
        <f>VLOOKUP($A408,'Dados StatusInvest'!$A:$AY,column(T408)-$A$5,0)/VLOOKUP($A408,'Dados StatusInvest'!$A:$AY,2,0)*$E408</f>
        <v>2.8</v>
      </c>
      <c r="U408" s="44">
        <f>VLOOKUP($A408,'Dados StatusInvest'!$A:$AY,column(U408)-$A$5,0)</f>
        <v>-2.33</v>
      </c>
      <c r="V408" s="45">
        <f>VLOOKUP($A408,'Dados StatusInvest'!$A:$AY,column(V408)-$A$5,0)</f>
        <v>18.27</v>
      </c>
      <c r="W408" s="48">
        <f>VLOOKUP($A408,'Dados StatusInvest'!$A:$AY,column(W408)-$A$5,0)</f>
        <v>88.86</v>
      </c>
      <c r="X408" s="45">
        <f>VLOOKUP($A408,'Dados StatusInvest'!$A:$AY,column(X408)-$A$5,0)</f>
        <v>77.63</v>
      </c>
      <c r="Y408" s="45">
        <f>VLOOKUP($A408,'Dados StatusInvest'!$A:$AY,column(Y408)-$A$5,0)</f>
        <v>81.32</v>
      </c>
      <c r="Z408" s="44">
        <f>VLOOKUP($A408,'Dados StatusInvest'!$A:$AY,column(Z408)-$A$5,0)</f>
        <v>0.87</v>
      </c>
      <c r="AA408" s="44">
        <f>VLOOKUP($A408,'Dados StatusInvest'!$A:$AY,column(AA408)-$A$5,0)</f>
        <v>0.13</v>
      </c>
      <c r="AB408" s="44">
        <f>VLOOKUP($A408,'Dados StatusInvest'!$A:$AY,column(AB408)-$A$5,0)</f>
        <v>0.04</v>
      </c>
      <c r="AC408" s="44">
        <f>VLOOKUP($A408,'Dados StatusInvest'!$A:$AY,column(AC408)-$A$5,0)</f>
        <v>-8.83</v>
      </c>
      <c r="AD408" s="45">
        <f>VLOOKUP($A408,'Dados StatusInvest'!$A:$AY,column(AD408)-$A$5,0)</f>
        <v>81.97</v>
      </c>
      <c r="AE408" s="46">
        <f>VLOOKUP($A408,'Dados StatusInvest'!$A:$AY,column(AE408)-$A$5,0)</f>
        <v>32705.57</v>
      </c>
      <c r="AF408" s="51"/>
    </row>
    <row r="409">
      <c r="A409" s="10" t="s">
        <v>455</v>
      </c>
      <c r="B409" s="52" t="str">
        <f>VLOOKUP(LEFT($A409,4),Setor!$A:$E,3,0)</f>
        <v>Utilidade Pública</v>
      </c>
      <c r="C409" s="52" t="str">
        <f>VLOOKUP(LEFT($A409,4),Setor!$A:$E,4,0)</f>
        <v>Energia Elétrica</v>
      </c>
      <c r="D409" s="52" t="str">
        <f>VLOOKUP(LEFT($A409,4),Setor!$A:$E,5,0)</f>
        <v>Energia Elétrica</v>
      </c>
      <c r="E409" s="53">
        <f>IFERROR(__xludf.DUMMYFUNCTION("GOOGLEFINANCE(A409)"),23.48)</f>
        <v>23.48</v>
      </c>
      <c r="F409" s="53">
        <f>IFERROR(__xludf.DUMMYFUNCTION("GOOGLEFINANCE($A409,""high52"")"),45.28)</f>
        <v>45.28</v>
      </c>
      <c r="G409" s="54">
        <f t="shared" si="1"/>
        <v>-0.4814487633</v>
      </c>
      <c r="H409" s="55">
        <f>VLOOKUP($A409,'Dados StatusInvest'!$A:$AY,COLUMN(H409)-$A$5,0)*VLOOKUP($A409,'Dados StatusInvest'!$A:$AY,2,0)/$E409/100</f>
        <v>0.00293867121</v>
      </c>
      <c r="I409" s="56">
        <f>VLOOKUP($A409,'Dados StatusInvest'!$A:$AY,COLUMN(I409)-$A$5,0)/VLOOKUP($A409,'Dados StatusInvest'!$A:$AY,2,0)*$E409</f>
        <v>-238.924313</v>
      </c>
      <c r="J409" s="56">
        <f>VLOOKUP($A409,'Dados StatusInvest'!$A:$AY,COLUMN(J409)-$A$5,0)/VLOOKUP($A409,'Dados StatusInvest'!$A:$AY,2,0)*$E409</f>
        <v>1.071913043</v>
      </c>
      <c r="K409" s="57">
        <f>VLOOKUP($A409,'Dados StatusInvest'!$A:$AY,COLUMN(K409)-$A$5,0)/VLOOKUP($A409,'Dados StatusInvest'!$A:$AY,2,0)*$E409</f>
        <v>0.265426087</v>
      </c>
      <c r="L409" s="58">
        <f>VLOOKUP($A409,'Dados StatusInvest'!$A:$AY,COLUMN(L409)-$A$5,0)/100</f>
        <v>0.1195</v>
      </c>
      <c r="M409" s="59">
        <f>VLOOKUP($A409,'Dados StatusInvest'!$A:$AY,COLUMN(M409)-$A$5,0)</f>
        <v>1.16</v>
      </c>
      <c r="N409" s="59">
        <f>VLOOKUP($A409,'Dados StatusInvest'!$A:$AY,COLUMN(N409)-$A$5,0)</f>
        <v>-0.24</v>
      </c>
      <c r="O409" s="56">
        <f>VLOOKUP($A409,'Dados StatusInvest'!$A:$AY,COLUMN(O409)-$A$5,0)/VLOOKUP($A409,'Dados StatusInvest'!$A:$AY,2,0)*$E409</f>
        <v>49.23653913</v>
      </c>
      <c r="P409" s="56">
        <f>VLOOKUP($A409,'Dados StatusInvest'!$A:$AY,COLUMN(P409)-$A$5,0)-VLOOKUP($A409,'Dados StatusInvest'!$A:$AY,COLUMN(P409)-$A$5-1,0)+O409</f>
        <v>104.3965391</v>
      </c>
      <c r="Q409" s="59">
        <f>VLOOKUP($A409,'Dados StatusInvest'!$A:$AY,COLUMN(Q409)-$A$5,0)</f>
        <v>55.16</v>
      </c>
      <c r="R409" s="59">
        <f>VLOOKUP($A409,'Dados StatusInvest'!$A:$AY,COLUMN(R409)-$A$5,0)</f>
        <v>1.2</v>
      </c>
      <c r="S409" s="56">
        <f>VLOOKUP($A409,'Dados StatusInvest'!$A:$AY,COLUMN(S409)-$A$5,0)/VLOOKUP($A409,'Dados StatusInvest'!$A:$AY,2,0)*$E409</f>
        <v>0.5716869565</v>
      </c>
      <c r="T409" s="57">
        <f>VLOOKUP($A409,'Dados StatusInvest'!$A:$AY,COLUMN(T409)-$A$5,0)/VLOOKUP($A409,'Dados StatusInvest'!$A:$AY,2,0)*$E409</f>
        <v>-4.185565217</v>
      </c>
      <c r="U409" s="59">
        <f>VLOOKUP($A409,'Dados StatusInvest'!$A:$AY,COLUMN(U409)-$A$5,0)</f>
        <v>-0.32</v>
      </c>
      <c r="V409" s="60">
        <f>VLOOKUP($A409,'Dados StatusInvest'!$A:$AY,COLUMN(V409)-$A$5,0)</f>
        <v>0.75</v>
      </c>
      <c r="W409" s="60">
        <f>VLOOKUP($A409,'Dados StatusInvest'!$A:$AY,COLUMN(W409)-$A$5,0)</f>
        <v>-0.45</v>
      </c>
      <c r="X409" s="60">
        <f>VLOOKUP($A409,'Dados StatusInvest'!$A:$AY,COLUMN(X409)-$A$5,0)</f>
        <v>-0.11</v>
      </c>
      <c r="Y409" s="60">
        <f>VLOOKUP($A409,'Dados StatusInvest'!$A:$AY,COLUMN(Y409)-$A$5,0)</f>
        <v>0.56</v>
      </c>
      <c r="Z409" s="59">
        <f>VLOOKUP($A409,'Dados StatusInvest'!$A:$AY,COLUMN(Z409)-$A$5,0)</f>
        <v>0.24</v>
      </c>
      <c r="AA409" s="59">
        <f>VLOOKUP($A409,'Dados StatusInvest'!$A:$AY,COLUMN(AA409)-$A$5,0)</f>
        <v>0.76</v>
      </c>
      <c r="AB409" s="59">
        <f>VLOOKUP($A409,'Dados StatusInvest'!$A:$AY,COLUMN(AB409)-$A$5,0)</f>
        <v>0.46</v>
      </c>
      <c r="AC409" s="59">
        <f>VLOOKUP($A409,'Dados StatusInvest'!$A:$AY,COLUMN(AC409)-$A$5,0)</f>
        <v>3.81</v>
      </c>
      <c r="AD409" s="60">
        <f>VLOOKUP($A409,'Dados StatusInvest'!$A:$AY,COLUMN(AD409)-$A$5,0)</f>
        <v>0</v>
      </c>
      <c r="AE409" s="62">
        <f>VLOOKUP($A409,'Dados StatusInvest'!$A:$AY,COLUMN(AE409)-$A$5,0)</f>
        <v>42048.33</v>
      </c>
      <c r="AF409" s="18"/>
    </row>
    <row r="410">
      <c r="A410" s="10" t="s">
        <v>456</v>
      </c>
      <c r="B410" s="39" t="str">
        <f>VLOOKUP(lEFT($A410,4),Setor!$A:$E,3,0)</f>
        <v>Materiais Básicos</v>
      </c>
      <c r="C410" s="39" t="str">
        <f>VLOOKUP(lEFT($A410,4),Setor!$A:$E,4,0)</f>
        <v>Materiais Diversos</v>
      </c>
      <c r="D410" s="39" t="str">
        <f>VLOOKUP(lEFT($A410,4),Setor!$A:$E,5,0)</f>
        <v>Materiais Diversos</v>
      </c>
      <c r="E410" s="17">
        <f>IFERROR(__xludf.DUMMYFUNCTION("GOOGLEFINANCE(A410)"),5.3)</f>
        <v>5.3</v>
      </c>
      <c r="F410" s="17">
        <f>IFERROR(__xludf.DUMMYFUNCTION("GOOGLEFINANCE($A410,""high52"")"),9.89)</f>
        <v>9.89</v>
      </c>
      <c r="G410" s="16">
        <f t="shared" si="1"/>
        <v>-0.4641051567</v>
      </c>
      <c r="H410" s="40">
        <f>VLOOKUP($A410,'Dados StatusInvest'!$A:$AY,column(H410)-$A$5,0)*VLOOKUP($A410,'Dados StatusInvest'!$A:$AY,2,0)/$E410/100</f>
        <v>0</v>
      </c>
      <c r="I410" s="41">
        <f>VLOOKUP($A410,'Dados StatusInvest'!$A:$AY,column(I410)-$A$5,0)/VLOOKUP($A410,'Dados StatusInvest'!$A:$AY,2,0)*$E410</f>
        <v>-0.3567307692</v>
      </c>
      <c r="J410" s="41">
        <f>VLOOKUP($A410,'Dados StatusInvest'!$A:$AY,column(J410)-$A$5,0)/VLOOKUP($A410,'Dados StatusInvest'!$A:$AY,2,0)*$E410</f>
        <v>-0.03057692308</v>
      </c>
      <c r="K410" s="42">
        <f>VLOOKUP($A410,'Dados StatusInvest'!$A:$AY,column(K410)-$A$5,0)/VLOOKUP($A410,'Dados StatusInvest'!$A:$AY,2,0)*$E410</f>
        <v>0.1019230769</v>
      </c>
      <c r="L410" s="43">
        <f>VLOOKUP($A410,'Dados StatusInvest'!$A:$AY,column(L410)-$A$5,0)/100</f>
        <v>0.1819</v>
      </c>
      <c r="M410" s="44">
        <f>VLOOKUP($A410,'Dados StatusInvest'!$A:$AY,column(M410)-$A$5,0)</f>
        <v>-2.49</v>
      </c>
      <c r="N410" s="44">
        <f>VLOOKUP($A410,'Dados StatusInvest'!$A:$AY,column(N410)-$A$5,0)</f>
        <v>-16.61</v>
      </c>
      <c r="O410" s="41">
        <f>VLOOKUP($A410,'Dados StatusInvest'!$A:$AY,column(O410)-$A$5,0)/VLOOKUP($A410,'Dados StatusInvest'!$A:$AY,2,0)*$E410</f>
        <v>-2.395192308</v>
      </c>
      <c r="P410" s="41">
        <f>VLOOKUP($A410,'Dados StatusInvest'!$A:$AY,column(P410)-$A$5,0)-VLOOKUP($A410,'Dados StatusInvest'!$A:$AY,column(P410)-$A$5-1,0)+O410</f>
        <v>-12.74519231</v>
      </c>
      <c r="Q410" s="44">
        <f>VLOOKUP($A410,'Dados StatusInvest'!$A:$AY,column(Q410)-$A$5,0)</f>
        <v>-6.7</v>
      </c>
      <c r="R410" s="44">
        <f>VLOOKUP($A410,'Dados StatusInvest'!$A:$AY,column(R410)-$A$5,0)</f>
        <v>0</v>
      </c>
      <c r="S410" s="41">
        <f>VLOOKUP($A410,'Dados StatusInvest'!$A:$AY,column(S410)-$A$5,0)/VLOOKUP($A410,'Dados StatusInvest'!$A:$AY,2,0)*$E410</f>
        <v>0.06115384615</v>
      </c>
      <c r="T410" s="42">
        <f>VLOOKUP($A410,'Dados StatusInvest'!$A:$AY,column(T410)-$A$5,0)/VLOOKUP($A410,'Dados StatusInvest'!$A:$AY,2,0)*$E410</f>
        <v>-0.6828846154</v>
      </c>
      <c r="U410" s="47">
        <f>VLOOKUP($A410,'Dados StatusInvest'!$A:$AY,column(U410)-$A$5,0)</f>
        <v>-0.22</v>
      </c>
      <c r="V410" s="45">
        <f>VLOOKUP($A410,'Dados StatusInvest'!$A:$AY,column(V410)-$A$5,0)</f>
        <v>0.8</v>
      </c>
      <c r="W410" s="45">
        <f>VLOOKUP($A410,'Dados StatusInvest'!$A:$AY,column(W410)-$A$5,0)</f>
        <v>-7.88</v>
      </c>
      <c r="X410" s="48">
        <f>VLOOKUP($A410,'Dados StatusInvest'!$A:$AY,column(X410)-$A$5,0)</f>
        <v>-27.01</v>
      </c>
      <c r="Y410" s="45">
        <f>VLOOKUP($A410,'Dados StatusInvest'!$A:$AY,column(Y410)-$A$5,0)</f>
        <v>1.31</v>
      </c>
      <c r="Z410" s="44">
        <f>VLOOKUP($A410,'Dados StatusInvest'!$A:$AY,column(Z410)-$A$5,0)</f>
        <v>-3.43</v>
      </c>
      <c r="AA410" s="44">
        <f>VLOOKUP($A410,'Dados StatusInvest'!$A:$AY,column(AA410)-$A$5,0)</f>
        <v>4.46</v>
      </c>
      <c r="AB410" s="44">
        <f>VLOOKUP($A410,'Dados StatusInvest'!$A:$AY,column(AB410)-$A$5,0)</f>
        <v>1.63</v>
      </c>
      <c r="AC410" s="44">
        <f>VLOOKUP($A410,'Dados StatusInvest'!$A:$AY,column(AC410)-$A$5,0)</f>
        <v>4.14</v>
      </c>
      <c r="AD410" s="45">
        <f>VLOOKUP($A410,'Dados StatusInvest'!$A:$AY,column(AD410)-$A$5,0)</f>
        <v>0</v>
      </c>
      <c r="AE410" s="46">
        <f>VLOOKUP($A410,'Dados StatusInvest'!$A:$AY,column(AE410)-$A$5,0)</f>
        <v>25977.08</v>
      </c>
      <c r="AF410" s="18"/>
    </row>
    <row r="411">
      <c r="A411" s="10" t="s">
        <v>457</v>
      </c>
      <c r="B411" s="52" t="str">
        <f>VLOOKUP(LEFT($A411,4),Setor!$A:$E,3,0)</f>
        <v>Utilidade Pública</v>
      </c>
      <c r="C411" s="52" t="str">
        <f>VLOOKUP(LEFT($A411,4),Setor!$A:$E,4,0)</f>
        <v>Energia Elétrica</v>
      </c>
      <c r="D411" s="52" t="str">
        <f>VLOOKUP(LEFT($A411,4),Setor!$A:$E,5,0)</f>
        <v>Energia Elétrica</v>
      </c>
      <c r="E411" s="53">
        <f>IFERROR(__xludf.DUMMYFUNCTION("GOOGLEFINANCE(A411)"),26.7)</f>
        <v>26.7</v>
      </c>
      <c r="F411" s="53">
        <f>IFERROR(__xludf.DUMMYFUNCTION("GOOGLEFINANCE($A411,""high52"")"),33.0)</f>
        <v>33</v>
      </c>
      <c r="G411" s="54">
        <f t="shared" si="1"/>
        <v>-0.1909090909</v>
      </c>
      <c r="H411" s="55">
        <f>VLOOKUP($A411,'Dados StatusInvest'!$A:$AY,COLUMN(H411)-$A$5,0)*VLOOKUP($A411,'Dados StatusInvest'!$A:$AY,2,0)/$E411/100</f>
        <v>0.1327011236</v>
      </c>
      <c r="I411" s="56">
        <f>VLOOKUP($A411,'Dados StatusInvest'!$A:$AY,COLUMN(I411)-$A$5,0)/VLOOKUP($A411,'Dados StatusInvest'!$A:$AY,2,0)*$E411</f>
        <v>6.87575188</v>
      </c>
      <c r="J411" s="56">
        <f>VLOOKUP($A411,'Dados StatusInvest'!$A:$AY,COLUMN(J411)-$A$5,0)/VLOOKUP($A411,'Dados StatusInvest'!$A:$AY,2,0)*$E411</f>
        <v>1.907142857</v>
      </c>
      <c r="K411" s="57">
        <f>VLOOKUP($A411,'Dados StatusInvest'!$A:$AY,COLUMN(K411)-$A$5,0)/VLOOKUP($A411,'Dados StatusInvest'!$A:$AY,2,0)*$E411</f>
        <v>0.5319924812</v>
      </c>
      <c r="L411" s="58">
        <f>VLOOKUP($A411,'Dados StatusInvest'!$A:$AY,COLUMN(L411)-$A$5,0)/100</f>
        <v>0.205</v>
      </c>
      <c r="M411" s="59">
        <f>VLOOKUP($A411,'Dados StatusInvest'!$A:$AY,COLUMN(M411)-$A$5,0)</f>
        <v>15.37</v>
      </c>
      <c r="N411" s="59">
        <f>VLOOKUP($A411,'Dados StatusInvest'!$A:$AY,COLUMN(N411)-$A$5,0)</f>
        <v>9.97</v>
      </c>
      <c r="O411" s="56">
        <f>VLOOKUP($A411,'Dados StatusInvest'!$A:$AY,COLUMN(O411)-$A$5,0)/VLOOKUP($A411,'Dados StatusInvest'!$A:$AY,2,0)*$E411</f>
        <v>4.466729323</v>
      </c>
      <c r="P411" s="56">
        <f>VLOOKUP($A411,'Dados StatusInvest'!$A:$AY,COLUMN(P411)-$A$5,0)-VLOOKUP($A411,'Dados StatusInvest'!$A:$AY,COLUMN(P411)-$A$5-1,0)+O411</f>
        <v>8.196729323</v>
      </c>
      <c r="Q411" s="59">
        <f>VLOOKUP($A411,'Dados StatusInvest'!$A:$AY,COLUMN(Q411)-$A$5,0)</f>
        <v>2.92</v>
      </c>
      <c r="R411" s="59">
        <f>VLOOKUP($A411,'Dados StatusInvest'!$A:$AY,COLUMN(R411)-$A$5,0)</f>
        <v>1.25</v>
      </c>
      <c r="S411" s="56">
        <f>VLOOKUP($A411,'Dados StatusInvest'!$A:$AY,COLUMN(S411)-$A$5,0)/VLOOKUP($A411,'Dados StatusInvest'!$A:$AY,2,0)*$E411</f>
        <v>0.682556391</v>
      </c>
      <c r="T411" s="57">
        <f>VLOOKUP($A411,'Dados StatusInvest'!$A:$AY,COLUMN(T411)-$A$5,0)/VLOOKUP($A411,'Dados StatusInvest'!$A:$AY,2,0)*$E411</f>
        <v>17.71635338</v>
      </c>
      <c r="U411" s="59">
        <f>VLOOKUP($A411,'Dados StatusInvest'!$A:$AY,COLUMN(U411)-$A$5,0)</f>
        <v>-0.78</v>
      </c>
      <c r="V411" s="60">
        <f>VLOOKUP($A411,'Dados StatusInvest'!$A:$AY,COLUMN(V411)-$A$5,0)</f>
        <v>1.11</v>
      </c>
      <c r="W411" s="60">
        <f>VLOOKUP($A411,'Dados StatusInvest'!$A:$AY,COLUMN(W411)-$A$5,0)</f>
        <v>27.78</v>
      </c>
      <c r="X411" s="61">
        <f>VLOOKUP($A411,'Dados StatusInvest'!$A:$AY,COLUMN(X411)-$A$5,0)</f>
        <v>7.79</v>
      </c>
      <c r="Y411" s="60">
        <f>VLOOKUP($A411,'Dados StatusInvest'!$A:$AY,COLUMN(Y411)-$A$5,0)</f>
        <v>13.07</v>
      </c>
      <c r="Z411" s="59">
        <f>VLOOKUP($A411,'Dados StatusInvest'!$A:$AY,COLUMN(Z411)-$A$5,0)</f>
        <v>0.28</v>
      </c>
      <c r="AA411" s="59">
        <f>VLOOKUP($A411,'Dados StatusInvest'!$A:$AY,COLUMN(AA411)-$A$5,0)</f>
        <v>0.72</v>
      </c>
      <c r="AB411" s="59">
        <f>VLOOKUP($A411,'Dados StatusInvest'!$A:$AY,COLUMN(AB411)-$A$5,0)</f>
        <v>0.78</v>
      </c>
      <c r="AC411" s="59">
        <f>VLOOKUP($A411,'Dados StatusInvest'!$A:$AY,COLUMN(AC411)-$A$5,0)</f>
        <v>4.01</v>
      </c>
      <c r="AD411" s="60">
        <f>VLOOKUP($A411,'Dados StatusInvest'!$A:$AY,COLUMN(AD411)-$A$5,0)</f>
        <v>15.18</v>
      </c>
      <c r="AE411" s="62">
        <f>VLOOKUP($A411,'Dados StatusInvest'!$A:$AY,COLUMN(AE411)-$A$5,0)</f>
        <v>25079.46</v>
      </c>
      <c r="AF411" s="18"/>
    </row>
    <row r="412">
      <c r="A412" s="10" t="s">
        <v>458</v>
      </c>
      <c r="B412" s="52" t="str">
        <f>VLOOKUP(LEFT($A412,4),Setor!$A:$E,3,0)</f>
        <v>Utilidade Pública</v>
      </c>
      <c r="C412" s="52" t="str">
        <f>VLOOKUP(LEFT($A412,4),Setor!$A:$E,4,0)</f>
        <v>Energia Elétrica</v>
      </c>
      <c r="D412" s="52" t="str">
        <f>VLOOKUP(LEFT($A412,4),Setor!$A:$E,5,0)</f>
        <v>Energia Elétrica</v>
      </c>
      <c r="E412" s="53">
        <f>IFERROR(__xludf.DUMMYFUNCTION("GOOGLEFINANCE(A412)"),7.2)</f>
        <v>7.2</v>
      </c>
      <c r="F412" s="53">
        <f>IFERROR(__xludf.DUMMYFUNCTION("GOOGLEFINANCE($A412,""high52"")"),13.5)</f>
        <v>13.5</v>
      </c>
      <c r="G412" s="54">
        <f t="shared" si="1"/>
        <v>-0.4666666667</v>
      </c>
      <c r="H412" s="55">
        <f>VLOOKUP($A412,'Dados StatusInvest'!$A:$AY,COLUMN(H412)-$A$5,0)*VLOOKUP($A412,'Dados StatusInvest'!$A:$AY,2,0)/$E412/100</f>
        <v>0.0625</v>
      </c>
      <c r="I412" s="56">
        <f>VLOOKUP($A412,'Dados StatusInvest'!$A:$AY,COLUMN(I412)-$A$5,0)/VLOOKUP($A412,'Dados StatusInvest'!$A:$AY,2,0)*$E412</f>
        <v>18.85</v>
      </c>
      <c r="J412" s="56">
        <f>VLOOKUP($A412,'Dados StatusInvest'!$A:$AY,COLUMN(J412)-$A$5,0)/VLOOKUP($A412,'Dados StatusInvest'!$A:$AY,2,0)*$E412</f>
        <v>4.46</v>
      </c>
      <c r="K412" s="57">
        <f>VLOOKUP($A412,'Dados StatusInvest'!$A:$AY,COLUMN(K412)-$A$5,0)/VLOOKUP($A412,'Dados StatusInvest'!$A:$AY,2,0)*$E412</f>
        <v>1.28</v>
      </c>
      <c r="L412" s="58">
        <f>VLOOKUP($A412,'Dados StatusInvest'!$A:$AY,COLUMN(L412)-$A$5,0)/100</f>
        <v>0.2978</v>
      </c>
      <c r="M412" s="59">
        <f>VLOOKUP($A412,'Dados StatusInvest'!$A:$AY,COLUMN(M412)-$A$5,0)</f>
        <v>20.7</v>
      </c>
      <c r="N412" s="63">
        <f>VLOOKUP($A412,'Dados StatusInvest'!$A:$AY,COLUMN(N412)-$A$5,0)</f>
        <v>12.93</v>
      </c>
      <c r="O412" s="56">
        <f>VLOOKUP($A412,'Dados StatusInvest'!$A:$AY,COLUMN(O412)-$A$5,0)/VLOOKUP($A412,'Dados StatusInvest'!$A:$AY,2,0)*$E412</f>
        <v>11.78</v>
      </c>
      <c r="P412" s="56">
        <f>VLOOKUP($A412,'Dados StatusInvest'!$A:$AY,COLUMN(P412)-$A$5,0)-VLOOKUP($A412,'Dados StatusInvest'!$A:$AY,COLUMN(P412)-$A$5-1,0)+O412</f>
        <v>9.22</v>
      </c>
      <c r="Q412" s="59">
        <f>VLOOKUP($A412,'Dados StatusInvest'!$A:$AY,COLUMN(Q412)-$A$5,0)</f>
        <v>1.01</v>
      </c>
      <c r="R412" s="59">
        <f>VLOOKUP($A412,'Dados StatusInvest'!$A:$AY,COLUMN(R412)-$A$5,0)</f>
        <v>0.38</v>
      </c>
      <c r="S412" s="56">
        <f>VLOOKUP($A412,'Dados StatusInvest'!$A:$AY,COLUMN(S412)-$A$5,0)/VLOOKUP($A412,'Dados StatusInvest'!$A:$AY,2,0)*$E412</f>
        <v>2.44</v>
      </c>
      <c r="T412" s="57">
        <f>VLOOKUP($A412,'Dados StatusInvest'!$A:$AY,COLUMN(T412)-$A$5,0)/VLOOKUP($A412,'Dados StatusInvest'!$A:$AY,2,0)*$E412</f>
        <v>5.57</v>
      </c>
      <c r="U412" s="59">
        <f>VLOOKUP($A412,'Dados StatusInvest'!$A:$AY,COLUMN(U412)-$A$5,0)</f>
        <v>-2.31</v>
      </c>
      <c r="V412" s="60">
        <f>VLOOKUP($A412,'Dados StatusInvest'!$A:$AY,COLUMN(V412)-$A$5,0)</f>
        <v>2.04</v>
      </c>
      <c r="W412" s="60">
        <f>VLOOKUP($A412,'Dados StatusInvest'!$A:$AY,COLUMN(W412)-$A$5,0)</f>
        <v>23.69</v>
      </c>
      <c r="X412" s="60">
        <f>VLOOKUP($A412,'Dados StatusInvest'!$A:$AY,COLUMN(X412)-$A$5,0)</f>
        <v>6.76</v>
      </c>
      <c r="Y412" s="60">
        <f>VLOOKUP($A412,'Dados StatusInvest'!$A:$AY,COLUMN(Y412)-$A$5,0)</f>
        <v>14.32</v>
      </c>
      <c r="Z412" s="59">
        <f>VLOOKUP($A412,'Dados StatusInvest'!$A:$AY,COLUMN(Z412)-$A$5,0)</f>
        <v>0.29</v>
      </c>
      <c r="AA412" s="59">
        <f>VLOOKUP($A412,'Dados StatusInvest'!$A:$AY,COLUMN(AA412)-$A$5,0)</f>
        <v>0.71</v>
      </c>
      <c r="AB412" s="59">
        <f>VLOOKUP($A412,'Dados StatusInvest'!$A:$AY,COLUMN(AB412)-$A$5,0)</f>
        <v>0.52</v>
      </c>
      <c r="AC412" s="59">
        <f>VLOOKUP($A412,'Dados StatusInvest'!$A:$AY,COLUMN(AC412)-$A$5,0)</f>
        <v>7.01</v>
      </c>
      <c r="AD412" s="60">
        <f>VLOOKUP($A412,'Dados StatusInvest'!$A:$AY,COLUMN(AD412)-$A$5,0)</f>
        <v>10.16</v>
      </c>
      <c r="AE412" s="62">
        <f>VLOOKUP($A412,'Dados StatusInvest'!$A:$AY,COLUMN(AE412)-$A$5,0)</f>
        <v>720</v>
      </c>
      <c r="AF412" s="18"/>
    </row>
    <row r="413">
      <c r="A413" s="10" t="s">
        <v>459</v>
      </c>
      <c r="B413" s="39" t="str">
        <f>VLOOKUP(lEFT($A413,4),Setor!$A:$E,3,0)</f>
        <v>Utilidade Pública</v>
      </c>
      <c r="C413" s="39" t="str">
        <f>VLOOKUP(lEFT($A413,4),Setor!$A:$E,4,0)</f>
        <v>Gás</v>
      </c>
      <c r="D413" s="39" t="str">
        <f>VLOOKUP(lEFT($A413,4),Setor!$A:$E,5,0)</f>
        <v>Gás</v>
      </c>
      <c r="E413" s="17">
        <f>IFERROR(__xludf.DUMMYFUNCTION("GOOGLEFINANCE(A413)"),145.23)</f>
        <v>145.23</v>
      </c>
      <c r="F413" s="17">
        <f>IFERROR(__xludf.DUMMYFUNCTION("GOOGLEFINANCE($A413,""high52"")"),195.0)</f>
        <v>195</v>
      </c>
      <c r="G413" s="16">
        <f t="shared" si="1"/>
        <v>-0.2552307692</v>
      </c>
      <c r="H413" s="40">
        <f>VLOOKUP($A413,'Dados StatusInvest'!$A:$AY,column(H413)-$A$5,0)*VLOOKUP($A413,'Dados StatusInvest'!$A:$AY,2,0)/$E413/100</f>
        <v>0.05853714797</v>
      </c>
      <c r="I413" s="41">
        <f>VLOOKUP($A413,'Dados StatusInvest'!$A:$AY,column(I413)-$A$5,0)/VLOOKUP($A413,'Dados StatusInvest'!$A:$AY,2,0)*$E413</f>
        <v>11.56376803</v>
      </c>
      <c r="J413" s="41">
        <f>VLOOKUP($A413,'Dados StatusInvest'!$A:$AY,column(J413)-$A$5,0)/VLOOKUP($A413,'Dados StatusInvest'!$A:$AY,2,0)*$E413</f>
        <v>12.89314608</v>
      </c>
      <c r="K413" s="42">
        <f>VLOOKUP($A413,'Dados StatusInvest'!$A:$AY,column(K413)-$A$5,0)/VLOOKUP($A413,'Dados StatusInvest'!$A:$AY,2,0)*$E413</f>
        <v>1.638959248</v>
      </c>
      <c r="L413" s="43">
        <f>VLOOKUP($A413,'Dados StatusInvest'!$A:$AY,column(L413)-$A$5,0)/100</f>
        <v>0.3139</v>
      </c>
      <c r="M413" s="44">
        <f>VLOOKUP($A413,'Dados StatusInvest'!$A:$AY,column(M413)-$A$5,0)</f>
        <v>24.74</v>
      </c>
      <c r="N413" s="44">
        <f>VLOOKUP($A413,'Dados StatusInvest'!$A:$AY,column(N413)-$A$5,0)</f>
        <v>17.35</v>
      </c>
      <c r="O413" s="41">
        <f>VLOOKUP($A413,'Dados StatusInvest'!$A:$AY,column(O413)-$A$5,0)/VLOOKUP($A413,'Dados StatusInvest'!$A:$AY,2,0)*$E413</f>
        <v>8.103742947</v>
      </c>
      <c r="P413" s="41">
        <f>VLOOKUP($A413,'Dados StatusInvest'!$A:$AY,column(P413)-$A$5,0)-VLOOKUP($A413,'Dados StatusInvest'!$A:$AY,column(P413)-$A$5-1,0)+O413</f>
        <v>10.04374295</v>
      </c>
      <c r="Q413" s="44">
        <f>VLOOKUP($A413,'Dados StatusInvest'!$A:$AY,column(Q413)-$A$5,0)</f>
        <v>1.93</v>
      </c>
      <c r="R413" s="44">
        <f>VLOOKUP($A413,'Dados StatusInvest'!$A:$AY,column(R413)-$A$5,0)</f>
        <v>3.07</v>
      </c>
      <c r="S413" s="41">
        <f>VLOOKUP($A413,'Dados StatusInvest'!$A:$AY,column(S413)-$A$5,0)/VLOOKUP($A413,'Dados StatusInvest'!$A:$AY,2,0)*$E413</f>
        <v>2.003172414</v>
      </c>
      <c r="T413" s="42">
        <f>VLOOKUP($A413,'Dados StatusInvest'!$A:$AY,column(T413)-$A$5,0)/VLOOKUP($A413,'Dados StatusInvest'!$A:$AY,2,0)*$E413</f>
        <v>13.49409781</v>
      </c>
      <c r="U413" s="44">
        <f>VLOOKUP($A413,'Dados StatusInvest'!$A:$AY,column(U413)-$A$5,0)</f>
        <v>-2.73</v>
      </c>
      <c r="V413" s="45">
        <f>VLOOKUP($A413,'Dados StatusInvest'!$A:$AY,column(V413)-$A$5,0)</f>
        <v>1.55</v>
      </c>
      <c r="W413" s="45">
        <f>VLOOKUP($A413,'Dados StatusInvest'!$A:$AY,column(W413)-$A$5,0)</f>
        <v>111.49</v>
      </c>
      <c r="X413" s="45">
        <f>VLOOKUP($A413,'Dados StatusInvest'!$A:$AY,column(X413)-$A$5,0)</f>
        <v>14.16</v>
      </c>
      <c r="Y413" s="45">
        <f>VLOOKUP($A413,'Dados StatusInvest'!$A:$AY,column(Y413)-$A$5,0)</f>
        <v>25.2</v>
      </c>
      <c r="Z413" s="44">
        <f>VLOOKUP($A413,'Dados StatusInvest'!$A:$AY,column(Z413)-$A$5,0)</f>
        <v>0.13</v>
      </c>
      <c r="AA413" s="44">
        <f>VLOOKUP($A413,'Dados StatusInvest'!$A:$AY,column(AA413)-$A$5,0)</f>
        <v>0.87</v>
      </c>
      <c r="AB413" s="44">
        <f>VLOOKUP($A413,'Dados StatusInvest'!$A:$AY,column(AB413)-$A$5,0)</f>
        <v>0.82</v>
      </c>
      <c r="AC413" s="44">
        <f>VLOOKUP($A413,'Dados StatusInvest'!$A:$AY,column(AC413)-$A$5,0)</f>
        <v>4.74</v>
      </c>
      <c r="AD413" s="45">
        <f>VLOOKUP($A413,'Dados StatusInvest'!$A:$AY,column(AD413)-$A$5,0)</f>
        <v>18.95</v>
      </c>
      <c r="AE413" s="46">
        <f>VLOOKUP($A413,'Dados StatusInvest'!$A:$AY,column(AE413)-$A$5,0)</f>
        <v>22707</v>
      </c>
      <c r="AF413" s="50"/>
    </row>
    <row r="414">
      <c r="A414" s="10" t="s">
        <v>460</v>
      </c>
      <c r="B414" s="39" t="str">
        <f>VLOOKUP(lEFT($A414,4),Setor!$A:$E,3,0)</f>
        <v>Financeiro</v>
      </c>
      <c r="C414" s="39" t="str">
        <f>VLOOKUP(lEFT($A414,4),Setor!$A:$E,4,0)</f>
        <v>Intermediários Financeiros</v>
      </c>
      <c r="D414" s="39" t="str">
        <f>VLOOKUP(lEFT($A414,4),Setor!$A:$E,5,0)</f>
        <v>Bancos</v>
      </c>
      <c r="E414" s="17">
        <f>IFERROR(__xludf.DUMMYFUNCTION("GOOGLEFINANCE(A414)"),70.0)</f>
        <v>70</v>
      </c>
      <c r="F414" s="17">
        <f>IFERROR(__xludf.DUMMYFUNCTION("GOOGLEFINANCE($A414,""high52"")"),76.91)</f>
        <v>76.91</v>
      </c>
      <c r="G414" s="16">
        <f t="shared" si="1"/>
        <v>-0.0898452737</v>
      </c>
      <c r="H414" s="40">
        <f>VLOOKUP($A414,'Dados StatusInvest'!$A:$AY,column(H414)-$A$5,0)*VLOOKUP($A414,'Dados StatusInvest'!$A:$AY,2,0)/$E414/100</f>
        <v>0.04010542857</v>
      </c>
      <c r="I414" s="41">
        <f>VLOOKUP($A414,'Dados StatusInvest'!$A:$AY,column(I414)-$A$5,0)/VLOOKUP($A414,'Dados StatusInvest'!$A:$AY,2,0)*$E414</f>
        <v>4.328690808</v>
      </c>
      <c r="J414" s="41">
        <f>VLOOKUP($A414,'Dados StatusInvest'!$A:$AY,column(J414)-$A$5,0)/VLOOKUP($A414,'Dados StatusInvest'!$A:$AY,2,0)*$E414</f>
        <v>0.8676880223</v>
      </c>
      <c r="K414" s="42">
        <f>VLOOKUP($A414,'Dados StatusInvest'!$A:$AY,column(K414)-$A$5,0)/VLOOKUP($A414,'Dados StatusInvest'!$A:$AY,2,0)*$E414</f>
        <v>0.09749303621</v>
      </c>
      <c r="L414" s="43">
        <f>VLOOKUP($A414,'Dados StatusInvest'!$A:$AY,column(L414)-$A$5,0)/100</f>
        <v>0.7492</v>
      </c>
      <c r="M414" s="47">
        <f>VLOOKUP($A414,'Dados StatusInvest'!$A:$AY,column(M414)-$A$5,0)</f>
        <v>61.22</v>
      </c>
      <c r="N414" s="47">
        <f>VLOOKUP($A414,'Dados StatusInvest'!$A:$AY,column(N414)-$A$5,0)</f>
        <v>35.59</v>
      </c>
      <c r="O414" s="41">
        <f>VLOOKUP($A414,'Dados StatusInvest'!$A:$AY,column(O414)-$A$5,0)/VLOOKUP($A414,'Dados StatusInvest'!$A:$AY,2,0)*$E414</f>
        <v>2.515320334</v>
      </c>
      <c r="P414" s="41">
        <f>VLOOKUP($A414,'Dados StatusInvest'!$A:$AY,column(P414)-$A$5,0)-VLOOKUP($A414,'Dados StatusInvest'!$A:$AY,column(P414)-$A$5-1,0)+O414</f>
        <v>2.515320334</v>
      </c>
      <c r="Q414" s="44">
        <f>VLOOKUP($A414,'Dados StatusInvest'!$A:$AY,column(Q414)-$A$5,0)</f>
        <v>0</v>
      </c>
      <c r="R414" s="44">
        <f>VLOOKUP($A414,'Dados StatusInvest'!$A:$AY,column(R414)-$A$5,0)</f>
        <v>0</v>
      </c>
      <c r="S414" s="41">
        <f>VLOOKUP($A414,'Dados StatusInvest'!$A:$AY,column(S414)-$A$5,0)/VLOOKUP($A414,'Dados StatusInvest'!$A:$AY,2,0)*$E414</f>
        <v>1.540389972</v>
      </c>
      <c r="T414" s="42">
        <f>VLOOKUP($A414,'Dados StatusInvest'!$A:$AY,column(T414)-$A$5,0)/VLOOKUP($A414,'Dados StatusInvest'!$A:$AY,2,0)*$E414</f>
        <v>1.296657382</v>
      </c>
      <c r="U414" s="44">
        <f>VLOOKUP($A414,'Dados StatusInvest'!$A:$AY,column(U414)-$A$5,0)</f>
        <v>-0.11</v>
      </c>
      <c r="V414" s="45">
        <f>VLOOKUP($A414,'Dados StatusInvest'!$A:$AY,column(V414)-$A$5,0)</f>
        <v>0</v>
      </c>
      <c r="W414" s="45">
        <f>VLOOKUP($A414,'Dados StatusInvest'!$A:$AY,column(W414)-$A$5,0)</f>
        <v>20.13</v>
      </c>
      <c r="X414" s="48">
        <f>VLOOKUP($A414,'Dados StatusInvest'!$A:$AY,column(X414)-$A$5,0)</f>
        <v>2.22</v>
      </c>
      <c r="Y414" s="45">
        <f>VLOOKUP($A414,'Dados StatusInvest'!$A:$AY,column(Y414)-$A$5,0)</f>
        <v>0</v>
      </c>
      <c r="Z414" s="44">
        <f>VLOOKUP($A414,'Dados StatusInvest'!$A:$AY,column(Z414)-$A$5,0)</f>
        <v>0.11</v>
      </c>
      <c r="AA414" s="44">
        <f>VLOOKUP($A414,'Dados StatusInvest'!$A:$AY,column(AA414)-$A$5,0)</f>
        <v>0.89</v>
      </c>
      <c r="AB414" s="44">
        <f>VLOOKUP($A414,'Dados StatusInvest'!$A:$AY,column(AB414)-$A$5,0)</f>
        <v>0.06</v>
      </c>
      <c r="AC414" s="44">
        <f>VLOOKUP($A414,'Dados StatusInvest'!$A:$AY,column(AC414)-$A$5,0)</f>
        <v>-9.48</v>
      </c>
      <c r="AD414" s="45">
        <f>VLOOKUP($A414,'Dados StatusInvest'!$A:$AY,column(AD414)-$A$5,0)</f>
        <v>35.51</v>
      </c>
      <c r="AE414" s="46">
        <f>VLOOKUP($A414,'Dados StatusInvest'!$A:$AY,column(AE414)-$A$5,0)</f>
        <v>18616.17</v>
      </c>
      <c r="AF414" s="50"/>
    </row>
    <row r="415">
      <c r="A415" s="10" t="s">
        <v>461</v>
      </c>
      <c r="B415" s="39" t="str">
        <f>VLOOKUP(lEFT($A415,4),Setor!$A:$E,3,0)</f>
        <v>Consumo Cíclico</v>
      </c>
      <c r="C415" s="39" t="str">
        <f>VLOOKUP(lEFT($A415,4),Setor!$A:$E,4,0)</f>
        <v>Viagens e Lazer</v>
      </c>
      <c r="D415" s="39" t="str">
        <f>VLOOKUP(lEFT($A415,4),Setor!$A:$E,5,0)</f>
        <v>Brinquedos e Jogos</v>
      </c>
      <c r="E415" s="17">
        <f>IFERROR(__xludf.DUMMYFUNCTION("GOOGLEFINANCE(A415)"),71.0)</f>
        <v>71</v>
      </c>
      <c r="F415" s="17">
        <f>IFERROR(__xludf.DUMMYFUNCTION("GOOGLEFINANCE($A415,""high52"")"),80.8)</f>
        <v>80.8</v>
      </c>
      <c r="G415" s="16">
        <f t="shared" si="1"/>
        <v>-0.1212871287</v>
      </c>
      <c r="H415" s="40">
        <f>VLOOKUP($A415,'Dados StatusInvest'!$A:$AY,column(H415)-$A$5,0)*VLOOKUP($A415,'Dados StatusInvest'!$A:$AY,2,0)/$E415/100</f>
        <v>0</v>
      </c>
      <c r="I415" s="41">
        <f>VLOOKUP($A415,'Dados StatusInvest'!$A:$AY,column(I415)-$A$5,0)/VLOOKUP($A415,'Dados StatusInvest'!$A:$AY,2,0)*$E415</f>
        <v>-3.02</v>
      </c>
      <c r="J415" s="41">
        <f>VLOOKUP($A415,'Dados StatusInvest'!$A:$AY,column(J415)-$A$5,0)/VLOOKUP($A415,'Dados StatusInvest'!$A:$AY,2,0)*$E415</f>
        <v>-0.11</v>
      </c>
      <c r="K415" s="42">
        <f>VLOOKUP($A415,'Dados StatusInvest'!$A:$AY,column(K415)-$A$5,0)/VLOOKUP($A415,'Dados StatusInvest'!$A:$AY,2,0)*$E415</f>
        <v>0.23</v>
      </c>
      <c r="L415" s="43">
        <f>VLOOKUP($A415,'Dados StatusInvest'!$A:$AY,column(L415)-$A$5,0)/100</f>
        <v>0.4954</v>
      </c>
      <c r="M415" s="44">
        <f>VLOOKUP($A415,'Dados StatusInvest'!$A:$AY,column(M415)-$A$5,0)</f>
        <v>9.67</v>
      </c>
      <c r="N415" s="44">
        <f>VLOOKUP($A415,'Dados StatusInvest'!$A:$AY,column(N415)-$A$5,0)</f>
        <v>-12.1</v>
      </c>
      <c r="O415" s="41">
        <f>VLOOKUP($A415,'Dados StatusInvest'!$A:$AY,column(O415)-$A$5,0)/VLOOKUP($A415,'Dados StatusInvest'!$A:$AY,2,0)*$E415</f>
        <v>3.78</v>
      </c>
      <c r="P415" s="41">
        <f>VLOOKUP($A415,'Dados StatusInvest'!$A:$AY,column(P415)-$A$5,0)-VLOOKUP($A415,'Dados StatusInvest'!$A:$AY,column(P415)-$A$5-1,0)+O415</f>
        <v>7.16</v>
      </c>
      <c r="Q415" s="44">
        <f>VLOOKUP($A415,'Dados StatusInvest'!$A:$AY,column(Q415)-$A$5,0)</f>
        <v>4.32</v>
      </c>
      <c r="R415" s="44">
        <f>VLOOKUP($A415,'Dados StatusInvest'!$A:$AY,column(R415)-$A$5,0)</f>
        <v>0</v>
      </c>
      <c r="S415" s="41">
        <f>VLOOKUP($A415,'Dados StatusInvest'!$A:$AY,column(S415)-$A$5,0)/VLOOKUP($A415,'Dados StatusInvest'!$A:$AY,2,0)*$E415</f>
        <v>0.37</v>
      </c>
      <c r="T415" s="42">
        <f>VLOOKUP($A415,'Dados StatusInvest'!$A:$AY,column(T415)-$A$5,0)/VLOOKUP($A415,'Dados StatusInvest'!$A:$AY,2,0)*$E415</f>
        <v>-0.12</v>
      </c>
      <c r="U415" s="44">
        <f>VLOOKUP($A415,'Dados StatusInvest'!$A:$AY,column(U415)-$A$5,0)</f>
        <v>-0.49</v>
      </c>
      <c r="V415" s="45">
        <f>VLOOKUP($A415,'Dados StatusInvest'!$A:$AY,column(V415)-$A$5,0)</f>
        <v>0.21</v>
      </c>
      <c r="W415" s="45">
        <f>VLOOKUP($A415,'Dados StatusInvest'!$A:$AY,column(W415)-$A$5,0)</f>
        <v>-3.72</v>
      </c>
      <c r="X415" s="45">
        <f>VLOOKUP($A415,'Dados StatusInvest'!$A:$AY,column(X415)-$A$5,0)</f>
        <v>-7.76</v>
      </c>
      <c r="Y415" s="45">
        <f>VLOOKUP($A415,'Dados StatusInvest'!$A:$AY,column(Y415)-$A$5,0)</f>
        <v>-3.47</v>
      </c>
      <c r="Z415" s="44">
        <f>VLOOKUP($A415,'Dados StatusInvest'!$A:$AY,column(Z415)-$A$5,0)</f>
        <v>-2.09</v>
      </c>
      <c r="AA415" s="44">
        <f>VLOOKUP($A415,'Dados StatusInvest'!$A:$AY,column(AA415)-$A$5,0)</f>
        <v>3.09</v>
      </c>
      <c r="AB415" s="44">
        <f>VLOOKUP($A415,'Dados StatusInvest'!$A:$AY,column(AB415)-$A$5,0)</f>
        <v>0.64</v>
      </c>
      <c r="AC415" s="44">
        <f>VLOOKUP($A415,'Dados StatusInvest'!$A:$AY,column(AC415)-$A$5,0)</f>
        <v>-3.9</v>
      </c>
      <c r="AD415" s="45">
        <f>VLOOKUP($A415,'Dados StatusInvest'!$A:$AY,column(AD415)-$A$5,0)</f>
        <v>0</v>
      </c>
      <c r="AE415" s="46">
        <f>VLOOKUP($A415,'Dados StatusInvest'!$A:$AY,column(AE415)-$A$5,0)</f>
        <v>26595.8</v>
      </c>
      <c r="AF415" s="49"/>
    </row>
    <row r="416">
      <c r="A416" s="10" t="s">
        <v>462</v>
      </c>
      <c r="B416" s="39" t="str">
        <f>VLOOKUP(lEFT($A416,4),Setor!$A:$E,3,0)</f>
        <v>Materiais Básicos</v>
      </c>
      <c r="C416" s="39" t="str">
        <f>VLOOKUP(lEFT($A416,4),Setor!$A:$E,4,0)</f>
        <v>Químicos</v>
      </c>
      <c r="D416" s="39" t="str">
        <f>VLOOKUP(lEFT($A416,4),Setor!$A:$E,5,0)</f>
        <v>Fertilizantes e Defensivos</v>
      </c>
      <c r="E416" s="17">
        <f>IFERROR(__xludf.DUMMYFUNCTION("GOOGLEFINANCE(A416)"),253.0)</f>
        <v>253</v>
      </c>
      <c r="F416" s="17">
        <f>IFERROR(__xludf.DUMMYFUNCTION("GOOGLEFINANCE($A416,""high52"")"),395.0)</f>
        <v>395</v>
      </c>
      <c r="G416" s="16">
        <f t="shared" si="1"/>
        <v>-0.3594936709</v>
      </c>
      <c r="H416" s="40">
        <f>VLOOKUP($A416,'Dados StatusInvest'!$A:$AY,column(H416)-$A$5,0)*VLOOKUP($A416,'Dados StatusInvest'!$A:$AY,2,0)/$E416/100</f>
        <v>0</v>
      </c>
      <c r="I416" s="41">
        <f>VLOOKUP($A416,'Dados StatusInvest'!$A:$AY,column(I416)-$A$5,0)/VLOOKUP($A416,'Dados StatusInvest'!$A:$AY,2,0)*$E416</f>
        <v>8.53</v>
      </c>
      <c r="J416" s="41">
        <f>VLOOKUP($A416,'Dados StatusInvest'!$A:$AY,column(J416)-$A$5,0)/VLOOKUP($A416,'Dados StatusInvest'!$A:$AY,2,0)*$E416</f>
        <v>1.73</v>
      </c>
      <c r="K416" s="42">
        <f>VLOOKUP($A416,'Dados StatusInvest'!$A:$AY,column(K416)-$A$5,0)/VLOOKUP($A416,'Dados StatusInvest'!$A:$AY,2,0)*$E416</f>
        <v>0.45</v>
      </c>
      <c r="L416" s="43">
        <f>VLOOKUP($A416,'Dados StatusInvest'!$A:$AY,column(L416)-$A$5,0)/100</f>
        <v>0.1572</v>
      </c>
      <c r="M416" s="47">
        <f>VLOOKUP($A416,'Dados StatusInvest'!$A:$AY,column(M416)-$A$5,0)</f>
        <v>6.91</v>
      </c>
      <c r="N416" s="47">
        <f>VLOOKUP($A416,'Dados StatusInvest'!$A:$AY,column(N416)-$A$5,0)</f>
        <v>3.76</v>
      </c>
      <c r="O416" s="41">
        <f>VLOOKUP($A416,'Dados StatusInvest'!$A:$AY,column(O416)-$A$5,0)/VLOOKUP($A416,'Dados StatusInvest'!$A:$AY,2,0)*$E416</f>
        <v>4.65</v>
      </c>
      <c r="P416" s="41">
        <f>VLOOKUP($A416,'Dados StatusInvest'!$A:$AY,column(P416)-$A$5,0)-VLOOKUP($A416,'Dados StatusInvest'!$A:$AY,column(P416)-$A$5-1,0)+O416</f>
        <v>5.61</v>
      </c>
      <c r="Q416" s="44">
        <f>VLOOKUP($A416,'Dados StatusInvest'!$A:$AY,column(Q416)-$A$5,0)</f>
        <v>0.96</v>
      </c>
      <c r="R416" s="44">
        <f>VLOOKUP($A416,'Dados StatusInvest'!$A:$AY,column(R416)-$A$5,0)</f>
        <v>0.36</v>
      </c>
      <c r="S416" s="41">
        <f>VLOOKUP($A416,'Dados StatusInvest'!$A:$AY,column(S416)-$A$5,0)/VLOOKUP($A416,'Dados StatusInvest'!$A:$AY,2,0)*$E416</f>
        <v>0.32</v>
      </c>
      <c r="T416" s="42">
        <f>VLOOKUP($A416,'Dados StatusInvest'!$A:$AY,column(T416)-$A$5,0)/VLOOKUP($A416,'Dados StatusInvest'!$A:$AY,2,0)*$E416</f>
        <v>1.29</v>
      </c>
      <c r="U416" s="44">
        <f>VLOOKUP($A416,'Dados StatusInvest'!$A:$AY,column(U416)-$A$5,0)</f>
        <v>-1.09</v>
      </c>
      <c r="V416" s="45">
        <f>VLOOKUP($A416,'Dados StatusInvest'!$A:$AY,column(V416)-$A$5,0)</f>
        <v>2.45</v>
      </c>
      <c r="W416" s="48">
        <f>VLOOKUP($A416,'Dados StatusInvest'!$A:$AY,column(W416)-$A$5,0)</f>
        <v>20.31</v>
      </c>
      <c r="X416" s="45">
        <f>VLOOKUP($A416,'Dados StatusInvest'!$A:$AY,column(X416)-$A$5,0)</f>
        <v>5.24</v>
      </c>
      <c r="Y416" s="45">
        <f>VLOOKUP($A416,'Dados StatusInvest'!$A:$AY,column(Y416)-$A$5,0)</f>
        <v>23.12</v>
      </c>
      <c r="Z416" s="44">
        <f>VLOOKUP($A416,'Dados StatusInvest'!$A:$AY,column(Z416)-$A$5,0)</f>
        <v>0.26</v>
      </c>
      <c r="AA416" s="44">
        <f>VLOOKUP($A416,'Dados StatusInvest'!$A:$AY,column(AA416)-$A$5,0)</f>
        <v>0.74</v>
      </c>
      <c r="AB416" s="44">
        <f>VLOOKUP($A416,'Dados StatusInvest'!$A:$AY,column(AB416)-$A$5,0)</f>
        <v>1.39</v>
      </c>
      <c r="AC416" s="44">
        <f>VLOOKUP($A416,'Dados StatusInvest'!$A:$AY,column(AC416)-$A$5,0)</f>
        <v>16.61</v>
      </c>
      <c r="AD416" s="45">
        <f>VLOOKUP($A416,'Dados StatusInvest'!$A:$AY,column(AD416)-$A$5,0)</f>
        <v>0</v>
      </c>
      <c r="AE416" s="46">
        <f>VLOOKUP($A416,'Dados StatusInvest'!$A:$AY,column(AE416)-$A$5,0)</f>
        <v>25300</v>
      </c>
      <c r="AF416" s="49"/>
    </row>
    <row r="417">
      <c r="A417" s="10" t="s">
        <v>463</v>
      </c>
      <c r="B417" s="39" t="str">
        <f>VLOOKUP(lEFT($A417,4),Setor!$A:$E,3,0)</f>
        <v>Utilidade Pública</v>
      </c>
      <c r="C417" s="39" t="str">
        <f>VLOOKUP(lEFT($A417,4),Setor!$A:$E,4,0)</f>
        <v>Energia Elétrica</v>
      </c>
      <c r="D417" s="39" t="str">
        <f>VLOOKUP(lEFT($A417,4),Setor!$A:$E,5,0)</f>
        <v>Energia Elétrica</v>
      </c>
      <c r="E417" s="17">
        <f>IFERROR(__xludf.DUMMYFUNCTION("GOOGLEFINANCE(A417)"),17.26)</f>
        <v>17.26</v>
      </c>
      <c r="F417" s="17">
        <f>IFERROR(__xludf.DUMMYFUNCTION("GOOGLEFINANCE($A417,""high52"")"),55.0)</f>
        <v>55</v>
      </c>
      <c r="G417" s="16">
        <f t="shared" si="1"/>
        <v>-0.6861818182</v>
      </c>
      <c r="H417" s="40">
        <f>VLOOKUP($A417,'Dados StatusInvest'!$A:$AY,column(H417)-$A$5,0)*VLOOKUP($A417,'Dados StatusInvest'!$A:$AY,2,0)/$E417/100</f>
        <v>0.1166</v>
      </c>
      <c r="I417" s="41">
        <f>VLOOKUP($A417,'Dados StatusInvest'!$A:$AY,column(I417)-$A$5,0)/VLOOKUP($A417,'Dados StatusInvest'!$A:$AY,2,0)*$E417</f>
        <v>6.58</v>
      </c>
      <c r="J417" s="41">
        <f>VLOOKUP($A417,'Dados StatusInvest'!$A:$AY,column(J417)-$A$5,0)/VLOOKUP($A417,'Dados StatusInvest'!$A:$AY,2,0)*$E417</f>
        <v>2.17</v>
      </c>
      <c r="K417" s="42">
        <f>VLOOKUP($A417,'Dados StatusInvest'!$A:$AY,column(K417)-$A$5,0)/VLOOKUP($A417,'Dados StatusInvest'!$A:$AY,2,0)*$E417</f>
        <v>0.6</v>
      </c>
      <c r="L417" s="43">
        <f>VLOOKUP($A417,'Dados StatusInvest'!$A:$AY,column(L417)-$A$5,0)/100</f>
        <v>0.2315</v>
      </c>
      <c r="M417" s="44">
        <f>VLOOKUP($A417,'Dados StatusInvest'!$A:$AY,column(M417)-$A$5,0)</f>
        <v>17.98</v>
      </c>
      <c r="N417" s="44">
        <f>VLOOKUP($A417,'Dados StatusInvest'!$A:$AY,column(N417)-$A$5,0)</f>
        <v>13.97</v>
      </c>
      <c r="O417" s="41">
        <f>VLOOKUP($A417,'Dados StatusInvest'!$A:$AY,column(O417)-$A$5,0)/VLOOKUP($A417,'Dados StatusInvest'!$A:$AY,2,0)*$E417</f>
        <v>5.12</v>
      </c>
      <c r="P417" s="41">
        <f>VLOOKUP($A417,'Dados StatusInvest'!$A:$AY,column(P417)-$A$5,0)-VLOOKUP($A417,'Dados StatusInvest'!$A:$AY,column(P417)-$A$5-1,0)+O417</f>
        <v>7.71</v>
      </c>
      <c r="Q417" s="44">
        <f>VLOOKUP($A417,'Dados StatusInvest'!$A:$AY,column(Q417)-$A$5,0)</f>
        <v>2.69</v>
      </c>
      <c r="R417" s="44">
        <f>VLOOKUP($A417,'Dados StatusInvest'!$A:$AY,column(R417)-$A$5,0)</f>
        <v>1.14</v>
      </c>
      <c r="S417" s="41">
        <f>VLOOKUP($A417,'Dados StatusInvest'!$A:$AY,column(S417)-$A$5,0)/VLOOKUP($A417,'Dados StatusInvest'!$A:$AY,2,0)*$E417</f>
        <v>0.92</v>
      </c>
      <c r="T417" s="42">
        <f>VLOOKUP($A417,'Dados StatusInvest'!$A:$AY,column(T417)-$A$5,0)/VLOOKUP($A417,'Dados StatusInvest'!$A:$AY,2,0)*$E417</f>
        <v>11.38</v>
      </c>
      <c r="U417" s="47">
        <f>VLOOKUP($A417,'Dados StatusInvest'!$A:$AY,column(U417)-$A$5,0)</f>
        <v>-0.78</v>
      </c>
      <c r="V417" s="45">
        <f>VLOOKUP($A417,'Dados StatusInvest'!$A:$AY,column(V417)-$A$5,0)</f>
        <v>1.29</v>
      </c>
      <c r="W417" s="48">
        <f>VLOOKUP($A417,'Dados StatusInvest'!$A:$AY,column(W417)-$A$5,0)</f>
        <v>33.04</v>
      </c>
      <c r="X417" s="45">
        <f>VLOOKUP($A417,'Dados StatusInvest'!$A:$AY,column(X417)-$A$5,0)</f>
        <v>9.09</v>
      </c>
      <c r="Y417" s="45">
        <f>VLOOKUP($A417,'Dados StatusInvest'!$A:$AY,column(Y417)-$A$5,0)</f>
        <v>15.28</v>
      </c>
      <c r="Z417" s="44">
        <f>VLOOKUP($A417,'Dados StatusInvest'!$A:$AY,column(Z417)-$A$5,0)</f>
        <v>0.28</v>
      </c>
      <c r="AA417" s="44">
        <f>VLOOKUP($A417,'Dados StatusInvest'!$A:$AY,column(AA417)-$A$5,0)</f>
        <v>0.72</v>
      </c>
      <c r="AB417" s="44">
        <f>VLOOKUP($A417,'Dados StatusInvest'!$A:$AY,column(AB417)-$A$5,0)</f>
        <v>0.65</v>
      </c>
      <c r="AC417" s="44">
        <f>VLOOKUP($A417,'Dados StatusInvest'!$A:$AY,column(AC417)-$A$5,0)</f>
        <v>9.71</v>
      </c>
      <c r="AD417" s="45">
        <f>VLOOKUP($A417,'Dados StatusInvest'!$A:$AY,column(AD417)-$A$5,0)</f>
        <v>18.81</v>
      </c>
      <c r="AE417" s="46">
        <f>VLOOKUP($A417,'Dados StatusInvest'!$A:$AY,column(AE417)-$A$5,0)</f>
        <v>5934.33</v>
      </c>
      <c r="AF417" s="49"/>
    </row>
    <row r="418">
      <c r="A418" s="10" t="s">
        <v>464</v>
      </c>
      <c r="B418" s="39" t="str">
        <f>VLOOKUP(lEFT($A418,4),Setor!$A:$E,3,0)</f>
        <v>Bens Industriais</v>
      </c>
      <c r="C418" s="39" t="str">
        <f>VLOOKUP(lEFT($A418,4),Setor!$A:$E,4,0)</f>
        <v>Construção e Engenharia</v>
      </c>
      <c r="D418" s="39" t="str">
        <f>VLOOKUP(lEFT($A418,4),Setor!$A:$E,5,0)</f>
        <v>Engenharia Consultiva</v>
      </c>
      <c r="E418" s="17">
        <f>IFERROR(__xludf.DUMMYFUNCTION("GOOGLEFINANCE(A418)"),37.4)</f>
        <v>37.4</v>
      </c>
      <c r="F418" s="17">
        <f>IFERROR(__xludf.DUMMYFUNCTION("GOOGLEFINANCE($A418,""high52"")"),58.0)</f>
        <v>58</v>
      </c>
      <c r="G418" s="16">
        <f t="shared" si="1"/>
        <v>-0.3551724138</v>
      </c>
      <c r="H418" s="40">
        <f>VLOOKUP($A418,'Dados StatusInvest'!$A:$AY,column(H418)-$A$5,0)*VLOOKUP($A418,'Dados StatusInvest'!$A:$AY,2,0)/$E418/100</f>
        <v>0.2277</v>
      </c>
      <c r="I418" s="41">
        <f>VLOOKUP($A418,'Dados StatusInvest'!$A:$AY,column(I418)-$A$5,0)/VLOOKUP($A418,'Dados StatusInvest'!$A:$AY,2,0)*$E418</f>
        <v>21.97</v>
      </c>
      <c r="J418" s="41">
        <f>VLOOKUP($A418,'Dados StatusInvest'!$A:$AY,column(J418)-$A$5,0)/VLOOKUP($A418,'Dados StatusInvest'!$A:$AY,2,0)*$E418</f>
        <v>1.67</v>
      </c>
      <c r="K418" s="42">
        <f>VLOOKUP($A418,'Dados StatusInvest'!$A:$AY,column(K418)-$A$5,0)/VLOOKUP($A418,'Dados StatusInvest'!$A:$AY,2,0)*$E418</f>
        <v>1.16</v>
      </c>
      <c r="L418" s="43">
        <f>VLOOKUP($A418,'Dados StatusInvest'!$A:$AY,column(L418)-$A$5,0)/100</f>
        <v>0.3014</v>
      </c>
      <c r="M418" s="44">
        <f>VLOOKUP($A418,'Dados StatusInvest'!$A:$AY,column(M418)-$A$5,0)</f>
        <v>5.71</v>
      </c>
      <c r="N418" s="44">
        <f>VLOOKUP($A418,'Dados StatusInvest'!$A:$AY,column(N418)-$A$5,0)</f>
        <v>6.15</v>
      </c>
      <c r="O418" s="41">
        <f>VLOOKUP($A418,'Dados StatusInvest'!$A:$AY,column(O418)-$A$5,0)/VLOOKUP($A418,'Dados StatusInvest'!$A:$AY,2,0)*$E418</f>
        <v>23.66</v>
      </c>
      <c r="P418" s="41">
        <f>VLOOKUP($A418,'Dados StatusInvest'!$A:$AY,column(P418)-$A$5,0)-VLOOKUP($A418,'Dados StatusInvest'!$A:$AY,column(P418)-$A$5-1,0)+O418</f>
        <v>18.82</v>
      </c>
      <c r="Q418" s="44">
        <f>VLOOKUP($A418,'Dados StatusInvest'!$A:$AY,column(Q418)-$A$5,0)</f>
        <v>-5.45</v>
      </c>
      <c r="R418" s="44">
        <f>VLOOKUP($A418,'Dados StatusInvest'!$A:$AY,column(R418)-$A$5,0)</f>
        <v>-0.39</v>
      </c>
      <c r="S418" s="41">
        <f>VLOOKUP($A418,'Dados StatusInvest'!$A:$AY,column(S418)-$A$5,0)/VLOOKUP($A418,'Dados StatusInvest'!$A:$AY,2,0)*$E418</f>
        <v>1.35</v>
      </c>
      <c r="T418" s="42">
        <f>VLOOKUP($A418,'Dados StatusInvest'!$A:$AY,column(T418)-$A$5,0)/VLOOKUP($A418,'Dados StatusInvest'!$A:$AY,2,0)*$E418</f>
        <v>3.84</v>
      </c>
      <c r="U418" s="44">
        <f>VLOOKUP($A418,'Dados StatusInvest'!$A:$AY,column(U418)-$A$5,0)</f>
        <v>-2.22</v>
      </c>
      <c r="V418" s="45">
        <f>VLOOKUP($A418,'Dados StatusInvest'!$A:$AY,column(V418)-$A$5,0)</f>
        <v>2.74</v>
      </c>
      <c r="W418" s="45">
        <f>VLOOKUP($A418,'Dados StatusInvest'!$A:$AY,column(W418)-$A$5,0)</f>
        <v>7.62</v>
      </c>
      <c r="X418" s="45">
        <f>VLOOKUP($A418,'Dados StatusInvest'!$A:$AY,column(X418)-$A$5,0)</f>
        <v>5.3</v>
      </c>
      <c r="Y418" s="45">
        <f>VLOOKUP($A418,'Dados StatusInvest'!$A:$AY,column(Y418)-$A$5,0)</f>
        <v>3.07</v>
      </c>
      <c r="Z418" s="44">
        <f>VLOOKUP($A418,'Dados StatusInvest'!$A:$AY,column(Z418)-$A$5,0)</f>
        <v>0.69</v>
      </c>
      <c r="AA418" s="44">
        <f>VLOOKUP($A418,'Dados StatusInvest'!$A:$AY,column(AA418)-$A$5,0)</f>
        <v>0.3</v>
      </c>
      <c r="AB418" s="44">
        <f>VLOOKUP($A418,'Dados StatusInvest'!$A:$AY,column(AB418)-$A$5,0)</f>
        <v>0.86</v>
      </c>
      <c r="AC418" s="44">
        <f>VLOOKUP($A418,'Dados StatusInvest'!$A:$AY,column(AC418)-$A$5,0)</f>
        <v>-10.4</v>
      </c>
      <c r="AD418" s="45">
        <f>VLOOKUP($A418,'Dados StatusInvest'!$A:$AY,column(AD418)-$A$5,0)</f>
        <v>0</v>
      </c>
      <c r="AE418" s="46">
        <f>VLOOKUP($A418,'Dados StatusInvest'!$A:$AY,column(AE418)-$A$5,0)</f>
        <v>21502.4</v>
      </c>
      <c r="AF418" s="18"/>
    </row>
    <row r="419">
      <c r="A419" s="10" t="s">
        <v>465</v>
      </c>
      <c r="B419" s="39" t="str">
        <f>VLOOKUP(lEFT($A419,4),Setor!$A:$E,3,0)</f>
        <v>Financeiro</v>
      </c>
      <c r="C419" s="39" t="str">
        <f>VLOOKUP(lEFT($A419,4),Setor!$A:$E,4,0)</f>
        <v>Intermediários Financeiros</v>
      </c>
      <c r="D419" s="39" t="str">
        <f>VLOOKUP(lEFT($A419,4),Setor!$A:$E,5,0)</f>
        <v>Bancos</v>
      </c>
      <c r="E419" s="17">
        <f>IFERROR(__xludf.DUMMYFUNCTION("GOOGLEFINANCE(A419)"),23.48)</f>
        <v>23.48</v>
      </c>
      <c r="F419" s="17">
        <f>IFERROR(__xludf.DUMMYFUNCTION("GOOGLEFINANCE($A419,""high52"")"),27.3)</f>
        <v>27.3</v>
      </c>
      <c r="G419" s="16">
        <f t="shared" si="1"/>
        <v>-0.1399267399</v>
      </c>
      <c r="H419" s="40">
        <f>VLOOKUP($A419,'Dados StatusInvest'!$A:$AY,column(H419)-$A$5,0)*VLOOKUP($A419,'Dados StatusInvest'!$A:$AY,2,0)/$E419/100</f>
        <v>0.05305579216</v>
      </c>
      <c r="I419" s="41">
        <f>VLOOKUP($A419,'Dados StatusInvest'!$A:$AY,column(I419)-$A$5,0)/VLOOKUP($A419,'Dados StatusInvest'!$A:$AY,2,0)*$E419</f>
        <v>4.509403974</v>
      </c>
      <c r="J419" s="41">
        <f>VLOOKUP($A419,'Dados StatusInvest'!$A:$AY,column(J419)-$A$5,0)/VLOOKUP($A419,'Dados StatusInvest'!$A:$AY,2,0)*$E419</f>
        <v>0.6738189845</v>
      </c>
      <c r="K419" s="42">
        <f>VLOOKUP($A419,'Dados StatusInvest'!$A:$AY,column(K419)-$A$5,0)/VLOOKUP($A419,'Dados StatusInvest'!$A:$AY,2,0)*$E419</f>
        <v>0.05183222958</v>
      </c>
      <c r="L419" s="43">
        <f>VLOOKUP($A419,'Dados StatusInvest'!$A:$AY,column(L419)-$A$5,0)/100</f>
        <v>0.7535</v>
      </c>
      <c r="M419" s="44">
        <f>VLOOKUP($A419,'Dados StatusInvest'!$A:$AY,column(M419)-$A$5,0)</f>
        <v>18.05</v>
      </c>
      <c r="N419" s="44">
        <f>VLOOKUP($A419,'Dados StatusInvest'!$A:$AY,column(N419)-$A$5,0)</f>
        <v>12.49</v>
      </c>
      <c r="O419" s="41">
        <f>VLOOKUP($A419,'Dados StatusInvest'!$A:$AY,column(O419)-$A$5,0)/VLOOKUP($A419,'Dados StatusInvest'!$A:$AY,2,0)*$E419</f>
        <v>3.120300221</v>
      </c>
      <c r="P419" s="41">
        <f>VLOOKUP($A419,'Dados StatusInvest'!$A:$AY,column(P419)-$A$5,0)-VLOOKUP($A419,'Dados StatusInvest'!$A:$AY,column(P419)-$A$5-1,0)+O419</f>
        <v>3.740300221</v>
      </c>
      <c r="Q419" s="44">
        <f>VLOOKUP($A419,'Dados StatusInvest'!$A:$AY,column(Q419)-$A$5,0)</f>
        <v>0</v>
      </c>
      <c r="R419" s="44">
        <f>VLOOKUP($A419,'Dados StatusInvest'!$A:$AY,column(R419)-$A$5,0)</f>
        <v>0</v>
      </c>
      <c r="S419" s="41">
        <f>VLOOKUP($A419,'Dados StatusInvest'!$A:$AY,column(S419)-$A$5,0)/VLOOKUP($A419,'Dados StatusInvest'!$A:$AY,2,0)*$E419</f>
        <v>0.5597880795</v>
      </c>
      <c r="T419" s="42">
        <f>VLOOKUP($A419,'Dados StatusInvest'!$A:$AY,column(T419)-$A$5,0)/VLOOKUP($A419,'Dados StatusInvest'!$A:$AY,2,0)*$E419</f>
        <v>-0.3006269316</v>
      </c>
      <c r="U419" s="44">
        <f>VLOOKUP($A419,'Dados StatusInvest'!$A:$AY,column(U419)-$A$5,0)</f>
        <v>-0.1</v>
      </c>
      <c r="V419" s="45">
        <f>VLOOKUP($A419,'Dados StatusInvest'!$A:$AY,column(V419)-$A$5,0)</f>
        <v>0.76</v>
      </c>
      <c r="W419" s="45">
        <f>VLOOKUP($A419,'Dados StatusInvest'!$A:$AY,column(W419)-$A$5,0)</f>
        <v>14.87</v>
      </c>
      <c r="X419" s="45">
        <f>VLOOKUP($A419,'Dados StatusInvest'!$A:$AY,column(X419)-$A$5,0)</f>
        <v>1.1</v>
      </c>
      <c r="Y419" s="45">
        <f>VLOOKUP($A419,'Dados StatusInvest'!$A:$AY,column(Y419)-$A$5,0)</f>
        <v>0</v>
      </c>
      <c r="Z419" s="44">
        <f>VLOOKUP($A419,'Dados StatusInvest'!$A:$AY,column(Z419)-$A$5,0)</f>
        <v>0.07</v>
      </c>
      <c r="AA419" s="44">
        <f>VLOOKUP($A419,'Dados StatusInvest'!$A:$AY,column(AA419)-$A$5,0)</f>
        <v>0.93</v>
      </c>
      <c r="AB419" s="44">
        <f>VLOOKUP($A419,'Dados StatusInvest'!$A:$AY,column(AB419)-$A$5,0)</f>
        <v>0.09</v>
      </c>
      <c r="AC419" s="44">
        <f>VLOOKUP($A419,'Dados StatusInvest'!$A:$AY,column(AC419)-$A$5,0)</f>
        <v>0.74</v>
      </c>
      <c r="AD419" s="45">
        <f>VLOOKUP($A419,'Dados StatusInvest'!$A:$AY,column(AD419)-$A$5,0)</f>
        <v>24</v>
      </c>
      <c r="AE419" s="46">
        <f>VLOOKUP($A419,'Dados StatusInvest'!$A:$AY,column(AE419)-$A$5,0)</f>
        <v>18516.89</v>
      </c>
      <c r="AF419" s="51"/>
    </row>
    <row r="420">
      <c r="A420" s="10" t="s">
        <v>466</v>
      </c>
      <c r="B420" s="39" t="str">
        <f>VLOOKUP(lEFT($A420,4),Setor!$A:$E,3,0)</f>
        <v>Utilidade Pública</v>
      </c>
      <c r="C420" s="39" t="str">
        <f>VLOOKUP(lEFT($A420,4),Setor!$A:$E,4,0)</f>
        <v>Energia Elétrica</v>
      </c>
      <c r="D420" s="39" t="str">
        <f>VLOOKUP(lEFT($A420,4),Setor!$A:$E,5,0)</f>
        <v>Energia Elétrica</v>
      </c>
      <c r="E420" s="17">
        <f>IFERROR(__xludf.DUMMYFUNCTION("GOOGLEFINANCE(A420)"),28.34)</f>
        <v>28.34</v>
      </c>
      <c r="F420" s="17">
        <f>IFERROR(__xludf.DUMMYFUNCTION("GOOGLEFINANCE($A420,""high52"")"),45.0)</f>
        <v>45</v>
      </c>
      <c r="G420" s="16">
        <f t="shared" si="1"/>
        <v>-0.3702222222</v>
      </c>
      <c r="H420" s="40">
        <f>VLOOKUP($A420,'Dados StatusInvest'!$A:$AY,column(H420)-$A$5,0)*VLOOKUP($A420,'Dados StatusInvest'!$A:$AY,2,0)/$E420/100</f>
        <v>0.1046</v>
      </c>
      <c r="I420" s="41">
        <f>VLOOKUP($A420,'Dados StatusInvest'!$A:$AY,column(I420)-$A$5,0)/VLOOKUP($A420,'Dados StatusInvest'!$A:$AY,2,0)*$E420</f>
        <v>4.81</v>
      </c>
      <c r="J420" s="41">
        <f>VLOOKUP($A420,'Dados StatusInvest'!$A:$AY,column(J420)-$A$5,0)/VLOOKUP($A420,'Dados StatusInvest'!$A:$AY,2,0)*$E420</f>
        <v>1.18</v>
      </c>
      <c r="K420" s="42">
        <f>VLOOKUP($A420,'Dados StatusInvest'!$A:$AY,column(K420)-$A$5,0)/VLOOKUP($A420,'Dados StatusInvest'!$A:$AY,2,0)*$E420</f>
        <v>0.18</v>
      </c>
      <c r="L420" s="43">
        <f>VLOOKUP($A420,'Dados StatusInvest'!$A:$AY,column(L420)-$A$5,0)/100</f>
        <v>0.1746</v>
      </c>
      <c r="M420" s="44">
        <f>VLOOKUP($A420,'Dados StatusInvest'!$A:$AY,column(M420)-$A$5,0)</f>
        <v>10.98</v>
      </c>
      <c r="N420" s="44">
        <f>VLOOKUP($A420,'Dados StatusInvest'!$A:$AY,column(N420)-$A$5,0)</f>
        <v>5.63</v>
      </c>
      <c r="O420" s="41">
        <f>VLOOKUP($A420,'Dados StatusInvest'!$A:$AY,column(O420)-$A$5,0)/VLOOKUP($A420,'Dados StatusInvest'!$A:$AY,2,0)*$E420</f>
        <v>2.47</v>
      </c>
      <c r="P420" s="41">
        <f>VLOOKUP($A420,'Dados StatusInvest'!$A:$AY,column(P420)-$A$5,0)-VLOOKUP($A420,'Dados StatusInvest'!$A:$AY,column(P420)-$A$5-1,0)+O420</f>
        <v>15.82</v>
      </c>
      <c r="Q420" s="44">
        <f>VLOOKUP($A420,'Dados StatusInvest'!$A:$AY,column(Q420)-$A$5,0)</f>
        <v>5.84</v>
      </c>
      <c r="R420" s="44">
        <f>VLOOKUP($A420,'Dados StatusInvest'!$A:$AY,column(R420)-$A$5,0)</f>
        <v>2.78</v>
      </c>
      <c r="S420" s="41">
        <f>VLOOKUP($A420,'Dados StatusInvest'!$A:$AY,column(S420)-$A$5,0)/VLOOKUP($A420,'Dados StatusInvest'!$A:$AY,2,0)*$E420</f>
        <v>0.27</v>
      </c>
      <c r="T420" s="42">
        <f>VLOOKUP($A420,'Dados StatusInvest'!$A:$AY,column(T420)-$A$5,0)/VLOOKUP($A420,'Dados StatusInvest'!$A:$AY,2,0)*$E420</f>
        <v>4.23</v>
      </c>
      <c r="U420" s="44">
        <f>VLOOKUP($A420,'Dados StatusInvest'!$A:$AY,column(U420)-$A$5,0)</f>
        <v>-0.24</v>
      </c>
      <c r="V420" s="45">
        <f>VLOOKUP($A420,'Dados StatusInvest'!$A:$AY,column(V420)-$A$5,0)</f>
        <v>1.21</v>
      </c>
      <c r="W420" s="45">
        <f>VLOOKUP($A420,'Dados StatusInvest'!$A:$AY,column(W420)-$A$5,0)</f>
        <v>24.44</v>
      </c>
      <c r="X420" s="45">
        <f>VLOOKUP($A420,'Dados StatusInvest'!$A:$AY,column(X420)-$A$5,0)</f>
        <v>3.81</v>
      </c>
      <c r="Y420" s="45">
        <f>VLOOKUP($A420,'Dados StatusInvest'!$A:$AY,column(Y420)-$A$5,0)</f>
        <v>10.08</v>
      </c>
      <c r="Z420" s="44">
        <f>VLOOKUP($A420,'Dados StatusInvest'!$A:$AY,column(Z420)-$A$5,0)</f>
        <v>0.16</v>
      </c>
      <c r="AA420" s="44">
        <f>VLOOKUP($A420,'Dados StatusInvest'!$A:$AY,column(AA420)-$A$5,0)</f>
        <v>0.84</v>
      </c>
      <c r="AB420" s="44">
        <f>VLOOKUP($A420,'Dados StatusInvest'!$A:$AY,column(AB420)-$A$5,0)</f>
        <v>0.68</v>
      </c>
      <c r="AC420" s="44">
        <f>VLOOKUP($A420,'Dados StatusInvest'!$A:$AY,column(AC420)-$A$5,0)</f>
        <v>8.76</v>
      </c>
      <c r="AD420" s="45">
        <f>VLOOKUP($A420,'Dados StatusInvest'!$A:$AY,column(AD420)-$A$5,0)</f>
        <v>87.22</v>
      </c>
      <c r="AE420" s="46">
        <f>VLOOKUP($A420,'Dados StatusInvest'!$A:$AY,column(AE420)-$A$5,0)</f>
        <v>7051</v>
      </c>
      <c r="AF420" s="49"/>
    </row>
    <row r="421">
      <c r="A421" s="10" t="s">
        <v>467</v>
      </c>
      <c r="B421" s="39" t="str">
        <f>VLOOKUP(lEFT($A421,4),Setor!$A:$E,3,0)</f>
        <v>Materiais Básicos</v>
      </c>
      <c r="C421" s="39" t="str">
        <f>VLOOKUP(lEFT($A421,4),Setor!$A:$E,4,0)</f>
        <v>Químicos</v>
      </c>
      <c r="D421" s="39" t="str">
        <f>VLOOKUP(lEFT($A421,4),Setor!$A:$E,5,0)</f>
        <v>Químicos Diversos</v>
      </c>
      <c r="E421" s="17">
        <f>IFERROR(__xludf.DUMMYFUNCTION("GOOGLEFINANCE(A421)"),110.5)</f>
        <v>110.5</v>
      </c>
      <c r="F421" s="17">
        <f>IFERROR(__xludf.DUMMYFUNCTION("GOOGLEFINANCE($A421,""high52"")"),139.99)</f>
        <v>139.99</v>
      </c>
      <c r="G421" s="16">
        <f t="shared" si="1"/>
        <v>-0.2106579041</v>
      </c>
      <c r="H421" s="40">
        <f>VLOOKUP($A421,'Dados StatusInvest'!$A:$AY,column(H421)-$A$5,0)*VLOOKUP($A421,'Dados StatusInvest'!$A:$AY,2,0)/$E421/100</f>
        <v>0.029</v>
      </c>
      <c r="I421" s="41">
        <f>VLOOKUP($A421,'Dados StatusInvest'!$A:$AY,column(I421)-$A$5,0)/VLOOKUP($A421,'Dados StatusInvest'!$A:$AY,2,0)*$E421</f>
        <v>11.08</v>
      </c>
      <c r="J421" s="41">
        <f>VLOOKUP($A421,'Dados StatusInvest'!$A:$AY,column(J421)-$A$5,0)/VLOOKUP($A421,'Dados StatusInvest'!$A:$AY,2,0)*$E421</f>
        <v>3.76</v>
      </c>
      <c r="K421" s="42">
        <f>VLOOKUP($A421,'Dados StatusInvest'!$A:$AY,column(K421)-$A$5,0)/VLOOKUP($A421,'Dados StatusInvest'!$A:$AY,2,0)*$E421</f>
        <v>2.75</v>
      </c>
      <c r="L421" s="43">
        <f>VLOOKUP($A421,'Dados StatusInvest'!$A:$AY,column(L421)-$A$5,0)/100</f>
        <v>0.3741</v>
      </c>
      <c r="M421" s="47">
        <f>VLOOKUP($A421,'Dados StatusInvest'!$A:$AY,column(M421)-$A$5,0)</f>
        <v>25.9</v>
      </c>
      <c r="N421" s="47">
        <f>VLOOKUP($A421,'Dados StatusInvest'!$A:$AY,column(N421)-$A$5,0)</f>
        <v>29.95</v>
      </c>
      <c r="O421" s="41">
        <f>VLOOKUP($A421,'Dados StatusInvest'!$A:$AY,column(O421)-$A$5,0)/VLOOKUP($A421,'Dados StatusInvest'!$A:$AY,2,0)*$E421</f>
        <v>12.81</v>
      </c>
      <c r="P421" s="41">
        <f>VLOOKUP($A421,'Dados StatusInvest'!$A:$AY,column(P421)-$A$5,0)-VLOOKUP($A421,'Dados StatusInvest'!$A:$AY,column(P421)-$A$5-1,0)+O421</f>
        <v>8.74</v>
      </c>
      <c r="Q421" s="44">
        <f>VLOOKUP($A421,'Dados StatusInvest'!$A:$AY,column(Q421)-$A$5,0)</f>
        <v>-1.67</v>
      </c>
      <c r="R421" s="44">
        <f>VLOOKUP($A421,'Dados StatusInvest'!$A:$AY,column(R421)-$A$5,0)</f>
        <v>-0.49</v>
      </c>
      <c r="S421" s="41">
        <f>VLOOKUP($A421,'Dados StatusInvest'!$A:$AY,column(S421)-$A$5,0)/VLOOKUP($A421,'Dados StatusInvest'!$A:$AY,2,0)*$E421</f>
        <v>3.32</v>
      </c>
      <c r="T421" s="42">
        <f>VLOOKUP($A421,'Dados StatusInvest'!$A:$AY,column(T421)-$A$5,0)/VLOOKUP($A421,'Dados StatusInvest'!$A:$AY,2,0)*$E421</f>
        <v>3.95</v>
      </c>
      <c r="U421" s="44">
        <f>VLOOKUP($A421,'Dados StatusInvest'!$A:$AY,column(U421)-$A$5,0)</f>
        <v>-14.22</v>
      </c>
      <c r="V421" s="45">
        <f>VLOOKUP($A421,'Dados StatusInvest'!$A:$AY,column(V421)-$A$5,0)</f>
        <v>7.38</v>
      </c>
      <c r="W421" s="45">
        <f>VLOOKUP($A421,'Dados StatusInvest'!$A:$AY,column(W421)-$A$5,0)</f>
        <v>33.94</v>
      </c>
      <c r="X421" s="45">
        <f>VLOOKUP($A421,'Dados StatusInvest'!$A:$AY,column(X421)-$A$5,0)</f>
        <v>24.85</v>
      </c>
      <c r="Y421" s="45">
        <f>VLOOKUP($A421,'Dados StatusInvest'!$A:$AY,column(Y421)-$A$5,0)</f>
        <v>23.94</v>
      </c>
      <c r="Z421" s="44">
        <f>VLOOKUP($A421,'Dados StatusInvest'!$A:$AY,column(Z421)-$A$5,0)</f>
        <v>0.73</v>
      </c>
      <c r="AA421" s="44">
        <f>VLOOKUP($A421,'Dados StatusInvest'!$A:$AY,column(AA421)-$A$5,0)</f>
        <v>0.27</v>
      </c>
      <c r="AB421" s="44">
        <f>VLOOKUP($A421,'Dados StatusInvest'!$A:$AY,column(AB421)-$A$5,0)</f>
        <v>0.83</v>
      </c>
      <c r="AC421" s="44">
        <f>VLOOKUP($A421,'Dados StatusInvest'!$A:$AY,column(AC421)-$A$5,0)</f>
        <v>15.93</v>
      </c>
      <c r="AD421" s="45">
        <f>VLOOKUP($A421,'Dados StatusInvest'!$A:$AY,column(AD421)-$A$5,0)</f>
        <v>0</v>
      </c>
      <c r="AE421" s="46">
        <f>VLOOKUP($A421,'Dados StatusInvest'!$A:$AY,column(AE421)-$A$5,0)</f>
        <v>22099</v>
      </c>
      <c r="AF421" s="51"/>
    </row>
    <row r="422">
      <c r="A422" s="10" t="s">
        <v>468</v>
      </c>
      <c r="B422" s="39" t="str">
        <f>VLOOKUP(lEFT($A422,4),Setor!$A:$E,3,0)</f>
        <v>Consumo Cíclico</v>
      </c>
      <c r="C422" s="39" t="str">
        <f>VLOOKUP(lEFT($A422,4),Setor!$A:$E,4,0)</f>
        <v>Tecidos, Vestuário e Calçados</v>
      </c>
      <c r="D422" s="39" t="str">
        <f>VLOOKUP(lEFT($A422,4),Setor!$A:$E,5,0)</f>
        <v>Fios e Tecidos</v>
      </c>
      <c r="E422" s="17">
        <f>IFERROR(__xludf.DUMMYFUNCTION("GOOGLEFINANCE(A422)"),8.8)</f>
        <v>8.8</v>
      </c>
      <c r="F422" s="17">
        <f>IFERROR(__xludf.DUMMYFUNCTION("GOOGLEFINANCE($A422,""high52"")"),14.2)</f>
        <v>14.2</v>
      </c>
      <c r="G422" s="16">
        <f t="shared" si="1"/>
        <v>-0.3802816901</v>
      </c>
      <c r="H422" s="40">
        <f>VLOOKUP($A422,'Dados StatusInvest'!$A:$AY,column(H422)-$A$5,0)*VLOOKUP($A422,'Dados StatusInvest'!$A:$AY,2,0)/$E422/100</f>
        <v>0</v>
      </c>
      <c r="I422" s="41">
        <f>VLOOKUP($A422,'Dados StatusInvest'!$A:$AY,column(I422)-$A$5,0)/VLOOKUP($A422,'Dados StatusInvest'!$A:$AY,2,0)*$E422</f>
        <v>-4.105334847</v>
      </c>
      <c r="J422" s="41">
        <f>VLOOKUP($A422,'Dados StatusInvest'!$A:$AY,column(J422)-$A$5,0)/VLOOKUP($A422,'Dados StatusInvest'!$A:$AY,2,0)*$E422</f>
        <v>-0.1198637911</v>
      </c>
      <c r="K422" s="42">
        <f>VLOOKUP($A422,'Dados StatusInvest'!$A:$AY,column(K422)-$A$5,0)/VLOOKUP($A422,'Dados StatusInvest'!$A:$AY,2,0)*$E422</f>
        <v>0.1797956867</v>
      </c>
      <c r="L422" s="43">
        <f>VLOOKUP($A422,'Dados StatusInvest'!$A:$AY,column(L422)-$A$5,0)/100</f>
        <v>0.3622</v>
      </c>
      <c r="M422" s="44">
        <f>VLOOKUP($A422,'Dados StatusInvest'!$A:$AY,column(M422)-$A$5,0)</f>
        <v>19.32</v>
      </c>
      <c r="N422" s="44">
        <f>VLOOKUP($A422,'Dados StatusInvest'!$A:$AY,column(N422)-$A$5,0)</f>
        <v>-7.09</v>
      </c>
      <c r="O422" s="41">
        <f>VLOOKUP($A422,'Dados StatusInvest'!$A:$AY,column(O422)-$A$5,0)/VLOOKUP($A422,'Dados StatusInvest'!$A:$AY,2,0)*$E422</f>
        <v>1.508286039</v>
      </c>
      <c r="P422" s="41">
        <f>VLOOKUP($A422,'Dados StatusInvest'!$A:$AY,column(P422)-$A$5,0)-VLOOKUP($A422,'Dados StatusInvest'!$A:$AY,column(P422)-$A$5-1,0)+O422</f>
        <v>12.72828604</v>
      </c>
      <c r="Q422" s="44">
        <f>VLOOKUP($A422,'Dados StatusInvest'!$A:$AY,column(Q422)-$A$5,0)</f>
        <v>9.97</v>
      </c>
      <c r="R422" s="44">
        <f>VLOOKUP($A422,'Dados StatusInvest'!$A:$AY,column(R422)-$A$5,0)</f>
        <v>0</v>
      </c>
      <c r="S422" s="41">
        <f>VLOOKUP($A422,'Dados StatusInvest'!$A:$AY,column(S422)-$A$5,0)/VLOOKUP($A422,'Dados StatusInvest'!$A:$AY,2,0)*$E422</f>
        <v>0.2896708286</v>
      </c>
      <c r="T422" s="42">
        <f>VLOOKUP($A422,'Dados StatusInvest'!$A:$AY,column(T422)-$A$5,0)/VLOOKUP($A422,'Dados StatusInvest'!$A:$AY,2,0)*$E422</f>
        <v>-0.1398410897</v>
      </c>
      <c r="U422" s="44">
        <f>VLOOKUP($A422,'Dados StatusInvest'!$A:$AY,column(U422)-$A$5,0)</f>
        <v>-0.32</v>
      </c>
      <c r="V422" s="45">
        <f>VLOOKUP($A422,'Dados StatusInvest'!$A:$AY,column(V422)-$A$5,0)</f>
        <v>0.24</v>
      </c>
      <c r="W422" s="45">
        <f>VLOOKUP($A422,'Dados StatusInvest'!$A:$AY,column(W422)-$A$5,0)</f>
        <v>-2.91</v>
      </c>
      <c r="X422" s="45">
        <f>VLOOKUP($A422,'Dados StatusInvest'!$A:$AY,column(X422)-$A$5,0)</f>
        <v>-4.45</v>
      </c>
      <c r="Y422" s="45">
        <f>VLOOKUP($A422,'Dados StatusInvest'!$A:$AY,column(Y422)-$A$5,0)</f>
        <v>-37.69</v>
      </c>
      <c r="Z422" s="44">
        <f>VLOOKUP($A422,'Dados StatusInvest'!$A:$AY,column(Z422)-$A$5,0)</f>
        <v>-1.53</v>
      </c>
      <c r="AA422" s="44">
        <f>VLOOKUP($A422,'Dados StatusInvest'!$A:$AY,column(AA422)-$A$5,0)</f>
        <v>2.53</v>
      </c>
      <c r="AB422" s="44">
        <f>VLOOKUP($A422,'Dados StatusInvest'!$A:$AY,column(AB422)-$A$5,0)</f>
        <v>0.63</v>
      </c>
      <c r="AC422" s="44">
        <f>VLOOKUP($A422,'Dados StatusInvest'!$A:$AY,column(AC422)-$A$5,0)</f>
        <v>1.83</v>
      </c>
      <c r="AD422" s="45">
        <f>VLOOKUP($A422,'Dados StatusInvest'!$A:$AY,column(AD422)-$A$5,0)</f>
        <v>0</v>
      </c>
      <c r="AE422" s="46">
        <f>VLOOKUP($A422,'Dados StatusInvest'!$A:$AY,column(AE422)-$A$5,0)</f>
        <v>16287.81</v>
      </c>
      <c r="AF422" s="18"/>
    </row>
    <row r="423">
      <c r="A423" s="10" t="s">
        <v>469</v>
      </c>
      <c r="B423" s="52" t="str">
        <f>VLOOKUP(LEFT($A423,4),Setor!$A:$E,3,0)</f>
        <v>Utilidade Pública</v>
      </c>
      <c r="C423" s="52" t="str">
        <f>VLOOKUP(LEFT($A423,4),Setor!$A:$E,4,0)</f>
        <v>Energia Elétrica</v>
      </c>
      <c r="D423" s="52" t="str">
        <f>VLOOKUP(LEFT($A423,4),Setor!$A:$E,5,0)</f>
        <v>Energia Elétrica</v>
      </c>
      <c r="E423" s="53">
        <f>IFERROR(__xludf.DUMMYFUNCTION("GOOGLEFINANCE(A423)"),17.24)</f>
        <v>17.24</v>
      </c>
      <c r="F423" s="53">
        <f>IFERROR(__xludf.DUMMYFUNCTION("GOOGLEFINANCE($A423,""high52"")"),28.17)</f>
        <v>28.17</v>
      </c>
      <c r="G423" s="54">
        <f t="shared" si="1"/>
        <v>-0.38800142</v>
      </c>
      <c r="H423" s="55">
        <f>VLOOKUP($A423,'Dados StatusInvest'!$A:$AY,COLUMN(H423)-$A$5,0)*VLOOKUP($A423,'Dados StatusInvest'!$A:$AY,2,0)/$E423/100</f>
        <v>0.1061</v>
      </c>
      <c r="I423" s="56">
        <f>VLOOKUP($A423,'Dados StatusInvest'!$A:$AY,COLUMN(I423)-$A$5,0)/VLOOKUP($A423,'Dados StatusInvest'!$A:$AY,2,0)*$E423</f>
        <v>6.58</v>
      </c>
      <c r="J423" s="56">
        <f>VLOOKUP($A423,'Dados StatusInvest'!$A:$AY,COLUMN(J423)-$A$5,0)/VLOOKUP($A423,'Dados StatusInvest'!$A:$AY,2,0)*$E423</f>
        <v>2.17</v>
      </c>
      <c r="K423" s="57">
        <f>VLOOKUP($A423,'Dados StatusInvest'!$A:$AY,COLUMN(K423)-$A$5,0)/VLOOKUP($A423,'Dados StatusInvest'!$A:$AY,2,0)*$E423</f>
        <v>0.6</v>
      </c>
      <c r="L423" s="58">
        <f>VLOOKUP($A423,'Dados StatusInvest'!$A:$AY,COLUMN(L423)-$A$5,0)/100</f>
        <v>0.2315</v>
      </c>
      <c r="M423" s="59">
        <f>VLOOKUP($A423,'Dados StatusInvest'!$A:$AY,COLUMN(M423)-$A$5,0)</f>
        <v>17.98</v>
      </c>
      <c r="N423" s="59">
        <f>VLOOKUP($A423,'Dados StatusInvest'!$A:$AY,COLUMN(N423)-$A$5,0)</f>
        <v>13.97</v>
      </c>
      <c r="O423" s="56">
        <f>VLOOKUP($A423,'Dados StatusInvest'!$A:$AY,COLUMN(O423)-$A$5,0)/VLOOKUP($A423,'Dados StatusInvest'!$A:$AY,2,0)*$E423</f>
        <v>5.11</v>
      </c>
      <c r="P423" s="56">
        <f>VLOOKUP($A423,'Dados StatusInvest'!$A:$AY,COLUMN(P423)-$A$5,0)-VLOOKUP($A423,'Dados StatusInvest'!$A:$AY,COLUMN(P423)-$A$5-1,0)+O423</f>
        <v>7.71</v>
      </c>
      <c r="Q423" s="59">
        <f>VLOOKUP($A423,'Dados StatusInvest'!$A:$AY,COLUMN(Q423)-$A$5,0)</f>
        <v>2.69</v>
      </c>
      <c r="R423" s="59">
        <f>VLOOKUP($A423,'Dados StatusInvest'!$A:$AY,COLUMN(R423)-$A$5,0)</f>
        <v>1.14</v>
      </c>
      <c r="S423" s="56">
        <f>VLOOKUP($A423,'Dados StatusInvest'!$A:$AY,COLUMN(S423)-$A$5,0)/VLOOKUP($A423,'Dados StatusInvest'!$A:$AY,2,0)*$E423</f>
        <v>0.92</v>
      </c>
      <c r="T423" s="57">
        <f>VLOOKUP($A423,'Dados StatusInvest'!$A:$AY,COLUMN(T423)-$A$5,0)/VLOOKUP($A423,'Dados StatusInvest'!$A:$AY,2,0)*$E423</f>
        <v>11.36</v>
      </c>
      <c r="U423" s="59">
        <f>VLOOKUP($A423,'Dados StatusInvest'!$A:$AY,COLUMN(U423)-$A$5,0)</f>
        <v>-0.78</v>
      </c>
      <c r="V423" s="60">
        <f>VLOOKUP($A423,'Dados StatusInvest'!$A:$AY,COLUMN(V423)-$A$5,0)</f>
        <v>1.29</v>
      </c>
      <c r="W423" s="60">
        <f>VLOOKUP($A423,'Dados StatusInvest'!$A:$AY,COLUMN(W423)-$A$5,0)</f>
        <v>33.04</v>
      </c>
      <c r="X423" s="60">
        <f>VLOOKUP($A423,'Dados StatusInvest'!$A:$AY,COLUMN(X423)-$A$5,0)</f>
        <v>9.09</v>
      </c>
      <c r="Y423" s="60">
        <f>VLOOKUP($A423,'Dados StatusInvest'!$A:$AY,COLUMN(Y423)-$A$5,0)</f>
        <v>15.28</v>
      </c>
      <c r="Z423" s="59">
        <f>VLOOKUP($A423,'Dados StatusInvest'!$A:$AY,COLUMN(Z423)-$A$5,0)</f>
        <v>0.28</v>
      </c>
      <c r="AA423" s="59">
        <f>VLOOKUP($A423,'Dados StatusInvest'!$A:$AY,COLUMN(AA423)-$A$5,0)</f>
        <v>0.72</v>
      </c>
      <c r="AB423" s="59">
        <f>VLOOKUP($A423,'Dados StatusInvest'!$A:$AY,COLUMN(AB423)-$A$5,0)</f>
        <v>0.65</v>
      </c>
      <c r="AC423" s="59">
        <f>VLOOKUP($A423,'Dados StatusInvest'!$A:$AY,COLUMN(AC423)-$A$5,0)</f>
        <v>9.71</v>
      </c>
      <c r="AD423" s="60">
        <f>VLOOKUP($A423,'Dados StatusInvest'!$A:$AY,COLUMN(AD423)-$A$5,0)</f>
        <v>18.81</v>
      </c>
      <c r="AE423" s="62">
        <f>VLOOKUP($A423,'Dados StatusInvest'!$A:$AY,COLUMN(AE423)-$A$5,0)</f>
        <v>15063.11</v>
      </c>
      <c r="AF423" s="18"/>
    </row>
    <row r="424">
      <c r="A424" s="10" t="s">
        <v>470</v>
      </c>
      <c r="B424" s="39" t="str">
        <f>VLOOKUP(lEFT($A424,4),Setor!$A:$E,3,0)</f>
        <v>Bens Industriais</v>
      </c>
      <c r="C424" s="39" t="str">
        <f>VLOOKUP(lEFT($A424,4),Setor!$A:$E,4,0)</f>
        <v>Comércio</v>
      </c>
      <c r="D424" s="39" t="str">
        <f>VLOOKUP(lEFT($A424,4),Setor!$A:$E,5,0)</f>
        <v>Material de Transporte</v>
      </c>
      <c r="E424" s="17">
        <f>IFERROR(__xludf.DUMMYFUNCTION("GOOGLEFINANCE(A424)"),34.01)</f>
        <v>34.01</v>
      </c>
      <c r="F424" s="17">
        <f>IFERROR(__xludf.DUMMYFUNCTION("GOOGLEFINANCE($A424,""high52"")"),44.55)</f>
        <v>44.55</v>
      </c>
      <c r="G424" s="16">
        <f t="shared" si="1"/>
        <v>-0.2365881033</v>
      </c>
      <c r="H424" s="40">
        <f>VLOOKUP($A424,'Dados StatusInvest'!$A:$AY,column(H424)-$A$5,0)*VLOOKUP($A424,'Dados StatusInvest'!$A:$AY,2,0)/$E424/100</f>
        <v>0.01459570714</v>
      </c>
      <c r="I424" s="41">
        <f>VLOOKUP($A424,'Dados StatusInvest'!$A:$AY,column(I424)-$A$5,0)/VLOOKUP($A424,'Dados StatusInvest'!$A:$AY,2,0)*$E424</f>
        <v>13.43395</v>
      </c>
      <c r="J424" s="41">
        <f>VLOOKUP($A424,'Dados StatusInvest'!$A:$AY,column(J424)-$A$5,0)/VLOOKUP($A424,'Dados StatusInvest'!$A:$AY,2,0)*$E424</f>
        <v>2.410708824</v>
      </c>
      <c r="K424" s="42">
        <f>VLOOKUP($A424,'Dados StatusInvest'!$A:$AY,column(K424)-$A$5,0)/VLOOKUP($A424,'Dados StatusInvest'!$A:$AY,2,0)*$E424</f>
        <v>1.930567647</v>
      </c>
      <c r="L424" s="43">
        <f>VLOOKUP($A424,'Dados StatusInvest'!$A:$AY,column(L424)-$A$5,0)/100</f>
        <v>0.1356</v>
      </c>
      <c r="M424" s="44">
        <f>VLOOKUP($A424,'Dados StatusInvest'!$A:$AY,column(M424)-$A$5,0)</f>
        <v>8.09</v>
      </c>
      <c r="N424" s="44">
        <f>VLOOKUP($A424,'Dados StatusInvest'!$A:$AY,column(N424)-$A$5,0)</f>
        <v>5.87</v>
      </c>
      <c r="O424" s="41">
        <f>VLOOKUP($A424,'Dados StatusInvest'!$A:$AY,column(O424)-$A$5,0)/VLOOKUP($A424,'Dados StatusInvest'!$A:$AY,2,0)*$E424</f>
        <v>9.742864706</v>
      </c>
      <c r="P424" s="41">
        <f>VLOOKUP($A424,'Dados StatusInvest'!$A:$AY,column(P424)-$A$5,0)-VLOOKUP($A424,'Dados StatusInvest'!$A:$AY,column(P424)-$A$5-1,0)+O424</f>
        <v>9.792864706</v>
      </c>
      <c r="Q424" s="44">
        <f>VLOOKUP($A424,'Dados StatusInvest'!$A:$AY,column(Q424)-$A$5,0)</f>
        <v>-0.89</v>
      </c>
      <c r="R424" s="44">
        <f>VLOOKUP($A424,'Dados StatusInvest'!$A:$AY,column(R424)-$A$5,0)</f>
        <v>-0.22</v>
      </c>
      <c r="S424" s="41">
        <f>VLOOKUP($A424,'Dados StatusInvest'!$A:$AY,column(S424)-$A$5,0)/VLOOKUP($A424,'Dados StatusInvest'!$A:$AY,2,0)*$E424</f>
        <v>0.7902323529</v>
      </c>
      <c r="T424" s="42">
        <f>VLOOKUP($A424,'Dados StatusInvest'!$A:$AY,column(T424)-$A$5,0)/VLOOKUP($A424,'Dados StatusInvest'!$A:$AY,2,0)*$E424</f>
        <v>5.231538235</v>
      </c>
      <c r="U424" s="44">
        <f>VLOOKUP($A424,'Dados StatusInvest'!$A:$AY,column(U424)-$A$5,0)</f>
        <v>-3.73</v>
      </c>
      <c r="V424" s="45">
        <f>VLOOKUP($A424,'Dados StatusInvest'!$A:$AY,column(V424)-$A$5,0)</f>
        <v>4.29</v>
      </c>
      <c r="W424" s="45">
        <f>VLOOKUP($A424,'Dados StatusInvest'!$A:$AY,column(W424)-$A$5,0)</f>
        <v>17.97</v>
      </c>
      <c r="X424" s="45">
        <f>VLOOKUP($A424,'Dados StatusInvest'!$A:$AY,column(X424)-$A$5,0)</f>
        <v>14.39</v>
      </c>
      <c r="Y424" s="45">
        <f>VLOOKUP($A424,'Dados StatusInvest'!$A:$AY,column(Y424)-$A$5,0)</f>
        <v>16.73</v>
      </c>
      <c r="Z424" s="44">
        <f>VLOOKUP($A424,'Dados StatusInvest'!$A:$AY,column(Z424)-$A$5,0)</f>
        <v>0.8</v>
      </c>
      <c r="AA424" s="44">
        <f>VLOOKUP($A424,'Dados StatusInvest'!$A:$AY,column(AA424)-$A$5,0)</f>
        <v>0.2</v>
      </c>
      <c r="AB424" s="44">
        <f>VLOOKUP($A424,'Dados StatusInvest'!$A:$AY,column(AB424)-$A$5,0)</f>
        <v>2.45</v>
      </c>
      <c r="AC424" s="44">
        <f>VLOOKUP($A424,'Dados StatusInvest'!$A:$AY,column(AC424)-$A$5,0)</f>
        <v>14.81</v>
      </c>
      <c r="AD424" s="45">
        <f>VLOOKUP($A424,'Dados StatusInvest'!$A:$AY,column(AD424)-$A$5,0)</f>
        <v>87.64</v>
      </c>
      <c r="AE424" s="46">
        <f>VLOOKUP($A424,'Dados StatusInvest'!$A:$AY,column(AE424)-$A$5,0)</f>
        <v>24839.75</v>
      </c>
      <c r="AF424" s="18"/>
    </row>
    <row r="425">
      <c r="A425" s="10" t="s">
        <v>471</v>
      </c>
      <c r="B425" s="39" t="str">
        <f>VLOOKUP(lEFT($A425,4),Setor!$A:$E,3,0)</f>
        <v>Utilidade Pública</v>
      </c>
      <c r="C425" s="39" t="str">
        <f>VLOOKUP(lEFT($A425,4),Setor!$A:$E,4,0)</f>
        <v>Energia Elétrica</v>
      </c>
      <c r="D425" s="39" t="str">
        <f>VLOOKUP(lEFT($A425,4),Setor!$A:$E,5,0)</f>
        <v>Energia Elétrica</v>
      </c>
      <c r="E425" s="17">
        <f>IFERROR(__xludf.DUMMYFUNCTION("GOOGLEFINANCE(A425)"),67.5)</f>
        <v>67.5</v>
      </c>
      <c r="F425" s="17">
        <f>IFERROR(__xludf.DUMMYFUNCTION("GOOGLEFINANCE($A425,""high52"")"),94.76)</f>
        <v>94.76</v>
      </c>
      <c r="G425" s="16">
        <f t="shared" si="1"/>
        <v>-0.2876741241</v>
      </c>
      <c r="H425" s="40">
        <f>VLOOKUP($A425,'Dados StatusInvest'!$A:$AY,column(H425)-$A$5,0)*VLOOKUP($A425,'Dados StatusInvest'!$A:$AY,2,0)/$E425/100</f>
        <v>0.04692</v>
      </c>
      <c r="I425" s="41">
        <f>VLOOKUP($A425,'Dados StatusInvest'!$A:$AY,column(I425)-$A$5,0)/VLOOKUP($A425,'Dados StatusInvest'!$A:$AY,2,0)*$E425</f>
        <v>4.245652174</v>
      </c>
      <c r="J425" s="41">
        <f>VLOOKUP($A425,'Dados StatusInvest'!$A:$AY,column(J425)-$A$5,0)/VLOOKUP($A425,'Dados StatusInvest'!$A:$AY,2,0)*$E425</f>
        <v>1.144565217</v>
      </c>
      <c r="K425" s="42">
        <f>VLOOKUP($A425,'Dados StatusInvest'!$A:$AY,column(K425)-$A$5,0)/VLOOKUP($A425,'Dados StatusInvest'!$A:$AY,2,0)*$E425</f>
        <v>0.2152173913</v>
      </c>
      <c r="L425" s="43">
        <f>VLOOKUP($A425,'Dados StatusInvest'!$A:$AY,column(L425)-$A$5,0)/100</f>
        <v>0.1328</v>
      </c>
      <c r="M425" s="44">
        <f>VLOOKUP($A425,'Dados StatusInvest'!$A:$AY,column(M425)-$A$5,0)</f>
        <v>8.14</v>
      </c>
      <c r="N425" s="44">
        <f>VLOOKUP($A425,'Dados StatusInvest'!$A:$AY,column(N425)-$A$5,0)</f>
        <v>6.31</v>
      </c>
      <c r="O425" s="41">
        <f>VLOOKUP($A425,'Dados StatusInvest'!$A:$AY,column(O425)-$A$5,0)/VLOOKUP($A425,'Dados StatusInvest'!$A:$AY,2,0)*$E425</f>
        <v>3.29673913</v>
      </c>
      <c r="P425" s="41">
        <f>VLOOKUP($A425,'Dados StatusInvest'!$A:$AY,column(P425)-$A$5,0)-VLOOKUP($A425,'Dados StatusInvest'!$A:$AY,column(P425)-$A$5-1,0)+O425</f>
        <v>4.27673913</v>
      </c>
      <c r="Q425" s="44">
        <f>VLOOKUP($A425,'Dados StatusInvest'!$A:$AY,column(Q425)-$A$5,0)</f>
        <v>1.04</v>
      </c>
      <c r="R425" s="44">
        <f>VLOOKUP($A425,'Dados StatusInvest'!$A:$AY,column(R425)-$A$5,0)</f>
        <v>0.36</v>
      </c>
      <c r="S425" s="41">
        <f>VLOOKUP($A425,'Dados StatusInvest'!$A:$AY,column(S425)-$A$5,0)/VLOOKUP($A425,'Dados StatusInvest'!$A:$AY,2,0)*$E425</f>
        <v>0.2641304348</v>
      </c>
      <c r="T425" s="42">
        <f>VLOOKUP($A425,'Dados StatusInvest'!$A:$AY,column(T425)-$A$5,0)/VLOOKUP($A425,'Dados StatusInvest'!$A:$AY,2,0)*$E425</f>
        <v>1.692391304</v>
      </c>
      <c r="U425" s="44">
        <f>VLOOKUP($A425,'Dados StatusInvest'!$A:$AY,column(U425)-$A$5,0)</f>
        <v>-0.35</v>
      </c>
      <c r="V425" s="45">
        <f>VLOOKUP($A425,'Dados StatusInvest'!$A:$AY,column(V425)-$A$5,0)</f>
        <v>1.57</v>
      </c>
      <c r="W425" s="48">
        <f>VLOOKUP($A425,'Dados StatusInvest'!$A:$AY,column(W425)-$A$5,0)</f>
        <v>26.85</v>
      </c>
      <c r="X425" s="48">
        <f>VLOOKUP($A425,'Dados StatusInvest'!$A:$AY,column(X425)-$A$5,0)</f>
        <v>5.16</v>
      </c>
      <c r="Y425" s="48">
        <f>VLOOKUP($A425,'Dados StatusInvest'!$A:$AY,column(Y425)-$A$5,0)</f>
        <v>12.55</v>
      </c>
      <c r="Z425" s="44">
        <f>VLOOKUP($A425,'Dados StatusInvest'!$A:$AY,column(Z425)-$A$5,0)</f>
        <v>0.19</v>
      </c>
      <c r="AA425" s="44">
        <f>VLOOKUP($A425,'Dados StatusInvest'!$A:$AY,column(AA425)-$A$5,0)</f>
        <v>0.81</v>
      </c>
      <c r="AB425" s="44">
        <f>VLOOKUP($A425,'Dados StatusInvest'!$A:$AY,column(AB425)-$A$5,0)</f>
        <v>0.82</v>
      </c>
      <c r="AC425" s="44">
        <f>VLOOKUP($A425,'Dados StatusInvest'!$A:$AY,column(AC425)-$A$5,0)</f>
        <v>4.67</v>
      </c>
      <c r="AD425" s="45">
        <f>VLOOKUP($A425,'Dados StatusInvest'!$A:$AY,column(AD425)-$A$5,0)</f>
        <v>36.24</v>
      </c>
      <c r="AE425" s="46">
        <f>VLOOKUP($A425,'Dados StatusInvest'!$A:$AY,column(AE425)-$A$5,0)</f>
        <v>37288.6</v>
      </c>
      <c r="AF425" s="49"/>
    </row>
    <row r="426">
      <c r="A426" s="10" t="s">
        <v>472</v>
      </c>
      <c r="B426" s="39" t="str">
        <f>VLOOKUP(lEFT($A426,4),Setor!$A:$E,3,0)</f>
        <v>Consumo Cíclico</v>
      </c>
      <c r="C426" s="39" t="str">
        <f>VLOOKUP(lEFT($A426,4),Setor!$A:$E,4,0)</f>
        <v>Utilidades Domésticas</v>
      </c>
      <c r="D426" s="39" t="str">
        <f>VLOOKUP(lEFT($A426,4),Setor!$A:$E,5,0)</f>
        <v>Utensílios Domésticos</v>
      </c>
      <c r="E426" s="17">
        <f>IFERROR(__xludf.DUMMYFUNCTION("GOOGLEFINANCE(A426)"),13.4)</f>
        <v>13.4</v>
      </c>
      <c r="F426" s="17">
        <f>IFERROR(__xludf.DUMMYFUNCTION("GOOGLEFINANCE($A426,""high52"")"),19.85)</f>
        <v>19.85</v>
      </c>
      <c r="G426" s="16">
        <f t="shared" si="1"/>
        <v>-0.3249370277</v>
      </c>
      <c r="H426" s="40">
        <f>VLOOKUP($A426,'Dados StatusInvest'!$A:$AY,column(H426)-$A$5,0)*VLOOKUP($A426,'Dados StatusInvest'!$A:$AY,2,0)/$E426/100</f>
        <v>0</v>
      </c>
      <c r="I426" s="41">
        <f>VLOOKUP($A426,'Dados StatusInvest'!$A:$AY,column(I426)-$A$5,0)/VLOOKUP($A426,'Dados StatusInvest'!$A:$AY,2,0)*$E426</f>
        <v>-0.04</v>
      </c>
      <c r="J426" s="41">
        <f>VLOOKUP($A426,'Dados StatusInvest'!$A:$AY,column(J426)-$A$5,0)/VLOOKUP($A426,'Dados StatusInvest'!$A:$AY,2,0)*$E426</f>
        <v>-0.01</v>
      </c>
      <c r="K426" s="42">
        <f>VLOOKUP($A426,'Dados StatusInvest'!$A:$AY,column(K426)-$A$5,0)/VLOOKUP($A426,'Dados StatusInvest'!$A:$AY,2,0)*$E426</f>
        <v>0.62</v>
      </c>
      <c r="L426" s="43">
        <f>VLOOKUP($A426,'Dados StatusInvest'!$A:$AY,column(L426)-$A$5,0)/100</f>
        <v>1</v>
      </c>
      <c r="M426" s="47">
        <f>VLOOKUP($A426,'Dados StatusInvest'!$A:$AY,column(M426)-$A$5,0)</f>
        <v>-8738.8</v>
      </c>
      <c r="N426" s="47">
        <f>VLOOKUP($A426,'Dados StatusInvest'!$A:$AY,column(N426)-$A$5,0)</f>
        <v>-8859.01</v>
      </c>
      <c r="O426" s="41">
        <f>VLOOKUP($A426,'Dados StatusInvest'!$A:$AY,column(O426)-$A$5,0)/VLOOKUP($A426,'Dados StatusInvest'!$A:$AY,2,0)*$E426</f>
        <v>-0.04</v>
      </c>
      <c r="P426" s="41">
        <f>VLOOKUP($A426,'Dados StatusInvest'!$A:$AY,column(P426)-$A$5,0)-VLOOKUP($A426,'Dados StatusInvest'!$A:$AY,column(P426)-$A$5-1,0)+O426</f>
        <v>-2.01</v>
      </c>
      <c r="Q426" s="44">
        <f>VLOOKUP($A426,'Dados StatusInvest'!$A:$AY,column(Q426)-$A$5,0)</f>
        <v>-1.89</v>
      </c>
      <c r="R426" s="44">
        <f>VLOOKUP($A426,'Dados StatusInvest'!$A:$AY,column(R426)-$A$5,0)</f>
        <v>0</v>
      </c>
      <c r="S426" s="41">
        <f>VLOOKUP($A426,'Dados StatusInvest'!$A:$AY,column(S426)-$A$5,0)/VLOOKUP($A426,'Dados StatusInvest'!$A:$AY,2,0)*$E426</f>
        <v>3.48</v>
      </c>
      <c r="T426" s="42">
        <f>VLOOKUP($A426,'Dados StatusInvest'!$A:$AY,column(T426)-$A$5,0)/VLOOKUP($A426,'Dados StatusInvest'!$A:$AY,2,0)*$E426</f>
        <v>-0.1</v>
      </c>
      <c r="U426" s="47">
        <f>VLOOKUP($A426,'Dados StatusInvest'!$A:$AY,column(U426)-$A$5,0)</f>
        <v>-0.63</v>
      </c>
      <c r="V426" s="45">
        <f>VLOOKUP($A426,'Dados StatusInvest'!$A:$AY,column(V426)-$A$5,0)</f>
        <v>0</v>
      </c>
      <c r="W426" s="48">
        <f>VLOOKUP($A426,'Dados StatusInvest'!$A:$AY,column(W426)-$A$5,0)</f>
        <v>-31.24</v>
      </c>
      <c r="X426" s="48">
        <f>VLOOKUP($A426,'Dados StatusInvest'!$A:$AY,column(X426)-$A$5,0)</f>
        <v>-1578.44</v>
      </c>
      <c r="Y426" s="48">
        <f>VLOOKUP($A426,'Dados StatusInvest'!$A:$AY,column(Y426)-$A$5,0)</f>
        <v>73.88</v>
      </c>
      <c r="Z426" s="44">
        <f>VLOOKUP($A426,'Dados StatusInvest'!$A:$AY,column(Z426)-$A$5,0)</f>
        <v>-50.52</v>
      </c>
      <c r="AA426" s="44">
        <f>VLOOKUP($A426,'Dados StatusInvest'!$A:$AY,column(AA426)-$A$5,0)</f>
        <v>51.52</v>
      </c>
      <c r="AB426" s="44">
        <f>VLOOKUP($A426,'Dados StatusInvest'!$A:$AY,column(AB426)-$A$5,0)</f>
        <v>0.18</v>
      </c>
      <c r="AC426" s="44">
        <f>VLOOKUP($A426,'Dados StatusInvest'!$A:$AY,column(AC426)-$A$5,0)</f>
        <v>-2.24</v>
      </c>
      <c r="AD426" s="45">
        <f>VLOOKUP($A426,'Dados StatusInvest'!$A:$AY,column(AD426)-$A$5,0)</f>
        <v>0</v>
      </c>
      <c r="AE426" s="46">
        <f>VLOOKUP($A426,'Dados StatusInvest'!$A:$AY,column(AE426)-$A$5,0)</f>
        <v>20281</v>
      </c>
      <c r="AF426" s="51"/>
    </row>
    <row r="427">
      <c r="A427" s="10" t="s">
        <v>473</v>
      </c>
      <c r="B427" s="39" t="str">
        <f>VLOOKUP(lEFT($A427,4),Setor!$A:$E,3,0)</f>
        <v>Financeiro</v>
      </c>
      <c r="C427" s="39" t="str">
        <f>VLOOKUP(lEFT($A427,4),Setor!$A:$E,4,0)</f>
        <v>Intermediários Financeiros</v>
      </c>
      <c r="D427" s="39" t="str">
        <f>VLOOKUP(lEFT($A427,4),Setor!$A:$E,5,0)</f>
        <v>Bancos</v>
      </c>
      <c r="E427" s="17">
        <f>IFERROR(__xludf.DUMMYFUNCTION("GOOGLEFINANCE(A427)"),18.9)</f>
        <v>18.9</v>
      </c>
      <c r="F427" s="17">
        <f>IFERROR(__xludf.DUMMYFUNCTION("GOOGLEFINANCE($A427,""high52"")"),31.5)</f>
        <v>31.5</v>
      </c>
      <c r="G427" s="16">
        <f t="shared" si="1"/>
        <v>-0.4</v>
      </c>
      <c r="H427" s="40">
        <f>VLOOKUP($A427,'Dados StatusInvest'!$A:$AY,column(H427)-$A$5,0)*VLOOKUP($A427,'Dados StatusInvest'!$A:$AY,2,0)/$E427/100</f>
        <v>0.1031377778</v>
      </c>
      <c r="I427" s="41">
        <f>VLOOKUP($A427,'Dados StatusInvest'!$A:$AY,column(I427)-$A$5,0)/VLOOKUP($A427,'Dados StatusInvest'!$A:$AY,2,0)*$E427</f>
        <v>24.22367491</v>
      </c>
      <c r="J427" s="41">
        <f>VLOOKUP($A427,'Dados StatusInvest'!$A:$AY,column(J427)-$A$5,0)/VLOOKUP($A427,'Dados StatusInvest'!$A:$AY,2,0)*$E427</f>
        <v>0.7250883392</v>
      </c>
      <c r="K427" s="42">
        <f>VLOOKUP($A427,'Dados StatusInvest'!$A:$AY,column(K427)-$A$5,0)/VLOOKUP($A427,'Dados StatusInvest'!$A:$AY,2,0)*$E427</f>
        <v>0.4007067138</v>
      </c>
      <c r="L427" s="43">
        <f>VLOOKUP($A427,'Dados StatusInvest'!$A:$AY,column(L427)-$A$5,0)/100</f>
        <v>0.8345</v>
      </c>
      <c r="M427" s="44">
        <f>VLOOKUP($A427,'Dados StatusInvest'!$A:$AY,column(M427)-$A$5,0)</f>
        <v>55.41</v>
      </c>
      <c r="N427" s="44">
        <f>VLOOKUP($A427,'Dados StatusInvest'!$A:$AY,column(N427)-$A$5,0)</f>
        <v>33.78</v>
      </c>
      <c r="O427" s="41">
        <f>VLOOKUP($A427,'Dados StatusInvest'!$A:$AY,column(O427)-$A$5,0)/VLOOKUP($A427,'Dados StatusInvest'!$A:$AY,2,0)*$E427</f>
        <v>14.76890459</v>
      </c>
      <c r="P427" s="41">
        <f>VLOOKUP($A427,'Dados StatusInvest'!$A:$AY,column(P427)-$A$5,0)-VLOOKUP($A427,'Dados StatusInvest'!$A:$AY,column(P427)-$A$5-1,0)+O427</f>
        <v>16.38890459</v>
      </c>
      <c r="Q427" s="44">
        <f>VLOOKUP($A427,'Dados StatusInvest'!$A:$AY,column(Q427)-$A$5,0)</f>
        <v>0</v>
      </c>
      <c r="R427" s="44">
        <f>VLOOKUP($A427,'Dados StatusInvest'!$A:$AY,column(R427)-$A$5,0)</f>
        <v>0</v>
      </c>
      <c r="S427" s="41">
        <f>VLOOKUP($A427,'Dados StatusInvest'!$A:$AY,column(S427)-$A$5,0)/VLOOKUP($A427,'Dados StatusInvest'!$A:$AY,2,0)*$E427</f>
        <v>8.185865724</v>
      </c>
      <c r="T427" s="42">
        <f>VLOOKUP($A427,'Dados StatusInvest'!$A:$AY,column(T427)-$A$5,0)/VLOOKUP($A427,'Dados StatusInvest'!$A:$AY,2,0)*$E427</f>
        <v>-6.897879859</v>
      </c>
      <c r="U427" s="44">
        <f>VLOOKUP($A427,'Dados StatusInvest'!$A:$AY,column(U427)-$A$5,0)</f>
        <v>-0.57</v>
      </c>
      <c r="V427" s="45">
        <f>VLOOKUP($A427,'Dados StatusInvest'!$A:$AY,column(V427)-$A$5,0)</f>
        <v>0.82</v>
      </c>
      <c r="W427" s="45">
        <f>VLOOKUP($A427,'Dados StatusInvest'!$A:$AY,column(W427)-$A$5,0)</f>
        <v>2.99</v>
      </c>
      <c r="X427" s="48">
        <f>VLOOKUP($A427,'Dados StatusInvest'!$A:$AY,column(X427)-$A$5,0)</f>
        <v>1.66</v>
      </c>
      <c r="Y427" s="45">
        <f>VLOOKUP($A427,'Dados StatusInvest'!$A:$AY,column(Y427)-$A$5,0)</f>
        <v>0</v>
      </c>
      <c r="Z427" s="44">
        <f>VLOOKUP($A427,'Dados StatusInvest'!$A:$AY,column(Z427)-$A$5,0)</f>
        <v>0.56</v>
      </c>
      <c r="AA427" s="44">
        <f>VLOOKUP($A427,'Dados StatusInvest'!$A:$AY,column(AA427)-$A$5,0)</f>
        <v>0.44</v>
      </c>
      <c r="AB427" s="44">
        <f>VLOOKUP($A427,'Dados StatusInvest'!$A:$AY,column(AB427)-$A$5,0)</f>
        <v>0.05</v>
      </c>
      <c r="AC427" s="44">
        <f>VLOOKUP($A427,'Dados StatusInvest'!$A:$AY,column(AC427)-$A$5,0)</f>
        <v>-1.79</v>
      </c>
      <c r="AD427" s="45">
        <f>VLOOKUP($A427,'Dados StatusInvest'!$A:$AY,column(AD427)-$A$5,0)</f>
        <v>-1.49</v>
      </c>
      <c r="AE427" s="46">
        <f>VLOOKUP($A427,'Dados StatusInvest'!$A:$AY,column(AE427)-$A$5,0)</f>
        <v>21752.74</v>
      </c>
      <c r="AF427" s="50"/>
    </row>
    <row r="428">
      <c r="A428" s="10" t="s">
        <v>474</v>
      </c>
      <c r="B428" s="39" t="str">
        <f>VLOOKUP(lEFT($A428,4),Setor!$A:$E,3,0)</f>
        <v>Consumo não Cíclico</v>
      </c>
      <c r="C428" s="39" t="str">
        <f>VLOOKUP(lEFT($A428,4),Setor!$A:$E,4,0)</f>
        <v>Alimentos Processados</v>
      </c>
      <c r="D428" s="39" t="str">
        <f>VLOOKUP(lEFT($A428,4),Setor!$A:$E,5,0)</f>
        <v>Alimentos Diversos</v>
      </c>
      <c r="E428" s="17">
        <f>IFERROR(__xludf.DUMMYFUNCTION("GOOGLEFINANCE(A428)"),32.9)</f>
        <v>32.9</v>
      </c>
      <c r="F428" s="17">
        <f>IFERROR(__xludf.DUMMYFUNCTION("GOOGLEFINANCE($A428,""high52"")"),43.45)</f>
        <v>43.45</v>
      </c>
      <c r="G428" s="16">
        <f t="shared" si="1"/>
        <v>-0.2428078251</v>
      </c>
      <c r="H428" s="40">
        <f>VLOOKUP($A428,'Dados StatusInvest'!$A:$AY,column(H428)-$A$5,0)*VLOOKUP($A428,'Dados StatusInvest'!$A:$AY,2,0)/$E428/100</f>
        <v>0.02598784195</v>
      </c>
      <c r="I428" s="41">
        <f>VLOOKUP($A428,'Dados StatusInvest'!$A:$AY,column(I428)-$A$5,0)/VLOOKUP($A428,'Dados StatusInvest'!$A:$AY,2,0)*$E428</f>
        <v>14.09216667</v>
      </c>
      <c r="J428" s="41">
        <f>VLOOKUP($A428,'Dados StatusInvest'!$A:$AY,column(J428)-$A$5,0)/VLOOKUP($A428,'Dados StatusInvest'!$A:$AY,2,0)*$E428</f>
        <v>0.6470333333</v>
      </c>
      <c r="K428" s="42">
        <f>VLOOKUP($A428,'Dados StatusInvest'!$A:$AY,column(K428)-$A$5,0)/VLOOKUP($A428,'Dados StatusInvest'!$A:$AY,2,0)*$E428</f>
        <v>0.1645</v>
      </c>
      <c r="L428" s="43">
        <f>VLOOKUP($A428,'Dados StatusInvest'!$A:$AY,column(L428)-$A$5,0)/100</f>
        <v>0.2291</v>
      </c>
      <c r="M428" s="44">
        <f>VLOOKUP($A428,'Dados StatusInvest'!$A:$AY,column(M428)-$A$5,0)</f>
        <v>5.22</v>
      </c>
      <c r="N428" s="47">
        <f>VLOOKUP($A428,'Dados StatusInvest'!$A:$AY,column(N428)-$A$5,0)</f>
        <v>1.4</v>
      </c>
      <c r="O428" s="41">
        <f>VLOOKUP($A428,'Dados StatusInvest'!$A:$AY,column(O428)-$A$5,0)/VLOOKUP($A428,'Dados StatusInvest'!$A:$AY,2,0)*$E428</f>
        <v>3.7835</v>
      </c>
      <c r="P428" s="41">
        <f>VLOOKUP($A428,'Dados StatusInvest'!$A:$AY,column(P428)-$A$5,0)-VLOOKUP($A428,'Dados StatusInvest'!$A:$AY,column(P428)-$A$5-1,0)+O428</f>
        <v>8.3435</v>
      </c>
      <c r="Q428" s="44">
        <f>VLOOKUP($A428,'Dados StatusInvest'!$A:$AY,column(Q428)-$A$5,0)</f>
        <v>4.55</v>
      </c>
      <c r="R428" s="44">
        <f>VLOOKUP($A428,'Dados StatusInvest'!$A:$AY,column(R428)-$A$5,0)</f>
        <v>0.78</v>
      </c>
      <c r="S428" s="41">
        <f>VLOOKUP($A428,'Dados StatusInvest'!$A:$AY,column(S428)-$A$5,0)/VLOOKUP($A428,'Dados StatusInvest'!$A:$AY,2,0)*$E428</f>
        <v>0.1974</v>
      </c>
      <c r="T428" s="42">
        <f>VLOOKUP($A428,'Dados StatusInvest'!$A:$AY,column(T428)-$A$5,0)/VLOOKUP($A428,'Dados StatusInvest'!$A:$AY,2,0)*$E428</f>
        <v>0.4825333333</v>
      </c>
      <c r="U428" s="44">
        <f>VLOOKUP($A428,'Dados StatusInvest'!$A:$AY,column(U428)-$A$5,0)</f>
        <v>-0.47</v>
      </c>
      <c r="V428" s="45">
        <f>VLOOKUP($A428,'Dados StatusInvest'!$A:$AY,column(V428)-$A$5,0)</f>
        <v>2.05</v>
      </c>
      <c r="W428" s="45">
        <f>VLOOKUP($A428,'Dados StatusInvest'!$A:$AY,column(W428)-$A$5,0)</f>
        <v>4.62</v>
      </c>
      <c r="X428" s="48">
        <f>VLOOKUP($A428,'Dados StatusInvest'!$A:$AY,column(X428)-$A$5,0)</f>
        <v>1.19</v>
      </c>
      <c r="Y428" s="45">
        <f>VLOOKUP($A428,'Dados StatusInvest'!$A:$AY,column(Y428)-$A$5,0)</f>
        <v>3.04</v>
      </c>
      <c r="Z428" s="44">
        <f>VLOOKUP($A428,'Dados StatusInvest'!$A:$AY,column(Z428)-$A$5,0)</f>
        <v>0.26</v>
      </c>
      <c r="AA428" s="44">
        <f>VLOOKUP($A428,'Dados StatusInvest'!$A:$AY,column(AA428)-$A$5,0)</f>
        <v>0.66</v>
      </c>
      <c r="AB428" s="44">
        <f>VLOOKUP($A428,'Dados StatusInvest'!$A:$AY,column(AB428)-$A$5,0)</f>
        <v>0.85</v>
      </c>
      <c r="AC428" s="44">
        <f>VLOOKUP($A428,'Dados StatusInvest'!$A:$AY,column(AC428)-$A$5,0)</f>
        <v>8.16</v>
      </c>
      <c r="AD428" s="45">
        <f>VLOOKUP($A428,'Dados StatusInvest'!$A:$AY,column(AD428)-$A$5,0)</f>
        <v>0.43</v>
      </c>
      <c r="AE428" s="46">
        <f>VLOOKUP($A428,'Dados StatusInvest'!$A:$AY,column(AE428)-$A$5,0)</f>
        <v>28429.33</v>
      </c>
      <c r="AF428" s="51"/>
    </row>
    <row r="429">
      <c r="A429" s="10" t="s">
        <v>475</v>
      </c>
      <c r="B429" s="39" t="str">
        <f>VLOOKUP(lEFT($A429,4),Setor!$A:$E,3,0)</f>
        <v>Bens Industriais</v>
      </c>
      <c r="C429" s="39" t="str">
        <f>VLOOKUP(lEFT($A429,4),Setor!$A:$E,4,0)</f>
        <v>Máquinas e Equipamentos</v>
      </c>
      <c r="D429" s="39" t="str">
        <f>VLOOKUP(lEFT($A429,4),Setor!$A:$E,5,0)</f>
        <v>Máq. e Equip. Industriais</v>
      </c>
      <c r="E429" s="17">
        <f>IFERROR(__xludf.DUMMYFUNCTION("GOOGLEFINANCE(A429)"),10.32)</f>
        <v>10.32</v>
      </c>
      <c r="F429" s="17">
        <f>IFERROR(__xludf.DUMMYFUNCTION("GOOGLEFINANCE($A429,""high52"")"),27.51)</f>
        <v>27.51</v>
      </c>
      <c r="G429" s="16">
        <f t="shared" si="1"/>
        <v>-0.6248636859</v>
      </c>
      <c r="H429" s="40">
        <f>VLOOKUP($A429,'Dados StatusInvest'!$A:$AY,column(H429)-$A$5,0)*VLOOKUP($A429,'Dados StatusInvest'!$A:$AY,2,0)/$E429/100</f>
        <v>0</v>
      </c>
      <c r="I429" s="41">
        <f>VLOOKUP($A429,'Dados StatusInvest'!$A:$AY,column(I429)-$A$5,0)/VLOOKUP($A429,'Dados StatusInvest'!$A:$AY,2,0)*$E429</f>
        <v>-0.3707184466</v>
      </c>
      <c r="J429" s="41">
        <f>VLOOKUP($A429,'Dados StatusInvest'!$A:$AY,column(J429)-$A$5,0)/VLOOKUP($A429,'Dados StatusInvest'!$A:$AY,2,0)*$E429</f>
        <v>-0.09017475728</v>
      </c>
      <c r="K429" s="42">
        <f>VLOOKUP($A429,'Dados StatusInvest'!$A:$AY,column(K429)-$A$5,0)/VLOOKUP($A429,'Dados StatusInvest'!$A:$AY,2,0)*$E429</f>
        <v>0.02003883495</v>
      </c>
      <c r="L429" s="43">
        <f>VLOOKUP($A429,'Dados StatusInvest'!$A:$AY,column(L429)-$A$5,0)/100</f>
        <v>-0.6886</v>
      </c>
      <c r="M429" s="44">
        <f>VLOOKUP($A429,'Dados StatusInvest'!$A:$AY,column(M429)-$A$5,0)</f>
        <v>-227.65</v>
      </c>
      <c r="N429" s="44">
        <f>VLOOKUP($A429,'Dados StatusInvest'!$A:$AY,column(N429)-$A$5,0)</f>
        <v>-219.55</v>
      </c>
      <c r="O429" s="41">
        <f>VLOOKUP($A429,'Dados StatusInvest'!$A:$AY,column(O429)-$A$5,0)/VLOOKUP($A429,'Dados StatusInvest'!$A:$AY,2,0)*$E429</f>
        <v>-0.3506796117</v>
      </c>
      <c r="P429" s="41">
        <f>VLOOKUP($A429,'Dados StatusInvest'!$A:$AY,column(P429)-$A$5,0)-VLOOKUP($A429,'Dados StatusInvest'!$A:$AY,column(P429)-$A$5-1,0)+O429</f>
        <v>-5.640679612</v>
      </c>
      <c r="Q429" s="44">
        <f>VLOOKUP($A429,'Dados StatusInvest'!$A:$AY,column(Q429)-$A$5,0)</f>
        <v>-5.25</v>
      </c>
      <c r="R429" s="44">
        <f>VLOOKUP($A429,'Dados StatusInvest'!$A:$AY,column(R429)-$A$5,0)</f>
        <v>0</v>
      </c>
      <c r="S429" s="41">
        <f>VLOOKUP($A429,'Dados StatusInvest'!$A:$AY,column(S429)-$A$5,0)/VLOOKUP($A429,'Dados StatusInvest'!$A:$AY,2,0)*$E429</f>
        <v>0.8115728155</v>
      </c>
      <c r="T429" s="42">
        <f>VLOOKUP($A429,'Dados StatusInvest'!$A:$AY,column(T429)-$A$5,0)/VLOOKUP($A429,'Dados StatusInvest'!$A:$AY,2,0)*$E429</f>
        <v>-0.06011650485</v>
      </c>
      <c r="U429" s="44">
        <f>VLOOKUP($A429,'Dados StatusInvest'!$A:$AY,column(U429)-$A$5,0)</f>
        <v>-0.04</v>
      </c>
      <c r="V429" s="45">
        <f>VLOOKUP($A429,'Dados StatusInvest'!$A:$AY,column(V429)-$A$5,0)</f>
        <v>0.5</v>
      </c>
      <c r="W429" s="45">
        <f>VLOOKUP($A429,'Dados StatusInvest'!$A:$AY,column(W429)-$A$5,0)</f>
        <v>-25.13</v>
      </c>
      <c r="X429" s="45">
        <f>VLOOKUP($A429,'Dados StatusInvest'!$A:$AY,column(X429)-$A$5,0)</f>
        <v>-6.77</v>
      </c>
      <c r="Y429" s="45">
        <f>VLOOKUP($A429,'Dados StatusInvest'!$A:$AY,column(Y429)-$A$5,0)</f>
        <v>-86.99</v>
      </c>
      <c r="Z429" s="44">
        <f>VLOOKUP($A429,'Dados StatusInvest'!$A:$AY,column(Z429)-$A$5,0)</f>
        <v>-0.27</v>
      </c>
      <c r="AA429" s="44">
        <f>VLOOKUP($A429,'Dados StatusInvest'!$A:$AY,column(AA429)-$A$5,0)</f>
        <v>1.27</v>
      </c>
      <c r="AB429" s="44">
        <f>VLOOKUP($A429,'Dados StatusInvest'!$A:$AY,column(AB429)-$A$5,0)</f>
        <v>0.03</v>
      </c>
      <c r="AC429" s="44">
        <f>VLOOKUP($A429,'Dados StatusInvest'!$A:$AY,column(AC429)-$A$5,0)</f>
        <v>-46.07</v>
      </c>
      <c r="AD429" s="45">
        <f>VLOOKUP($A429,'Dados StatusInvest'!$A:$AY,column(AD429)-$A$5,0)</f>
        <v>0</v>
      </c>
      <c r="AE429" s="46">
        <f>VLOOKUP($A429,'Dados StatusInvest'!$A:$AY,column(AE429)-$A$5,0)</f>
        <v>18089.09</v>
      </c>
      <c r="AF429" s="51"/>
    </row>
    <row r="430">
      <c r="A430" s="10" t="s">
        <v>476</v>
      </c>
      <c r="B430" s="39" t="str">
        <f>VLOOKUP(lEFT($A430,4),Setor!$A:$E,3,0)</f>
        <v>Utilidade Pública</v>
      </c>
      <c r="C430" s="39" t="str">
        <f>VLOOKUP(lEFT($A430,4),Setor!$A:$E,4,0)</f>
        <v>Energia Elétrica</v>
      </c>
      <c r="D430" s="39" t="str">
        <f>VLOOKUP(lEFT($A430,4),Setor!$A:$E,5,0)</f>
        <v>Energia Elétrica</v>
      </c>
      <c r="E430" s="17">
        <f>IFERROR(__xludf.DUMMYFUNCTION("GOOGLEFINANCE(A430)"),49.9)</f>
        <v>49.9</v>
      </c>
      <c r="F430" s="17">
        <f>IFERROR(__xludf.DUMMYFUNCTION("GOOGLEFINANCE($A430,""high52"")"),77.62)</f>
        <v>77.62</v>
      </c>
      <c r="G430" s="16">
        <f t="shared" si="1"/>
        <v>-0.3571244525</v>
      </c>
      <c r="H430" s="40">
        <f>VLOOKUP($A430,'Dados StatusInvest'!$A:$AY,column(H430)-$A$5,0)*VLOOKUP($A430,'Dados StatusInvest'!$A:$AY,2,0)/$E430/100</f>
        <v>0.0316</v>
      </c>
      <c r="I430" s="41">
        <f>VLOOKUP($A430,'Dados StatusInvest'!$A:$AY,column(I430)-$A$5,0)/VLOOKUP($A430,'Dados StatusInvest'!$A:$AY,2,0)*$E430</f>
        <v>38.8</v>
      </c>
      <c r="J430" s="41">
        <f>VLOOKUP($A430,'Dados StatusInvest'!$A:$AY,column(J430)-$A$5,0)/VLOOKUP($A430,'Dados StatusInvest'!$A:$AY,2,0)*$E430</f>
        <v>6.77</v>
      </c>
      <c r="K430" s="42">
        <f>VLOOKUP($A430,'Dados StatusInvest'!$A:$AY,column(K430)-$A$5,0)/VLOOKUP($A430,'Dados StatusInvest'!$A:$AY,2,0)*$E430</f>
        <v>2.88</v>
      </c>
      <c r="L430" s="43">
        <f>VLOOKUP($A430,'Dados StatusInvest'!$A:$AY,column(L430)-$A$5,0)/100</f>
        <v>0.2481</v>
      </c>
      <c r="M430" s="47">
        <f>VLOOKUP($A430,'Dados StatusInvest'!$A:$AY,column(M430)-$A$5,0)</f>
        <v>20.66</v>
      </c>
      <c r="N430" s="47">
        <f>VLOOKUP($A430,'Dados StatusInvest'!$A:$AY,column(N430)-$A$5,0)</f>
        <v>17.4</v>
      </c>
      <c r="O430" s="41">
        <f>VLOOKUP($A430,'Dados StatusInvest'!$A:$AY,column(O430)-$A$5,0)/VLOOKUP($A430,'Dados StatusInvest'!$A:$AY,2,0)*$E430</f>
        <v>32.68</v>
      </c>
      <c r="P430" s="41">
        <f>VLOOKUP($A430,'Dados StatusInvest'!$A:$AY,column(P430)-$A$5,0)-VLOOKUP($A430,'Dados StatusInvest'!$A:$AY,column(P430)-$A$5-1,0)+O430</f>
        <v>6.15</v>
      </c>
      <c r="Q430" s="44">
        <f>VLOOKUP($A430,'Dados StatusInvest'!$A:$AY,column(Q430)-$A$5,0)</f>
        <v>1.95</v>
      </c>
      <c r="R430" s="44">
        <f>VLOOKUP($A430,'Dados StatusInvest'!$A:$AY,column(R430)-$A$5,0)</f>
        <v>0.4</v>
      </c>
      <c r="S430" s="41">
        <f>VLOOKUP($A430,'Dados StatusInvest'!$A:$AY,column(S430)-$A$5,0)/VLOOKUP($A430,'Dados StatusInvest'!$A:$AY,2,0)*$E430</f>
        <v>6.75</v>
      </c>
      <c r="T430" s="42">
        <f>VLOOKUP($A430,'Dados StatusInvest'!$A:$AY,column(T430)-$A$5,0)/VLOOKUP($A430,'Dados StatusInvest'!$A:$AY,2,0)*$E430</f>
        <v>448.45</v>
      </c>
      <c r="U430" s="44">
        <f>VLOOKUP($A430,'Dados StatusInvest'!$A:$AY,column(U430)-$A$5,0)</f>
        <v>-3.67</v>
      </c>
      <c r="V430" s="45">
        <f>VLOOKUP($A430,'Dados StatusInvest'!$A:$AY,column(V430)-$A$5,0)</f>
        <v>1.03</v>
      </c>
      <c r="W430" s="45">
        <f>VLOOKUP($A430,'Dados StatusInvest'!$A:$AY,column(W430)-$A$5,0)</f>
        <v>17.45</v>
      </c>
      <c r="X430" s="45">
        <f>VLOOKUP($A430,'Dados StatusInvest'!$A:$AY,column(X430)-$A$5,0)</f>
        <v>7.43</v>
      </c>
      <c r="Y430" s="45">
        <f>VLOOKUP($A430,'Dados StatusInvest'!$A:$AY,column(Y430)-$A$5,0)</f>
        <v>11.29</v>
      </c>
      <c r="Z430" s="44">
        <f>VLOOKUP($A430,'Dados StatusInvest'!$A:$AY,column(Z430)-$A$5,0)</f>
        <v>0.43</v>
      </c>
      <c r="AA430" s="44">
        <f>VLOOKUP($A430,'Dados StatusInvest'!$A:$AY,column(AA430)-$A$5,0)</f>
        <v>0.57</v>
      </c>
      <c r="AB430" s="44">
        <f>VLOOKUP($A430,'Dados StatusInvest'!$A:$AY,column(AB430)-$A$5,0)</f>
        <v>0.43</v>
      </c>
      <c r="AC430" s="44">
        <f>VLOOKUP($A430,'Dados StatusInvest'!$A:$AY,column(AC430)-$A$5,0)</f>
        <v>4.51</v>
      </c>
      <c r="AD430" s="45">
        <f>VLOOKUP($A430,'Dados StatusInvest'!$A:$AY,column(AD430)-$A$5,0)</f>
        <v>24.16</v>
      </c>
      <c r="AE430" s="46">
        <f>VLOOKUP($A430,'Dados StatusInvest'!$A:$AY,column(AE430)-$A$5,0)</f>
        <v>18616</v>
      </c>
      <c r="AF430" s="49"/>
    </row>
    <row r="431">
      <c r="A431" s="10" t="s">
        <v>477</v>
      </c>
      <c r="B431" s="39" t="str">
        <f>VLOOKUP(lEFT($A431,4),Setor!$A:$E,3,0)</f>
        <v>Financeiro</v>
      </c>
      <c r="C431" s="39" t="str">
        <f>VLOOKUP(lEFT($A431,4),Setor!$A:$E,4,0)</f>
        <v>Intermediários Financeiros</v>
      </c>
      <c r="D431" s="39" t="str">
        <f>VLOOKUP(lEFT($A431,4),Setor!$A:$E,5,0)</f>
        <v>Soc. Crédito e Financiamento</v>
      </c>
      <c r="E431" s="17">
        <f>IFERROR(__xludf.DUMMYFUNCTION("GOOGLEFINANCE(A431)"),10.65)</f>
        <v>10.65</v>
      </c>
      <c r="F431" s="17">
        <f>IFERROR(__xludf.DUMMYFUNCTION("GOOGLEFINANCE($A431,""high52"")"),15.0)</f>
        <v>15</v>
      </c>
      <c r="G431" s="16">
        <f t="shared" si="1"/>
        <v>-0.29</v>
      </c>
      <c r="H431" s="40">
        <f>VLOOKUP($A431,'Dados StatusInvest'!$A:$AY,column(H431)-$A$5,0)*VLOOKUP($A431,'Dados StatusInvest'!$A:$AY,2,0)/$E431/100</f>
        <v>0.0485</v>
      </c>
      <c r="I431" s="41">
        <f>VLOOKUP($A431,'Dados StatusInvest'!$A:$AY,column(I431)-$A$5,0)/VLOOKUP($A431,'Dados StatusInvest'!$A:$AY,2,0)*$E431</f>
        <v>36.91</v>
      </c>
      <c r="J431" s="41">
        <f>VLOOKUP($A431,'Dados StatusInvest'!$A:$AY,column(J431)-$A$5,0)/VLOOKUP($A431,'Dados StatusInvest'!$A:$AY,2,0)*$E431</f>
        <v>0.77</v>
      </c>
      <c r="K431" s="42">
        <f>VLOOKUP($A431,'Dados StatusInvest'!$A:$AY,column(K431)-$A$5,0)/VLOOKUP($A431,'Dados StatusInvest'!$A:$AY,2,0)*$E431</f>
        <v>0.59</v>
      </c>
      <c r="L431" s="43">
        <f>VLOOKUP($A431,'Dados StatusInvest'!$A:$AY,column(L431)-$A$5,0)/100</f>
        <v>0.8004</v>
      </c>
      <c r="M431" s="44">
        <f>VLOOKUP($A431,'Dados StatusInvest'!$A:$AY,column(M431)-$A$5,0)</f>
        <v>12.6</v>
      </c>
      <c r="N431" s="44">
        <f>VLOOKUP($A431,'Dados StatusInvest'!$A:$AY,column(N431)-$A$5,0)</f>
        <v>10.17</v>
      </c>
      <c r="O431" s="41">
        <f>VLOOKUP($A431,'Dados StatusInvest'!$A:$AY,column(O431)-$A$5,0)/VLOOKUP($A431,'Dados StatusInvest'!$A:$AY,2,0)*$E431</f>
        <v>29.79</v>
      </c>
      <c r="P431" s="41">
        <f>VLOOKUP($A431,'Dados StatusInvest'!$A:$AY,column(P431)-$A$5,0)-VLOOKUP($A431,'Dados StatusInvest'!$A:$AY,column(P431)-$A$5-1,0)+O431</f>
        <v>55.64</v>
      </c>
      <c r="Q431" s="44">
        <f>VLOOKUP($A431,'Dados StatusInvest'!$A:$AY,column(Q431)-$A$5,0)</f>
        <v>0</v>
      </c>
      <c r="R431" s="44">
        <f>VLOOKUP($A431,'Dados StatusInvest'!$A:$AY,column(R431)-$A$5,0)</f>
        <v>0</v>
      </c>
      <c r="S431" s="41">
        <f>VLOOKUP($A431,'Dados StatusInvest'!$A:$AY,column(S431)-$A$5,0)/VLOOKUP($A431,'Dados StatusInvest'!$A:$AY,2,0)*$E431</f>
        <v>3.75</v>
      </c>
      <c r="T431" s="42">
        <f>VLOOKUP($A431,'Dados StatusInvest'!$A:$AY,column(T431)-$A$5,0)/VLOOKUP($A431,'Dados StatusInvest'!$A:$AY,2,0)*$E431</f>
        <v>2.17</v>
      </c>
      <c r="U431" s="44">
        <f>VLOOKUP($A431,'Dados StatusInvest'!$A:$AY,column(U431)-$A$5,0)</f>
        <v>-1.04</v>
      </c>
      <c r="V431" s="45">
        <f>VLOOKUP($A431,'Dados StatusInvest'!$A:$AY,column(V431)-$A$5,0)</f>
        <v>2.8</v>
      </c>
      <c r="W431" s="48">
        <f>VLOOKUP($A431,'Dados StatusInvest'!$A:$AY,column(W431)-$A$5,0)</f>
        <v>2.09</v>
      </c>
      <c r="X431" s="45">
        <f>VLOOKUP($A431,'Dados StatusInvest'!$A:$AY,column(X431)-$A$5,0)</f>
        <v>1.61</v>
      </c>
      <c r="Y431" s="45">
        <f>VLOOKUP($A431,'Dados StatusInvest'!$A:$AY,column(Y431)-$A$5,0)</f>
        <v>0</v>
      </c>
      <c r="Z431" s="44">
        <f>VLOOKUP($A431,'Dados StatusInvest'!$A:$AY,column(Z431)-$A$5,0)</f>
        <v>0.77</v>
      </c>
      <c r="AA431" s="44">
        <f>VLOOKUP($A431,'Dados StatusInvest'!$A:$AY,column(AA431)-$A$5,0)</f>
        <v>0.23</v>
      </c>
      <c r="AB431" s="44">
        <f>VLOOKUP($A431,'Dados StatusInvest'!$A:$AY,column(AB431)-$A$5,0)</f>
        <v>0.16</v>
      </c>
      <c r="AC431" s="44">
        <f>VLOOKUP($A431,'Dados StatusInvest'!$A:$AY,column(AC431)-$A$5,0)</f>
        <v>-30.32</v>
      </c>
      <c r="AD431" s="45">
        <f>VLOOKUP($A431,'Dados StatusInvest'!$A:$AY,column(AD431)-$A$5,0)</f>
        <v>0</v>
      </c>
      <c r="AE431" s="46">
        <f>VLOOKUP($A431,'Dados StatusInvest'!$A:$AY,column(AE431)-$A$5,0)</f>
        <v>19306</v>
      </c>
      <c r="AF431" s="49"/>
    </row>
    <row r="432">
      <c r="A432" s="10" t="s">
        <v>478</v>
      </c>
      <c r="B432" s="39" t="str">
        <f>VLOOKUP(lEFT($A432,4),Setor!$A:$E,3,0)</f>
        <v>Consumo Cíclico</v>
      </c>
      <c r="C432" s="39" t="str">
        <f>VLOOKUP(lEFT($A432,4),Setor!$A:$E,4,0)</f>
        <v>Tecidos, Vestuário e Calçados</v>
      </c>
      <c r="D432" s="39" t="str">
        <f>VLOOKUP(lEFT($A432,4),Setor!$A:$E,5,0)</f>
        <v>Fios e Tecidos</v>
      </c>
      <c r="E432" s="17">
        <f>IFERROR(__xludf.DUMMYFUNCTION("GOOGLEFINANCE(A432)"),27.1)</f>
        <v>27.1</v>
      </c>
      <c r="F432" s="17">
        <f>IFERROR(__xludf.DUMMYFUNCTION("GOOGLEFINANCE($A432,""high52"")"),45.54)</f>
        <v>45.54</v>
      </c>
      <c r="G432" s="16">
        <f t="shared" si="1"/>
        <v>-0.4049187527</v>
      </c>
      <c r="H432" s="40">
        <f>VLOOKUP($A432,'Dados StatusInvest'!$A:$AY,column(H432)-$A$5,0)*VLOOKUP($A432,'Dados StatusInvest'!$A:$AY,2,0)/$E432/100</f>
        <v>0</v>
      </c>
      <c r="I432" s="41">
        <f>VLOOKUP($A432,'Dados StatusInvest'!$A:$AY,column(I432)-$A$5,0)/VLOOKUP($A432,'Dados StatusInvest'!$A:$AY,2,0)*$E432</f>
        <v>1.75</v>
      </c>
      <c r="J432" s="41">
        <f>VLOOKUP($A432,'Dados StatusInvest'!$A:$AY,column(J432)-$A$5,0)/VLOOKUP($A432,'Dados StatusInvest'!$A:$AY,2,0)*$E432</f>
        <v>-1.01</v>
      </c>
      <c r="K432" s="42">
        <f>VLOOKUP($A432,'Dados StatusInvest'!$A:$AY,column(K432)-$A$5,0)/VLOOKUP($A432,'Dados StatusInvest'!$A:$AY,2,0)*$E432</f>
        <v>0.3</v>
      </c>
      <c r="L432" s="43">
        <f>VLOOKUP($A432,'Dados StatusInvest'!$A:$AY,column(L432)-$A$5,0)/100</f>
        <v>0.4212</v>
      </c>
      <c r="M432" s="44">
        <f>VLOOKUP($A432,'Dados StatusInvest'!$A:$AY,column(M432)-$A$5,0)</f>
        <v>21.8</v>
      </c>
      <c r="N432" s="44">
        <f>VLOOKUP($A432,'Dados StatusInvest'!$A:$AY,column(N432)-$A$5,0)</f>
        <v>20.41</v>
      </c>
      <c r="O432" s="41">
        <f>VLOOKUP($A432,'Dados StatusInvest'!$A:$AY,column(O432)-$A$5,0)/VLOOKUP($A432,'Dados StatusInvest'!$A:$AY,2,0)*$E432</f>
        <v>1.64</v>
      </c>
      <c r="P432" s="41">
        <f>VLOOKUP($A432,'Dados StatusInvest'!$A:$AY,column(P432)-$A$5,0)-VLOOKUP($A432,'Dados StatusInvest'!$A:$AY,column(P432)-$A$5-1,0)+O432</f>
        <v>6.25</v>
      </c>
      <c r="Q432" s="44">
        <f>VLOOKUP($A432,'Dados StatusInvest'!$A:$AY,column(Q432)-$A$5,0)</f>
        <v>4.78</v>
      </c>
      <c r="R432" s="44">
        <f>VLOOKUP($A432,'Dados StatusInvest'!$A:$AY,column(R432)-$A$5,0)</f>
        <v>0</v>
      </c>
      <c r="S432" s="41">
        <f>VLOOKUP($A432,'Dados StatusInvest'!$A:$AY,column(S432)-$A$5,0)/VLOOKUP($A432,'Dados StatusInvest'!$A:$AY,2,0)*$E432</f>
        <v>0.36</v>
      </c>
      <c r="T432" s="42">
        <f>VLOOKUP($A432,'Dados StatusInvest'!$A:$AY,column(T432)-$A$5,0)/VLOOKUP($A432,'Dados StatusInvest'!$A:$AY,2,0)*$E432</f>
        <v>0.95</v>
      </c>
      <c r="U432" s="44">
        <f>VLOOKUP($A432,'Dados StatusInvest'!$A:$AY,column(U432)-$A$5,0)</f>
        <v>-0.93</v>
      </c>
      <c r="V432" s="45">
        <f>VLOOKUP($A432,'Dados StatusInvest'!$A:$AY,column(V432)-$A$5,0)</f>
        <v>1.87</v>
      </c>
      <c r="W432" s="48">
        <f>VLOOKUP($A432,'Dados StatusInvest'!$A:$AY,column(W432)-$A$5,0)</f>
        <v>-58.08</v>
      </c>
      <c r="X432" s="45">
        <f>VLOOKUP($A432,'Dados StatusInvest'!$A:$AY,column(X432)-$A$5,0)</f>
        <v>17.2</v>
      </c>
      <c r="Y432" s="45">
        <f>VLOOKUP($A432,'Dados StatusInvest'!$A:$AY,column(Y432)-$A$5,0)</f>
        <v>19.4</v>
      </c>
      <c r="Z432" s="44">
        <f>VLOOKUP($A432,'Dados StatusInvest'!$A:$AY,column(Z432)-$A$5,0)</f>
        <v>-0.3</v>
      </c>
      <c r="AA432" s="44">
        <f>VLOOKUP($A432,'Dados StatusInvest'!$A:$AY,column(AA432)-$A$5,0)</f>
        <v>1.3</v>
      </c>
      <c r="AB432" s="44">
        <f>VLOOKUP($A432,'Dados StatusInvest'!$A:$AY,column(AB432)-$A$5,0)</f>
        <v>0.84</v>
      </c>
      <c r="AC432" s="44">
        <f>VLOOKUP($A432,'Dados StatusInvest'!$A:$AY,column(AC432)-$A$5,0)</f>
        <v>7.67</v>
      </c>
      <c r="AD432" s="45">
        <f>VLOOKUP($A432,'Dados StatusInvest'!$A:$AY,column(AD432)-$A$5,0)</f>
        <v>0</v>
      </c>
      <c r="AE432" s="46">
        <f>VLOOKUP($A432,'Dados StatusInvest'!$A:$AY,column(AE432)-$A$5,0)</f>
        <v>23155.22</v>
      </c>
      <c r="AF432" s="50"/>
    </row>
    <row r="433">
      <c r="A433" s="10" t="s">
        <v>479</v>
      </c>
      <c r="B433" s="39" t="str">
        <f>VLOOKUP(lEFT($A433,4),Setor!$A:$E,3,0)</f>
        <v>Bens Industriais</v>
      </c>
      <c r="C433" s="39" t="str">
        <f>VLOOKUP(lEFT($A433,4),Setor!$A:$E,4,0)</f>
        <v>Construção e Engenharia</v>
      </c>
      <c r="D433" s="39" t="str">
        <f>VLOOKUP(lEFT($A433,4),Setor!$A:$E,5,0)</f>
        <v>Engenharia Consultiva</v>
      </c>
      <c r="E433" s="17">
        <f>IFERROR(__xludf.DUMMYFUNCTION("GOOGLEFINANCE(A433)"),35.51)</f>
        <v>35.51</v>
      </c>
      <c r="F433" s="17">
        <f>IFERROR(__xludf.DUMMYFUNCTION("GOOGLEFINANCE($A433,""high52"")"),80.0)</f>
        <v>80</v>
      </c>
      <c r="G433" s="16">
        <f t="shared" si="1"/>
        <v>-0.556125</v>
      </c>
      <c r="H433" s="40">
        <f>VLOOKUP($A433,'Dados StatusInvest'!$A:$AY,column(H433)-$A$5,0)*VLOOKUP($A433,'Dados StatusInvest'!$A:$AY,2,0)/$E433/100</f>
        <v>0.2399</v>
      </c>
      <c r="I433" s="41">
        <f>VLOOKUP($A433,'Dados StatusInvest'!$A:$AY,column(I433)-$A$5,0)/VLOOKUP($A433,'Dados StatusInvest'!$A:$AY,2,0)*$E433</f>
        <v>20.86</v>
      </c>
      <c r="J433" s="41">
        <f>VLOOKUP($A433,'Dados StatusInvest'!$A:$AY,column(J433)-$A$5,0)/VLOOKUP($A433,'Dados StatusInvest'!$A:$AY,2,0)*$E433</f>
        <v>1.59</v>
      </c>
      <c r="K433" s="42">
        <f>VLOOKUP($A433,'Dados StatusInvest'!$A:$AY,column(K433)-$A$5,0)/VLOOKUP($A433,'Dados StatusInvest'!$A:$AY,2,0)*$E433</f>
        <v>1.1</v>
      </c>
      <c r="L433" s="43">
        <f>VLOOKUP($A433,'Dados StatusInvest'!$A:$AY,column(L433)-$A$5,0)/100</f>
        <v>0.3014</v>
      </c>
      <c r="M433" s="44">
        <f>VLOOKUP($A433,'Dados StatusInvest'!$A:$AY,column(M433)-$A$5,0)</f>
        <v>5.71</v>
      </c>
      <c r="N433" s="44">
        <f>VLOOKUP($A433,'Dados StatusInvest'!$A:$AY,column(N433)-$A$5,0)</f>
        <v>6.15</v>
      </c>
      <c r="O433" s="41">
        <f>VLOOKUP($A433,'Dados StatusInvest'!$A:$AY,column(O433)-$A$5,0)/VLOOKUP($A433,'Dados StatusInvest'!$A:$AY,2,0)*$E433</f>
        <v>22.46</v>
      </c>
      <c r="P433" s="41">
        <f>VLOOKUP($A433,'Dados StatusInvest'!$A:$AY,column(P433)-$A$5,0)-VLOOKUP($A433,'Dados StatusInvest'!$A:$AY,column(P433)-$A$5-1,0)+O433</f>
        <v>18.82</v>
      </c>
      <c r="Q433" s="44">
        <f>VLOOKUP($A433,'Dados StatusInvest'!$A:$AY,column(Q433)-$A$5,0)</f>
        <v>-5.45</v>
      </c>
      <c r="R433" s="44">
        <f>VLOOKUP($A433,'Dados StatusInvest'!$A:$AY,column(R433)-$A$5,0)</f>
        <v>-0.39</v>
      </c>
      <c r="S433" s="41">
        <f>VLOOKUP($A433,'Dados StatusInvest'!$A:$AY,column(S433)-$A$5,0)/VLOOKUP($A433,'Dados StatusInvest'!$A:$AY,2,0)*$E433</f>
        <v>1.28</v>
      </c>
      <c r="T433" s="42">
        <f>VLOOKUP($A433,'Dados StatusInvest'!$A:$AY,column(T433)-$A$5,0)/VLOOKUP($A433,'Dados StatusInvest'!$A:$AY,2,0)*$E433</f>
        <v>3.65</v>
      </c>
      <c r="U433" s="47">
        <f>VLOOKUP($A433,'Dados StatusInvest'!$A:$AY,column(U433)-$A$5,0)</f>
        <v>-2.11</v>
      </c>
      <c r="V433" s="45">
        <f>VLOOKUP($A433,'Dados StatusInvest'!$A:$AY,column(V433)-$A$5,0)</f>
        <v>2.74</v>
      </c>
      <c r="W433" s="45">
        <f>VLOOKUP($A433,'Dados StatusInvest'!$A:$AY,column(W433)-$A$5,0)</f>
        <v>7.62</v>
      </c>
      <c r="X433" s="48">
        <f>VLOOKUP($A433,'Dados StatusInvest'!$A:$AY,column(X433)-$A$5,0)</f>
        <v>5.3</v>
      </c>
      <c r="Y433" s="45">
        <f>VLOOKUP($A433,'Dados StatusInvest'!$A:$AY,column(Y433)-$A$5,0)</f>
        <v>3.07</v>
      </c>
      <c r="Z433" s="44">
        <f>VLOOKUP($A433,'Dados StatusInvest'!$A:$AY,column(Z433)-$A$5,0)</f>
        <v>0.69</v>
      </c>
      <c r="AA433" s="44">
        <f>VLOOKUP($A433,'Dados StatusInvest'!$A:$AY,column(AA433)-$A$5,0)</f>
        <v>0.3</v>
      </c>
      <c r="AB433" s="44">
        <f>VLOOKUP($A433,'Dados StatusInvest'!$A:$AY,column(AB433)-$A$5,0)</f>
        <v>0.86</v>
      </c>
      <c r="AC433" s="44">
        <f>VLOOKUP($A433,'Dados StatusInvest'!$A:$AY,column(AC433)-$A$5,0)</f>
        <v>-10.4</v>
      </c>
      <c r="AD433" s="45">
        <f>VLOOKUP($A433,'Dados StatusInvest'!$A:$AY,column(AD433)-$A$5,0)</f>
        <v>0</v>
      </c>
      <c r="AE433" s="46">
        <f>VLOOKUP($A433,'Dados StatusInvest'!$A:$AY,column(AE433)-$A$5,0)</f>
        <v>14303</v>
      </c>
      <c r="AF433" s="18"/>
    </row>
    <row r="434">
      <c r="A434" s="10" t="s">
        <v>480</v>
      </c>
      <c r="B434" s="39" t="str">
        <f>VLOOKUP(lEFT($A434,4),Setor!$A:$E,3,0)</f>
        <v>Financeiro</v>
      </c>
      <c r="C434" s="39" t="str">
        <f>VLOOKUP(lEFT($A434,4),Setor!$A:$E,4,0)</f>
        <v>Intermediários Financeiros</v>
      </c>
      <c r="D434" s="39" t="str">
        <f>VLOOKUP(lEFT($A434,4),Setor!$A:$E,5,0)</f>
        <v>Soc. Crédito e Financiamento</v>
      </c>
      <c r="E434" s="17">
        <f>IFERROR(__xludf.DUMMYFUNCTION("GOOGLEFINANCE(A434)"),5.8)</f>
        <v>5.8</v>
      </c>
      <c r="F434" s="17">
        <f>IFERROR(__xludf.DUMMYFUNCTION("GOOGLEFINANCE($A434,""high52"")"),7.39)</f>
        <v>7.39</v>
      </c>
      <c r="G434" s="16">
        <f t="shared" si="1"/>
        <v>-0.2151556157</v>
      </c>
      <c r="H434" s="40">
        <f>VLOOKUP($A434,'Dados StatusInvest'!$A:$AY,column(H434)-$A$5,0)*VLOOKUP($A434,'Dados StatusInvest'!$A:$AY,2,0)/$E434/100</f>
        <v>0.07822586207</v>
      </c>
      <c r="I434" s="41">
        <f>VLOOKUP($A434,'Dados StatusInvest'!$A:$AY,column(I434)-$A$5,0)/VLOOKUP($A434,'Dados StatusInvest'!$A:$AY,2,0)*$E434</f>
        <v>10.93152542</v>
      </c>
      <c r="J434" s="41">
        <f>VLOOKUP($A434,'Dados StatusInvest'!$A:$AY,column(J434)-$A$5,0)/VLOOKUP($A434,'Dados StatusInvest'!$A:$AY,2,0)*$E434</f>
        <v>0.5996610169</v>
      </c>
      <c r="K434" s="42">
        <f>VLOOKUP($A434,'Dados StatusInvest'!$A:$AY,column(K434)-$A$5,0)/VLOOKUP($A434,'Dados StatusInvest'!$A:$AY,2,0)*$E434</f>
        <v>0.08847457627</v>
      </c>
      <c r="L434" s="43">
        <f>VLOOKUP($A434,'Dados StatusInvest'!$A:$AY,column(L434)-$A$5,0)/100</f>
        <v>0.7344</v>
      </c>
      <c r="M434" s="47">
        <f>VLOOKUP($A434,'Dados StatusInvest'!$A:$AY,column(M434)-$A$5,0)</f>
        <v>12.33</v>
      </c>
      <c r="N434" s="47">
        <f>VLOOKUP($A434,'Dados StatusInvest'!$A:$AY,column(N434)-$A$5,0)</f>
        <v>9.29</v>
      </c>
      <c r="O434" s="41">
        <f>VLOOKUP($A434,'Dados StatusInvest'!$A:$AY,column(O434)-$A$5,0)/VLOOKUP($A434,'Dados StatusInvest'!$A:$AY,2,0)*$E434</f>
        <v>8.237966102</v>
      </c>
      <c r="P434" s="41">
        <f>VLOOKUP($A434,'Dados StatusInvest'!$A:$AY,column(P434)-$A$5,0)-VLOOKUP($A434,'Dados StatusInvest'!$A:$AY,column(P434)-$A$5-1,0)+O434</f>
        <v>7.607966102</v>
      </c>
      <c r="Q434" s="44">
        <f>VLOOKUP($A434,'Dados StatusInvest'!$A:$AY,column(Q434)-$A$5,0)</f>
        <v>0</v>
      </c>
      <c r="R434" s="44">
        <f>VLOOKUP($A434,'Dados StatusInvest'!$A:$AY,column(R434)-$A$5,0)</f>
        <v>0</v>
      </c>
      <c r="S434" s="41">
        <f>VLOOKUP($A434,'Dados StatusInvest'!$A:$AY,column(S434)-$A$5,0)/VLOOKUP($A434,'Dados StatusInvest'!$A:$AY,2,0)*$E434</f>
        <v>1.012542373</v>
      </c>
      <c r="T434" s="42">
        <f>VLOOKUP($A434,'Dados StatusInvest'!$A:$AY,column(T434)-$A$5,0)/VLOOKUP($A434,'Dados StatusInvest'!$A:$AY,2,0)*$E434</f>
        <v>0.3833898305</v>
      </c>
      <c r="U434" s="44">
        <f>VLOOKUP($A434,'Dados StatusInvest'!$A:$AY,column(U434)-$A$5,0)</f>
        <v>-0.12</v>
      </c>
      <c r="V434" s="45">
        <f>VLOOKUP($A434,'Dados StatusInvest'!$A:$AY,column(V434)-$A$5,0)</f>
        <v>6.72</v>
      </c>
      <c r="W434" s="45">
        <f>VLOOKUP($A434,'Dados StatusInvest'!$A:$AY,column(W434)-$A$5,0)</f>
        <v>5.46</v>
      </c>
      <c r="X434" s="45">
        <f>VLOOKUP($A434,'Dados StatusInvest'!$A:$AY,column(X434)-$A$5,0)</f>
        <v>0.81</v>
      </c>
      <c r="Y434" s="45">
        <f>VLOOKUP($A434,'Dados StatusInvest'!$A:$AY,column(Y434)-$A$5,0)</f>
        <v>0</v>
      </c>
      <c r="Z434" s="44">
        <f>VLOOKUP($A434,'Dados StatusInvest'!$A:$AY,column(Z434)-$A$5,0)</f>
        <v>0.15</v>
      </c>
      <c r="AA434" s="44">
        <f>VLOOKUP($A434,'Dados StatusInvest'!$A:$AY,column(AA434)-$A$5,0)</f>
        <v>0.85</v>
      </c>
      <c r="AB434" s="44">
        <f>VLOOKUP($A434,'Dados StatusInvest'!$A:$AY,column(AB434)-$A$5,0)</f>
        <v>0.09</v>
      </c>
      <c r="AC434" s="44">
        <f>VLOOKUP($A434,'Dados StatusInvest'!$A:$AY,column(AC434)-$A$5,0)</f>
        <v>-7.18</v>
      </c>
      <c r="AD434" s="45">
        <f>VLOOKUP($A434,'Dados StatusInvest'!$A:$AY,column(AD434)-$A$5,0)</f>
        <v>6.93</v>
      </c>
      <c r="AE434" s="46">
        <f>VLOOKUP($A434,'Dados StatusInvest'!$A:$AY,column(AE434)-$A$5,0)</f>
        <v>17711.29</v>
      </c>
      <c r="AF434" s="51"/>
    </row>
    <row r="435">
      <c r="A435" s="10" t="s">
        <v>481</v>
      </c>
      <c r="B435" s="39" t="str">
        <f>VLOOKUP(lEFT($A435,4),Setor!$A:$E,3,0)</f>
        <v>Financeiro</v>
      </c>
      <c r="C435" s="39" t="str">
        <f>VLOOKUP(lEFT($A435,4),Setor!$A:$E,4,0)</f>
        <v>Intermediários Financeiros</v>
      </c>
      <c r="D435" s="39" t="str">
        <f>VLOOKUP(lEFT($A435,4),Setor!$A:$E,5,0)</f>
        <v>Bancos</v>
      </c>
      <c r="E435" s="17">
        <f>IFERROR(__xludf.DUMMYFUNCTION("GOOGLEFINANCE(A435)"),19.64)</f>
        <v>19.64</v>
      </c>
      <c r="F435" s="17">
        <f>IFERROR(__xludf.DUMMYFUNCTION("GOOGLEFINANCE($A435,""high52"")"),143.0)</f>
        <v>143</v>
      </c>
      <c r="G435" s="16">
        <f t="shared" si="1"/>
        <v>-0.8626573427</v>
      </c>
      <c r="H435" s="40">
        <f>VLOOKUP($A435,'Dados StatusInvest'!$A:$AY,column(H435)-$A$5,0)*VLOOKUP($A435,'Dados StatusInvest'!$A:$AY,2,0)/$E435/100</f>
        <v>0.08040529532</v>
      </c>
      <c r="I435" s="41">
        <f>VLOOKUP($A435,'Dados StatusInvest'!$A:$AY,column(I435)-$A$5,0)/VLOOKUP($A435,'Dados StatusInvest'!$A:$AY,2,0)*$E435</f>
        <v>14.5152629</v>
      </c>
      <c r="J435" s="41">
        <f>VLOOKUP($A435,'Dados StatusInvest'!$A:$AY,column(J435)-$A$5,0)/VLOOKUP($A435,'Dados StatusInvest'!$A:$AY,2,0)*$E435</f>
        <v>3.319980344</v>
      </c>
      <c r="K435" s="42">
        <f>VLOOKUP($A435,'Dados StatusInvest'!$A:$AY,column(K435)-$A$5,0)/VLOOKUP($A435,'Dados StatusInvest'!$A:$AY,2,0)*$E435</f>
        <v>0.2605798526</v>
      </c>
      <c r="L435" s="43">
        <f>VLOOKUP($A435,'Dados StatusInvest'!$A:$AY,column(L435)-$A$5,0)/100</f>
        <v>0.7402</v>
      </c>
      <c r="M435" s="44">
        <f>VLOOKUP($A435,'Dados StatusInvest'!$A:$AY,column(M435)-$A$5,0)</f>
        <v>26.69</v>
      </c>
      <c r="N435" s="44">
        <f>VLOOKUP($A435,'Dados StatusInvest'!$A:$AY,column(N435)-$A$5,0)</f>
        <v>18.8</v>
      </c>
      <c r="O435" s="41">
        <f>VLOOKUP($A435,'Dados StatusInvest'!$A:$AY,column(O435)-$A$5,0)/VLOOKUP($A435,'Dados StatusInvest'!$A:$AY,2,0)*$E435</f>
        <v>10.22052088</v>
      </c>
      <c r="P435" s="41">
        <f>VLOOKUP($A435,'Dados StatusInvest'!$A:$AY,column(P435)-$A$5,0)-VLOOKUP($A435,'Dados StatusInvest'!$A:$AY,column(P435)-$A$5-1,0)+O435</f>
        <v>12.89052088</v>
      </c>
      <c r="Q435" s="44">
        <f>VLOOKUP($A435,'Dados StatusInvest'!$A:$AY,column(Q435)-$A$5,0)</f>
        <v>0</v>
      </c>
      <c r="R435" s="44">
        <f>VLOOKUP($A435,'Dados StatusInvest'!$A:$AY,column(R435)-$A$5,0)</f>
        <v>0</v>
      </c>
      <c r="S435" s="41">
        <f>VLOOKUP($A435,'Dados StatusInvest'!$A:$AY,column(S435)-$A$5,0)/VLOOKUP($A435,'Dados StatusInvest'!$A:$AY,2,0)*$E435</f>
        <v>2.731262899</v>
      </c>
      <c r="T435" s="42">
        <f>VLOOKUP($A435,'Dados StatusInvest'!$A:$AY,column(T435)-$A$5,0)/VLOOKUP($A435,'Dados StatusInvest'!$A:$AY,2,0)*$E435</f>
        <v>-0.9458083538</v>
      </c>
      <c r="U435" s="44">
        <f>VLOOKUP($A435,'Dados StatusInvest'!$A:$AY,column(U435)-$A$5,0)</f>
        <v>-0.3</v>
      </c>
      <c r="V435" s="45">
        <f>VLOOKUP($A435,'Dados StatusInvest'!$A:$AY,column(V435)-$A$5,0)</f>
        <v>0.23</v>
      </c>
      <c r="W435" s="45">
        <f>VLOOKUP($A435,'Dados StatusInvest'!$A:$AY,column(W435)-$A$5,0)</f>
        <v>22.86</v>
      </c>
      <c r="X435" s="45">
        <f>VLOOKUP($A435,'Dados StatusInvest'!$A:$AY,column(X435)-$A$5,0)</f>
        <v>1.82</v>
      </c>
      <c r="Y435" s="45">
        <f>VLOOKUP($A435,'Dados StatusInvest'!$A:$AY,column(Y435)-$A$5,0)</f>
        <v>0</v>
      </c>
      <c r="Z435" s="44">
        <f>VLOOKUP($A435,'Dados StatusInvest'!$A:$AY,column(Z435)-$A$5,0)</f>
        <v>0.08</v>
      </c>
      <c r="AA435" s="44">
        <f>VLOOKUP($A435,'Dados StatusInvest'!$A:$AY,column(AA435)-$A$5,0)</f>
        <v>0.92</v>
      </c>
      <c r="AB435" s="44">
        <f>VLOOKUP($A435,'Dados StatusInvest'!$A:$AY,column(AB435)-$A$5,0)</f>
        <v>0.1</v>
      </c>
      <c r="AC435" s="44">
        <f>VLOOKUP($A435,'Dados StatusInvest'!$A:$AY,column(AC435)-$A$5,0)</f>
        <v>-2.43</v>
      </c>
      <c r="AD435" s="45">
        <f>VLOOKUP($A435,'Dados StatusInvest'!$A:$AY,column(AD435)-$A$5,0)</f>
        <v>36.13</v>
      </c>
      <c r="AE435" s="46">
        <f>VLOOKUP($A435,'Dados StatusInvest'!$A:$AY,column(AE435)-$A$5,0)</f>
        <v>15233</v>
      </c>
      <c r="AF435" s="18"/>
    </row>
    <row r="436">
      <c r="A436" s="10" t="s">
        <v>482</v>
      </c>
      <c r="B436" s="39" t="str">
        <f>VLOOKUP(lEFT($A436,4),Setor!$A:$E,3,0)</f>
        <v>Materiais Básicos</v>
      </c>
      <c r="C436" s="39" t="str">
        <f>VLOOKUP(lEFT($A436,4),Setor!$A:$E,4,0)</f>
        <v>Materiais Diversos</v>
      </c>
      <c r="D436" s="39" t="str">
        <f>VLOOKUP(lEFT($A436,4),Setor!$A:$E,5,0)</f>
        <v>Materiais Diversos</v>
      </c>
      <c r="E436" s="17">
        <f>IFERROR(__xludf.DUMMYFUNCTION("GOOGLEFINANCE(A436)"),12.1)</f>
        <v>12.1</v>
      </c>
      <c r="F436" s="17">
        <f>IFERROR(__xludf.DUMMYFUNCTION("GOOGLEFINANCE($A436,""high52"")"),47.52)</f>
        <v>47.52</v>
      </c>
      <c r="G436" s="16">
        <f t="shared" si="1"/>
        <v>-0.7453703704</v>
      </c>
      <c r="H436" s="40">
        <f>VLOOKUP($A436,'Dados StatusInvest'!$A:$AY,column(H436)-$A$5,0)*VLOOKUP($A436,'Dados StatusInvest'!$A:$AY,2,0)/$E436/100</f>
        <v>0</v>
      </c>
      <c r="I436" s="41">
        <f>VLOOKUP($A436,'Dados StatusInvest'!$A:$AY,column(I436)-$A$5,0)/VLOOKUP($A436,'Dados StatusInvest'!$A:$AY,2,0)*$E436</f>
        <v>-0.8368592352</v>
      </c>
      <c r="J436" s="41">
        <f>VLOOKUP($A436,'Dados StatusInvest'!$A:$AY,column(J436)-$A$5,0)/VLOOKUP($A436,'Dados StatusInvest'!$A:$AY,2,0)*$E436</f>
        <v>-0.06891781937</v>
      </c>
      <c r="K436" s="42">
        <f>VLOOKUP($A436,'Dados StatusInvest'!$A:$AY,column(K436)-$A$5,0)/VLOOKUP($A436,'Dados StatusInvest'!$A:$AY,2,0)*$E436</f>
        <v>0.2264442636</v>
      </c>
      <c r="L436" s="43">
        <f>VLOOKUP($A436,'Dados StatusInvest'!$A:$AY,column(L436)-$A$5,0)/100</f>
        <v>0.1819</v>
      </c>
      <c r="M436" s="44">
        <f>VLOOKUP($A436,'Dados StatusInvest'!$A:$AY,column(M436)-$A$5,0)</f>
        <v>-2.49</v>
      </c>
      <c r="N436" s="44">
        <f>VLOOKUP($A436,'Dados StatusInvest'!$A:$AY,column(N436)-$A$5,0)</f>
        <v>-16.61</v>
      </c>
      <c r="O436" s="41">
        <f>VLOOKUP($A436,'Dados StatusInvest'!$A:$AY,column(O436)-$A$5,0)/VLOOKUP($A436,'Dados StatusInvest'!$A:$AY,2,0)*$E436</f>
        <v>-5.592188771</v>
      </c>
      <c r="P436" s="41">
        <f>VLOOKUP($A436,'Dados StatusInvest'!$A:$AY,column(P436)-$A$5,0)-VLOOKUP($A436,'Dados StatusInvest'!$A:$AY,column(P436)-$A$5-1,0)+O436</f>
        <v>-12.61218877</v>
      </c>
      <c r="Q436" s="44">
        <f>VLOOKUP($A436,'Dados StatusInvest'!$A:$AY,column(Q436)-$A$5,0)</f>
        <v>-6.7</v>
      </c>
      <c r="R436" s="44">
        <f>VLOOKUP($A436,'Dados StatusInvest'!$A:$AY,column(R436)-$A$5,0)</f>
        <v>0</v>
      </c>
      <c r="S436" s="41">
        <f>VLOOKUP($A436,'Dados StatusInvest'!$A:$AY,column(S436)-$A$5,0)/VLOOKUP($A436,'Dados StatusInvest'!$A:$AY,2,0)*$E436</f>
        <v>0.1378356387</v>
      </c>
      <c r="T436" s="42">
        <f>VLOOKUP($A436,'Dados StatusInvest'!$A:$AY,column(T436)-$A$5,0)/VLOOKUP($A436,'Dados StatusInvest'!$A:$AY,2,0)*$E436</f>
        <v>-1.585109845</v>
      </c>
      <c r="U436" s="44">
        <f>VLOOKUP($A436,'Dados StatusInvest'!$A:$AY,column(U436)-$A$5,0)</f>
        <v>-0.54</v>
      </c>
      <c r="V436" s="45">
        <f>VLOOKUP($A436,'Dados StatusInvest'!$A:$AY,column(V436)-$A$5,0)</f>
        <v>0.8</v>
      </c>
      <c r="W436" s="45">
        <f>VLOOKUP($A436,'Dados StatusInvest'!$A:$AY,column(W436)-$A$5,0)</f>
        <v>-7.88</v>
      </c>
      <c r="X436" s="45">
        <f>VLOOKUP($A436,'Dados StatusInvest'!$A:$AY,column(X436)-$A$5,0)</f>
        <v>-27.01</v>
      </c>
      <c r="Y436" s="45">
        <f>VLOOKUP($A436,'Dados StatusInvest'!$A:$AY,column(Y436)-$A$5,0)</f>
        <v>1.31</v>
      </c>
      <c r="Z436" s="44">
        <f>VLOOKUP($A436,'Dados StatusInvest'!$A:$AY,column(Z436)-$A$5,0)</f>
        <v>-3.43</v>
      </c>
      <c r="AA436" s="44">
        <f>VLOOKUP($A436,'Dados StatusInvest'!$A:$AY,column(AA436)-$A$5,0)</f>
        <v>4.46</v>
      </c>
      <c r="AB436" s="44">
        <f>VLOOKUP($A436,'Dados StatusInvest'!$A:$AY,column(AB436)-$A$5,0)</f>
        <v>1.63</v>
      </c>
      <c r="AC436" s="44">
        <f>VLOOKUP($A436,'Dados StatusInvest'!$A:$AY,column(AC436)-$A$5,0)</f>
        <v>4.14</v>
      </c>
      <c r="AD436" s="45">
        <f>VLOOKUP($A436,'Dados StatusInvest'!$A:$AY,column(AD436)-$A$5,0)</f>
        <v>0</v>
      </c>
      <c r="AE436" s="46">
        <f>VLOOKUP($A436,'Dados StatusInvest'!$A:$AY,column(AE436)-$A$5,0)</f>
        <v>19208.72</v>
      </c>
      <c r="AF436" s="18"/>
    </row>
    <row r="437">
      <c r="A437" s="10" t="s">
        <v>483</v>
      </c>
      <c r="B437" s="52" t="str">
        <f>VLOOKUP(lEFT($A437,4),Setor!$A:$E,3,0)</f>
        <v>Utilidade Pública</v>
      </c>
      <c r="C437" s="52" t="str">
        <f>VLOOKUP(lEFT($A437,4),Setor!$A:$E,4,0)</f>
        <v>Energia Elétrica</v>
      </c>
      <c r="D437" s="52" t="str">
        <f>VLOOKUP(lEFT($A437,4),Setor!$A:$E,5,0)</f>
        <v>Energia Elétrica</v>
      </c>
      <c r="E437" s="53">
        <f>IFERROR(__xludf.DUMMYFUNCTION("GOOGLEFINANCE(A437)"),35.0)</f>
        <v>35</v>
      </c>
      <c r="F437" s="53">
        <f>IFERROR(__xludf.DUMMYFUNCTION("GOOGLEFINANCE($A437,""high52"")"),54.9)</f>
        <v>54.9</v>
      </c>
      <c r="G437" s="54">
        <f t="shared" si="1"/>
        <v>-0.3624772313</v>
      </c>
      <c r="H437" s="55">
        <f>VLOOKUP($A437,'Dados StatusInvest'!$A:$AY,column(H437)-$A$5,0)*VLOOKUP($A437,'Dados StatusInvest'!$A:$AY,2,0)/$E437/100</f>
        <v>0.1</v>
      </c>
      <c r="I437" s="56">
        <f>VLOOKUP($A437,'Dados StatusInvest'!$A:$AY,column(I437)-$A$5,0)/VLOOKUP($A437,'Dados StatusInvest'!$A:$AY,2,0)*$E437</f>
        <v>6.49</v>
      </c>
      <c r="J437" s="56">
        <f>VLOOKUP($A437,'Dados StatusInvest'!$A:$AY,column(J437)-$A$5,0)/VLOOKUP($A437,'Dados StatusInvest'!$A:$AY,2,0)*$E437</f>
        <v>1.72</v>
      </c>
      <c r="K437" s="57">
        <f>VLOOKUP($A437,'Dados StatusInvest'!$A:$AY,column(K437)-$A$5,0)/VLOOKUP($A437,'Dados StatusInvest'!$A:$AY,2,0)*$E437</f>
        <v>0.81</v>
      </c>
      <c r="L437" s="58">
        <f>VLOOKUP($A437,'Dados StatusInvest'!$A:$AY,column(L437)-$A$5,0)/100</f>
        <v>0.9485</v>
      </c>
      <c r="M437" s="59">
        <f>VLOOKUP($A437,'Dados StatusInvest'!$A:$AY,column(M437)-$A$5,0)</f>
        <v>93.49</v>
      </c>
      <c r="N437" s="63">
        <f>VLOOKUP($A437,'Dados StatusInvest'!$A:$AY,column(N437)-$A$5,0)</f>
        <v>39.52</v>
      </c>
      <c r="O437" s="56">
        <f>VLOOKUP($A437,'Dados StatusInvest'!$A:$AY,column(O437)-$A$5,0)/VLOOKUP($A437,'Dados StatusInvest'!$A:$AY,2,0)*$E437</f>
        <v>2.75</v>
      </c>
      <c r="P437" s="56">
        <f>VLOOKUP($A437,'Dados StatusInvest'!$A:$AY,column(P437)-$A$5,0)-VLOOKUP($A437,'Dados StatusInvest'!$A:$AY,column(P437)-$A$5-1,0)+O437</f>
        <v>3.62</v>
      </c>
      <c r="Q437" s="59">
        <f>VLOOKUP($A437,'Dados StatusInvest'!$A:$AY,column(Q437)-$A$5,0)</f>
        <v>0.98</v>
      </c>
      <c r="R437" s="59">
        <f>VLOOKUP($A437,'Dados StatusInvest'!$A:$AY,column(R437)-$A$5,0)</f>
        <v>0.61</v>
      </c>
      <c r="S437" s="56">
        <f>VLOOKUP($A437,'Dados StatusInvest'!$A:$AY,column(S437)-$A$5,0)/VLOOKUP($A437,'Dados StatusInvest'!$A:$AY,2,0)*$E437</f>
        <v>2.57</v>
      </c>
      <c r="T437" s="57">
        <f>VLOOKUP($A437,'Dados StatusInvest'!$A:$AY,column(T437)-$A$5,0)/VLOOKUP($A437,'Dados StatusInvest'!$A:$AY,2,0)*$E437</f>
        <v>-8.53</v>
      </c>
      <c r="U437" s="59">
        <f>VLOOKUP($A437,'Dados StatusInvest'!$A:$AY,column(U437)-$A$5,0)</f>
        <v>-0.92</v>
      </c>
      <c r="V437" s="60">
        <f>VLOOKUP($A437,'Dados StatusInvest'!$A:$AY,column(V437)-$A$5,0)</f>
        <v>0.55</v>
      </c>
      <c r="W437" s="60">
        <f>VLOOKUP($A437,'Dados StatusInvest'!$A:$AY,column(W437)-$A$5,0)</f>
        <v>26.47</v>
      </c>
      <c r="X437" s="60">
        <f>VLOOKUP($A437,'Dados StatusInvest'!$A:$AY,column(X437)-$A$5,0)</f>
        <v>12.47</v>
      </c>
      <c r="Y437" s="60">
        <f>VLOOKUP($A437,'Dados StatusInvest'!$A:$AY,column(Y437)-$A$5,0)</f>
        <v>29.14</v>
      </c>
      <c r="Z437" s="59">
        <f>VLOOKUP($A437,'Dados StatusInvest'!$A:$AY,column(Z437)-$A$5,0)</f>
        <v>0.47</v>
      </c>
      <c r="AA437" s="59">
        <f>VLOOKUP($A437,'Dados StatusInvest'!$A:$AY,column(AA437)-$A$5,0)</f>
        <v>0.53</v>
      </c>
      <c r="AB437" s="59">
        <f>VLOOKUP($A437,'Dados StatusInvest'!$A:$AY,column(AB437)-$A$5,0)</f>
        <v>0.32</v>
      </c>
      <c r="AC437" s="59">
        <f>VLOOKUP($A437,'Dados StatusInvest'!$A:$AY,column(AC437)-$A$5,0)</f>
        <v>3.6</v>
      </c>
      <c r="AD437" s="60">
        <f>VLOOKUP($A437,'Dados StatusInvest'!$A:$AY,column(AD437)-$A$5,0)</f>
        <v>22.74</v>
      </c>
      <c r="AE437" s="62">
        <f>VLOOKUP($A437,'Dados StatusInvest'!$A:$AY,column(AE437)-$A$5,0)</f>
        <v>16173.07</v>
      </c>
      <c r="AF437" s="18"/>
    </row>
    <row r="438">
      <c r="A438" s="10" t="s">
        <v>484</v>
      </c>
      <c r="B438" s="52" t="str">
        <f>VLOOKUP(LEFT($A438,4),Setor!$A:$E,3,0)</f>
        <v>Bens Industriais</v>
      </c>
      <c r="C438" s="52" t="str">
        <f>VLOOKUP(LEFT($A438,4),Setor!$A:$E,4,0)</f>
        <v>Serviços Diversos</v>
      </c>
      <c r="D438" s="52" t="str">
        <f>VLOOKUP(LEFT($A438,4),Setor!$A:$E,5,0)</f>
        <v>Serviços Diversos</v>
      </c>
      <c r="E438" s="53">
        <f>IFERROR(__xludf.DUMMYFUNCTION("GOOGLEFINANCE(A438)"),8.19)</f>
        <v>8.19</v>
      </c>
      <c r="F438" s="53">
        <f>IFERROR(__xludf.DUMMYFUNCTION("GOOGLEFINANCE($A438,""high52"")"),22.47)</f>
        <v>22.47</v>
      </c>
      <c r="G438" s="54">
        <f t="shared" si="1"/>
        <v>-0.6355140187</v>
      </c>
      <c r="H438" s="55">
        <f>VLOOKUP($A438,'Dados StatusInvest'!$A:$AY,COLUMN(H438)-$A$5,0)*VLOOKUP($A438,'Dados StatusInvest'!$A:$AY,2,0)/$E438/100</f>
        <v>0</v>
      </c>
      <c r="I438" s="56">
        <f>VLOOKUP($A438,'Dados StatusInvest'!$A:$AY,COLUMN(I438)-$A$5,0)/VLOOKUP($A438,'Dados StatusInvest'!$A:$AY,2,0)*$E438</f>
        <v>-19.33698178</v>
      </c>
      <c r="J438" s="56">
        <f>VLOOKUP($A438,'Dados StatusInvest'!$A:$AY,COLUMN(J438)-$A$5,0)/VLOOKUP($A438,'Dados StatusInvest'!$A:$AY,2,0)*$E438</f>
        <v>35.95951025</v>
      </c>
      <c r="K438" s="57">
        <f>VLOOKUP($A438,'Dados StatusInvest'!$A:$AY,COLUMN(K438)-$A$5,0)/VLOOKUP($A438,'Dados StatusInvest'!$A:$AY,2,0)*$E438</f>
        <v>4.636025057</v>
      </c>
      <c r="L438" s="58">
        <f>VLOOKUP($A438,'Dados StatusInvest'!$A:$AY,COLUMN(L438)-$A$5,0)/100</f>
        <v>0.2022</v>
      </c>
      <c r="M438" s="59">
        <f>VLOOKUP($A438,'Dados StatusInvest'!$A:$AY,COLUMN(M438)-$A$5,0)</f>
        <v>-36.97</v>
      </c>
      <c r="N438" s="59">
        <f>VLOOKUP($A438,'Dados StatusInvest'!$A:$AY,COLUMN(N438)-$A$5,0)</f>
        <v>-45.21</v>
      </c>
      <c r="O438" s="56">
        <f>VLOOKUP($A438,'Dados StatusInvest'!$A:$AY,COLUMN(O438)-$A$5,0)/VLOOKUP($A438,'Dados StatusInvest'!$A:$AY,2,0)*$E438</f>
        <v>-23.6465262</v>
      </c>
      <c r="P438" s="56">
        <f>VLOOKUP($A438,'Dados StatusInvest'!$A:$AY,COLUMN(P438)-$A$5,0)-VLOOKUP($A438,'Dados StatusInvest'!$A:$AY,COLUMN(P438)-$A$5-1,0)+O438</f>
        <v>-30.3165262</v>
      </c>
      <c r="Q438" s="59">
        <f>VLOOKUP($A438,'Dados StatusInvest'!$A:$AY,COLUMN(Q438)-$A$5,0)</f>
        <v>-0.37</v>
      </c>
      <c r="R438" s="59">
        <f>VLOOKUP($A438,'Dados StatusInvest'!$A:$AY,COLUMN(R438)-$A$5,0)</f>
        <v>0.57</v>
      </c>
      <c r="S438" s="56">
        <f>VLOOKUP($A438,'Dados StatusInvest'!$A:$AY,COLUMN(S438)-$A$5,0)/VLOOKUP($A438,'Dados StatusInvest'!$A:$AY,2,0)*$E438</f>
        <v>8.740353075</v>
      </c>
      <c r="T438" s="57">
        <f>VLOOKUP($A438,'Dados StatusInvest'!$A:$AY,COLUMN(T438)-$A$5,0)/VLOOKUP($A438,'Dados StatusInvest'!$A:$AY,2,0)*$E438</f>
        <v>-35.0640205</v>
      </c>
      <c r="U438" s="59">
        <f>VLOOKUP($A438,'Dados StatusInvest'!$A:$AY,COLUMN(U438)-$A$5,0)</f>
        <v>-7.58</v>
      </c>
      <c r="V438" s="60">
        <f>VLOOKUP($A438,'Dados StatusInvest'!$A:$AY,COLUMN(V438)-$A$5,0)</f>
        <v>0.72</v>
      </c>
      <c r="W438" s="60">
        <f>VLOOKUP($A438,'Dados StatusInvest'!$A:$AY,COLUMN(W438)-$A$5,0)</f>
        <v>-185.96</v>
      </c>
      <c r="X438" s="60">
        <f>VLOOKUP($A438,'Dados StatusInvest'!$A:$AY,COLUMN(X438)-$A$5,0)</f>
        <v>-23.95</v>
      </c>
      <c r="Y438" s="60">
        <f>VLOOKUP($A438,'Dados StatusInvest'!$A:$AY,COLUMN(Y438)-$A$5,0)</f>
        <v>-84.82</v>
      </c>
      <c r="Z438" s="59">
        <f>VLOOKUP($A438,'Dados StatusInvest'!$A:$AY,COLUMN(Z438)-$A$5,0)</f>
        <v>0.13</v>
      </c>
      <c r="AA438" s="59">
        <f>VLOOKUP($A438,'Dados StatusInvest'!$A:$AY,COLUMN(AA438)-$A$5,0)</f>
        <v>0.87</v>
      </c>
      <c r="AB438" s="59">
        <f>VLOOKUP($A438,'Dados StatusInvest'!$A:$AY,COLUMN(AB438)-$A$5,0)</f>
        <v>0.53</v>
      </c>
      <c r="AC438" s="59">
        <f>VLOOKUP($A438,'Dados StatusInvest'!$A:$AY,COLUMN(AC438)-$A$5,0)</f>
        <v>4.04</v>
      </c>
      <c r="AD438" s="60">
        <f>VLOOKUP($A438,'Dados StatusInvest'!$A:$AY,COLUMN(AD438)-$A$5,0)</f>
        <v>0</v>
      </c>
      <c r="AE438" s="62">
        <f>VLOOKUP($A438,'Dados StatusInvest'!$A:$AY,COLUMN(AE438)-$A$5,0)</f>
        <v>16752.43</v>
      </c>
      <c r="AF438" s="18"/>
    </row>
    <row r="439">
      <c r="A439" s="10" t="s">
        <v>485</v>
      </c>
      <c r="B439" s="39" t="str">
        <f>VLOOKUP(lEFT($A439,4),Setor!$A:$E,3,0)</f>
        <v>Materiais Básicos</v>
      </c>
      <c r="C439" s="39" t="str">
        <f>VLOOKUP(lEFT($A439,4),Setor!$A:$E,4,0)</f>
        <v>Siderurgia e Metalurgia</v>
      </c>
      <c r="D439" s="39" t="str">
        <f>VLOOKUP(lEFT($A439,4),Setor!$A:$E,5,0)</f>
        <v>Artefatos de Ferro e Aço</v>
      </c>
      <c r="E439" s="17">
        <f>IFERROR(__xludf.DUMMYFUNCTION("GOOGLEFINANCE(A439)"),59.0)</f>
        <v>59</v>
      </c>
      <c r="F439" s="17">
        <f>IFERROR(__xludf.DUMMYFUNCTION("GOOGLEFINANCE($A439,""high52"")"),83.97)</f>
        <v>83.97</v>
      </c>
      <c r="G439" s="16">
        <f t="shared" si="1"/>
        <v>-0.2973681077</v>
      </c>
      <c r="H439" s="40">
        <f>VLOOKUP($A439,'Dados StatusInvest'!$A:$AY,column(H439)-$A$5,0)*VLOOKUP($A439,'Dados StatusInvest'!$A:$AY,2,0)/$E439/100</f>
        <v>0.0402</v>
      </c>
      <c r="I439" s="41">
        <f>VLOOKUP($A439,'Dados StatusInvest'!$A:$AY,column(I439)-$A$5,0)/VLOOKUP($A439,'Dados StatusInvest'!$A:$AY,2,0)*$E439</f>
        <v>5.54</v>
      </c>
      <c r="J439" s="41">
        <f>VLOOKUP($A439,'Dados StatusInvest'!$A:$AY,column(J439)-$A$5,0)/VLOOKUP($A439,'Dados StatusInvest'!$A:$AY,2,0)*$E439</f>
        <v>1.82</v>
      </c>
      <c r="K439" s="42">
        <f>VLOOKUP($A439,'Dados StatusInvest'!$A:$AY,column(K439)-$A$5,0)/VLOOKUP($A439,'Dados StatusInvest'!$A:$AY,2,0)*$E439</f>
        <v>0.81</v>
      </c>
      <c r="L439" s="43">
        <f>VLOOKUP($A439,'Dados StatusInvest'!$A:$AY,column(L439)-$A$5,0)/100</f>
        <v>0.2213</v>
      </c>
      <c r="M439" s="44">
        <f>VLOOKUP($A439,'Dados StatusInvest'!$A:$AY,column(M439)-$A$5,0)</f>
        <v>17.29</v>
      </c>
      <c r="N439" s="44">
        <f>VLOOKUP($A439,'Dados StatusInvest'!$A:$AY,column(N439)-$A$5,0)</f>
        <v>11.18</v>
      </c>
      <c r="O439" s="41">
        <f>VLOOKUP($A439,'Dados StatusInvest'!$A:$AY,column(O439)-$A$5,0)/VLOOKUP($A439,'Dados StatusInvest'!$A:$AY,2,0)*$E439</f>
        <v>3.58</v>
      </c>
      <c r="P439" s="41">
        <f>VLOOKUP($A439,'Dados StatusInvest'!$A:$AY,column(P439)-$A$5,0)-VLOOKUP($A439,'Dados StatusInvest'!$A:$AY,column(P439)-$A$5-1,0)+O439</f>
        <v>4.92</v>
      </c>
      <c r="Q439" s="44">
        <f>VLOOKUP($A439,'Dados StatusInvest'!$A:$AY,column(Q439)-$A$5,0)</f>
        <v>0.47</v>
      </c>
      <c r="R439" s="44">
        <f>VLOOKUP($A439,'Dados StatusInvest'!$A:$AY,column(R439)-$A$5,0)</f>
        <v>0.24</v>
      </c>
      <c r="S439" s="41">
        <f>VLOOKUP($A439,'Dados StatusInvest'!$A:$AY,column(S439)-$A$5,0)/VLOOKUP($A439,'Dados StatusInvest'!$A:$AY,2,0)*$E439</f>
        <v>0.62</v>
      </c>
      <c r="T439" s="42">
        <f>VLOOKUP($A439,'Dados StatusInvest'!$A:$AY,column(T439)-$A$5,0)/VLOOKUP($A439,'Dados StatusInvest'!$A:$AY,2,0)*$E439</f>
        <v>1.42</v>
      </c>
      <c r="U439" s="44">
        <f>VLOOKUP($A439,'Dados StatusInvest'!$A:$AY,column(U439)-$A$5,0)</f>
        <v>-5.43</v>
      </c>
      <c r="V439" s="45">
        <f>VLOOKUP($A439,'Dados StatusInvest'!$A:$AY,column(V439)-$A$5,0)</f>
        <v>3.06</v>
      </c>
      <c r="W439" s="48">
        <f>VLOOKUP($A439,'Dados StatusInvest'!$A:$AY,column(W439)-$A$5,0)</f>
        <v>32.87</v>
      </c>
      <c r="X439" s="45">
        <f>VLOOKUP($A439,'Dados StatusInvest'!$A:$AY,column(X439)-$A$5,0)</f>
        <v>14.71</v>
      </c>
      <c r="Y439" s="45">
        <f>VLOOKUP($A439,'Dados StatusInvest'!$A:$AY,column(Y439)-$A$5,0)</f>
        <v>20.08</v>
      </c>
      <c r="Z439" s="44">
        <f>VLOOKUP($A439,'Dados StatusInvest'!$A:$AY,column(Z439)-$A$5,0)</f>
        <v>0.45</v>
      </c>
      <c r="AA439" s="44">
        <f>VLOOKUP($A439,'Dados StatusInvest'!$A:$AY,column(AA439)-$A$5,0)</f>
        <v>0.55</v>
      </c>
      <c r="AB439" s="44">
        <f>VLOOKUP($A439,'Dados StatusInvest'!$A:$AY,column(AB439)-$A$5,0)</f>
        <v>1.32</v>
      </c>
      <c r="AC439" s="44">
        <f>VLOOKUP($A439,'Dados StatusInvest'!$A:$AY,column(AC439)-$A$5,0)</f>
        <v>17.73</v>
      </c>
      <c r="AD439" s="45">
        <f>VLOOKUP($A439,'Dados StatusInvest'!$A:$AY,column(AD439)-$A$5,0)</f>
        <v>87.28</v>
      </c>
      <c r="AE439" s="46">
        <f>VLOOKUP($A439,'Dados StatusInvest'!$A:$AY,column(AE439)-$A$5,0)</f>
        <v>22723.83</v>
      </c>
      <c r="AF439" s="50"/>
    </row>
    <row r="440">
      <c r="A440" s="10" t="s">
        <v>486</v>
      </c>
      <c r="B440" s="39" t="str">
        <f>VLOOKUP(lEFT($A440,4),Setor!$A:$E,3,0)</f>
        <v>Outros</v>
      </c>
      <c r="C440" s="39" t="str">
        <f>VLOOKUP(lEFT($A440,4),Setor!$A:$E,4,0)</f>
        <v>Outros</v>
      </c>
      <c r="D440" s="39" t="str">
        <f>VLOOKUP(lEFT($A440,4),Setor!$A:$E,5,0)</f>
        <v>Outros</v>
      </c>
      <c r="E440" s="17">
        <f>IFERROR(__xludf.DUMMYFUNCTION("GOOGLEFINANCE(A440)"),37.0)</f>
        <v>37</v>
      </c>
      <c r="F440" s="17">
        <f>IFERROR(__xludf.DUMMYFUNCTION("GOOGLEFINANCE($A440,""high52"")"),97.0)</f>
        <v>97</v>
      </c>
      <c r="G440" s="16">
        <f t="shared" si="1"/>
        <v>-0.618556701</v>
      </c>
      <c r="H440" s="40">
        <f>VLOOKUP($A440,'Dados StatusInvest'!$A:$AY,column(H440)-$A$5,0)*VLOOKUP($A440,'Dados StatusInvest'!$A:$AY,2,0)/$E440/100</f>
        <v>0</v>
      </c>
      <c r="I440" s="41">
        <f>VLOOKUP($A440,'Dados StatusInvest'!$A:$AY,column(I440)-$A$5,0)/VLOOKUP($A440,'Dados StatusInvest'!$A:$AY,2,0)*$E440</f>
        <v>-220.77</v>
      </c>
      <c r="J440" s="41">
        <f>VLOOKUP($A440,'Dados StatusInvest'!$A:$AY,column(J440)-$A$5,0)/VLOOKUP($A440,'Dados StatusInvest'!$A:$AY,2,0)*$E440</f>
        <v>-5.79</v>
      </c>
      <c r="K440" s="42">
        <f>VLOOKUP($A440,'Dados StatusInvest'!$A:$AY,column(K440)-$A$5,0)/VLOOKUP($A440,'Dados StatusInvest'!$A:$AY,2,0)*$E440</f>
        <v>43.98</v>
      </c>
      <c r="L440" s="43">
        <f>VLOOKUP($A440,'Dados StatusInvest'!$A:$AY,column(L440)-$A$5,0)/100</f>
        <v>0</v>
      </c>
      <c r="M440" s="44">
        <f>VLOOKUP($A440,'Dados StatusInvest'!$A:$AY,column(M440)-$A$5,0)</f>
        <v>0</v>
      </c>
      <c r="N440" s="44">
        <f>VLOOKUP($A440,'Dados StatusInvest'!$A:$AY,column(N440)-$A$5,0)</f>
        <v>0</v>
      </c>
      <c r="O440" s="41">
        <f>VLOOKUP($A440,'Dados StatusInvest'!$A:$AY,column(O440)-$A$5,0)/VLOOKUP($A440,'Dados StatusInvest'!$A:$AY,2,0)*$E440</f>
        <v>-222.22</v>
      </c>
      <c r="P440" s="41">
        <f>VLOOKUP($A440,'Dados StatusInvest'!$A:$AY,column(P440)-$A$5,0)-VLOOKUP($A440,'Dados StatusInvest'!$A:$AY,column(P440)-$A$5-1,0)+O440</f>
        <v>-225.1</v>
      </c>
      <c r="Q440" s="44">
        <f>VLOOKUP($A440,'Dados StatusInvest'!$A:$AY,column(Q440)-$A$5,0)</f>
        <v>0</v>
      </c>
      <c r="R440" s="44">
        <f>VLOOKUP($A440,'Dados StatusInvest'!$A:$AY,column(R440)-$A$5,0)</f>
        <v>0</v>
      </c>
      <c r="S440" s="41">
        <f>VLOOKUP($A440,'Dados StatusInvest'!$A:$AY,column(S440)-$A$5,0)/VLOOKUP($A440,'Dados StatusInvest'!$A:$AY,2,0)*$E440</f>
        <v>0</v>
      </c>
      <c r="T440" s="42">
        <f>VLOOKUP($A440,'Dados StatusInvest'!$A:$AY,column(T440)-$A$5,0)/VLOOKUP($A440,'Dados StatusInvest'!$A:$AY,2,0)*$E440</f>
        <v>-3090.83</v>
      </c>
      <c r="U440" s="44">
        <f>VLOOKUP($A440,'Dados StatusInvest'!$A:$AY,column(U440)-$A$5,0)</f>
        <v>-43.98</v>
      </c>
      <c r="V440" s="45">
        <f>VLOOKUP($A440,'Dados StatusInvest'!$A:$AY,column(V440)-$A$5,0)</f>
        <v>0</v>
      </c>
      <c r="W440" s="45">
        <f>VLOOKUP($A440,'Dados StatusInvest'!$A:$AY,column(W440)-$A$5,0)</f>
        <v>-2.62</v>
      </c>
      <c r="X440" s="45">
        <f>VLOOKUP($A440,'Dados StatusInvest'!$A:$AY,column(X440)-$A$5,0)</f>
        <v>-19.92</v>
      </c>
      <c r="Y440" s="45">
        <f>VLOOKUP($A440,'Dados StatusInvest'!$A:$AY,column(Y440)-$A$5,0)</f>
        <v>2.6</v>
      </c>
      <c r="Z440" s="44">
        <f>VLOOKUP($A440,'Dados StatusInvest'!$A:$AY,column(Z440)-$A$5,0)</f>
        <v>-7.6</v>
      </c>
      <c r="AA440" s="44">
        <f>VLOOKUP($A440,'Dados StatusInvest'!$A:$AY,column(AA440)-$A$5,0)</f>
        <v>8.6</v>
      </c>
      <c r="AB440" s="44">
        <f>VLOOKUP($A440,'Dados StatusInvest'!$A:$AY,column(AB440)-$A$5,0)</f>
        <v>0</v>
      </c>
      <c r="AC440" s="44">
        <f>VLOOKUP($A440,'Dados StatusInvest'!$A:$AY,column(AC440)-$A$5,0)</f>
        <v>0</v>
      </c>
      <c r="AD440" s="45">
        <f>VLOOKUP($A440,'Dados StatusInvest'!$A:$AY,column(AD440)-$A$5,0)</f>
        <v>0</v>
      </c>
      <c r="AE440" s="46">
        <f>VLOOKUP($A440,'Dados StatusInvest'!$A:$AY,column(AE440)-$A$5,0)</f>
        <v>14800</v>
      </c>
      <c r="AF440" s="51"/>
    </row>
    <row r="441">
      <c r="A441" s="10" t="s">
        <v>487</v>
      </c>
      <c r="B441" s="39" t="str">
        <f>VLOOKUP(lEFT($A441,4),Setor!$A:$E,3,0)</f>
        <v>Utilidade Pública</v>
      </c>
      <c r="C441" s="39" t="str">
        <f>VLOOKUP(lEFT($A441,4),Setor!$A:$E,4,0)</f>
        <v>Energia Elétrica</v>
      </c>
      <c r="D441" s="39" t="str">
        <f>VLOOKUP(lEFT($A441,4),Setor!$A:$E,5,0)</f>
        <v>Energia Elétrica</v>
      </c>
      <c r="E441" s="17">
        <f>IFERROR(__xludf.DUMMYFUNCTION("GOOGLEFINANCE(A441)"),33.5)</f>
        <v>33.5</v>
      </c>
      <c r="F441" s="17">
        <f>IFERROR(__xludf.DUMMYFUNCTION("GOOGLEFINANCE($A441,""high52"")"),47.0)</f>
        <v>47</v>
      </c>
      <c r="G441" s="16">
        <f t="shared" si="1"/>
        <v>-0.2872340426</v>
      </c>
      <c r="H441" s="40">
        <f>VLOOKUP($A441,'Dados StatusInvest'!$A:$AY,column(H441)-$A$5,0)*VLOOKUP($A441,'Dados StatusInvest'!$A:$AY,2,0)/$E441/100</f>
        <v>0.1045164179</v>
      </c>
      <c r="I441" s="41">
        <f>VLOOKUP($A441,'Dados StatusInvest'!$A:$AY,column(I441)-$A$5,0)/VLOOKUP($A441,'Dados StatusInvest'!$A:$AY,2,0)*$E441</f>
        <v>6.212727273</v>
      </c>
      <c r="J441" s="41">
        <f>VLOOKUP($A441,'Dados StatusInvest'!$A:$AY,column(J441)-$A$5,0)/VLOOKUP($A441,'Dados StatusInvest'!$A:$AY,2,0)*$E441</f>
        <v>1.644545455</v>
      </c>
      <c r="K441" s="42">
        <f>VLOOKUP($A441,'Dados StatusInvest'!$A:$AY,column(K441)-$A$5,0)/VLOOKUP($A441,'Dados StatusInvest'!$A:$AY,2,0)*$E441</f>
        <v>0.7715151515</v>
      </c>
      <c r="L441" s="43">
        <f>VLOOKUP($A441,'Dados StatusInvest'!$A:$AY,column(L441)-$A$5,0)/100</f>
        <v>0.9485</v>
      </c>
      <c r="M441" s="44">
        <f>VLOOKUP($A441,'Dados StatusInvest'!$A:$AY,column(M441)-$A$5,0)</f>
        <v>93.49</v>
      </c>
      <c r="N441" s="44">
        <f>VLOOKUP($A441,'Dados StatusInvest'!$A:$AY,column(N441)-$A$5,0)</f>
        <v>39.52</v>
      </c>
      <c r="O441" s="41">
        <f>VLOOKUP($A441,'Dados StatusInvest'!$A:$AY,column(O441)-$A$5,0)/VLOOKUP($A441,'Dados StatusInvest'!$A:$AY,2,0)*$E441</f>
        <v>2.629242424</v>
      </c>
      <c r="P441" s="41">
        <f>VLOOKUP($A441,'Dados StatusInvest'!$A:$AY,column(P441)-$A$5,0)-VLOOKUP($A441,'Dados StatusInvest'!$A:$AY,column(P441)-$A$5-1,0)+O441</f>
        <v>3.659242424</v>
      </c>
      <c r="Q441" s="44">
        <f>VLOOKUP($A441,'Dados StatusInvest'!$A:$AY,column(Q441)-$A$5,0)</f>
        <v>0.98</v>
      </c>
      <c r="R441" s="44">
        <f>VLOOKUP($A441,'Dados StatusInvest'!$A:$AY,column(R441)-$A$5,0)</f>
        <v>0.61</v>
      </c>
      <c r="S441" s="41">
        <f>VLOOKUP($A441,'Dados StatusInvest'!$A:$AY,column(S441)-$A$5,0)/VLOOKUP($A441,'Dados StatusInvest'!$A:$AY,2,0)*$E441</f>
        <v>2.456666667</v>
      </c>
      <c r="T441" s="42">
        <f>VLOOKUP($A441,'Dados StatusInvest'!$A:$AY,column(T441)-$A$5,0)/VLOOKUP($A441,'Dados StatusInvest'!$A:$AY,2,0)*$E441</f>
        <v>-8.171969697</v>
      </c>
      <c r="U441" s="44">
        <f>VLOOKUP($A441,'Dados StatusInvest'!$A:$AY,column(U441)-$A$5,0)</f>
        <v>-0.87</v>
      </c>
      <c r="V441" s="45">
        <f>VLOOKUP($A441,'Dados StatusInvest'!$A:$AY,column(V441)-$A$5,0)</f>
        <v>0.55</v>
      </c>
      <c r="W441" s="45">
        <f>VLOOKUP($A441,'Dados StatusInvest'!$A:$AY,column(W441)-$A$5,0)</f>
        <v>26.47</v>
      </c>
      <c r="X441" s="45">
        <f>VLOOKUP($A441,'Dados StatusInvest'!$A:$AY,column(X441)-$A$5,0)</f>
        <v>12.47</v>
      </c>
      <c r="Y441" s="45">
        <f>VLOOKUP($A441,'Dados StatusInvest'!$A:$AY,column(Y441)-$A$5,0)</f>
        <v>29.14</v>
      </c>
      <c r="Z441" s="44">
        <f>VLOOKUP($A441,'Dados StatusInvest'!$A:$AY,column(Z441)-$A$5,0)</f>
        <v>0.47</v>
      </c>
      <c r="AA441" s="44">
        <f>VLOOKUP($A441,'Dados StatusInvest'!$A:$AY,column(AA441)-$A$5,0)</f>
        <v>0.53</v>
      </c>
      <c r="AB441" s="44">
        <f>VLOOKUP($A441,'Dados StatusInvest'!$A:$AY,column(AB441)-$A$5,0)</f>
        <v>0.32</v>
      </c>
      <c r="AC441" s="44">
        <f>VLOOKUP($A441,'Dados StatusInvest'!$A:$AY,column(AC441)-$A$5,0)</f>
        <v>3.6</v>
      </c>
      <c r="AD441" s="45">
        <f>VLOOKUP($A441,'Dados StatusInvest'!$A:$AY,column(AD441)-$A$5,0)</f>
        <v>22.74</v>
      </c>
      <c r="AE441" s="46">
        <f>VLOOKUP($A441,'Dados StatusInvest'!$A:$AY,column(AE441)-$A$5,0)</f>
        <v>12760.55</v>
      </c>
      <c r="AF441" s="50"/>
    </row>
    <row r="442">
      <c r="A442" s="10" t="s">
        <v>488</v>
      </c>
      <c r="B442" s="39" t="str">
        <f>VLOOKUP(lEFT($A442,4),Setor!$A:$E,3,0)</f>
        <v>Financeiro</v>
      </c>
      <c r="C442" s="39" t="str">
        <f>VLOOKUP(lEFT($A442,4),Setor!$A:$E,4,0)</f>
        <v>Holdings Diversificadas</v>
      </c>
      <c r="D442" s="39" t="str">
        <f>VLOOKUP(lEFT($A442,4),Setor!$A:$E,5,0)</f>
        <v>Holdings Diversificadas</v>
      </c>
      <c r="E442" s="17">
        <f>IFERROR(__xludf.DUMMYFUNCTION("GOOGLEFINANCE(A442)"),68.99)</f>
        <v>68.99</v>
      </c>
      <c r="F442" s="17">
        <f>IFERROR(__xludf.DUMMYFUNCTION("GOOGLEFINANCE($A442,""high52"")"),125.0)</f>
        <v>125</v>
      </c>
      <c r="G442" s="16">
        <f t="shared" si="1"/>
        <v>-0.44808</v>
      </c>
      <c r="H442" s="40">
        <f>VLOOKUP($A442,'Dados StatusInvest'!$A:$AY,column(H442)-$A$5,0)*VLOOKUP($A442,'Dados StatusInvest'!$A:$AY,2,0)/$E442/100</f>
        <v>0.483780258</v>
      </c>
      <c r="I442" s="41">
        <f>VLOOKUP($A442,'Dados StatusInvest'!$A:$AY,column(I442)-$A$5,0)/VLOOKUP($A442,'Dados StatusInvest'!$A:$AY,2,0)*$E442</f>
        <v>1.72475</v>
      </c>
      <c r="J442" s="41">
        <f>VLOOKUP($A442,'Dados StatusInvest'!$A:$AY,column(J442)-$A$5,0)/VLOOKUP($A442,'Dados StatusInvest'!$A:$AY,2,0)*$E442</f>
        <v>1.527635714</v>
      </c>
      <c r="K442" s="42">
        <f>VLOOKUP($A442,'Dados StatusInvest'!$A:$AY,column(K442)-$A$5,0)/VLOOKUP($A442,'Dados StatusInvest'!$A:$AY,2,0)*$E442</f>
        <v>1.340377143</v>
      </c>
      <c r="L442" s="43">
        <f>VLOOKUP($A442,'Dados StatusInvest'!$A:$AY,column(L442)-$A$5,0)/100</f>
        <v>0.9222</v>
      </c>
      <c r="M442" s="47">
        <f>VLOOKUP($A442,'Dados StatusInvest'!$A:$AY,column(M442)-$A$5,0)</f>
        <v>3112.42</v>
      </c>
      <c r="N442" s="47">
        <f>VLOOKUP($A442,'Dados StatusInvest'!$A:$AY,column(N442)-$A$5,0)</f>
        <v>2155.32</v>
      </c>
      <c r="O442" s="41">
        <f>VLOOKUP($A442,'Dados StatusInvest'!$A:$AY,column(O442)-$A$5,0)/VLOOKUP($A442,'Dados StatusInvest'!$A:$AY,2,0)*$E442</f>
        <v>1.192541429</v>
      </c>
      <c r="P442" s="41">
        <f>VLOOKUP($A442,'Dados StatusInvest'!$A:$AY,column(P442)-$A$5,0)-VLOOKUP($A442,'Dados StatusInvest'!$A:$AY,column(P442)-$A$5-1,0)+O442</f>
        <v>0.8025414286</v>
      </c>
      <c r="Q442" s="44">
        <f>VLOOKUP($A442,'Dados StatusInvest'!$A:$AY,column(Q442)-$A$5,0)</f>
        <v>-0.34</v>
      </c>
      <c r="R442" s="44">
        <f>VLOOKUP($A442,'Dados StatusInvest'!$A:$AY,column(R442)-$A$5,0)</f>
        <v>-0.44</v>
      </c>
      <c r="S442" s="41">
        <f>VLOOKUP($A442,'Dados StatusInvest'!$A:$AY,column(S442)-$A$5,0)/VLOOKUP($A442,'Dados StatusInvest'!$A:$AY,2,0)*$E442</f>
        <v>37.10676429</v>
      </c>
      <c r="T442" s="42">
        <f>VLOOKUP($A442,'Dados StatusInvest'!$A:$AY,column(T442)-$A$5,0)/VLOOKUP($A442,'Dados StatusInvest'!$A:$AY,2,0)*$E442</f>
        <v>3.015848571</v>
      </c>
      <c r="U442" s="44">
        <f>VLOOKUP($A442,'Dados StatusInvest'!$A:$AY,column(U442)-$A$5,0)</f>
        <v>-2.55</v>
      </c>
      <c r="V442" s="45">
        <f>VLOOKUP($A442,'Dados StatusInvest'!$A:$AY,column(V442)-$A$5,0)</f>
        <v>18.27</v>
      </c>
      <c r="W442" s="48">
        <f>VLOOKUP($A442,'Dados StatusInvest'!$A:$AY,column(W442)-$A$5,0)</f>
        <v>88.86</v>
      </c>
      <c r="X442" s="45">
        <f>VLOOKUP($A442,'Dados StatusInvest'!$A:$AY,column(X442)-$A$5,0)</f>
        <v>77.63</v>
      </c>
      <c r="Y442" s="45">
        <f>VLOOKUP($A442,'Dados StatusInvest'!$A:$AY,column(Y442)-$A$5,0)</f>
        <v>81.32</v>
      </c>
      <c r="Z442" s="44">
        <f>VLOOKUP($A442,'Dados StatusInvest'!$A:$AY,column(Z442)-$A$5,0)</f>
        <v>0.87</v>
      </c>
      <c r="AA442" s="44">
        <f>VLOOKUP($A442,'Dados StatusInvest'!$A:$AY,column(AA442)-$A$5,0)</f>
        <v>0.13</v>
      </c>
      <c r="AB442" s="44">
        <f>VLOOKUP($A442,'Dados StatusInvest'!$A:$AY,column(AB442)-$A$5,0)</f>
        <v>0.04</v>
      </c>
      <c r="AC442" s="44">
        <f>VLOOKUP($A442,'Dados StatusInvest'!$A:$AY,column(AC442)-$A$5,0)</f>
        <v>-8.83</v>
      </c>
      <c r="AD442" s="45">
        <f>VLOOKUP($A442,'Dados StatusInvest'!$A:$AY,column(AD442)-$A$5,0)</f>
        <v>81.97</v>
      </c>
      <c r="AE442" s="46">
        <f>VLOOKUP($A442,'Dados StatusInvest'!$A:$AY,column(AE442)-$A$5,0)</f>
        <v>12990.1</v>
      </c>
      <c r="AF442" s="51"/>
    </row>
    <row r="443">
      <c r="A443" s="10" t="s">
        <v>489</v>
      </c>
      <c r="B443" s="39" t="str">
        <f>VLOOKUP(lEFT($A443,4),Setor!$A:$E,3,0)</f>
        <v>Utilidade Pública</v>
      </c>
      <c r="C443" s="39" t="str">
        <f>VLOOKUP(lEFT($A443,4),Setor!$A:$E,4,0)</f>
        <v>Energia Elétrica</v>
      </c>
      <c r="D443" s="39" t="str">
        <f>VLOOKUP(lEFT($A443,4),Setor!$A:$E,5,0)</f>
        <v>Energia Elétrica</v>
      </c>
      <c r="E443" s="17">
        <f>IFERROR(__xludf.DUMMYFUNCTION("GOOGLEFINANCE(A443)"),16.02)</f>
        <v>16.02</v>
      </c>
      <c r="F443" s="17">
        <f>IFERROR(__xludf.DUMMYFUNCTION("GOOGLEFINANCE($A443,""high52"")"),27.62)</f>
        <v>27.62</v>
      </c>
      <c r="G443" s="16">
        <f t="shared" si="1"/>
        <v>-0.4199855177</v>
      </c>
      <c r="H443" s="40">
        <f>VLOOKUP($A443,'Dados StatusInvest'!$A:$AY,column(H443)-$A$5,0)*VLOOKUP($A443,'Dados StatusInvest'!$A:$AY,2,0)/$E443/100</f>
        <v>0.1256</v>
      </c>
      <c r="I443" s="41">
        <f>VLOOKUP($A443,'Dados StatusInvest'!$A:$AY,column(I443)-$A$5,0)/VLOOKUP($A443,'Dados StatusInvest'!$A:$AY,2,0)*$E443</f>
        <v>6.11</v>
      </c>
      <c r="J443" s="41">
        <f>VLOOKUP($A443,'Dados StatusInvest'!$A:$AY,column(J443)-$A$5,0)/VLOOKUP($A443,'Dados StatusInvest'!$A:$AY,2,0)*$E443</f>
        <v>2.02</v>
      </c>
      <c r="K443" s="42">
        <f>VLOOKUP($A443,'Dados StatusInvest'!$A:$AY,column(K443)-$A$5,0)/VLOOKUP($A443,'Dados StatusInvest'!$A:$AY,2,0)*$E443</f>
        <v>0.56</v>
      </c>
      <c r="L443" s="43">
        <f>VLOOKUP($A443,'Dados StatusInvest'!$A:$AY,column(L443)-$A$5,0)/100</f>
        <v>0.2315</v>
      </c>
      <c r="M443" s="44">
        <f>VLOOKUP($A443,'Dados StatusInvest'!$A:$AY,column(M443)-$A$5,0)</f>
        <v>17.98</v>
      </c>
      <c r="N443" s="44">
        <f>VLOOKUP($A443,'Dados StatusInvest'!$A:$AY,column(N443)-$A$5,0)</f>
        <v>13.97</v>
      </c>
      <c r="O443" s="41">
        <f>VLOOKUP($A443,'Dados StatusInvest'!$A:$AY,column(O443)-$A$5,0)/VLOOKUP($A443,'Dados StatusInvest'!$A:$AY,2,0)*$E443</f>
        <v>4.75</v>
      </c>
      <c r="P443" s="41">
        <f>VLOOKUP($A443,'Dados StatusInvest'!$A:$AY,column(P443)-$A$5,0)-VLOOKUP($A443,'Dados StatusInvest'!$A:$AY,column(P443)-$A$5-1,0)+O443</f>
        <v>7.71</v>
      </c>
      <c r="Q443" s="44">
        <f>VLOOKUP($A443,'Dados StatusInvest'!$A:$AY,column(Q443)-$A$5,0)</f>
        <v>2.69</v>
      </c>
      <c r="R443" s="44">
        <f>VLOOKUP($A443,'Dados StatusInvest'!$A:$AY,column(R443)-$A$5,0)</f>
        <v>1.14</v>
      </c>
      <c r="S443" s="41">
        <f>VLOOKUP($A443,'Dados StatusInvest'!$A:$AY,column(S443)-$A$5,0)/VLOOKUP($A443,'Dados StatusInvest'!$A:$AY,2,0)*$E443</f>
        <v>0.85</v>
      </c>
      <c r="T443" s="42">
        <f>VLOOKUP($A443,'Dados StatusInvest'!$A:$AY,column(T443)-$A$5,0)/VLOOKUP($A443,'Dados StatusInvest'!$A:$AY,2,0)*$E443</f>
        <v>10.56</v>
      </c>
      <c r="U443" s="47">
        <f>VLOOKUP($A443,'Dados StatusInvest'!$A:$AY,column(U443)-$A$5,0)</f>
        <v>-0.73</v>
      </c>
      <c r="V443" s="45">
        <f>VLOOKUP($A443,'Dados StatusInvest'!$A:$AY,column(V443)-$A$5,0)</f>
        <v>1.29</v>
      </c>
      <c r="W443" s="48">
        <f>VLOOKUP($A443,'Dados StatusInvest'!$A:$AY,column(W443)-$A$5,0)</f>
        <v>33.04</v>
      </c>
      <c r="X443" s="48">
        <f>VLOOKUP($A443,'Dados StatusInvest'!$A:$AY,column(X443)-$A$5,0)</f>
        <v>9.09</v>
      </c>
      <c r="Y443" s="48">
        <f>VLOOKUP($A443,'Dados StatusInvest'!$A:$AY,column(Y443)-$A$5,0)</f>
        <v>15.28</v>
      </c>
      <c r="Z443" s="44">
        <f>VLOOKUP($A443,'Dados StatusInvest'!$A:$AY,column(Z443)-$A$5,0)</f>
        <v>0.28</v>
      </c>
      <c r="AA443" s="44">
        <f>VLOOKUP($A443,'Dados StatusInvest'!$A:$AY,column(AA443)-$A$5,0)</f>
        <v>0.72</v>
      </c>
      <c r="AB443" s="44">
        <f>VLOOKUP($A443,'Dados StatusInvest'!$A:$AY,column(AB443)-$A$5,0)</f>
        <v>0.65</v>
      </c>
      <c r="AC443" s="44">
        <f>VLOOKUP($A443,'Dados StatusInvest'!$A:$AY,column(AC443)-$A$5,0)</f>
        <v>9.71</v>
      </c>
      <c r="AD443" s="45">
        <f>VLOOKUP($A443,'Dados StatusInvest'!$A:$AY,column(AD443)-$A$5,0)</f>
        <v>18.81</v>
      </c>
      <c r="AE443" s="46">
        <f>VLOOKUP($A443,'Dados StatusInvest'!$A:$AY,column(AE443)-$A$5,0)</f>
        <v>8363.75</v>
      </c>
      <c r="AF443" s="50"/>
    </row>
    <row r="444">
      <c r="A444" s="10" t="s">
        <v>490</v>
      </c>
      <c r="B444" s="39" t="str">
        <f>VLOOKUP(lEFT($A444,4),Setor!$A:$E,3,0)</f>
        <v>Utilidade Pública</v>
      </c>
      <c r="C444" s="39" t="str">
        <f>VLOOKUP(lEFT($A444,4),Setor!$A:$E,4,0)</f>
        <v>Energia Elétrica</v>
      </c>
      <c r="D444" s="39" t="str">
        <f>VLOOKUP(lEFT($A444,4),Setor!$A:$E,5,0)</f>
        <v>Energia Elétrica</v>
      </c>
      <c r="E444" s="17">
        <f>IFERROR(__xludf.DUMMYFUNCTION("GOOGLEFINANCE(A444)"),45.0)</f>
        <v>45</v>
      </c>
      <c r="F444" s="17">
        <f>IFERROR(__xludf.DUMMYFUNCTION("GOOGLEFINANCE($A444,""high52"")"),80.02)</f>
        <v>80.02</v>
      </c>
      <c r="G444" s="16">
        <f t="shared" si="1"/>
        <v>-0.4376405899</v>
      </c>
      <c r="H444" s="40">
        <f>VLOOKUP($A444,'Dados StatusInvest'!$A:$AY,column(H444)-$A$5,0)*VLOOKUP($A444,'Dados StatusInvest'!$A:$AY,2,0)/$E444/100</f>
        <v>0</v>
      </c>
      <c r="I444" s="41">
        <f>VLOOKUP($A444,'Dados StatusInvest'!$A:$AY,column(I444)-$A$5,0)/VLOOKUP($A444,'Dados StatusInvest'!$A:$AY,2,0)*$E444</f>
        <v>-3.27</v>
      </c>
      <c r="J444" s="41">
        <f>VLOOKUP($A444,'Dados StatusInvest'!$A:$AY,column(J444)-$A$5,0)/VLOOKUP($A444,'Dados StatusInvest'!$A:$AY,2,0)*$E444</f>
        <v>-1.16</v>
      </c>
      <c r="K444" s="42">
        <f>VLOOKUP($A444,'Dados StatusInvest'!$A:$AY,column(K444)-$A$5,0)/VLOOKUP($A444,'Dados StatusInvest'!$A:$AY,2,0)*$E444</f>
        <v>0.58</v>
      </c>
      <c r="L444" s="43">
        <f>VLOOKUP($A444,'Dados StatusInvest'!$A:$AY,column(L444)-$A$5,0)/100</f>
        <v>0.0453</v>
      </c>
      <c r="M444" s="44">
        <f>VLOOKUP($A444,'Dados StatusInvest'!$A:$AY,column(M444)-$A$5,0)</f>
        <v>-7.6</v>
      </c>
      <c r="N444" s="44">
        <f>VLOOKUP($A444,'Dados StatusInvest'!$A:$AY,column(N444)-$A$5,0)</f>
        <v>-23.74</v>
      </c>
      <c r="O444" s="41">
        <f>VLOOKUP($A444,'Dados StatusInvest'!$A:$AY,column(O444)-$A$5,0)/VLOOKUP($A444,'Dados StatusInvest'!$A:$AY,2,0)*$E444</f>
        <v>-10.21</v>
      </c>
      <c r="P444" s="41">
        <f>VLOOKUP($A444,'Dados StatusInvest'!$A:$AY,column(P444)-$A$5,0)-VLOOKUP($A444,'Dados StatusInvest'!$A:$AY,column(P444)-$A$5-1,0)+O444</f>
        <v>-13.58</v>
      </c>
      <c r="Q444" s="44">
        <f>VLOOKUP($A444,'Dados StatusInvest'!$A:$AY,column(Q444)-$A$5,0)</f>
        <v>-3.36</v>
      </c>
      <c r="R444" s="44">
        <f>VLOOKUP($A444,'Dados StatusInvest'!$A:$AY,column(R444)-$A$5,0)</f>
        <v>0</v>
      </c>
      <c r="S444" s="41">
        <f>VLOOKUP($A444,'Dados StatusInvest'!$A:$AY,column(S444)-$A$5,0)/VLOOKUP($A444,'Dados StatusInvest'!$A:$AY,2,0)*$E444</f>
        <v>0.78</v>
      </c>
      <c r="T444" s="42">
        <f>VLOOKUP($A444,'Dados StatusInvest'!$A:$AY,column(T444)-$A$5,0)/VLOOKUP($A444,'Dados StatusInvest'!$A:$AY,2,0)*$E444</f>
        <v>-2.07</v>
      </c>
      <c r="U444" s="44">
        <f>VLOOKUP($A444,'Dados StatusInvest'!$A:$AY,column(U444)-$A$5,0)</f>
        <v>-0.76</v>
      </c>
      <c r="V444" s="45">
        <f>VLOOKUP($A444,'Dados StatusInvest'!$A:$AY,column(V444)-$A$5,0)</f>
        <v>0.46</v>
      </c>
      <c r="W444" s="45">
        <f>VLOOKUP($A444,'Dados StatusInvest'!$A:$AY,column(W444)-$A$5,0)</f>
        <v>-35.38</v>
      </c>
      <c r="X444" s="45">
        <f>VLOOKUP($A444,'Dados StatusInvest'!$A:$AY,column(X444)-$A$5,0)</f>
        <v>-17.71</v>
      </c>
      <c r="Y444" s="45">
        <f>VLOOKUP($A444,'Dados StatusInvest'!$A:$AY,column(Y444)-$A$5,0)</f>
        <v>20.8</v>
      </c>
      <c r="Z444" s="44">
        <f>VLOOKUP($A444,'Dados StatusInvest'!$A:$AY,column(Z444)-$A$5,0)</f>
        <v>-0.5</v>
      </c>
      <c r="AA444" s="44">
        <f>VLOOKUP($A444,'Dados StatusInvest'!$A:$AY,column(AA444)-$A$5,0)</f>
        <v>1.5</v>
      </c>
      <c r="AB444" s="44">
        <f>VLOOKUP($A444,'Dados StatusInvest'!$A:$AY,column(AB444)-$A$5,0)</f>
        <v>0.75</v>
      </c>
      <c r="AC444" s="44">
        <f>VLOOKUP($A444,'Dados StatusInvest'!$A:$AY,column(AC444)-$A$5,0)</f>
        <v>-0.25</v>
      </c>
      <c r="AD444" s="45">
        <f>VLOOKUP($A444,'Dados StatusInvest'!$A:$AY,column(AD444)-$A$5,0)</f>
        <v>0</v>
      </c>
      <c r="AE444" s="46">
        <f>VLOOKUP($A444,'Dados StatusInvest'!$A:$AY,column(AE444)-$A$5,0)</f>
        <v>4510.17</v>
      </c>
      <c r="AF444" s="51"/>
    </row>
    <row r="445">
      <c r="A445" s="10" t="s">
        <v>491</v>
      </c>
      <c r="B445" s="39" t="str">
        <f>VLOOKUP(lEFT($A445,4),Setor!$A:$E,3,0)</f>
        <v>Utilidade Pública</v>
      </c>
      <c r="C445" s="39" t="str">
        <f>VLOOKUP(lEFT($A445,4),Setor!$A:$E,4,0)</f>
        <v>Energia Elétrica</v>
      </c>
      <c r="D445" s="39" t="str">
        <f>VLOOKUP(lEFT($A445,4),Setor!$A:$E,5,0)</f>
        <v>Energia Elétrica</v>
      </c>
      <c r="E445" s="17">
        <f>IFERROR(__xludf.DUMMYFUNCTION("GOOGLEFINANCE(A445)"),30.5)</f>
        <v>30.5</v>
      </c>
      <c r="F445" s="17">
        <f>IFERROR(__xludf.DUMMYFUNCTION("GOOGLEFINANCE($A445,""high52"")"),60.0)</f>
        <v>60</v>
      </c>
      <c r="G445" s="16">
        <f t="shared" si="1"/>
        <v>-0.4916666667</v>
      </c>
      <c r="H445" s="40">
        <f>VLOOKUP($A445,'Dados StatusInvest'!$A:$AY,column(H445)-$A$5,0)*VLOOKUP($A445,'Dados StatusInvest'!$A:$AY,2,0)/$E445/100</f>
        <v>0.1104</v>
      </c>
      <c r="I445" s="41">
        <f>VLOOKUP($A445,'Dados StatusInvest'!$A:$AY,column(I445)-$A$5,0)/VLOOKUP($A445,'Dados StatusInvest'!$A:$AY,2,0)*$E445</f>
        <v>6.11</v>
      </c>
      <c r="J445" s="41">
        <f>VLOOKUP($A445,'Dados StatusInvest'!$A:$AY,column(J445)-$A$5,0)/VLOOKUP($A445,'Dados StatusInvest'!$A:$AY,2,0)*$E445</f>
        <v>1.41</v>
      </c>
      <c r="K445" s="42">
        <f>VLOOKUP($A445,'Dados StatusInvest'!$A:$AY,column(K445)-$A$5,0)/VLOOKUP($A445,'Dados StatusInvest'!$A:$AY,2,0)*$E445</f>
        <v>0.71</v>
      </c>
      <c r="L445" s="43">
        <f>VLOOKUP($A445,'Dados StatusInvest'!$A:$AY,column(L445)-$A$5,0)/100</f>
        <v>0.3227</v>
      </c>
      <c r="M445" s="44">
        <f>VLOOKUP($A445,'Dados StatusInvest'!$A:$AY,column(M445)-$A$5,0)</f>
        <v>38.28</v>
      </c>
      <c r="N445" s="44">
        <f>VLOOKUP($A445,'Dados StatusInvest'!$A:$AY,column(N445)-$A$5,0)</f>
        <v>79.62</v>
      </c>
      <c r="O445" s="41">
        <f>VLOOKUP($A445,'Dados StatusInvest'!$A:$AY,column(O445)-$A$5,0)/VLOOKUP($A445,'Dados StatusInvest'!$A:$AY,2,0)*$E445</f>
        <v>12.71</v>
      </c>
      <c r="P445" s="41">
        <f>VLOOKUP($A445,'Dados StatusInvest'!$A:$AY,column(P445)-$A$5,0)-VLOOKUP($A445,'Dados StatusInvest'!$A:$AY,column(P445)-$A$5-1,0)+O445</f>
        <v>11.1</v>
      </c>
      <c r="Q445" s="44">
        <f>VLOOKUP($A445,'Dados StatusInvest'!$A:$AY,column(Q445)-$A$5,0)</f>
        <v>1.73</v>
      </c>
      <c r="R445" s="44">
        <f>VLOOKUP($A445,'Dados StatusInvest'!$A:$AY,column(R445)-$A$5,0)</f>
        <v>0.19</v>
      </c>
      <c r="S445" s="41">
        <f>VLOOKUP($A445,'Dados StatusInvest'!$A:$AY,column(S445)-$A$5,0)/VLOOKUP($A445,'Dados StatusInvest'!$A:$AY,2,0)*$E445</f>
        <v>4.86</v>
      </c>
      <c r="T445" s="42">
        <f>VLOOKUP($A445,'Dados StatusInvest'!$A:$AY,column(T445)-$A$5,0)/VLOOKUP($A445,'Dados StatusInvest'!$A:$AY,2,0)*$E445</f>
        <v>41.35</v>
      </c>
      <c r="U445" s="44">
        <f>VLOOKUP($A445,'Dados StatusInvest'!$A:$AY,column(U445)-$A$5,0)</f>
        <v>-0.76</v>
      </c>
      <c r="V445" s="45">
        <f>VLOOKUP($A445,'Dados StatusInvest'!$A:$AY,column(V445)-$A$5,0)</f>
        <v>1.35</v>
      </c>
      <c r="W445" s="45">
        <f>VLOOKUP($A445,'Dados StatusInvest'!$A:$AY,column(W445)-$A$5,0)</f>
        <v>23.09</v>
      </c>
      <c r="X445" s="45">
        <f>VLOOKUP($A445,'Dados StatusInvest'!$A:$AY,column(X445)-$A$5,0)</f>
        <v>11.61</v>
      </c>
      <c r="Y445" s="45">
        <f>VLOOKUP($A445,'Dados StatusInvest'!$A:$AY,column(Y445)-$A$5,0)</f>
        <v>-8.25</v>
      </c>
      <c r="Z445" s="44">
        <f>VLOOKUP($A445,'Dados StatusInvest'!$A:$AY,column(Z445)-$A$5,0)</f>
        <v>0.5</v>
      </c>
      <c r="AA445" s="44">
        <f>VLOOKUP($A445,'Dados StatusInvest'!$A:$AY,column(AA445)-$A$5,0)</f>
        <v>0.5</v>
      </c>
      <c r="AB445" s="44">
        <f>VLOOKUP($A445,'Dados StatusInvest'!$A:$AY,column(AB445)-$A$5,0)</f>
        <v>0.15</v>
      </c>
      <c r="AC445" s="44">
        <f>VLOOKUP($A445,'Dados StatusInvest'!$A:$AY,column(AC445)-$A$5,0)</f>
        <v>-8.26</v>
      </c>
      <c r="AD445" s="45">
        <f>VLOOKUP($A445,'Dados StatusInvest'!$A:$AY,column(AD445)-$A$5,0)</f>
        <v>0</v>
      </c>
      <c r="AE445" s="46">
        <f>VLOOKUP($A445,'Dados StatusInvest'!$A:$AY,column(AE445)-$A$5,0)</f>
        <v>4644.67</v>
      </c>
      <c r="AF445" s="49"/>
    </row>
    <row r="446">
      <c r="A446" s="10" t="s">
        <v>492</v>
      </c>
      <c r="B446" s="39" t="str">
        <f>VLOOKUP(lEFT($A446,4),Setor!$A:$E,3,0)</f>
        <v>Financeiro</v>
      </c>
      <c r="C446" s="39" t="str">
        <f>VLOOKUP(lEFT($A446,4),Setor!$A:$E,4,0)</f>
        <v>Previdência e Seguros</v>
      </c>
      <c r="D446" s="39" t="str">
        <f>VLOOKUP(lEFT($A446,4),Setor!$A:$E,5,0)</f>
        <v>Seguradoras</v>
      </c>
      <c r="E446" s="17">
        <f>IFERROR(__xludf.DUMMYFUNCTION("GOOGLEFINANCE(A446)"),65.0)</f>
        <v>65</v>
      </c>
      <c r="F446" s="17">
        <f>IFERROR(__xludf.DUMMYFUNCTION("GOOGLEFINANCE($A446,""high52"")"),69.01)</f>
        <v>69.01</v>
      </c>
      <c r="G446" s="16">
        <f t="shared" si="1"/>
        <v>-0.05810752065</v>
      </c>
      <c r="H446" s="40">
        <f>VLOOKUP($A446,'Dados StatusInvest'!$A:$AY,column(H446)-$A$5,0)*VLOOKUP($A446,'Dados StatusInvest'!$A:$AY,2,0)/$E446/100</f>
        <v>0.0286</v>
      </c>
      <c r="I446" s="41">
        <f>VLOOKUP($A446,'Dados StatusInvest'!$A:$AY,column(I446)-$A$5,0)/VLOOKUP($A446,'Dados StatusInvest'!$A:$AY,2,0)*$E446</f>
        <v>10.62</v>
      </c>
      <c r="J446" s="41">
        <f>VLOOKUP($A446,'Dados StatusInvest'!$A:$AY,column(J446)-$A$5,0)/VLOOKUP($A446,'Dados StatusInvest'!$A:$AY,2,0)*$E446</f>
        <v>2.77</v>
      </c>
      <c r="K446" s="42">
        <f>VLOOKUP($A446,'Dados StatusInvest'!$A:$AY,column(K446)-$A$5,0)/VLOOKUP($A446,'Dados StatusInvest'!$A:$AY,2,0)*$E446</f>
        <v>1.35</v>
      </c>
      <c r="L446" s="43">
        <f>VLOOKUP($A446,'Dados StatusInvest'!$A:$AY,column(L446)-$A$5,0)/100</f>
        <v>1.5442</v>
      </c>
      <c r="M446" s="47">
        <f>VLOOKUP($A446,'Dados StatusInvest'!$A:$AY,column(M446)-$A$5,0)</f>
        <v>1285.07</v>
      </c>
      <c r="N446" s="47">
        <f>VLOOKUP($A446,'Dados StatusInvest'!$A:$AY,column(N446)-$A$5,0)</f>
        <v>1426.31</v>
      </c>
      <c r="O446" s="41">
        <f>VLOOKUP($A446,'Dados StatusInvest'!$A:$AY,column(O446)-$A$5,0)/VLOOKUP($A446,'Dados StatusInvest'!$A:$AY,2,0)*$E446</f>
        <v>11.79</v>
      </c>
      <c r="P446" s="41">
        <f>VLOOKUP($A446,'Dados StatusInvest'!$A:$AY,column(P446)-$A$5,0)-VLOOKUP($A446,'Dados StatusInvest'!$A:$AY,column(P446)-$A$5-1,0)+O446</f>
        <v>9.98</v>
      </c>
      <c r="Q446" s="44">
        <f>VLOOKUP($A446,'Dados StatusInvest'!$A:$AY,column(Q446)-$A$5,0)</f>
        <v>0</v>
      </c>
      <c r="R446" s="44">
        <f>VLOOKUP($A446,'Dados StatusInvest'!$A:$AY,column(R446)-$A$5,0)</f>
        <v>0</v>
      </c>
      <c r="S446" s="41">
        <f>VLOOKUP($A446,'Dados StatusInvest'!$A:$AY,column(S446)-$A$5,0)/VLOOKUP($A446,'Dados StatusInvest'!$A:$AY,2,0)*$E446</f>
        <v>151.5</v>
      </c>
      <c r="T446" s="42">
        <f>VLOOKUP($A446,'Dados StatusInvest'!$A:$AY,column(T446)-$A$5,0)/VLOOKUP($A446,'Dados StatusInvest'!$A:$AY,2,0)*$E446</f>
        <v>9.72</v>
      </c>
      <c r="U446" s="44">
        <f>VLOOKUP($A446,'Dados StatusInvest'!$A:$AY,column(U446)-$A$5,0)</f>
        <v>-1.66</v>
      </c>
      <c r="V446" s="45">
        <f>VLOOKUP($A446,'Dados StatusInvest'!$A:$AY,column(V446)-$A$5,0)</f>
        <v>3.74</v>
      </c>
      <c r="W446" s="45">
        <f>VLOOKUP($A446,'Dados StatusInvest'!$A:$AY,column(W446)-$A$5,0)</f>
        <v>26.1</v>
      </c>
      <c r="X446" s="45">
        <f>VLOOKUP($A446,'Dados StatusInvest'!$A:$AY,column(X446)-$A$5,0)</f>
        <v>12.69</v>
      </c>
      <c r="Y446" s="45">
        <f>VLOOKUP($A446,'Dados StatusInvest'!$A:$AY,column(Y446)-$A$5,0)</f>
        <v>0</v>
      </c>
      <c r="Z446" s="44">
        <f>VLOOKUP($A446,'Dados StatusInvest'!$A:$AY,column(Z446)-$A$5,0)</f>
        <v>0.49</v>
      </c>
      <c r="AA446" s="44">
        <f>VLOOKUP($A446,'Dados StatusInvest'!$A:$AY,column(AA446)-$A$5,0)</f>
        <v>0.51</v>
      </c>
      <c r="AB446" s="44">
        <f>VLOOKUP($A446,'Dados StatusInvest'!$A:$AY,column(AB446)-$A$5,0)</f>
        <v>0.01</v>
      </c>
      <c r="AC446" s="44">
        <f>VLOOKUP($A446,'Dados StatusInvest'!$A:$AY,column(AC446)-$A$5,0)</f>
        <v>-41.88</v>
      </c>
      <c r="AD446" s="45">
        <f>VLOOKUP($A446,'Dados StatusInvest'!$A:$AY,column(AD446)-$A$5,0)</f>
        <v>0.35</v>
      </c>
      <c r="AE446" s="46">
        <f>VLOOKUP($A446,'Dados StatusInvest'!$A:$AY,column(AE446)-$A$5,0)</f>
        <v>13000</v>
      </c>
      <c r="AF446" s="50"/>
    </row>
    <row r="447">
      <c r="A447" s="10" t="s">
        <v>493</v>
      </c>
      <c r="B447" s="39" t="str">
        <f>VLOOKUP(lEFT($A447,4),Setor!$A:$E,3,0)</f>
        <v>Utilidade Pública</v>
      </c>
      <c r="C447" s="39" t="str">
        <f>VLOOKUP(lEFT($A447,4),Setor!$A:$E,4,0)</f>
        <v>Energia Elétrica</v>
      </c>
      <c r="D447" s="39" t="str">
        <f>VLOOKUP(lEFT($A447,4),Setor!$A:$E,5,0)</f>
        <v>Energia Elétrica</v>
      </c>
      <c r="E447" s="17">
        <f>IFERROR(__xludf.DUMMYFUNCTION("GOOGLEFINANCE(A447)"),8.65)</f>
        <v>8.65</v>
      </c>
      <c r="F447" s="17">
        <f>IFERROR(__xludf.DUMMYFUNCTION("GOOGLEFINANCE($A447,""high52"")"),11.12)</f>
        <v>11.12</v>
      </c>
      <c r="G447" s="16">
        <f t="shared" si="1"/>
        <v>-0.2221223022</v>
      </c>
      <c r="H447" s="40">
        <f>VLOOKUP($A447,'Dados StatusInvest'!$A:$AY,column(H447)-$A$5,0)*VLOOKUP($A447,'Dados StatusInvest'!$A:$AY,2,0)/$E447/100</f>
        <v>0.0508</v>
      </c>
      <c r="I447" s="41">
        <f>VLOOKUP($A447,'Dados StatusInvest'!$A:$AY,column(I447)-$A$5,0)/VLOOKUP($A447,'Dados StatusInvest'!$A:$AY,2,0)*$E447</f>
        <v>27.63</v>
      </c>
      <c r="J447" s="41">
        <f>VLOOKUP($A447,'Dados StatusInvest'!$A:$AY,column(J447)-$A$5,0)/VLOOKUP($A447,'Dados StatusInvest'!$A:$AY,2,0)*$E447</f>
        <v>3.18</v>
      </c>
      <c r="K447" s="42">
        <f>VLOOKUP($A447,'Dados StatusInvest'!$A:$AY,column(K447)-$A$5,0)/VLOOKUP($A447,'Dados StatusInvest'!$A:$AY,2,0)*$E447</f>
        <v>2.88</v>
      </c>
      <c r="L447" s="43">
        <f>VLOOKUP($A447,'Dados StatusInvest'!$A:$AY,column(L447)-$A$5,0)/100</f>
        <v>0.7012</v>
      </c>
      <c r="M447" s="44">
        <f>VLOOKUP($A447,'Dados StatusInvest'!$A:$AY,column(M447)-$A$5,0)</f>
        <v>56.15</v>
      </c>
      <c r="N447" s="44">
        <f>VLOOKUP($A447,'Dados StatusInvest'!$A:$AY,column(N447)-$A$5,0)</f>
        <v>53.65</v>
      </c>
      <c r="O447" s="41">
        <f>VLOOKUP($A447,'Dados StatusInvest'!$A:$AY,column(O447)-$A$5,0)/VLOOKUP($A447,'Dados StatusInvest'!$A:$AY,2,0)*$E447</f>
        <v>26.4</v>
      </c>
      <c r="P447" s="41">
        <f>VLOOKUP($A447,'Dados StatusInvest'!$A:$AY,column(P447)-$A$5,0)-VLOOKUP($A447,'Dados StatusInvest'!$A:$AY,column(P447)-$A$5-1,0)+O447</f>
        <v>25.82</v>
      </c>
      <c r="Q447" s="44">
        <f>VLOOKUP($A447,'Dados StatusInvest'!$A:$AY,column(Q447)-$A$5,0)</f>
        <v>-0.58</v>
      </c>
      <c r="R447" s="44">
        <f>VLOOKUP($A447,'Dados StatusInvest'!$A:$AY,column(R447)-$A$5,0)</f>
        <v>-0.07</v>
      </c>
      <c r="S447" s="41">
        <f>VLOOKUP($A447,'Dados StatusInvest'!$A:$AY,column(S447)-$A$5,0)/VLOOKUP($A447,'Dados StatusInvest'!$A:$AY,2,0)*$E447</f>
        <v>14.82</v>
      </c>
      <c r="T447" s="42">
        <f>VLOOKUP($A447,'Dados StatusInvest'!$A:$AY,column(T447)-$A$5,0)/VLOOKUP($A447,'Dados StatusInvest'!$A:$AY,2,0)*$E447</f>
        <v>15.94</v>
      </c>
      <c r="U447" s="44">
        <f>VLOOKUP($A447,'Dados StatusInvest'!$A:$AY,column(U447)-$A$5,0)</f>
        <v>-3.63</v>
      </c>
      <c r="V447" s="45">
        <f>VLOOKUP($A447,'Dados StatusInvest'!$A:$AY,column(V447)-$A$5,0)</f>
        <v>8.22</v>
      </c>
      <c r="W447" s="45">
        <f>VLOOKUP($A447,'Dados StatusInvest'!$A:$AY,column(W447)-$A$5,0)</f>
        <v>11.5</v>
      </c>
      <c r="X447" s="45">
        <f>VLOOKUP($A447,'Dados StatusInvest'!$A:$AY,column(X447)-$A$5,0)</f>
        <v>10.43</v>
      </c>
      <c r="Y447" s="45">
        <f>VLOOKUP($A447,'Dados StatusInvest'!$A:$AY,column(Y447)-$A$5,0)</f>
        <v>11.06</v>
      </c>
      <c r="Z447" s="44">
        <f>VLOOKUP($A447,'Dados StatusInvest'!$A:$AY,column(Z447)-$A$5,0)</f>
        <v>0.91</v>
      </c>
      <c r="AA447" s="44">
        <f>VLOOKUP($A447,'Dados StatusInvest'!$A:$AY,column(AA447)-$A$5,0)</f>
        <v>0.09</v>
      </c>
      <c r="AB447" s="44">
        <f>VLOOKUP($A447,'Dados StatusInvest'!$A:$AY,column(AB447)-$A$5,0)</f>
        <v>0.19</v>
      </c>
      <c r="AC447" s="44">
        <f>VLOOKUP($A447,'Dados StatusInvest'!$A:$AY,column(AC447)-$A$5,0)</f>
        <v>5.56</v>
      </c>
      <c r="AD447" s="45">
        <f>VLOOKUP($A447,'Dados StatusInvest'!$A:$AY,column(AD447)-$A$5,0)</f>
        <v>9.35</v>
      </c>
      <c r="AE447" s="46">
        <f>VLOOKUP($A447,'Dados StatusInvest'!$A:$AY,column(AE447)-$A$5,0)</f>
        <v>4478.1</v>
      </c>
      <c r="AF447" s="51"/>
    </row>
    <row r="448">
      <c r="A448" s="10" t="s">
        <v>494</v>
      </c>
      <c r="B448" s="39" t="str">
        <f>VLOOKUP(lEFT($A448,4),Setor!$A:$E,3,0)</f>
        <v>Bens Industriais</v>
      </c>
      <c r="C448" s="39" t="str">
        <f>VLOOKUP(lEFT($A448,4),Setor!$A:$E,4,0)</f>
        <v>Máquinas e Equipamentos</v>
      </c>
      <c r="D448" s="39" t="str">
        <f>VLOOKUP(lEFT($A448,4),Setor!$A:$E,5,0)</f>
        <v>Máq. e Equip. Industriais</v>
      </c>
      <c r="E448" s="17">
        <f>IFERROR(__xludf.DUMMYFUNCTION("GOOGLEFINANCE(A448)"),66.65)</f>
        <v>66.65</v>
      </c>
      <c r="F448" s="17">
        <f>IFERROR(__xludf.DUMMYFUNCTION("GOOGLEFINANCE($A448,""high52"")"),100.0)</f>
        <v>100</v>
      </c>
      <c r="G448" s="16">
        <f t="shared" si="1"/>
        <v>-0.3335</v>
      </c>
      <c r="H448" s="40">
        <f>VLOOKUP($A448,'Dados StatusInvest'!$A:$AY,column(H448)-$A$5,0)*VLOOKUP($A448,'Dados StatusInvest'!$A:$AY,2,0)/$E448/100</f>
        <v>0</v>
      </c>
      <c r="I448" s="41">
        <f>VLOOKUP($A448,'Dados StatusInvest'!$A:$AY,column(I448)-$A$5,0)/VLOOKUP($A448,'Dados StatusInvest'!$A:$AY,2,0)*$E448</f>
        <v>-15.04</v>
      </c>
      <c r="J448" s="41">
        <f>VLOOKUP($A448,'Dados StatusInvest'!$A:$AY,column(J448)-$A$5,0)/VLOOKUP($A448,'Dados StatusInvest'!$A:$AY,2,0)*$E448</f>
        <v>-2.92</v>
      </c>
      <c r="K448" s="42">
        <f>VLOOKUP($A448,'Dados StatusInvest'!$A:$AY,column(K448)-$A$5,0)/VLOOKUP($A448,'Dados StatusInvest'!$A:$AY,2,0)*$E448</f>
        <v>0.15</v>
      </c>
      <c r="L448" s="43">
        <f>VLOOKUP($A448,'Dados StatusInvest'!$A:$AY,column(L448)-$A$5,0)/100</f>
        <v>0.1615</v>
      </c>
      <c r="M448" s="47">
        <f>VLOOKUP($A448,'Dados StatusInvest'!$A:$AY,column(M448)-$A$5,0)</f>
        <v>5.75</v>
      </c>
      <c r="N448" s="47">
        <f>VLOOKUP($A448,'Dados StatusInvest'!$A:$AY,column(N448)-$A$5,0)</f>
        <v>-1.01</v>
      </c>
      <c r="O448" s="41">
        <f>VLOOKUP($A448,'Dados StatusInvest'!$A:$AY,column(O448)-$A$5,0)/VLOOKUP($A448,'Dados StatusInvest'!$A:$AY,2,0)*$E448</f>
        <v>2.64</v>
      </c>
      <c r="P448" s="41">
        <f>VLOOKUP($A448,'Dados StatusInvest'!$A:$AY,column(P448)-$A$5,0)-VLOOKUP($A448,'Dados StatusInvest'!$A:$AY,column(P448)-$A$5-1,0)+O448</f>
        <v>10</v>
      </c>
      <c r="Q448" s="44">
        <f>VLOOKUP($A448,'Dados StatusInvest'!$A:$AY,column(Q448)-$A$5,0)</f>
        <v>7.36</v>
      </c>
      <c r="R448" s="44">
        <f>VLOOKUP($A448,'Dados StatusInvest'!$A:$AY,column(R448)-$A$5,0)</f>
        <v>0</v>
      </c>
      <c r="S448" s="41">
        <f>VLOOKUP($A448,'Dados StatusInvest'!$A:$AY,column(S448)-$A$5,0)/VLOOKUP($A448,'Dados StatusInvest'!$A:$AY,2,0)*$E448</f>
        <v>0.15</v>
      </c>
      <c r="T448" s="42">
        <f>VLOOKUP($A448,'Dados StatusInvest'!$A:$AY,column(T448)-$A$5,0)/VLOOKUP($A448,'Dados StatusInvest'!$A:$AY,2,0)*$E448</f>
        <v>12.5</v>
      </c>
      <c r="U448" s="44">
        <f>VLOOKUP($A448,'Dados StatusInvest'!$A:$AY,column(U448)-$A$5,0)</f>
        <v>-0.54</v>
      </c>
      <c r="V448" s="45">
        <f>VLOOKUP($A448,'Dados StatusInvest'!$A:$AY,column(V448)-$A$5,0)</f>
        <v>1.02</v>
      </c>
      <c r="W448" s="45">
        <f>VLOOKUP($A448,'Dados StatusInvest'!$A:$AY,column(W448)-$A$5,0)</f>
        <v>-19.4</v>
      </c>
      <c r="X448" s="45">
        <f>VLOOKUP($A448,'Dados StatusInvest'!$A:$AY,column(X448)-$A$5,0)</f>
        <v>-0.98</v>
      </c>
      <c r="Y448" s="45">
        <f>VLOOKUP($A448,'Dados StatusInvest'!$A:$AY,column(Y448)-$A$5,0)</f>
        <v>6.92</v>
      </c>
      <c r="Z448" s="44">
        <f>VLOOKUP($A448,'Dados StatusInvest'!$A:$AY,column(Z448)-$A$5,0)</f>
        <v>-0.05</v>
      </c>
      <c r="AA448" s="44">
        <f>VLOOKUP($A448,'Dados StatusInvest'!$A:$AY,column(AA448)-$A$5,0)</f>
        <v>1.01</v>
      </c>
      <c r="AB448" s="44">
        <f>VLOOKUP($A448,'Dados StatusInvest'!$A:$AY,column(AB448)-$A$5,0)</f>
        <v>0.97</v>
      </c>
      <c r="AC448" s="44">
        <f>VLOOKUP($A448,'Dados StatusInvest'!$A:$AY,column(AC448)-$A$5,0)</f>
        <v>7.27</v>
      </c>
      <c r="AD448" s="45">
        <f>VLOOKUP($A448,'Dados StatusInvest'!$A:$AY,column(AD448)-$A$5,0)</f>
        <v>0</v>
      </c>
      <c r="AE448" s="46">
        <f>VLOOKUP($A448,'Dados StatusInvest'!$A:$AY,column(AE448)-$A$5,0)</f>
        <v>12341.67</v>
      </c>
      <c r="AF448" s="51"/>
    </row>
    <row r="449">
      <c r="A449" s="10" t="s">
        <v>495</v>
      </c>
      <c r="B449" s="52" t="str">
        <f>VLOOKUP(LEFT($A449,4),Setor!$A:$E,3,0)</f>
        <v>Consumo Cíclico</v>
      </c>
      <c r="C449" s="52" t="str">
        <f>VLOOKUP(LEFT($A449,4),Setor!$A:$E,4,0)</f>
        <v>Viagens e Lazer</v>
      </c>
      <c r="D449" s="52" t="str">
        <f>VLOOKUP(LEFT($A449,4),Setor!$A:$E,5,0)</f>
        <v>Produção de Eventos e Shows</v>
      </c>
      <c r="E449" s="53">
        <f>IFERROR(__xludf.DUMMYFUNCTION("GOOGLEFINANCE(A449)"),26.9)</f>
        <v>26.9</v>
      </c>
      <c r="F449" s="53">
        <f>IFERROR(__xludf.DUMMYFUNCTION("GOOGLEFINANCE($A449,""high52"")"),31.0)</f>
        <v>31</v>
      </c>
      <c r="G449" s="54">
        <f t="shared" si="1"/>
        <v>-0.1322580645</v>
      </c>
      <c r="H449" s="55">
        <f>VLOOKUP($A449,'Dados StatusInvest'!$A:$AY,COLUMN(H449)-$A$5,0)*VLOOKUP($A449,'Dados StatusInvest'!$A:$AY,2,0)/$E449/100</f>
        <v>0</v>
      </c>
      <c r="I449" s="56">
        <f>VLOOKUP($A449,'Dados StatusInvest'!$A:$AY,COLUMN(I449)-$A$5,0)/VLOOKUP($A449,'Dados StatusInvest'!$A:$AY,2,0)*$E449</f>
        <v>-4.399080368</v>
      </c>
      <c r="J449" s="56">
        <f>VLOOKUP($A449,'Dados StatusInvest'!$A:$AY,COLUMN(J449)-$A$5,0)/VLOOKUP($A449,'Dados StatusInvest'!$A:$AY,2,0)*$E449</f>
        <v>-5.37784886</v>
      </c>
      <c r="K449" s="57">
        <f>VLOOKUP($A449,'Dados StatusInvest'!$A:$AY,COLUMN(K449)-$A$5,0)/VLOOKUP($A449,'Dados StatusInvest'!$A:$AY,2,0)*$E449</f>
        <v>0.8281887245</v>
      </c>
      <c r="L449" s="58">
        <f>VLOOKUP($A449,'Dados StatusInvest'!$A:$AY,COLUMN(L449)-$A$5,0)/100</f>
        <v>0.2197</v>
      </c>
      <c r="M449" s="59">
        <f>VLOOKUP($A449,'Dados StatusInvest'!$A:$AY,COLUMN(M449)-$A$5,0)</f>
        <v>-15.75</v>
      </c>
      <c r="N449" s="59">
        <f>VLOOKUP($A449,'Dados StatusInvest'!$A:$AY,COLUMN(N449)-$A$5,0)</f>
        <v>-26.33</v>
      </c>
      <c r="O449" s="56">
        <f>VLOOKUP($A449,'Dados StatusInvest'!$A:$AY,COLUMN(O449)-$A$5,0)/VLOOKUP($A449,'Dados StatusInvest'!$A:$AY,2,0)*$E449</f>
        <v>-7.356897241</v>
      </c>
      <c r="P449" s="56">
        <f>VLOOKUP($A449,'Dados StatusInvest'!$A:$AY,COLUMN(P449)-$A$5,0)-VLOOKUP($A449,'Dados StatusInvest'!$A:$AY,COLUMN(P449)-$A$5-1,0)+O449</f>
        <v>-7.356897241</v>
      </c>
      <c r="Q449" s="59">
        <f>VLOOKUP($A449,'Dados StatusInvest'!$A:$AY,COLUMN(Q449)-$A$5,0)</f>
        <v>0.11</v>
      </c>
      <c r="R449" s="59">
        <f>VLOOKUP($A449,'Dados StatusInvest'!$A:$AY,COLUMN(R449)-$A$5,0)</f>
        <v>0</v>
      </c>
      <c r="S449" s="56">
        <f>VLOOKUP($A449,'Dados StatusInvest'!$A:$AY,COLUMN(S449)-$A$5,0)/VLOOKUP($A449,'Dados StatusInvest'!$A:$AY,2,0)*$E449</f>
        <v>1.161615354</v>
      </c>
      <c r="T449" s="57">
        <f>VLOOKUP($A449,'Dados StatusInvest'!$A:$AY,COLUMN(T449)-$A$5,0)/VLOOKUP($A449,'Dados StatusInvest'!$A:$AY,2,0)*$E449</f>
        <v>-3.205197921</v>
      </c>
      <c r="U449" s="59">
        <f>VLOOKUP($A449,'Dados StatusInvest'!$A:$AY,COLUMN(U449)-$A$5,0)</f>
        <v>-0.96</v>
      </c>
      <c r="V449" s="60">
        <f>VLOOKUP($A449,'Dados StatusInvest'!$A:$AY,COLUMN(V449)-$A$5,0)</f>
        <v>0.44</v>
      </c>
      <c r="W449" s="60">
        <f>VLOOKUP($A449,'Dados StatusInvest'!$A:$AY,COLUMN(W449)-$A$5,0)</f>
        <v>-122.15</v>
      </c>
      <c r="X449" s="60">
        <f>VLOOKUP($A449,'Dados StatusInvest'!$A:$AY,COLUMN(X449)-$A$5,0)</f>
        <v>-18.7</v>
      </c>
      <c r="Y449" s="60">
        <f>VLOOKUP($A449,'Dados StatusInvest'!$A:$AY,COLUMN(Y449)-$A$5,0)</f>
        <v>73.09</v>
      </c>
      <c r="Z449" s="59">
        <f>VLOOKUP($A449,'Dados StatusInvest'!$A:$AY,COLUMN(Z449)-$A$5,0)</f>
        <v>-0.15</v>
      </c>
      <c r="AA449" s="59">
        <f>VLOOKUP($A449,'Dados StatusInvest'!$A:$AY,COLUMN(AA449)-$A$5,0)</f>
        <v>1.15</v>
      </c>
      <c r="AB449" s="59">
        <f>VLOOKUP($A449,'Dados StatusInvest'!$A:$AY,COLUMN(AB449)-$A$5,0)</f>
        <v>0.71</v>
      </c>
      <c r="AC449" s="59">
        <f>VLOOKUP($A449,'Dados StatusInvest'!$A:$AY,COLUMN(AC449)-$A$5,0)</f>
        <v>1.88</v>
      </c>
      <c r="AD449" s="60">
        <f>VLOOKUP($A449,'Dados StatusInvest'!$A:$AY,COLUMN(AD449)-$A$5,0)</f>
        <v>0</v>
      </c>
      <c r="AE449" s="62">
        <f>VLOOKUP($A449,'Dados StatusInvest'!$A:$AY,COLUMN(AE449)-$A$5,0)</f>
        <v>6912.25</v>
      </c>
      <c r="AF449" s="18"/>
    </row>
    <row r="450">
      <c r="A450" s="10" t="s">
        <v>496</v>
      </c>
      <c r="B450" s="52" t="str">
        <f>VLOOKUP(LEFT($A450,4),Setor!$A:$E,3,0)</f>
        <v>Financeiro</v>
      </c>
      <c r="C450" s="52" t="str">
        <f>VLOOKUP(LEFT($A450,4),Setor!$A:$E,4,0)</f>
        <v>Intermediários Financeiros</v>
      </c>
      <c r="D450" s="52" t="str">
        <f>VLOOKUP(LEFT($A450,4),Setor!$A:$E,5,0)</f>
        <v>Soc. Crédito e Financiamento</v>
      </c>
      <c r="E450" s="53">
        <f>IFERROR(__xludf.DUMMYFUNCTION("GOOGLEFINANCE(A450)"),27.0)</f>
        <v>27</v>
      </c>
      <c r="F450" s="53">
        <f>IFERROR(__xludf.DUMMYFUNCTION("GOOGLEFINANCE($A450,""high52"")"),44.99)</f>
        <v>44.99</v>
      </c>
      <c r="G450" s="54">
        <f t="shared" si="1"/>
        <v>-0.399866637</v>
      </c>
      <c r="H450" s="55">
        <f>VLOOKUP($A450,'Dados StatusInvest'!$A:$AY,COLUMN(H450)-$A$5,0)*VLOOKUP($A450,'Dados StatusInvest'!$A:$AY,2,0)/$E450/100</f>
        <v>0</v>
      </c>
      <c r="I450" s="56">
        <f>VLOOKUP($A450,'Dados StatusInvest'!$A:$AY,COLUMN(I450)-$A$5,0)/VLOOKUP($A450,'Dados StatusInvest'!$A:$AY,2,0)*$E450</f>
        <v>93.57</v>
      </c>
      <c r="J450" s="56">
        <f>VLOOKUP($A450,'Dados StatusInvest'!$A:$AY,COLUMN(J450)-$A$5,0)/VLOOKUP($A450,'Dados StatusInvest'!$A:$AY,2,0)*$E450</f>
        <v>1.96</v>
      </c>
      <c r="K450" s="57">
        <f>VLOOKUP($A450,'Dados StatusInvest'!$A:$AY,COLUMN(K450)-$A$5,0)/VLOOKUP($A450,'Dados StatusInvest'!$A:$AY,2,0)*$E450</f>
        <v>1.51</v>
      </c>
      <c r="L450" s="58">
        <f>VLOOKUP($A450,'Dados StatusInvest'!$A:$AY,COLUMN(L450)-$A$5,0)/100</f>
        <v>0.8004</v>
      </c>
      <c r="M450" s="59">
        <f>VLOOKUP($A450,'Dados StatusInvest'!$A:$AY,COLUMN(M450)-$A$5,0)</f>
        <v>12.6</v>
      </c>
      <c r="N450" s="59">
        <f>VLOOKUP($A450,'Dados StatusInvest'!$A:$AY,COLUMN(N450)-$A$5,0)</f>
        <v>10.17</v>
      </c>
      <c r="O450" s="56">
        <f>VLOOKUP($A450,'Dados StatusInvest'!$A:$AY,COLUMN(O450)-$A$5,0)/VLOOKUP($A450,'Dados StatusInvest'!$A:$AY,2,0)*$E450</f>
        <v>75.52</v>
      </c>
      <c r="P450" s="56">
        <f>VLOOKUP($A450,'Dados StatusInvest'!$A:$AY,COLUMN(P450)-$A$5,0)-VLOOKUP($A450,'Dados StatusInvest'!$A:$AY,COLUMN(P450)-$A$5-1,0)+O450</f>
        <v>55.64</v>
      </c>
      <c r="Q450" s="59">
        <f>VLOOKUP($A450,'Dados StatusInvest'!$A:$AY,COLUMN(Q450)-$A$5,0)</f>
        <v>0</v>
      </c>
      <c r="R450" s="59">
        <f>VLOOKUP($A450,'Dados StatusInvest'!$A:$AY,COLUMN(R450)-$A$5,0)</f>
        <v>0</v>
      </c>
      <c r="S450" s="56">
        <f>VLOOKUP($A450,'Dados StatusInvest'!$A:$AY,COLUMN(S450)-$A$5,0)/VLOOKUP($A450,'Dados StatusInvest'!$A:$AY,2,0)*$E450</f>
        <v>9.51</v>
      </c>
      <c r="T450" s="57">
        <f>VLOOKUP($A450,'Dados StatusInvest'!$A:$AY,COLUMN(T450)-$A$5,0)/VLOOKUP($A450,'Dados StatusInvest'!$A:$AY,2,0)*$E450</f>
        <v>5.5</v>
      </c>
      <c r="U450" s="59">
        <f>VLOOKUP($A450,'Dados StatusInvest'!$A:$AY,COLUMN(U450)-$A$5,0)</f>
        <v>-2.63</v>
      </c>
      <c r="V450" s="60">
        <f>VLOOKUP($A450,'Dados StatusInvest'!$A:$AY,COLUMN(V450)-$A$5,0)</f>
        <v>2.8</v>
      </c>
      <c r="W450" s="60">
        <f>VLOOKUP($A450,'Dados StatusInvest'!$A:$AY,COLUMN(W450)-$A$5,0)</f>
        <v>2.09</v>
      </c>
      <c r="X450" s="60">
        <f>VLOOKUP($A450,'Dados StatusInvest'!$A:$AY,COLUMN(X450)-$A$5,0)</f>
        <v>1.61</v>
      </c>
      <c r="Y450" s="60">
        <f>VLOOKUP($A450,'Dados StatusInvest'!$A:$AY,COLUMN(Y450)-$A$5,0)</f>
        <v>0</v>
      </c>
      <c r="Z450" s="59">
        <f>VLOOKUP($A450,'Dados StatusInvest'!$A:$AY,COLUMN(Z450)-$A$5,0)</f>
        <v>0.77</v>
      </c>
      <c r="AA450" s="59">
        <f>VLOOKUP($A450,'Dados StatusInvest'!$A:$AY,COLUMN(AA450)-$A$5,0)</f>
        <v>0.23</v>
      </c>
      <c r="AB450" s="59">
        <f>VLOOKUP($A450,'Dados StatusInvest'!$A:$AY,COLUMN(AB450)-$A$5,0)</f>
        <v>0.16</v>
      </c>
      <c r="AC450" s="59">
        <f>VLOOKUP($A450,'Dados StatusInvest'!$A:$AY,COLUMN(AC450)-$A$5,0)</f>
        <v>-30.32</v>
      </c>
      <c r="AD450" s="60">
        <f>VLOOKUP($A450,'Dados StatusInvest'!$A:$AY,COLUMN(AD450)-$A$5,0)</f>
        <v>0</v>
      </c>
      <c r="AE450" s="62">
        <f>VLOOKUP($A450,'Dados StatusInvest'!$A:$AY,COLUMN(AE450)-$A$5,0)</f>
        <v>15051</v>
      </c>
      <c r="AF450" s="18"/>
    </row>
    <row r="451">
      <c r="A451" s="10" t="s">
        <v>497</v>
      </c>
      <c r="B451" s="39" t="str">
        <f>VLOOKUP(lEFT($A451,4),Setor!$A:$E,3,0)</f>
        <v>Utilidade Pública</v>
      </c>
      <c r="C451" s="39" t="str">
        <f>VLOOKUP(lEFT($A451,4),Setor!$A:$E,4,0)</f>
        <v>Energia Elétrica</v>
      </c>
      <c r="D451" s="39" t="str">
        <f>VLOOKUP(lEFT($A451,4),Setor!$A:$E,5,0)</f>
        <v>Energia Elétrica</v>
      </c>
      <c r="E451" s="17">
        <f>IFERROR(__xludf.DUMMYFUNCTION("GOOGLEFINANCE(A451)"),65.0)</f>
        <v>65</v>
      </c>
      <c r="F451" s="17">
        <f>IFERROR(__xludf.DUMMYFUNCTION("GOOGLEFINANCE($A451,""high52"")"),90.97)</f>
        <v>90.97</v>
      </c>
      <c r="G451" s="16">
        <f t="shared" si="1"/>
        <v>-0.2854787293</v>
      </c>
      <c r="H451" s="40">
        <f>VLOOKUP($A451,'Dados StatusInvest'!$A:$AY,column(H451)-$A$5,0)*VLOOKUP($A451,'Dados StatusInvest'!$A:$AY,2,0)/$E451/100</f>
        <v>0.0482</v>
      </c>
      <c r="I451" s="41">
        <f>VLOOKUP($A451,'Dados StatusInvest'!$A:$AY,column(I451)-$A$5,0)/VLOOKUP($A451,'Dados StatusInvest'!$A:$AY,2,0)*$E451</f>
        <v>18.26</v>
      </c>
      <c r="J451" s="41">
        <f>VLOOKUP($A451,'Dados StatusInvest'!$A:$AY,column(J451)-$A$5,0)/VLOOKUP($A451,'Dados StatusInvest'!$A:$AY,2,0)*$E451</f>
        <v>1.36</v>
      </c>
      <c r="K451" s="42">
        <f>VLOOKUP($A451,'Dados StatusInvest'!$A:$AY,column(K451)-$A$5,0)/VLOOKUP($A451,'Dados StatusInvest'!$A:$AY,2,0)*$E451</f>
        <v>0.56</v>
      </c>
      <c r="L451" s="43">
        <f>VLOOKUP($A451,'Dados StatusInvest'!$A:$AY,column(L451)-$A$5,0)/100</f>
        <v>0.5923</v>
      </c>
      <c r="M451" s="44">
        <f>VLOOKUP($A451,'Dados StatusInvest'!$A:$AY,column(M451)-$A$5,0)</f>
        <v>19.11</v>
      </c>
      <c r="N451" s="44">
        <f>VLOOKUP($A451,'Dados StatusInvest'!$A:$AY,column(N451)-$A$5,0)</f>
        <v>20.53</v>
      </c>
      <c r="O451" s="41">
        <f>VLOOKUP($A451,'Dados StatusInvest'!$A:$AY,column(O451)-$A$5,0)/VLOOKUP($A451,'Dados StatusInvest'!$A:$AY,2,0)*$E451</f>
        <v>19.63</v>
      </c>
      <c r="P451" s="41">
        <f>VLOOKUP($A451,'Dados StatusInvest'!$A:$AY,column(P451)-$A$5,0)-VLOOKUP($A451,'Dados StatusInvest'!$A:$AY,column(P451)-$A$5-1,0)+O451</f>
        <v>15.6</v>
      </c>
      <c r="Q451" s="44">
        <f>VLOOKUP($A451,'Dados StatusInvest'!$A:$AY,column(Q451)-$A$5,0)</f>
        <v>4.51</v>
      </c>
      <c r="R451" s="44">
        <f>VLOOKUP($A451,'Dados StatusInvest'!$A:$AY,column(R451)-$A$5,0)</f>
        <v>0.31</v>
      </c>
      <c r="S451" s="41">
        <f>VLOOKUP($A451,'Dados StatusInvest'!$A:$AY,column(S451)-$A$5,0)/VLOOKUP($A451,'Dados StatusInvest'!$A:$AY,2,0)*$E451</f>
        <v>3.75</v>
      </c>
      <c r="T451" s="42">
        <f>VLOOKUP($A451,'Dados StatusInvest'!$A:$AY,column(T451)-$A$5,0)/VLOOKUP($A451,'Dados StatusInvest'!$A:$AY,2,0)*$E451</f>
        <v>4.19</v>
      </c>
      <c r="U451" s="44">
        <f>VLOOKUP($A451,'Dados StatusInvest'!$A:$AY,column(U451)-$A$5,0)</f>
        <v>-0.78</v>
      </c>
      <c r="V451" s="45">
        <f>VLOOKUP($A451,'Dados StatusInvest'!$A:$AY,column(V451)-$A$5,0)</f>
        <v>1.95</v>
      </c>
      <c r="W451" s="45">
        <f>VLOOKUP($A451,'Dados StatusInvest'!$A:$AY,column(W451)-$A$5,0)</f>
        <v>7.42</v>
      </c>
      <c r="X451" s="45">
        <f>VLOOKUP($A451,'Dados StatusInvest'!$A:$AY,column(X451)-$A$5,0)</f>
        <v>3.08</v>
      </c>
      <c r="Y451" s="45">
        <f>VLOOKUP($A451,'Dados StatusInvest'!$A:$AY,column(Y451)-$A$5,0)</f>
        <v>3.68</v>
      </c>
      <c r="Z451" s="44">
        <f>VLOOKUP($A451,'Dados StatusInvest'!$A:$AY,column(Z451)-$A$5,0)</f>
        <v>0.42</v>
      </c>
      <c r="AA451" s="44">
        <f>VLOOKUP($A451,'Dados StatusInvest'!$A:$AY,column(AA451)-$A$5,0)</f>
        <v>0.58</v>
      </c>
      <c r="AB451" s="44">
        <f>VLOOKUP($A451,'Dados StatusInvest'!$A:$AY,column(AB451)-$A$5,0)</f>
        <v>0.15</v>
      </c>
      <c r="AC451" s="44">
        <f>VLOOKUP($A451,'Dados StatusInvest'!$A:$AY,column(AC451)-$A$5,0)</f>
        <v>-2.25</v>
      </c>
      <c r="AD451" s="45">
        <f>VLOOKUP($A451,'Dados StatusInvest'!$A:$AY,column(AD451)-$A$5,0)</f>
        <v>0</v>
      </c>
      <c r="AE451" s="46">
        <f>VLOOKUP($A451,'Dados StatusInvest'!$A:$AY,column(AE451)-$A$5,0)</f>
        <v>6522.5</v>
      </c>
      <c r="AF451" s="18"/>
    </row>
    <row r="452">
      <c r="A452" s="10" t="s">
        <v>498</v>
      </c>
      <c r="B452" s="39" t="str">
        <f>VLOOKUP(lEFT($A452,4),Setor!$A:$E,3,0)</f>
        <v>Financeiro</v>
      </c>
      <c r="C452" s="39" t="str">
        <f>VLOOKUP(lEFT($A452,4),Setor!$A:$E,4,0)</f>
        <v>Previdência e Seguros</v>
      </c>
      <c r="D452" s="39" t="str">
        <f>VLOOKUP(lEFT($A452,4),Setor!$A:$E,5,0)</f>
        <v>Seguradoras</v>
      </c>
      <c r="E452" s="17">
        <f>IFERROR(__xludf.DUMMYFUNCTION("GOOGLEFINANCE(A452)"),9.08)</f>
        <v>9.08</v>
      </c>
      <c r="F452" s="17">
        <f>IFERROR(__xludf.DUMMYFUNCTION("GOOGLEFINANCE($A452,""high52"")"),14.6)</f>
        <v>14.6</v>
      </c>
      <c r="G452" s="16">
        <f t="shared" si="1"/>
        <v>-0.3780821918</v>
      </c>
      <c r="H452" s="40">
        <f>VLOOKUP($A452,'Dados StatusInvest'!$A:$AY,column(H452)-$A$5,0)*VLOOKUP($A452,'Dados StatusInvest'!$A:$AY,2,0)/$E452/100</f>
        <v>0.0001</v>
      </c>
      <c r="I452" s="41">
        <f>VLOOKUP($A452,'Dados StatusInvest'!$A:$AY,column(I452)-$A$5,0)/VLOOKUP($A452,'Dados StatusInvest'!$A:$AY,2,0)*$E452</f>
        <v>25.99</v>
      </c>
      <c r="J452" s="41">
        <f>VLOOKUP($A452,'Dados StatusInvest'!$A:$AY,column(J452)-$A$5,0)/VLOOKUP($A452,'Dados StatusInvest'!$A:$AY,2,0)*$E452</f>
        <v>0.54</v>
      </c>
      <c r="K452" s="42">
        <f>VLOOKUP($A452,'Dados StatusInvest'!$A:$AY,column(K452)-$A$5,0)/VLOOKUP($A452,'Dados StatusInvest'!$A:$AY,2,0)*$E452</f>
        <v>0.22</v>
      </c>
      <c r="L452" s="43">
        <f>VLOOKUP($A452,'Dados StatusInvest'!$A:$AY,column(L452)-$A$5,0)/100</f>
        <v>-18.1231</v>
      </c>
      <c r="M452" s="47">
        <f>VLOOKUP($A452,'Dados StatusInvest'!$A:$AY,column(M452)-$A$5,0)</f>
        <v>2793.51</v>
      </c>
      <c r="N452" s="44">
        <f>VLOOKUP($A452,'Dados StatusInvest'!$A:$AY,column(N452)-$A$5,0)</f>
        <v>463.68</v>
      </c>
      <c r="O452" s="41">
        <f>VLOOKUP($A452,'Dados StatusInvest'!$A:$AY,column(O452)-$A$5,0)/VLOOKUP($A452,'Dados StatusInvest'!$A:$AY,2,0)*$E452</f>
        <v>4.31</v>
      </c>
      <c r="P452" s="41">
        <f>VLOOKUP($A452,'Dados StatusInvest'!$A:$AY,column(P452)-$A$5,0)-VLOOKUP($A452,'Dados StatusInvest'!$A:$AY,column(P452)-$A$5-1,0)+O452</f>
        <v>-4.86</v>
      </c>
      <c r="Q452" s="44">
        <f>VLOOKUP($A452,'Dados StatusInvest'!$A:$AY,column(Q452)-$A$5,0)</f>
        <v>-10.02</v>
      </c>
      <c r="R452" s="44">
        <f>VLOOKUP($A452,'Dados StatusInvest'!$A:$AY,column(R452)-$A$5,0)</f>
        <v>-1.26</v>
      </c>
      <c r="S452" s="41">
        <f>VLOOKUP($A452,'Dados StatusInvest'!$A:$AY,column(S452)-$A$5,0)/VLOOKUP($A452,'Dados StatusInvest'!$A:$AY,2,0)*$E452</f>
        <v>120.53</v>
      </c>
      <c r="T452" s="42">
        <f>VLOOKUP($A452,'Dados StatusInvest'!$A:$AY,column(T452)-$A$5,0)/VLOOKUP($A452,'Dados StatusInvest'!$A:$AY,2,0)*$E452</f>
        <v>0.53</v>
      </c>
      <c r="U452" s="44">
        <f>VLOOKUP($A452,'Dados StatusInvest'!$A:$AY,column(U452)-$A$5,0)</f>
        <v>-0.54</v>
      </c>
      <c r="V452" s="45">
        <f>VLOOKUP($A452,'Dados StatusInvest'!$A:$AY,column(V452)-$A$5,0)</f>
        <v>3.25</v>
      </c>
      <c r="W452" s="45">
        <f>VLOOKUP($A452,'Dados StatusInvest'!$A:$AY,column(W452)-$A$5,0)</f>
        <v>2.08</v>
      </c>
      <c r="X452" s="45">
        <f>VLOOKUP($A452,'Dados StatusInvest'!$A:$AY,column(X452)-$A$5,0)</f>
        <v>0.84</v>
      </c>
      <c r="Y452" s="45">
        <f>VLOOKUP($A452,'Dados StatusInvest'!$A:$AY,column(Y452)-$A$5,0)</f>
        <v>8.38</v>
      </c>
      <c r="Z452" s="44">
        <f>VLOOKUP($A452,'Dados StatusInvest'!$A:$AY,column(Z452)-$A$5,0)</f>
        <v>0.4</v>
      </c>
      <c r="AA452" s="44">
        <f>VLOOKUP($A452,'Dados StatusInvest'!$A:$AY,column(AA452)-$A$5,0)</f>
        <v>0.41</v>
      </c>
      <c r="AB452" s="44">
        <f>VLOOKUP($A452,'Dados StatusInvest'!$A:$AY,column(AB452)-$A$5,0)</f>
        <v>0</v>
      </c>
      <c r="AC452" s="44">
        <f>VLOOKUP($A452,'Dados StatusInvest'!$A:$AY,column(AC452)-$A$5,0)</f>
        <v>-1.53</v>
      </c>
      <c r="AD452" s="45">
        <f>VLOOKUP($A452,'Dados StatusInvest'!$A:$AY,column(AD452)-$A$5,0)</f>
        <v>-16.72</v>
      </c>
      <c r="AE452" s="46">
        <f>VLOOKUP($A452,'Dados StatusInvest'!$A:$AY,column(AE452)-$A$5,0)</f>
        <v>908</v>
      </c>
      <c r="AF452" s="51"/>
    </row>
    <row r="453">
      <c r="A453" s="10" t="s">
        <v>499</v>
      </c>
      <c r="B453" s="39" t="str">
        <f>VLOOKUP(lEFT($A453,4),Setor!$A:$E,3,0)</f>
        <v>Bens Industriais</v>
      </c>
      <c r="C453" s="39" t="str">
        <f>VLOOKUP(lEFT($A453,4),Setor!$A:$E,4,0)</f>
        <v>Máquinas e Equipamentos</v>
      </c>
      <c r="D453" s="39" t="str">
        <f>VLOOKUP(lEFT($A453,4),Setor!$A:$E,5,0)</f>
        <v>Máq. e Equip. Industriais</v>
      </c>
      <c r="E453" s="17">
        <f>IFERROR(__xludf.DUMMYFUNCTION("GOOGLEFINANCE(A453)"),11.55)</f>
        <v>11.55</v>
      </c>
      <c r="F453" s="17">
        <f>IFERROR(__xludf.DUMMYFUNCTION("GOOGLEFINANCE($A453,""high52"")"),16.5)</f>
        <v>16.5</v>
      </c>
      <c r="G453" s="16">
        <f t="shared" si="1"/>
        <v>-0.3</v>
      </c>
      <c r="H453" s="40">
        <f>VLOOKUP($A453,'Dados StatusInvest'!$A:$AY,column(H453)-$A$5,0)*VLOOKUP($A453,'Dados StatusInvest'!$A:$AY,2,0)/$E453/100</f>
        <v>0</v>
      </c>
      <c r="I453" s="41">
        <f>VLOOKUP($A453,'Dados StatusInvest'!$A:$AY,column(I453)-$A$5,0)/VLOOKUP($A453,'Dados StatusInvest'!$A:$AY,2,0)*$E453</f>
        <v>-0.4142201835</v>
      </c>
      <c r="J453" s="41">
        <f>VLOOKUP($A453,'Dados StatusInvest'!$A:$AY,column(J453)-$A$5,0)/VLOOKUP($A453,'Dados StatusInvest'!$A:$AY,2,0)*$E453</f>
        <v>-0.1059633028</v>
      </c>
      <c r="K453" s="42">
        <f>VLOOKUP($A453,'Dados StatusInvest'!$A:$AY,column(K453)-$A$5,0)/VLOOKUP($A453,'Dados StatusInvest'!$A:$AY,2,0)*$E453</f>
        <v>0.02889908257</v>
      </c>
      <c r="L453" s="43">
        <f>VLOOKUP($A453,'Dados StatusInvest'!$A:$AY,column(L453)-$A$5,0)/100</f>
        <v>-0.6886</v>
      </c>
      <c r="M453" s="44">
        <f>VLOOKUP($A453,'Dados StatusInvest'!$A:$AY,column(M453)-$A$5,0)</f>
        <v>-227.65</v>
      </c>
      <c r="N453" s="44">
        <f>VLOOKUP($A453,'Dados StatusInvest'!$A:$AY,column(N453)-$A$5,0)</f>
        <v>-219.55</v>
      </c>
      <c r="O453" s="41">
        <f>VLOOKUP($A453,'Dados StatusInvest'!$A:$AY,column(O453)-$A$5,0)/VLOOKUP($A453,'Dados StatusInvest'!$A:$AY,2,0)*$E453</f>
        <v>-0.3949541284</v>
      </c>
      <c r="P453" s="41">
        <f>VLOOKUP($A453,'Dados StatusInvest'!$A:$AY,column(P453)-$A$5,0)-VLOOKUP($A453,'Dados StatusInvest'!$A:$AY,column(P453)-$A$5-1,0)+O453</f>
        <v>-5.624954128</v>
      </c>
      <c r="Q453" s="44">
        <f>VLOOKUP($A453,'Dados StatusInvest'!$A:$AY,column(Q453)-$A$5,0)</f>
        <v>-5.25</v>
      </c>
      <c r="R453" s="44">
        <f>VLOOKUP($A453,'Dados StatusInvest'!$A:$AY,column(R453)-$A$5,0)</f>
        <v>0</v>
      </c>
      <c r="S453" s="41">
        <f>VLOOKUP($A453,'Dados StatusInvest'!$A:$AY,column(S453)-$A$5,0)/VLOOKUP($A453,'Dados StatusInvest'!$A:$AY,2,0)*$E453</f>
        <v>0.9055045872</v>
      </c>
      <c r="T453" s="42">
        <f>VLOOKUP($A453,'Dados StatusInvest'!$A:$AY,column(T453)-$A$5,0)/VLOOKUP($A453,'Dados StatusInvest'!$A:$AY,2,0)*$E453</f>
        <v>-0.06743119266</v>
      </c>
      <c r="U453" s="44">
        <f>VLOOKUP($A453,'Dados StatusInvest'!$A:$AY,column(U453)-$A$5,0)</f>
        <v>-0.05</v>
      </c>
      <c r="V453" s="45">
        <f>VLOOKUP($A453,'Dados StatusInvest'!$A:$AY,column(V453)-$A$5,0)</f>
        <v>0.5</v>
      </c>
      <c r="W453" s="45">
        <f>VLOOKUP($A453,'Dados StatusInvest'!$A:$AY,column(W453)-$A$5,0)</f>
        <v>-25.13</v>
      </c>
      <c r="X453" s="45">
        <f>VLOOKUP($A453,'Dados StatusInvest'!$A:$AY,column(X453)-$A$5,0)</f>
        <v>-6.77</v>
      </c>
      <c r="Y453" s="45">
        <f>VLOOKUP($A453,'Dados StatusInvest'!$A:$AY,column(Y453)-$A$5,0)</f>
        <v>-86.99</v>
      </c>
      <c r="Z453" s="44">
        <f>VLOOKUP($A453,'Dados StatusInvest'!$A:$AY,column(Z453)-$A$5,0)</f>
        <v>-0.27</v>
      </c>
      <c r="AA453" s="44">
        <f>VLOOKUP($A453,'Dados StatusInvest'!$A:$AY,column(AA453)-$A$5,0)</f>
        <v>1.27</v>
      </c>
      <c r="AB453" s="44">
        <f>VLOOKUP($A453,'Dados StatusInvest'!$A:$AY,column(AB453)-$A$5,0)</f>
        <v>0.03</v>
      </c>
      <c r="AC453" s="44">
        <f>VLOOKUP($A453,'Dados StatusInvest'!$A:$AY,column(AC453)-$A$5,0)</f>
        <v>-46.07</v>
      </c>
      <c r="AD453" s="45">
        <f>VLOOKUP($A453,'Dados StatusInvest'!$A:$AY,column(AD453)-$A$5,0)</f>
        <v>0</v>
      </c>
      <c r="AE453" s="46">
        <f>VLOOKUP($A453,'Dados StatusInvest'!$A:$AY,column(AE453)-$A$5,0)</f>
        <v>9376.68</v>
      </c>
      <c r="AF453" s="50"/>
    </row>
    <row r="454">
      <c r="A454" s="10" t="s">
        <v>500</v>
      </c>
      <c r="B454" s="39" t="str">
        <f>VLOOKUP(lEFT($A454,4),Setor!$A:$E,3,0)</f>
        <v>Financeiro</v>
      </c>
      <c r="C454" s="39" t="str">
        <f>VLOOKUP(lEFT($A454,4),Setor!$A:$E,4,0)</f>
        <v>Intermediários Financeiros</v>
      </c>
      <c r="D454" s="39" t="str">
        <f>VLOOKUP(lEFT($A454,4),Setor!$A:$E,5,0)</f>
        <v>Bancos</v>
      </c>
      <c r="E454" s="17">
        <f>IFERROR(__xludf.DUMMYFUNCTION("GOOGLEFINANCE(A454)"),8.56)</f>
        <v>8.56</v>
      </c>
      <c r="F454" s="17">
        <f>IFERROR(__xludf.DUMMYFUNCTION("GOOGLEFINANCE($A454,""high52"")"),12.29)</f>
        <v>12.29</v>
      </c>
      <c r="G454" s="16">
        <f t="shared" si="1"/>
        <v>-0.3034987795</v>
      </c>
      <c r="H454" s="40">
        <f>VLOOKUP($A454,'Dados StatusInvest'!$A:$AY,column(H454)-$A$5,0)*VLOOKUP($A454,'Dados StatusInvest'!$A:$AY,2,0)/$E454/100</f>
        <v>0.07018633178</v>
      </c>
      <c r="I454" s="41">
        <f>VLOOKUP($A454,'Dados StatusInvest'!$A:$AY,column(I454)-$A$5,0)/VLOOKUP($A454,'Dados StatusInvest'!$A:$AY,2,0)*$E454</f>
        <v>9.015857988</v>
      </c>
      <c r="J454" s="41">
        <f>VLOOKUP($A454,'Dados StatusInvest'!$A:$AY,column(J454)-$A$5,0)/VLOOKUP($A454,'Dados StatusInvest'!$A:$AY,2,0)*$E454</f>
        <v>0.4862485207</v>
      </c>
      <c r="K454" s="42">
        <f>VLOOKUP($A454,'Dados StatusInvest'!$A:$AY,column(K454)-$A$5,0)/VLOOKUP($A454,'Dados StatusInvest'!$A:$AY,2,0)*$E454</f>
        <v>0.04052071006</v>
      </c>
      <c r="L454" s="43">
        <f>VLOOKUP($A454,'Dados StatusInvest'!$A:$AY,column(L454)-$A$5,0)/100</f>
        <v>0.3249</v>
      </c>
      <c r="M454" s="44">
        <f>VLOOKUP($A454,'Dados StatusInvest'!$A:$AY,column(M454)-$A$5,0)</f>
        <v>24.31</v>
      </c>
      <c r="N454" s="44">
        <f>VLOOKUP($A454,'Dados StatusInvest'!$A:$AY,column(N454)-$A$5,0)</f>
        <v>16.77</v>
      </c>
      <c r="O454" s="41">
        <f>VLOOKUP($A454,'Dados StatusInvest'!$A:$AY,column(O454)-$A$5,0)/VLOOKUP($A454,'Dados StatusInvest'!$A:$AY,2,0)*$E454</f>
        <v>6.219928994</v>
      </c>
      <c r="P454" s="41">
        <f>VLOOKUP($A454,'Dados StatusInvest'!$A:$AY,column(P454)-$A$5,0)-VLOOKUP($A454,'Dados StatusInvest'!$A:$AY,column(P454)-$A$5-1,0)+O454</f>
        <v>6.479928994</v>
      </c>
      <c r="Q454" s="44">
        <f>VLOOKUP($A454,'Dados StatusInvest'!$A:$AY,column(Q454)-$A$5,0)</f>
        <v>0</v>
      </c>
      <c r="R454" s="44">
        <f>VLOOKUP($A454,'Dados StatusInvest'!$A:$AY,column(R454)-$A$5,0)</f>
        <v>0</v>
      </c>
      <c r="S454" s="41">
        <f>VLOOKUP($A454,'Dados StatusInvest'!$A:$AY,column(S454)-$A$5,0)/VLOOKUP($A454,'Dados StatusInvest'!$A:$AY,2,0)*$E454</f>
        <v>1.50939645</v>
      </c>
      <c r="T454" s="42">
        <f>VLOOKUP($A454,'Dados StatusInvest'!$A:$AY,column(T454)-$A$5,0)/VLOOKUP($A454,'Dados StatusInvest'!$A:$AY,2,0)*$E454</f>
        <v>0.1519526627</v>
      </c>
      <c r="U454" s="44">
        <f>VLOOKUP($A454,'Dados StatusInvest'!$A:$AY,column(U454)-$A$5,0)</f>
        <v>-0.05</v>
      </c>
      <c r="V454" s="45">
        <f>VLOOKUP($A454,'Dados StatusInvest'!$A:$AY,column(V454)-$A$5,0)</f>
        <v>84.58</v>
      </c>
      <c r="W454" s="45">
        <f>VLOOKUP($A454,'Dados StatusInvest'!$A:$AY,column(W454)-$A$5,0)</f>
        <v>5.4</v>
      </c>
      <c r="X454" s="45">
        <f>VLOOKUP($A454,'Dados StatusInvest'!$A:$AY,column(X454)-$A$5,0)</f>
        <v>0.41</v>
      </c>
      <c r="Y454" s="45">
        <f>VLOOKUP($A454,'Dados StatusInvest'!$A:$AY,column(Y454)-$A$5,0)</f>
        <v>0</v>
      </c>
      <c r="Z454" s="44">
        <f>VLOOKUP($A454,'Dados StatusInvest'!$A:$AY,column(Z454)-$A$5,0)</f>
        <v>0.08</v>
      </c>
      <c r="AA454" s="44">
        <f>VLOOKUP($A454,'Dados StatusInvest'!$A:$AY,column(AA454)-$A$5,0)</f>
        <v>0.92</v>
      </c>
      <c r="AB454" s="44">
        <f>VLOOKUP($A454,'Dados StatusInvest'!$A:$AY,column(AB454)-$A$5,0)</f>
        <v>0.02</v>
      </c>
      <c r="AC454" s="44">
        <f>VLOOKUP($A454,'Dados StatusInvest'!$A:$AY,column(AC454)-$A$5,0)</f>
        <v>-14.49</v>
      </c>
      <c r="AD454" s="45">
        <f>VLOOKUP($A454,'Dados StatusInvest'!$A:$AY,column(AD454)-$A$5,0)</f>
        <v>-0.16</v>
      </c>
      <c r="AE454" s="46">
        <f>VLOOKUP($A454,'Dados StatusInvest'!$A:$AY,column(AE454)-$A$5,0)</f>
        <v>15975.65</v>
      </c>
      <c r="AF454" s="18"/>
    </row>
    <row r="455">
      <c r="A455" s="10" t="s">
        <v>501</v>
      </c>
      <c r="B455" s="39" t="str">
        <f>VLOOKUP(lEFT($A455,4),Setor!$A:$E,3,0)</f>
        <v>Financeiro</v>
      </c>
      <c r="C455" s="39" t="str">
        <f>VLOOKUP(lEFT($A455,4),Setor!$A:$E,4,0)</f>
        <v>Intermediários Financeiros</v>
      </c>
      <c r="D455" s="39" t="str">
        <f>VLOOKUP(lEFT($A455,4),Setor!$A:$E,5,0)</f>
        <v>Bancos</v>
      </c>
      <c r="E455" s="17">
        <f>IFERROR(__xludf.DUMMYFUNCTION("GOOGLEFINANCE(A455)"),32.98)</f>
        <v>32.98</v>
      </c>
      <c r="F455" s="17">
        <f>IFERROR(__xludf.DUMMYFUNCTION("GOOGLEFINANCE($A455,""high52"")"),47.5)</f>
        <v>47.5</v>
      </c>
      <c r="G455" s="16">
        <f t="shared" si="1"/>
        <v>-0.3056842105</v>
      </c>
      <c r="H455" s="40">
        <f>VLOOKUP($A455,'Dados StatusInvest'!$A:$AY,column(H455)-$A$5,0)*VLOOKUP($A455,'Dados StatusInvest'!$A:$AY,2,0)/$E455/100</f>
        <v>0.03433735597</v>
      </c>
      <c r="I455" s="41">
        <f>VLOOKUP($A455,'Dados StatusInvest'!$A:$AY,column(I455)-$A$5,0)/VLOOKUP($A455,'Dados StatusInvest'!$A:$AY,2,0)*$E455</f>
        <v>6.33001563</v>
      </c>
      <c r="J455" s="41">
        <f>VLOOKUP($A455,'Dados StatusInvest'!$A:$AY,column(J455)-$A$5,0)/VLOOKUP($A455,'Dados StatusInvest'!$A:$AY,2,0)*$E455</f>
        <v>0.9381619256</v>
      </c>
      <c r="K455" s="42">
        <f>VLOOKUP($A455,'Dados StatusInvest'!$A:$AY,column(K455)-$A$5,0)/VLOOKUP($A455,'Dados StatusInvest'!$A:$AY,2,0)*$E455</f>
        <v>0.07216630197</v>
      </c>
      <c r="L455" s="43">
        <f>VLOOKUP($A455,'Dados StatusInvest'!$A:$AY,column(L455)-$A$5,0)/100</f>
        <v>0.7535</v>
      </c>
      <c r="M455" s="44">
        <f>VLOOKUP($A455,'Dados StatusInvest'!$A:$AY,column(M455)-$A$5,0)</f>
        <v>18.05</v>
      </c>
      <c r="N455" s="44">
        <f>VLOOKUP($A455,'Dados StatusInvest'!$A:$AY,column(N455)-$A$5,0)</f>
        <v>12.49</v>
      </c>
      <c r="O455" s="41">
        <f>VLOOKUP($A455,'Dados StatusInvest'!$A:$AY,column(O455)-$A$5,0)/VLOOKUP($A455,'Dados StatusInvest'!$A:$AY,2,0)*$E455</f>
        <v>4.381525477</v>
      </c>
      <c r="P455" s="41">
        <f>VLOOKUP($A455,'Dados StatusInvest'!$A:$AY,column(P455)-$A$5,0)-VLOOKUP($A455,'Dados StatusInvest'!$A:$AY,column(P455)-$A$5-1,0)+O455</f>
        <v>3.761525477</v>
      </c>
      <c r="Q455" s="44">
        <f>VLOOKUP($A455,'Dados StatusInvest'!$A:$AY,column(Q455)-$A$5,0)</f>
        <v>0</v>
      </c>
      <c r="R455" s="44">
        <f>VLOOKUP($A455,'Dados StatusInvest'!$A:$AY,column(R455)-$A$5,0)</f>
        <v>0</v>
      </c>
      <c r="S455" s="41">
        <f>VLOOKUP($A455,'Dados StatusInvest'!$A:$AY,column(S455)-$A$5,0)/VLOOKUP($A455,'Dados StatusInvest'!$A:$AY,2,0)*$E455</f>
        <v>0.7938293217</v>
      </c>
      <c r="T455" s="42">
        <f>VLOOKUP($A455,'Dados StatusInvest'!$A:$AY,column(T455)-$A$5,0)/VLOOKUP($A455,'Dados StatusInvest'!$A:$AY,2,0)*$E455</f>
        <v>-0.4329978118</v>
      </c>
      <c r="U455" s="44">
        <f>VLOOKUP($A455,'Dados StatusInvest'!$A:$AY,column(U455)-$A$5,0)</f>
        <v>-0.14</v>
      </c>
      <c r="V455" s="45">
        <f>VLOOKUP($A455,'Dados StatusInvest'!$A:$AY,column(V455)-$A$5,0)</f>
        <v>0.76</v>
      </c>
      <c r="W455" s="45">
        <f>VLOOKUP($A455,'Dados StatusInvest'!$A:$AY,column(W455)-$A$5,0)</f>
        <v>14.87</v>
      </c>
      <c r="X455" s="45">
        <f>VLOOKUP($A455,'Dados StatusInvest'!$A:$AY,column(X455)-$A$5,0)</f>
        <v>1.1</v>
      </c>
      <c r="Y455" s="45">
        <f>VLOOKUP($A455,'Dados StatusInvest'!$A:$AY,column(Y455)-$A$5,0)</f>
        <v>0</v>
      </c>
      <c r="Z455" s="44">
        <f>VLOOKUP($A455,'Dados StatusInvest'!$A:$AY,column(Z455)-$A$5,0)</f>
        <v>0.07</v>
      </c>
      <c r="AA455" s="44">
        <f>VLOOKUP($A455,'Dados StatusInvest'!$A:$AY,column(AA455)-$A$5,0)</f>
        <v>0.93</v>
      </c>
      <c r="AB455" s="44">
        <f>VLOOKUP($A455,'Dados StatusInvest'!$A:$AY,column(AB455)-$A$5,0)</f>
        <v>0.09</v>
      </c>
      <c r="AC455" s="44">
        <f>VLOOKUP($A455,'Dados StatusInvest'!$A:$AY,column(AC455)-$A$5,0)</f>
        <v>0.74</v>
      </c>
      <c r="AD455" s="45">
        <f>VLOOKUP($A455,'Dados StatusInvest'!$A:$AY,column(AD455)-$A$5,0)</f>
        <v>24</v>
      </c>
      <c r="AE455" s="46">
        <f>VLOOKUP($A455,'Dados StatusInvest'!$A:$AY,column(AE455)-$A$5,0)</f>
        <v>7137.18</v>
      </c>
      <c r="AF455" s="50"/>
    </row>
    <row r="456">
      <c r="A456" s="10" t="s">
        <v>502</v>
      </c>
      <c r="B456" s="52" t="str">
        <f>VLOOKUP(LEFT($A456,4),Setor!$A:$E,3,0)</f>
        <v>Consumo Cíclico</v>
      </c>
      <c r="C456" s="52" t="str">
        <f>VLOOKUP(LEFT($A456,4),Setor!$A:$E,4,0)</f>
        <v>Construção Civil</v>
      </c>
      <c r="D456" s="52" t="str">
        <f>VLOOKUP(LEFT($A456,4),Setor!$A:$E,5,0)</f>
        <v>Incorporações</v>
      </c>
      <c r="E456" s="53">
        <f>IFERROR(__xludf.DUMMYFUNCTION("GOOGLEFINANCE(A456)"),50.0)</f>
        <v>50</v>
      </c>
      <c r="F456" s="53">
        <f>IFERROR(__xludf.DUMMYFUNCTION("GOOGLEFINANCE($A456,""high52"")"),70.0)</f>
        <v>70</v>
      </c>
      <c r="G456" s="54">
        <f t="shared" si="1"/>
        <v>-0.2857142857</v>
      </c>
      <c r="H456" s="55">
        <f>VLOOKUP($A456,'Dados StatusInvest'!$A:$AY,COLUMN(H456)-$A$5,0)*VLOOKUP($A456,'Dados StatusInvest'!$A:$AY,2,0)/$E456/100</f>
        <v>0</v>
      </c>
      <c r="I456" s="56">
        <f>VLOOKUP($A456,'Dados StatusInvest'!$A:$AY,COLUMN(I456)-$A$5,0)/VLOOKUP($A456,'Dados StatusInvest'!$A:$AY,2,0)*$E456</f>
        <v>6.92</v>
      </c>
      <c r="J456" s="56">
        <f>VLOOKUP($A456,'Dados StatusInvest'!$A:$AY,COLUMN(J456)-$A$5,0)/VLOOKUP($A456,'Dados StatusInvest'!$A:$AY,2,0)*$E456</f>
        <v>2.98</v>
      </c>
      <c r="K456" s="57">
        <f>VLOOKUP($A456,'Dados StatusInvest'!$A:$AY,COLUMN(K456)-$A$5,0)/VLOOKUP($A456,'Dados StatusInvest'!$A:$AY,2,0)*$E456</f>
        <v>0.14</v>
      </c>
      <c r="L456" s="58">
        <f>VLOOKUP($A456,'Dados StatusInvest'!$A:$AY,COLUMN(L456)-$A$5,0)/100</f>
        <v>0.2776</v>
      </c>
      <c r="M456" s="59">
        <f>VLOOKUP($A456,'Dados StatusInvest'!$A:$AY,COLUMN(M456)-$A$5,0)</f>
        <v>13.05</v>
      </c>
      <c r="N456" s="59">
        <f>VLOOKUP($A456,'Dados StatusInvest'!$A:$AY,COLUMN(N456)-$A$5,0)</f>
        <v>4.23</v>
      </c>
      <c r="O456" s="56">
        <f>VLOOKUP($A456,'Dados StatusInvest'!$A:$AY,COLUMN(O456)-$A$5,0)/VLOOKUP($A456,'Dados StatusInvest'!$A:$AY,2,0)*$E456</f>
        <v>2.24</v>
      </c>
      <c r="P456" s="56">
        <f>VLOOKUP($A456,'Dados StatusInvest'!$A:$AY,COLUMN(P456)-$A$5,0)-VLOOKUP($A456,'Dados StatusInvest'!$A:$AY,COLUMN(P456)-$A$5-1,0)+O456</f>
        <v>6.91</v>
      </c>
      <c r="Q456" s="59">
        <f>VLOOKUP($A456,'Dados StatusInvest'!$A:$AY,COLUMN(Q456)-$A$5,0)</f>
        <v>3.95</v>
      </c>
      <c r="R456" s="59">
        <f>VLOOKUP($A456,'Dados StatusInvest'!$A:$AY,COLUMN(R456)-$A$5,0)</f>
        <v>5.24</v>
      </c>
      <c r="S456" s="56">
        <f>VLOOKUP($A456,'Dados StatusInvest'!$A:$AY,COLUMN(S456)-$A$5,0)/VLOOKUP($A456,'Dados StatusInvest'!$A:$AY,2,0)*$E456</f>
        <v>0.29</v>
      </c>
      <c r="T456" s="57">
        <f>VLOOKUP($A456,'Dados StatusInvest'!$A:$AY,COLUMN(T456)-$A$5,0)/VLOOKUP($A456,'Dados StatusInvest'!$A:$AY,2,0)*$E456</f>
        <v>0.45</v>
      </c>
      <c r="U456" s="59">
        <f>VLOOKUP($A456,'Dados StatusInvest'!$A:$AY,COLUMN(U456)-$A$5,0)</f>
        <v>-0.27</v>
      </c>
      <c r="V456" s="60">
        <f>VLOOKUP($A456,'Dados StatusInvest'!$A:$AY,COLUMN(V456)-$A$5,0)</f>
        <v>2.6</v>
      </c>
      <c r="W456" s="61">
        <f>VLOOKUP($A456,'Dados StatusInvest'!$A:$AY,COLUMN(W456)-$A$5,0)</f>
        <v>43.09</v>
      </c>
      <c r="X456" s="61">
        <f>VLOOKUP($A456,'Dados StatusInvest'!$A:$AY,COLUMN(X456)-$A$5,0)</f>
        <v>1.99</v>
      </c>
      <c r="Y456" s="61">
        <f>VLOOKUP($A456,'Dados StatusInvest'!$A:$AY,COLUMN(Y456)-$A$5,0)</f>
        <v>13.82</v>
      </c>
      <c r="Z456" s="59">
        <f>VLOOKUP($A456,'Dados StatusInvest'!$A:$AY,COLUMN(Z456)-$A$5,0)</f>
        <v>0.05</v>
      </c>
      <c r="AA456" s="59">
        <f>VLOOKUP($A456,'Dados StatusInvest'!$A:$AY,COLUMN(AA456)-$A$5,0)</f>
        <v>0.95</v>
      </c>
      <c r="AB456" s="59">
        <f>VLOOKUP($A456,'Dados StatusInvest'!$A:$AY,COLUMN(AB456)-$A$5,0)</f>
        <v>0.47</v>
      </c>
      <c r="AC456" s="59">
        <f>VLOOKUP($A456,'Dados StatusInvest'!$A:$AY,COLUMN(AC456)-$A$5,0)</f>
        <v>-7.97</v>
      </c>
      <c r="AD456" s="60">
        <f>VLOOKUP($A456,'Dados StatusInvest'!$A:$AY,COLUMN(AD456)-$A$5,0)</f>
        <v>-28.69</v>
      </c>
      <c r="AE456" s="62">
        <f>VLOOKUP($A456,'Dados StatusInvest'!$A:$AY,COLUMN(AE456)-$A$5,0)</f>
        <v>9554</v>
      </c>
      <c r="AF456" s="18"/>
    </row>
    <row r="457">
      <c r="A457" s="10" t="s">
        <v>503</v>
      </c>
      <c r="B457" s="39" t="str">
        <f>VLOOKUP(lEFT($A457,4),Setor!$A:$E,3,0)</f>
        <v>Bens Industriais</v>
      </c>
      <c r="C457" s="39" t="str">
        <f>VLOOKUP(lEFT($A457,4),Setor!$A:$E,4,0)</f>
        <v>Máquinas e Equipamentos</v>
      </c>
      <c r="D457" s="39" t="str">
        <f>VLOOKUP(lEFT($A457,4),Setor!$A:$E,5,0)</f>
        <v>Máq. e Equip. Construção e Agrícolas</v>
      </c>
      <c r="E457" s="17">
        <f>IFERROR(__xludf.DUMMYFUNCTION("GOOGLEFINANCE(A457)"),64.5)</f>
        <v>64.5</v>
      </c>
      <c r="F457" s="17">
        <f>IFERROR(__xludf.DUMMYFUNCTION("GOOGLEFINANCE($A457,""high52"")"),64.5)</f>
        <v>64.5</v>
      </c>
      <c r="G457" s="16">
        <f t="shared" si="1"/>
        <v>0</v>
      </c>
      <c r="H457" s="40">
        <f>VLOOKUP($A457,'Dados StatusInvest'!$A:$AY,column(H457)-$A$5,0)*VLOOKUP($A457,'Dados StatusInvest'!$A:$AY,2,0)/$E457/100</f>
        <v>0.03065674419</v>
      </c>
      <c r="I457" s="41">
        <f>VLOOKUP($A457,'Dados StatusInvest'!$A:$AY,column(I457)-$A$5,0)/VLOOKUP($A457,'Dados StatusInvest'!$A:$AY,2,0)*$E457</f>
        <v>11.34275701</v>
      </c>
      <c r="J457" s="41">
        <f>VLOOKUP($A457,'Dados StatusInvest'!$A:$AY,column(J457)-$A$5,0)/VLOOKUP($A457,'Dados StatusInvest'!$A:$AY,2,0)*$E457</f>
        <v>1.969158879</v>
      </c>
      <c r="K457" s="42">
        <f>VLOOKUP($A457,'Dados StatusInvest'!$A:$AY,column(K457)-$A$5,0)/VLOOKUP($A457,'Dados StatusInvest'!$A:$AY,2,0)*$E457</f>
        <v>1.426635514</v>
      </c>
      <c r="L457" s="43">
        <f>VLOOKUP($A457,'Dados StatusInvest'!$A:$AY,column(L457)-$A$5,0)/100</f>
        <v>0.2937</v>
      </c>
      <c r="M457" s="44">
        <f>VLOOKUP($A457,'Dados StatusInvest'!$A:$AY,column(M457)-$A$5,0)</f>
        <v>14.06</v>
      </c>
      <c r="N457" s="44">
        <f>VLOOKUP($A457,'Dados StatusInvest'!$A:$AY,column(N457)-$A$5,0)</f>
        <v>11.16</v>
      </c>
      <c r="O457" s="41">
        <f>VLOOKUP($A457,'Dados StatusInvest'!$A:$AY,column(O457)-$A$5,0)/VLOOKUP($A457,'Dados StatusInvest'!$A:$AY,2,0)*$E457</f>
        <v>9.011915888</v>
      </c>
      <c r="P457" s="41">
        <f>VLOOKUP($A457,'Dados StatusInvest'!$A:$AY,column(P457)-$A$5,0)-VLOOKUP($A457,'Dados StatusInvest'!$A:$AY,column(P457)-$A$5-1,0)+O457</f>
        <v>6.941915888</v>
      </c>
      <c r="Q457" s="44">
        <f>VLOOKUP($A457,'Dados StatusInvest'!$A:$AY,column(Q457)-$A$5,0)</f>
        <v>-0.39</v>
      </c>
      <c r="R457" s="44">
        <f>VLOOKUP($A457,'Dados StatusInvest'!$A:$AY,column(R457)-$A$5,0)</f>
        <v>-0.09</v>
      </c>
      <c r="S457" s="41">
        <f>VLOOKUP($A457,'Dados StatusInvest'!$A:$AY,column(S457)-$A$5,0)/VLOOKUP($A457,'Dados StatusInvest'!$A:$AY,2,0)*$E457</f>
        <v>1.26588785</v>
      </c>
      <c r="T457" s="42">
        <f>VLOOKUP($A457,'Dados StatusInvest'!$A:$AY,column(T457)-$A$5,0)/VLOOKUP($A457,'Dados StatusInvest'!$A:$AY,2,0)*$E457</f>
        <v>2.712616822</v>
      </c>
      <c r="U457" s="47">
        <f>VLOOKUP($A457,'Dados StatusInvest'!$A:$AY,column(U457)-$A$5,0)</f>
        <v>-6.19</v>
      </c>
      <c r="V457" s="45">
        <f>VLOOKUP($A457,'Dados StatusInvest'!$A:$AY,column(V457)-$A$5,0)</f>
        <v>3.13</v>
      </c>
      <c r="W457" s="45">
        <f>VLOOKUP($A457,'Dados StatusInvest'!$A:$AY,column(W457)-$A$5,0)</f>
        <v>17.32</v>
      </c>
      <c r="X457" s="45">
        <f>VLOOKUP($A457,'Dados StatusInvest'!$A:$AY,column(X457)-$A$5,0)</f>
        <v>12.55</v>
      </c>
      <c r="Y457" s="48">
        <f>VLOOKUP($A457,'Dados StatusInvest'!$A:$AY,column(Y457)-$A$5,0)</f>
        <v>12.73</v>
      </c>
      <c r="Z457" s="44">
        <f>VLOOKUP($A457,'Dados StatusInvest'!$A:$AY,column(Z457)-$A$5,0)</f>
        <v>0.72</v>
      </c>
      <c r="AA457" s="44">
        <f>VLOOKUP($A457,'Dados StatusInvest'!$A:$AY,column(AA457)-$A$5,0)</f>
        <v>0.28</v>
      </c>
      <c r="AB457" s="44">
        <f>VLOOKUP($A457,'Dados StatusInvest'!$A:$AY,column(AB457)-$A$5,0)</f>
        <v>1.12</v>
      </c>
      <c r="AC457" s="44">
        <f>VLOOKUP($A457,'Dados StatusInvest'!$A:$AY,column(AC457)-$A$5,0)</f>
        <v>10.62</v>
      </c>
      <c r="AD457" s="45">
        <f>VLOOKUP($A457,'Dados StatusInvest'!$A:$AY,column(AD457)-$A$5,0)</f>
        <v>25.65</v>
      </c>
      <c r="AE457" s="46">
        <f>VLOOKUP($A457,'Dados StatusInvest'!$A:$AY,column(AE457)-$A$5,0)</f>
        <v>9450</v>
      </c>
      <c r="AF457" s="51"/>
    </row>
    <row r="458">
      <c r="A458" s="10" t="s">
        <v>504</v>
      </c>
      <c r="B458" s="39" t="str">
        <f>VLOOKUP(lEFT($A458,4),Setor!$A:$E,3,0)</f>
        <v>Materiais Básicos</v>
      </c>
      <c r="C458" s="39" t="str">
        <f>VLOOKUP(lEFT($A458,4),Setor!$A:$E,4,0)</f>
        <v>Siderurgia e Metalurgia</v>
      </c>
      <c r="D458" s="39" t="str">
        <f>VLOOKUP(lEFT($A458,4),Setor!$A:$E,5,0)</f>
        <v>Artefatos de Ferro e Aço</v>
      </c>
      <c r="E458" s="17">
        <f>IFERROR(__xludf.DUMMYFUNCTION("GOOGLEFINANCE(A458)"),59.9)</f>
        <v>59.9</v>
      </c>
      <c r="F458" s="17">
        <f>IFERROR(__xludf.DUMMYFUNCTION("GOOGLEFINANCE($A458,""high52"")"),67.0)</f>
        <v>67</v>
      </c>
      <c r="G458" s="16">
        <f t="shared" si="1"/>
        <v>-0.1059701493</v>
      </c>
      <c r="H458" s="40">
        <f>VLOOKUP($A458,'Dados StatusInvest'!$A:$AY,column(H458)-$A$5,0)*VLOOKUP($A458,'Dados StatusInvest'!$A:$AY,2,0)/$E458/100</f>
        <v>0.0348</v>
      </c>
      <c r="I458" s="41">
        <f>VLOOKUP($A458,'Dados StatusInvest'!$A:$AY,column(I458)-$A$5,0)/VLOOKUP($A458,'Dados StatusInvest'!$A:$AY,2,0)*$E458</f>
        <v>5.09</v>
      </c>
      <c r="J458" s="41">
        <f>VLOOKUP($A458,'Dados StatusInvest'!$A:$AY,column(J458)-$A$5,0)/VLOOKUP($A458,'Dados StatusInvest'!$A:$AY,2,0)*$E458</f>
        <v>0.84</v>
      </c>
      <c r="K458" s="42">
        <f>VLOOKUP($A458,'Dados StatusInvest'!$A:$AY,column(K458)-$A$5,0)/VLOOKUP($A458,'Dados StatusInvest'!$A:$AY,2,0)*$E458</f>
        <v>0.58</v>
      </c>
      <c r="L458" s="43">
        <f>VLOOKUP($A458,'Dados StatusInvest'!$A:$AY,column(L458)-$A$5,0)/100</f>
        <v>0.2746</v>
      </c>
      <c r="M458" s="44">
        <f>VLOOKUP($A458,'Dados StatusInvest'!$A:$AY,column(M458)-$A$5,0)</f>
        <v>19.17</v>
      </c>
      <c r="N458" s="44">
        <f>VLOOKUP($A458,'Dados StatusInvest'!$A:$AY,column(N458)-$A$5,0)</f>
        <v>13.85</v>
      </c>
      <c r="O458" s="41">
        <f>VLOOKUP($A458,'Dados StatusInvest'!$A:$AY,column(O458)-$A$5,0)/VLOOKUP($A458,'Dados StatusInvest'!$A:$AY,2,0)*$E458</f>
        <v>3.68</v>
      </c>
      <c r="P458" s="41">
        <f>VLOOKUP($A458,'Dados StatusInvest'!$A:$AY,column(P458)-$A$5,0)-VLOOKUP($A458,'Dados StatusInvest'!$A:$AY,column(P458)-$A$5-1,0)+O458</f>
        <v>4.26</v>
      </c>
      <c r="Q458" s="44">
        <f>VLOOKUP($A458,'Dados StatusInvest'!$A:$AY,column(Q458)-$A$5,0)</f>
        <v>0.26</v>
      </c>
      <c r="R458" s="44">
        <f>VLOOKUP($A458,'Dados StatusInvest'!$A:$AY,column(R458)-$A$5,0)</f>
        <v>0.06</v>
      </c>
      <c r="S458" s="41">
        <f>VLOOKUP($A458,'Dados StatusInvest'!$A:$AY,column(S458)-$A$5,0)/VLOOKUP($A458,'Dados StatusInvest'!$A:$AY,2,0)*$E458</f>
        <v>0.71</v>
      </c>
      <c r="T458" s="42">
        <f>VLOOKUP($A458,'Dados StatusInvest'!$A:$AY,column(T458)-$A$5,0)/VLOOKUP($A458,'Dados StatusInvest'!$A:$AY,2,0)*$E458</f>
        <v>1.6</v>
      </c>
      <c r="U458" s="44">
        <f>VLOOKUP($A458,'Dados StatusInvest'!$A:$AY,column(U458)-$A$5,0)</f>
        <v>-1.56</v>
      </c>
      <c r="V458" s="45">
        <f>VLOOKUP($A458,'Dados StatusInvest'!$A:$AY,column(V458)-$A$5,0)</f>
        <v>2.34</v>
      </c>
      <c r="W458" s="45">
        <f>VLOOKUP($A458,'Dados StatusInvest'!$A:$AY,column(W458)-$A$5,0)</f>
        <v>16.48</v>
      </c>
      <c r="X458" s="45">
        <f>VLOOKUP($A458,'Dados StatusInvest'!$A:$AY,column(X458)-$A$5,0)</f>
        <v>11.34</v>
      </c>
      <c r="Y458" s="45">
        <f>VLOOKUP($A458,'Dados StatusInvest'!$A:$AY,column(Y458)-$A$5,0)</f>
        <v>14.82</v>
      </c>
      <c r="Z458" s="44">
        <f>VLOOKUP($A458,'Dados StatusInvest'!$A:$AY,column(Z458)-$A$5,0)</f>
        <v>0.69</v>
      </c>
      <c r="AA458" s="44">
        <f>VLOOKUP($A458,'Dados StatusInvest'!$A:$AY,column(AA458)-$A$5,0)</f>
        <v>0.31</v>
      </c>
      <c r="AB458" s="44">
        <f>VLOOKUP($A458,'Dados StatusInvest'!$A:$AY,column(AB458)-$A$5,0)</f>
        <v>0.82</v>
      </c>
      <c r="AC458" s="44">
        <f>VLOOKUP($A458,'Dados StatusInvest'!$A:$AY,column(AC458)-$A$5,0)</f>
        <v>8.49</v>
      </c>
      <c r="AD458" s="45">
        <f>VLOOKUP($A458,'Dados StatusInvest'!$A:$AY,column(AD458)-$A$5,0)</f>
        <v>0</v>
      </c>
      <c r="AE458" s="46">
        <f>VLOOKUP($A458,'Dados StatusInvest'!$A:$AY,column(AE458)-$A$5,0)</f>
        <v>11990</v>
      </c>
      <c r="AF458" s="18"/>
    </row>
    <row r="459">
      <c r="A459" s="10" t="s">
        <v>505</v>
      </c>
      <c r="B459" s="39" t="str">
        <f>VLOOKUP(lEFT($A459,4),Setor!$A:$E,3,0)</f>
        <v>Saúde</v>
      </c>
      <c r="C459" s="39" t="str">
        <f>VLOOKUP(lEFT($A459,4),Setor!$A:$E,4,0)</f>
        <v>Equipamentos</v>
      </c>
      <c r="D459" s="39" t="str">
        <f>VLOOKUP(lEFT($A459,4),Setor!$A:$E,5,0)</f>
        <v>Equipamentos</v>
      </c>
      <c r="E459" s="17">
        <f>IFERROR(__xludf.DUMMYFUNCTION("GOOGLEFINANCE(A459)"),17.78)</f>
        <v>17.78</v>
      </c>
      <c r="F459" s="17">
        <f>IFERROR(__xludf.DUMMYFUNCTION("GOOGLEFINANCE($A459,""high52"")"),31.0)</f>
        <v>31</v>
      </c>
      <c r="G459" s="16">
        <f t="shared" si="1"/>
        <v>-0.4264516129</v>
      </c>
      <c r="H459" s="40">
        <f>VLOOKUP($A459,'Dados StatusInvest'!$A:$AY,column(H459)-$A$5,0)*VLOOKUP($A459,'Dados StatusInvest'!$A:$AY,2,0)/$E459/100</f>
        <v>0.01908976378</v>
      </c>
      <c r="I459" s="41">
        <f>VLOOKUP($A459,'Dados StatusInvest'!$A:$AY,column(I459)-$A$5,0)/VLOOKUP($A459,'Dados StatusInvest'!$A:$AY,2,0)*$E459</f>
        <v>25.04300239</v>
      </c>
      <c r="J459" s="41">
        <f>VLOOKUP($A459,'Dados StatusInvest'!$A:$AY,column(J459)-$A$5,0)/VLOOKUP($A459,'Dados StatusInvest'!$A:$AY,2,0)*$E459</f>
        <v>1.488755981</v>
      </c>
      <c r="K459" s="42">
        <f>VLOOKUP($A459,'Dados StatusInvest'!$A:$AY,column(K459)-$A$5,0)/VLOOKUP($A459,'Dados StatusInvest'!$A:$AY,2,0)*$E459</f>
        <v>0.8294497608</v>
      </c>
      <c r="L459" s="43">
        <f>VLOOKUP($A459,'Dados StatusInvest'!$A:$AY,column(L459)-$A$5,0)/100</f>
        <v>0.5356</v>
      </c>
      <c r="M459" s="44">
        <f>VLOOKUP($A459,'Dados StatusInvest'!$A:$AY,column(M459)-$A$5,0)</f>
        <v>8.25</v>
      </c>
      <c r="N459" s="44">
        <f>VLOOKUP($A459,'Dados StatusInvest'!$A:$AY,column(N459)-$A$5,0)</f>
        <v>4.75</v>
      </c>
      <c r="O459" s="41">
        <f>VLOOKUP($A459,'Dados StatusInvest'!$A:$AY,column(O459)-$A$5,0)/VLOOKUP($A459,'Dados StatusInvest'!$A:$AY,2,0)*$E459</f>
        <v>14.43029904</v>
      </c>
      <c r="P459" s="41">
        <f>VLOOKUP($A459,'Dados StatusInvest'!$A:$AY,column(P459)-$A$5,0)-VLOOKUP($A459,'Dados StatusInvest'!$A:$AY,column(P459)-$A$5-1,0)+O459</f>
        <v>12.16029904</v>
      </c>
      <c r="Q459" s="44">
        <f>VLOOKUP($A459,'Dados StatusInvest'!$A:$AY,column(Q459)-$A$5,0)</f>
        <v>-1.57</v>
      </c>
      <c r="R459" s="44">
        <f>VLOOKUP($A459,'Dados StatusInvest'!$A:$AY,column(R459)-$A$5,0)</f>
        <v>-0.16</v>
      </c>
      <c r="S459" s="41">
        <f>VLOOKUP($A459,'Dados StatusInvest'!$A:$AY,column(S459)-$A$5,0)/VLOOKUP($A459,'Dados StatusInvest'!$A:$AY,2,0)*$E459</f>
        <v>1.191004785</v>
      </c>
      <c r="T459" s="42">
        <f>VLOOKUP($A459,'Dados StatusInvest'!$A:$AY,column(T459)-$A$5,0)/VLOOKUP($A459,'Dados StatusInvest'!$A:$AY,2,0)*$E459</f>
        <v>2.009820574</v>
      </c>
      <c r="U459" s="47">
        <f>VLOOKUP($A459,'Dados StatusInvest'!$A:$AY,column(U459)-$A$5,0)</f>
        <v>-2.45</v>
      </c>
      <c r="V459" s="45">
        <f>VLOOKUP($A459,'Dados StatusInvest'!$A:$AY,column(V459)-$A$5,0)</f>
        <v>2.57</v>
      </c>
      <c r="W459" s="45">
        <f>VLOOKUP($A459,'Dados StatusInvest'!$A:$AY,column(W459)-$A$5,0)</f>
        <v>5.93</v>
      </c>
      <c r="X459" s="45">
        <f>VLOOKUP($A459,'Dados StatusInvest'!$A:$AY,column(X459)-$A$5,0)</f>
        <v>3.33</v>
      </c>
      <c r="Y459" s="45">
        <f>VLOOKUP($A459,'Dados StatusInvest'!$A:$AY,column(Y459)-$A$5,0)</f>
        <v>5.02</v>
      </c>
      <c r="Z459" s="44">
        <f>VLOOKUP($A459,'Dados StatusInvest'!$A:$AY,column(Z459)-$A$5,0)</f>
        <v>0.56</v>
      </c>
      <c r="AA459" s="44">
        <f>VLOOKUP($A459,'Dados StatusInvest'!$A:$AY,column(AA459)-$A$5,0)</f>
        <v>0.4</v>
      </c>
      <c r="AB459" s="44">
        <f>VLOOKUP($A459,'Dados StatusInvest'!$A:$AY,column(AB459)-$A$5,0)</f>
        <v>0.7</v>
      </c>
      <c r="AC459" s="44">
        <f>VLOOKUP($A459,'Dados StatusInvest'!$A:$AY,column(AC459)-$A$5,0)</f>
        <v>7.78</v>
      </c>
      <c r="AD459" s="45">
        <f>VLOOKUP($A459,'Dados StatusInvest'!$A:$AY,column(AD459)-$A$5,0)</f>
        <v>-13.19</v>
      </c>
      <c r="AE459" s="46">
        <f>VLOOKUP($A459,'Dados StatusInvest'!$A:$AY,column(AE459)-$A$5,0)</f>
        <v>11666.56</v>
      </c>
      <c r="AF459" s="51"/>
    </row>
    <row r="460">
      <c r="A460" s="10" t="s">
        <v>506</v>
      </c>
      <c r="B460" s="52" t="str">
        <f>VLOOKUP(LEFT($A460,4),Setor!$A:$E,3,0)</f>
        <v>Consumo Cíclico</v>
      </c>
      <c r="C460" s="52" t="str">
        <f>VLOOKUP(LEFT($A460,4),Setor!$A:$E,4,0)</f>
        <v>Tecidos, Vestuário e Calçados</v>
      </c>
      <c r="D460" s="52" t="str">
        <f>VLOOKUP(LEFT($A460,4),Setor!$A:$E,5,0)</f>
        <v>Fios e Tecidos</v>
      </c>
      <c r="E460" s="53">
        <f>IFERROR(__xludf.DUMMYFUNCTION("GOOGLEFINANCE(A460)"),7.05)</f>
        <v>7.05</v>
      </c>
      <c r="F460" s="53">
        <f>IFERROR(__xludf.DUMMYFUNCTION("GOOGLEFINANCE($A460,""high52"")"),20.9)</f>
        <v>20.9</v>
      </c>
      <c r="G460" s="54">
        <f t="shared" si="1"/>
        <v>-0.6626794258</v>
      </c>
      <c r="H460" s="55">
        <f>VLOOKUP($A460,'Dados StatusInvest'!$A:$AY,COLUMN(H460)-$A$5,0)*VLOOKUP($A460,'Dados StatusInvest'!$A:$AY,2,0)/$E460/100</f>
        <v>0</v>
      </c>
      <c r="I460" s="56">
        <f>VLOOKUP($A460,'Dados StatusInvest'!$A:$AY,COLUMN(I460)-$A$5,0)/VLOOKUP($A460,'Dados StatusInvest'!$A:$AY,2,0)*$E460</f>
        <v>21.84061224</v>
      </c>
      <c r="J460" s="56">
        <f>VLOOKUP($A460,'Dados StatusInvest'!$A:$AY,COLUMN(J460)-$A$5,0)/VLOOKUP($A460,'Dados StatusInvest'!$A:$AY,2,0)*$E460</f>
        <v>0.5179591837</v>
      </c>
      <c r="K460" s="57">
        <f>VLOOKUP($A460,'Dados StatusInvest'!$A:$AY,COLUMN(K460)-$A$5,0)/VLOOKUP($A460,'Dados StatusInvest'!$A:$AY,2,0)*$E460</f>
        <v>0.09591836735</v>
      </c>
      <c r="L460" s="58">
        <f>VLOOKUP($A460,'Dados StatusInvest'!$A:$AY,COLUMN(L460)-$A$5,0)/100</f>
        <v>0.1721</v>
      </c>
      <c r="M460" s="59">
        <f>VLOOKUP($A460,'Dados StatusInvest'!$A:$AY,COLUMN(M460)-$A$5,0)</f>
        <v>5.01</v>
      </c>
      <c r="N460" s="59">
        <f>VLOOKUP($A460,'Dados StatusInvest'!$A:$AY,COLUMN(N460)-$A$5,0)</f>
        <v>0.4</v>
      </c>
      <c r="O460" s="56">
        <f>VLOOKUP($A460,'Dados StatusInvest'!$A:$AY,COLUMN(O460)-$A$5,0)/VLOOKUP($A460,'Dados StatusInvest'!$A:$AY,2,0)*$E460</f>
        <v>1.736122449</v>
      </c>
      <c r="P460" s="56">
        <f>VLOOKUP($A460,'Dados StatusInvest'!$A:$AY,COLUMN(P460)-$A$5,0)-VLOOKUP($A460,'Dados StatusInvest'!$A:$AY,COLUMN(P460)-$A$5-1,0)+O460</f>
        <v>6.456122449</v>
      </c>
      <c r="Q460" s="59">
        <f>VLOOKUP($A460,'Dados StatusInvest'!$A:$AY,COLUMN(Q460)-$A$5,0)</f>
        <v>4.84</v>
      </c>
      <c r="R460" s="59">
        <f>VLOOKUP($A460,'Dados StatusInvest'!$A:$AY,COLUMN(R460)-$A$5,0)</f>
        <v>1.44</v>
      </c>
      <c r="S460" s="56">
        <f>VLOOKUP($A460,'Dados StatusInvest'!$A:$AY,COLUMN(S460)-$A$5,0)/VLOOKUP($A460,'Dados StatusInvest'!$A:$AY,2,0)*$E460</f>
        <v>0.08632653061</v>
      </c>
      <c r="T460" s="57">
        <f>VLOOKUP($A460,'Dados StatusInvest'!$A:$AY,COLUMN(T460)-$A$5,0)/VLOOKUP($A460,'Dados StatusInvest'!$A:$AY,2,0)*$E460</f>
        <v>-1.678571429</v>
      </c>
      <c r="U460" s="59">
        <f>VLOOKUP($A460,'Dados StatusInvest'!$A:$AY,COLUMN(U460)-$A$5,0)</f>
        <v>-0.18</v>
      </c>
      <c r="V460" s="60">
        <f>VLOOKUP($A460,'Dados StatusInvest'!$A:$AY,COLUMN(V460)-$A$5,0)</f>
        <v>0.9</v>
      </c>
      <c r="W460" s="60">
        <f>VLOOKUP($A460,'Dados StatusInvest'!$A:$AY,COLUMN(W460)-$A$5,0)</f>
        <v>2.36</v>
      </c>
      <c r="X460" s="60">
        <f>VLOOKUP($A460,'Dados StatusInvest'!$A:$AY,COLUMN(X460)-$A$5,0)</f>
        <v>0.42</v>
      </c>
      <c r="Y460" s="60">
        <f>VLOOKUP($A460,'Dados StatusInvest'!$A:$AY,COLUMN(Y460)-$A$5,0)</f>
        <v>10.82</v>
      </c>
      <c r="Z460" s="59">
        <f>VLOOKUP($A460,'Dados StatusInvest'!$A:$AY,COLUMN(Z460)-$A$5,0)</f>
        <v>0.18</v>
      </c>
      <c r="AA460" s="59">
        <f>VLOOKUP($A460,'Dados StatusInvest'!$A:$AY,COLUMN(AA460)-$A$5,0)</f>
        <v>0.8</v>
      </c>
      <c r="AB460" s="59">
        <f>VLOOKUP($A460,'Dados StatusInvest'!$A:$AY,COLUMN(AB460)-$A$5,0)</f>
        <v>1.06</v>
      </c>
      <c r="AC460" s="59">
        <f>VLOOKUP($A460,'Dados StatusInvest'!$A:$AY,COLUMN(AC460)-$A$5,0)</f>
        <v>9.31</v>
      </c>
      <c r="AD460" s="60">
        <f>VLOOKUP($A460,'Dados StatusInvest'!$A:$AY,COLUMN(AD460)-$A$5,0)</f>
        <v>0</v>
      </c>
      <c r="AE460" s="62">
        <f>VLOOKUP($A460,'Dados StatusInvest'!$A:$AY,COLUMN(AE460)-$A$5,0)</f>
        <v>10531.71</v>
      </c>
      <c r="AF460" s="18"/>
    </row>
    <row r="461">
      <c r="A461" s="10" t="s">
        <v>507</v>
      </c>
      <c r="B461" s="39" t="str">
        <f>VLOOKUP(lEFT($A461,4),Setor!$A:$E,3,0)</f>
        <v>Bens Industriais</v>
      </c>
      <c r="C461" s="39" t="str">
        <f>VLOOKUP(lEFT($A461,4),Setor!$A:$E,4,0)</f>
        <v>Material de Transporte</v>
      </c>
      <c r="D461" s="39" t="str">
        <f>VLOOKUP(lEFT($A461,4),Setor!$A:$E,5,0)</f>
        <v>Material Rodoviário</v>
      </c>
      <c r="E461" s="17">
        <f>IFERROR(__xludf.DUMMYFUNCTION("GOOGLEFINANCE(A461)"),31.01)</f>
        <v>31.01</v>
      </c>
      <c r="F461" s="17">
        <f>IFERROR(__xludf.DUMMYFUNCTION("GOOGLEFINANCE($A461,""high52"")"),70.0)</f>
        <v>70</v>
      </c>
      <c r="G461" s="16">
        <f t="shared" si="1"/>
        <v>-0.557</v>
      </c>
      <c r="H461" s="40">
        <f>VLOOKUP($A461,'Dados StatusInvest'!$A:$AY,column(H461)-$A$5,0)*VLOOKUP($A461,'Dados StatusInvest'!$A:$AY,2,0)/$E461/100</f>
        <v>0</v>
      </c>
      <c r="I461" s="41">
        <f>VLOOKUP($A461,'Dados StatusInvest'!$A:$AY,column(I461)-$A$5,0)/VLOOKUP($A461,'Dados StatusInvest'!$A:$AY,2,0)*$E461</f>
        <v>0.39</v>
      </c>
      <c r="J461" s="41">
        <f>VLOOKUP($A461,'Dados StatusInvest'!$A:$AY,column(J461)-$A$5,0)/VLOOKUP($A461,'Dados StatusInvest'!$A:$AY,2,0)*$E461</f>
        <v>-1.27</v>
      </c>
      <c r="K461" s="42">
        <f>VLOOKUP($A461,'Dados StatusInvest'!$A:$AY,column(K461)-$A$5,0)/VLOOKUP($A461,'Dados StatusInvest'!$A:$AY,2,0)*$E461</f>
        <v>0.29</v>
      </c>
      <c r="L461" s="43">
        <f>VLOOKUP($A461,'Dados StatusInvest'!$A:$AY,column(L461)-$A$5,0)/100</f>
        <v>0.1417</v>
      </c>
      <c r="M461" s="47">
        <f>VLOOKUP($A461,'Dados StatusInvest'!$A:$AY,column(M461)-$A$5,0)</f>
        <v>43.58</v>
      </c>
      <c r="N461" s="47">
        <f>VLOOKUP($A461,'Dados StatusInvest'!$A:$AY,column(N461)-$A$5,0)</f>
        <v>83.25</v>
      </c>
      <c r="O461" s="41">
        <f>VLOOKUP($A461,'Dados StatusInvest'!$A:$AY,column(O461)-$A$5,0)/VLOOKUP($A461,'Dados StatusInvest'!$A:$AY,2,0)*$E461</f>
        <v>0.74</v>
      </c>
      <c r="P461" s="41">
        <f>VLOOKUP($A461,'Dados StatusInvest'!$A:$AY,column(P461)-$A$5,0)-VLOOKUP($A461,'Dados StatusInvest'!$A:$AY,column(P461)-$A$5-1,0)+O461</f>
        <v>1.13</v>
      </c>
      <c r="Q461" s="44">
        <f>VLOOKUP($A461,'Dados StatusInvest'!$A:$AY,column(Q461)-$A$5,0)</f>
        <v>0.57</v>
      </c>
      <c r="R461" s="44">
        <f>VLOOKUP($A461,'Dados StatusInvest'!$A:$AY,column(R461)-$A$5,0)</f>
        <v>0</v>
      </c>
      <c r="S461" s="41">
        <f>VLOOKUP($A461,'Dados StatusInvest'!$A:$AY,column(S461)-$A$5,0)/VLOOKUP($A461,'Dados StatusInvest'!$A:$AY,2,0)*$E461</f>
        <v>0.32</v>
      </c>
      <c r="T461" s="42">
        <f>VLOOKUP($A461,'Dados StatusInvest'!$A:$AY,column(T461)-$A$5,0)/VLOOKUP($A461,'Dados StatusInvest'!$A:$AY,2,0)*$E461</f>
        <v>-3.31</v>
      </c>
      <c r="U461" s="44">
        <f>VLOOKUP($A461,'Dados StatusInvest'!$A:$AY,column(U461)-$A$5,0)</f>
        <v>-0.49</v>
      </c>
      <c r="V461" s="45">
        <f>VLOOKUP($A461,'Dados StatusInvest'!$A:$AY,column(V461)-$A$5,0)</f>
        <v>0.83</v>
      </c>
      <c r="W461" s="45">
        <f>VLOOKUP($A461,'Dados StatusInvest'!$A:$AY,column(W461)-$A$5,0)</f>
        <v>-328.58</v>
      </c>
      <c r="X461" s="48">
        <f>VLOOKUP($A461,'Dados StatusInvest'!$A:$AY,column(X461)-$A$5,0)</f>
        <v>73.69</v>
      </c>
      <c r="Y461" s="48">
        <f>VLOOKUP($A461,'Dados StatusInvest'!$A:$AY,column(Y461)-$A$5,0)</f>
        <v>-3731.67</v>
      </c>
      <c r="Z461" s="44">
        <f>VLOOKUP($A461,'Dados StatusInvest'!$A:$AY,column(Z461)-$A$5,0)</f>
        <v>-0.22</v>
      </c>
      <c r="AA461" s="44">
        <f>VLOOKUP($A461,'Dados StatusInvest'!$A:$AY,column(AA461)-$A$5,0)</f>
        <v>1.23</v>
      </c>
      <c r="AB461" s="47">
        <f>VLOOKUP($A461,'Dados StatusInvest'!$A:$AY,column(AB461)-$A$5,0)</f>
        <v>0.89</v>
      </c>
      <c r="AC461" s="44">
        <f>VLOOKUP($A461,'Dados StatusInvest'!$A:$AY,column(AC461)-$A$5,0)</f>
        <v>-0.73</v>
      </c>
      <c r="AD461" s="45">
        <f>VLOOKUP($A461,'Dados StatusInvest'!$A:$AY,column(AD461)-$A$5,0)</f>
        <v>0</v>
      </c>
      <c r="AE461" s="46">
        <f>VLOOKUP($A461,'Dados StatusInvest'!$A:$AY,column(AE461)-$A$5,0)</f>
        <v>5175</v>
      </c>
      <c r="AF461" s="50"/>
    </row>
    <row r="462">
      <c r="A462" s="10" t="s">
        <v>508</v>
      </c>
      <c r="B462" s="39" t="str">
        <f>VLOOKUP(lEFT($A462,4),Setor!$A:$E,3,0)</f>
        <v>Bens Industriais</v>
      </c>
      <c r="C462" s="39" t="str">
        <f>VLOOKUP(lEFT($A462,4),Setor!$A:$E,4,0)</f>
        <v>Máquinas e Equipamentos</v>
      </c>
      <c r="D462" s="39" t="str">
        <f>VLOOKUP(lEFT($A462,4),Setor!$A:$E,5,0)</f>
        <v>Máq. e Equip. Industriais</v>
      </c>
      <c r="E462" s="17">
        <f>IFERROR(__xludf.DUMMYFUNCTION("GOOGLEFINANCE(A462)"),12.45)</f>
        <v>12.45</v>
      </c>
      <c r="F462" s="17">
        <f>IFERROR(__xludf.DUMMYFUNCTION("GOOGLEFINANCE($A462,""high52"")"),26.62)</f>
        <v>26.62</v>
      </c>
      <c r="G462" s="16">
        <f t="shared" si="1"/>
        <v>-0.5323065364</v>
      </c>
      <c r="H462" s="40">
        <f>VLOOKUP($A462,'Dados StatusInvest'!$A:$AY,column(H462)-$A$5,0)*VLOOKUP($A462,'Dados StatusInvest'!$A:$AY,2,0)/$E462/100</f>
        <v>0.02234216867</v>
      </c>
      <c r="I462" s="41">
        <f>VLOOKUP($A462,'Dados StatusInvest'!$A:$AY,column(I462)-$A$5,0)/VLOOKUP($A462,'Dados StatusInvest'!$A:$AY,2,0)*$E462</f>
        <v>10.02122951</v>
      </c>
      <c r="J462" s="41">
        <f>VLOOKUP($A462,'Dados StatusInvest'!$A:$AY,column(J462)-$A$5,0)/VLOOKUP($A462,'Dados StatusInvest'!$A:$AY,2,0)*$E462</f>
        <v>1.510327869</v>
      </c>
      <c r="K462" s="42">
        <f>VLOOKUP($A462,'Dados StatusInvest'!$A:$AY,column(K462)-$A$5,0)/VLOOKUP($A462,'Dados StatusInvest'!$A:$AY,2,0)*$E462</f>
        <v>0.6429098361</v>
      </c>
      <c r="L462" s="43">
        <f>VLOOKUP($A462,'Dados StatusInvest'!$A:$AY,column(L462)-$A$5,0)/100</f>
        <v>0.2373</v>
      </c>
      <c r="M462" s="44">
        <f>VLOOKUP($A462,'Dados StatusInvest'!$A:$AY,column(M462)-$A$5,0)</f>
        <v>11.04</v>
      </c>
      <c r="N462" s="47">
        <f>VLOOKUP($A462,'Dados StatusInvest'!$A:$AY,column(N462)-$A$5,0)</f>
        <v>9.89</v>
      </c>
      <c r="O462" s="41">
        <f>VLOOKUP($A462,'Dados StatusInvest'!$A:$AY,column(O462)-$A$5,0)/VLOOKUP($A462,'Dados StatusInvest'!$A:$AY,2,0)*$E462</f>
        <v>8.970122951</v>
      </c>
      <c r="P462" s="41">
        <f>VLOOKUP($A462,'Dados StatusInvest'!$A:$AY,column(P462)-$A$5,0)-VLOOKUP($A462,'Dados StatusInvest'!$A:$AY,column(P462)-$A$5-1,0)+O462</f>
        <v>8.850122951</v>
      </c>
      <c r="Q462" s="44">
        <f>VLOOKUP($A462,'Dados StatusInvest'!$A:$AY,column(Q462)-$A$5,0)</f>
        <v>2.35</v>
      </c>
      <c r="R462" s="44">
        <f>VLOOKUP($A462,'Dados StatusInvest'!$A:$AY,column(R462)-$A$5,0)</f>
        <v>0.39</v>
      </c>
      <c r="S462" s="41">
        <f>VLOOKUP($A462,'Dados StatusInvest'!$A:$AY,column(S462)-$A$5,0)/VLOOKUP($A462,'Dados StatusInvest'!$A:$AY,2,0)*$E462</f>
        <v>0.9898770492</v>
      </c>
      <c r="T462" s="42">
        <f>VLOOKUP($A462,'Dados StatusInvest'!$A:$AY,column(T462)-$A$5,0)/VLOOKUP($A462,'Dados StatusInvest'!$A:$AY,2,0)*$E462</f>
        <v>14.35831967</v>
      </c>
      <c r="U462" s="44">
        <f>VLOOKUP($A462,'Dados StatusInvest'!$A:$AY,column(U462)-$A$5,0)</f>
        <v>-1.06</v>
      </c>
      <c r="V462" s="45">
        <f>VLOOKUP($A462,'Dados StatusInvest'!$A:$AY,column(V462)-$A$5,0)</f>
        <v>1.12</v>
      </c>
      <c r="W462" s="45">
        <f>VLOOKUP($A462,'Dados StatusInvest'!$A:$AY,column(W462)-$A$5,0)</f>
        <v>15.06</v>
      </c>
      <c r="X462" s="45">
        <f>VLOOKUP($A462,'Dados StatusInvest'!$A:$AY,column(X462)-$A$5,0)</f>
        <v>6.39</v>
      </c>
      <c r="Y462" s="45">
        <f>VLOOKUP($A462,'Dados StatusInvest'!$A:$AY,column(Y462)-$A$5,0)</f>
        <v>8.56</v>
      </c>
      <c r="Z462" s="44">
        <f>VLOOKUP($A462,'Dados StatusInvest'!$A:$AY,column(Z462)-$A$5,0)</f>
        <v>0.42</v>
      </c>
      <c r="AA462" s="44">
        <f>VLOOKUP($A462,'Dados StatusInvest'!$A:$AY,column(AA462)-$A$5,0)</f>
        <v>0.58</v>
      </c>
      <c r="AB462" s="44">
        <f>VLOOKUP($A462,'Dados StatusInvest'!$A:$AY,column(AB462)-$A$5,0)</f>
        <v>0.65</v>
      </c>
      <c r="AC462" s="44">
        <f>VLOOKUP($A462,'Dados StatusInvest'!$A:$AY,column(AC462)-$A$5,0)</f>
        <v>11.42</v>
      </c>
      <c r="AD462" s="45">
        <f>VLOOKUP($A462,'Dados StatusInvest'!$A:$AY,column(AD462)-$A$5,0)</f>
        <v>196.51</v>
      </c>
      <c r="AE462" s="46">
        <f>VLOOKUP($A462,'Dados StatusInvest'!$A:$AY,column(AE462)-$A$5,0)</f>
        <v>6473.71</v>
      </c>
      <c r="AF462" s="50"/>
    </row>
    <row r="463">
      <c r="A463" s="10" t="s">
        <v>509</v>
      </c>
      <c r="B463" s="52" t="str">
        <f>VLOOKUP(LEFT($A463,4),Setor!$A:$E,3,0)</f>
        <v>Consumo Cíclico</v>
      </c>
      <c r="C463" s="52" t="str">
        <f>VLOOKUP(LEFT($A463,4),Setor!$A:$E,4,0)</f>
        <v>Tecidos, Vestuário e Calçados</v>
      </c>
      <c r="D463" s="52" t="str">
        <f>VLOOKUP(LEFT($A463,4),Setor!$A:$E,5,0)</f>
        <v>Fios e Tecidos</v>
      </c>
      <c r="E463" s="53">
        <f>IFERROR(__xludf.DUMMYFUNCTION("GOOGLEFINANCE(A463)"),79.89)</f>
        <v>79.89</v>
      </c>
      <c r="F463" s="53">
        <f>IFERROR(__xludf.DUMMYFUNCTION("GOOGLEFINANCE($A463,""high52"")"),120.0)</f>
        <v>120</v>
      </c>
      <c r="G463" s="54">
        <f t="shared" si="1"/>
        <v>-0.33425</v>
      </c>
      <c r="H463" s="55">
        <f>VLOOKUP($A463,'Dados StatusInvest'!$A:$AY,COLUMN(H463)-$A$5,0)*VLOOKUP($A463,'Dados StatusInvest'!$A:$AY,2,0)/$E463/100</f>
        <v>0</v>
      </c>
      <c r="I463" s="56">
        <f>VLOOKUP($A463,'Dados StatusInvest'!$A:$AY,COLUMN(I463)-$A$5,0)/VLOOKUP($A463,'Dados StatusInvest'!$A:$AY,2,0)*$E463</f>
        <v>-23.98</v>
      </c>
      <c r="J463" s="56">
        <f>VLOOKUP($A463,'Dados StatusInvest'!$A:$AY,COLUMN(J463)-$A$5,0)/VLOOKUP($A463,'Dados StatusInvest'!$A:$AY,2,0)*$E463</f>
        <v>1.05</v>
      </c>
      <c r="K463" s="57">
        <f>VLOOKUP($A463,'Dados StatusInvest'!$A:$AY,COLUMN(K463)-$A$5,0)/VLOOKUP($A463,'Dados StatusInvest'!$A:$AY,2,0)*$E463</f>
        <v>0.56</v>
      </c>
      <c r="L463" s="58">
        <f>VLOOKUP($A463,'Dados StatusInvest'!$A:$AY,COLUMN(L463)-$A$5,0)/100</f>
        <v>0</v>
      </c>
      <c r="M463" s="59">
        <f>VLOOKUP($A463,'Dados StatusInvest'!$A:$AY,COLUMN(M463)-$A$5,0)</f>
        <v>0</v>
      </c>
      <c r="N463" s="63">
        <f>VLOOKUP($A463,'Dados StatusInvest'!$A:$AY,COLUMN(N463)-$A$5,0)</f>
        <v>0</v>
      </c>
      <c r="O463" s="56">
        <f>VLOOKUP($A463,'Dados StatusInvest'!$A:$AY,COLUMN(O463)-$A$5,0)/VLOOKUP($A463,'Dados StatusInvest'!$A:$AY,2,0)*$E463</f>
        <v>-8.01</v>
      </c>
      <c r="P463" s="56">
        <f>VLOOKUP($A463,'Dados StatusInvest'!$A:$AY,COLUMN(P463)-$A$5,0)-VLOOKUP($A463,'Dados StatusInvest'!$A:$AY,COLUMN(P463)-$A$5-1,0)+O463</f>
        <v>-8.27</v>
      </c>
      <c r="Q463" s="59">
        <f>VLOOKUP($A463,'Dados StatusInvest'!$A:$AY,COLUMN(Q463)-$A$5,0)</f>
        <v>0.02</v>
      </c>
      <c r="R463" s="59">
        <f>VLOOKUP($A463,'Dados StatusInvest'!$A:$AY,COLUMN(R463)-$A$5,0)</f>
        <v>0</v>
      </c>
      <c r="S463" s="56">
        <f>VLOOKUP($A463,'Dados StatusInvest'!$A:$AY,COLUMN(S463)-$A$5,0)/VLOOKUP($A463,'Dados StatusInvest'!$A:$AY,2,0)*$E463</f>
        <v>0</v>
      </c>
      <c r="T463" s="57">
        <f>VLOOKUP($A463,'Dados StatusInvest'!$A:$AY,COLUMN(T463)-$A$5,0)/VLOOKUP($A463,'Dados StatusInvest'!$A:$AY,2,0)*$E463</f>
        <v>-1297.4</v>
      </c>
      <c r="U463" s="59">
        <f>VLOOKUP($A463,'Dados StatusInvest'!$A:$AY,COLUMN(U463)-$A$5,0)</f>
        <v>-0.56</v>
      </c>
      <c r="V463" s="60">
        <f>VLOOKUP($A463,'Dados StatusInvest'!$A:$AY,COLUMN(V463)-$A$5,0)</f>
        <v>0.93</v>
      </c>
      <c r="W463" s="60">
        <f>VLOOKUP($A463,'Dados StatusInvest'!$A:$AY,COLUMN(W463)-$A$5,0)</f>
        <v>-4.39</v>
      </c>
      <c r="X463" s="60">
        <f>VLOOKUP($A463,'Dados StatusInvest'!$A:$AY,COLUMN(X463)-$A$5,0)</f>
        <v>-2.32</v>
      </c>
      <c r="Y463" s="60">
        <f>VLOOKUP($A463,'Dados StatusInvest'!$A:$AY,COLUMN(Y463)-$A$5,0)</f>
        <v>-13.38</v>
      </c>
      <c r="Z463" s="59">
        <f>VLOOKUP($A463,'Dados StatusInvest'!$A:$AY,COLUMN(Z463)-$A$5,0)</f>
        <v>0.53</v>
      </c>
      <c r="AA463" s="59">
        <f>VLOOKUP($A463,'Dados StatusInvest'!$A:$AY,COLUMN(AA463)-$A$5,0)</f>
        <v>0.47</v>
      </c>
      <c r="AB463" s="59">
        <f>VLOOKUP($A463,'Dados StatusInvest'!$A:$AY,COLUMN(AB463)-$A$5,0)</f>
        <v>0</v>
      </c>
      <c r="AC463" s="59">
        <f>VLOOKUP($A463,'Dados StatusInvest'!$A:$AY,COLUMN(AC463)-$A$5,0)</f>
        <v>0</v>
      </c>
      <c r="AD463" s="60">
        <f>VLOOKUP($A463,'Dados StatusInvest'!$A:$AY,COLUMN(AD463)-$A$5,0)</f>
        <v>0</v>
      </c>
      <c r="AE463" s="62">
        <f>VLOOKUP($A463,'Dados StatusInvest'!$A:$AY,COLUMN(AE463)-$A$5,0)</f>
        <v>15978</v>
      </c>
      <c r="AF463" s="18"/>
    </row>
    <row r="464">
      <c r="A464" s="10" t="s">
        <v>510</v>
      </c>
      <c r="B464" s="39" t="str">
        <f>VLOOKUP(lEFT($A464,4),Setor!$A:$E,3,0)</f>
        <v>Utilidade Pública</v>
      </c>
      <c r="C464" s="39" t="str">
        <f>VLOOKUP(lEFT($A464,4),Setor!$A:$E,4,0)</f>
        <v>Energia Elétrica</v>
      </c>
      <c r="D464" s="39" t="str">
        <f>VLOOKUP(lEFT($A464,4),Setor!$A:$E,5,0)</f>
        <v>Energia Elétrica</v>
      </c>
      <c r="E464" s="17">
        <f>IFERROR(__xludf.DUMMYFUNCTION("GOOGLEFINANCE(A464)"),65.9)</f>
        <v>65.9</v>
      </c>
      <c r="F464" s="17">
        <f>IFERROR(__xludf.DUMMYFUNCTION("GOOGLEFINANCE($A464,""high52"")"),87.36)</f>
        <v>87.36</v>
      </c>
      <c r="G464" s="16">
        <f t="shared" si="1"/>
        <v>-0.2456501832</v>
      </c>
      <c r="H464" s="40">
        <f>VLOOKUP($A464,'Dados StatusInvest'!$A:$AY,column(H464)-$A$5,0)*VLOOKUP($A464,'Dados StatusInvest'!$A:$AY,2,0)/$E464/100</f>
        <v>0.0321</v>
      </c>
      <c r="I464" s="41">
        <f>VLOOKUP($A464,'Dados StatusInvest'!$A:$AY,column(I464)-$A$5,0)/VLOOKUP($A464,'Dados StatusInvest'!$A:$AY,2,0)*$E464</f>
        <v>11.86</v>
      </c>
      <c r="J464" s="41">
        <f>VLOOKUP($A464,'Dados StatusInvest'!$A:$AY,column(J464)-$A$5,0)/VLOOKUP($A464,'Dados StatusInvest'!$A:$AY,2,0)*$E464</f>
        <v>1.51</v>
      </c>
      <c r="K464" s="42">
        <f>VLOOKUP($A464,'Dados StatusInvest'!$A:$AY,column(K464)-$A$5,0)/VLOOKUP($A464,'Dados StatusInvest'!$A:$AY,2,0)*$E464</f>
        <v>0.5</v>
      </c>
      <c r="L464" s="43">
        <f>VLOOKUP($A464,'Dados StatusInvest'!$A:$AY,column(L464)-$A$5,0)/100</f>
        <v>0.1253</v>
      </c>
      <c r="M464" s="44">
        <f>VLOOKUP($A464,'Dados StatusInvest'!$A:$AY,column(M464)-$A$5,0)</f>
        <v>8.52</v>
      </c>
      <c r="N464" s="44">
        <f>VLOOKUP($A464,'Dados StatusInvest'!$A:$AY,column(N464)-$A$5,0)</f>
        <v>6.71</v>
      </c>
      <c r="O464" s="41">
        <f>VLOOKUP($A464,'Dados StatusInvest'!$A:$AY,column(O464)-$A$5,0)/VLOOKUP($A464,'Dados StatusInvest'!$A:$AY,2,0)*$E464</f>
        <v>9.34</v>
      </c>
      <c r="P464" s="41">
        <f>VLOOKUP($A464,'Dados StatusInvest'!$A:$AY,column(P464)-$A$5,0)-VLOOKUP($A464,'Dados StatusInvest'!$A:$AY,column(P464)-$A$5-1,0)+O464</f>
        <v>11.77</v>
      </c>
      <c r="Q464" s="44">
        <f>VLOOKUP($A464,'Dados StatusInvest'!$A:$AY,column(Q464)-$A$5,0)</f>
        <v>4.96</v>
      </c>
      <c r="R464" s="44">
        <f>VLOOKUP($A464,'Dados StatusInvest'!$A:$AY,column(R464)-$A$5,0)</f>
        <v>0.8</v>
      </c>
      <c r="S464" s="41">
        <f>VLOOKUP($A464,'Dados StatusInvest'!$A:$AY,column(S464)-$A$5,0)/VLOOKUP($A464,'Dados StatusInvest'!$A:$AY,2,0)*$E464</f>
        <v>0.8</v>
      </c>
      <c r="T464" s="42">
        <f>VLOOKUP($A464,'Dados StatusInvest'!$A:$AY,column(T464)-$A$5,0)/VLOOKUP($A464,'Dados StatusInvest'!$A:$AY,2,0)*$E464</f>
        <v>-704.66</v>
      </c>
      <c r="U464" s="44">
        <f>VLOOKUP($A464,'Dados StatusInvest'!$A:$AY,column(U464)-$A$5,0)</f>
        <v>-0.69</v>
      </c>
      <c r="V464" s="45">
        <f>VLOOKUP($A464,'Dados StatusInvest'!$A:$AY,column(V464)-$A$5,0)</f>
        <v>1</v>
      </c>
      <c r="W464" s="45">
        <f>VLOOKUP($A464,'Dados StatusInvest'!$A:$AY,column(W464)-$A$5,0)</f>
        <v>12.7</v>
      </c>
      <c r="X464" s="45">
        <f>VLOOKUP($A464,'Dados StatusInvest'!$A:$AY,column(X464)-$A$5,0)</f>
        <v>4.23</v>
      </c>
      <c r="Y464" s="45">
        <f>VLOOKUP($A464,'Dados StatusInvest'!$A:$AY,column(Y464)-$A$5,0)</f>
        <v>5.86</v>
      </c>
      <c r="Z464" s="44">
        <f>VLOOKUP($A464,'Dados StatusInvest'!$A:$AY,column(Z464)-$A$5,0)</f>
        <v>0.33</v>
      </c>
      <c r="AA464" s="44">
        <f>VLOOKUP($A464,'Dados StatusInvest'!$A:$AY,column(AA464)-$A$5,0)</f>
        <v>0.67</v>
      </c>
      <c r="AB464" s="44">
        <f>VLOOKUP($A464,'Dados StatusInvest'!$A:$AY,column(AB464)-$A$5,0)</f>
        <v>0.63</v>
      </c>
      <c r="AC464" s="44">
        <f>VLOOKUP($A464,'Dados StatusInvest'!$A:$AY,column(AC464)-$A$5,0)</f>
        <v>7.29</v>
      </c>
      <c r="AD464" s="45">
        <f>VLOOKUP($A464,'Dados StatusInvest'!$A:$AY,column(AD464)-$A$5,0)</f>
        <v>3.57</v>
      </c>
      <c r="AE464" s="46">
        <f>VLOOKUP($A464,'Dados StatusInvest'!$A:$AY,column(AE464)-$A$5,0)</f>
        <v>6590</v>
      </c>
      <c r="AF464" s="51"/>
    </row>
    <row r="465">
      <c r="A465" s="10" t="s">
        <v>511</v>
      </c>
      <c r="B465" s="39" t="str">
        <f>VLOOKUP(lEFT($A465,4),Setor!$A:$E,3,0)</f>
        <v>Outros</v>
      </c>
      <c r="C465" s="39" t="str">
        <f>VLOOKUP(lEFT($A465,4),Setor!$A:$E,4,0)</f>
        <v>Outros</v>
      </c>
      <c r="D465" s="39" t="str">
        <f>VLOOKUP(lEFT($A465,4),Setor!$A:$E,5,0)</f>
        <v>Outros</v>
      </c>
      <c r="E465" s="17">
        <f>IFERROR(__xludf.DUMMYFUNCTION("GOOGLEFINANCE(A465)"),37.95)</f>
        <v>37.95</v>
      </c>
      <c r="F465" s="17">
        <f>IFERROR(__xludf.DUMMYFUNCTION("GOOGLEFINANCE($A465,""high52"")"),58.99)</f>
        <v>58.99</v>
      </c>
      <c r="G465" s="16">
        <f t="shared" si="1"/>
        <v>-0.3566706221</v>
      </c>
      <c r="H465" s="40">
        <f>VLOOKUP($A465,'Dados StatusInvest'!$A:$AY,column(H465)-$A$5,0)*VLOOKUP($A465,'Dados StatusInvest'!$A:$AY,2,0)/$E465/100</f>
        <v>0</v>
      </c>
      <c r="I465" s="41">
        <f>VLOOKUP($A465,'Dados StatusInvest'!$A:$AY,column(I465)-$A$5,0)/VLOOKUP($A465,'Dados StatusInvest'!$A:$AY,2,0)*$E465</f>
        <v>-226.44</v>
      </c>
      <c r="J465" s="41">
        <f>VLOOKUP($A465,'Dados StatusInvest'!$A:$AY,column(J465)-$A$5,0)/VLOOKUP($A465,'Dados StatusInvest'!$A:$AY,2,0)*$E465</f>
        <v>-5.93</v>
      </c>
      <c r="K465" s="42">
        <f>VLOOKUP($A465,'Dados StatusInvest'!$A:$AY,column(K465)-$A$5,0)/VLOOKUP($A465,'Dados StatusInvest'!$A:$AY,2,0)*$E465</f>
        <v>45.11</v>
      </c>
      <c r="L465" s="43">
        <f>VLOOKUP($A465,'Dados StatusInvest'!$A:$AY,column(L465)-$A$5,0)/100</f>
        <v>0</v>
      </c>
      <c r="M465" s="44">
        <f>VLOOKUP($A465,'Dados StatusInvest'!$A:$AY,column(M465)-$A$5,0)</f>
        <v>0</v>
      </c>
      <c r="N465" s="44">
        <f>VLOOKUP($A465,'Dados StatusInvest'!$A:$AY,column(N465)-$A$5,0)</f>
        <v>0</v>
      </c>
      <c r="O465" s="41">
        <f>VLOOKUP($A465,'Dados StatusInvest'!$A:$AY,column(O465)-$A$5,0)/VLOOKUP($A465,'Dados StatusInvest'!$A:$AY,2,0)*$E465</f>
        <v>-227.92</v>
      </c>
      <c r="P465" s="41">
        <f>VLOOKUP($A465,'Dados StatusInvest'!$A:$AY,column(P465)-$A$5,0)-VLOOKUP($A465,'Dados StatusInvest'!$A:$AY,column(P465)-$A$5-1,0)+O465</f>
        <v>-225.1</v>
      </c>
      <c r="Q465" s="44">
        <f>VLOOKUP($A465,'Dados StatusInvest'!$A:$AY,column(Q465)-$A$5,0)</f>
        <v>0</v>
      </c>
      <c r="R465" s="44">
        <f>VLOOKUP($A465,'Dados StatusInvest'!$A:$AY,column(R465)-$A$5,0)</f>
        <v>0</v>
      </c>
      <c r="S465" s="41">
        <f>VLOOKUP($A465,'Dados StatusInvest'!$A:$AY,column(S465)-$A$5,0)/VLOOKUP($A465,'Dados StatusInvest'!$A:$AY,2,0)*$E465</f>
        <v>0</v>
      </c>
      <c r="T465" s="42">
        <f>VLOOKUP($A465,'Dados StatusInvest'!$A:$AY,column(T465)-$A$5,0)/VLOOKUP($A465,'Dados StatusInvest'!$A:$AY,2,0)*$E465</f>
        <v>-3170.19</v>
      </c>
      <c r="U465" s="44">
        <f>VLOOKUP($A465,'Dados StatusInvest'!$A:$AY,column(U465)-$A$5,0)</f>
        <v>-45.11</v>
      </c>
      <c r="V465" s="45">
        <f>VLOOKUP($A465,'Dados StatusInvest'!$A:$AY,column(V465)-$A$5,0)</f>
        <v>0</v>
      </c>
      <c r="W465" s="45">
        <f>VLOOKUP($A465,'Dados StatusInvest'!$A:$AY,column(W465)-$A$5,0)</f>
        <v>-2.62</v>
      </c>
      <c r="X465" s="45">
        <f>VLOOKUP($A465,'Dados StatusInvest'!$A:$AY,column(X465)-$A$5,0)</f>
        <v>-19.92</v>
      </c>
      <c r="Y465" s="45">
        <f>VLOOKUP($A465,'Dados StatusInvest'!$A:$AY,column(Y465)-$A$5,0)</f>
        <v>2.6</v>
      </c>
      <c r="Z465" s="44">
        <f>VLOOKUP($A465,'Dados StatusInvest'!$A:$AY,column(Z465)-$A$5,0)</f>
        <v>-7.6</v>
      </c>
      <c r="AA465" s="44">
        <f>VLOOKUP($A465,'Dados StatusInvest'!$A:$AY,column(AA465)-$A$5,0)</f>
        <v>8.6</v>
      </c>
      <c r="AB465" s="44">
        <f>VLOOKUP($A465,'Dados StatusInvest'!$A:$AY,column(AB465)-$A$5,0)</f>
        <v>0</v>
      </c>
      <c r="AC465" s="44">
        <f>VLOOKUP($A465,'Dados StatusInvest'!$A:$AY,column(AC465)-$A$5,0)</f>
        <v>0</v>
      </c>
      <c r="AD465" s="45">
        <f>VLOOKUP($A465,'Dados StatusInvest'!$A:$AY,column(AD465)-$A$5,0)</f>
        <v>0</v>
      </c>
      <c r="AE465" s="46">
        <f>VLOOKUP($A465,'Dados StatusInvest'!$A:$AY,column(AE465)-$A$5,0)</f>
        <v>7545</v>
      </c>
      <c r="AF465" s="49"/>
    </row>
    <row r="466">
      <c r="A466" s="10" t="s">
        <v>512</v>
      </c>
      <c r="B466" s="39" t="str">
        <f>VLOOKUP(lEFT($A466,4),Setor!$A:$E,3,0)</f>
        <v>Financeiro</v>
      </c>
      <c r="C466" s="39" t="str">
        <f>VLOOKUP(lEFT($A466,4),Setor!$A:$E,4,0)</f>
        <v>Intermediários Financeiros</v>
      </c>
      <c r="D466" s="39" t="str">
        <f>VLOOKUP(lEFT($A466,4),Setor!$A:$E,5,0)</f>
        <v>Bancos</v>
      </c>
      <c r="E466" s="17">
        <f>IFERROR(__xludf.DUMMYFUNCTION("GOOGLEFINANCE(A466)"),7.29)</f>
        <v>7.29</v>
      </c>
      <c r="F466" s="17">
        <f>IFERROR(__xludf.DUMMYFUNCTION("GOOGLEFINANCE($A466,""high52"")"),14.44)</f>
        <v>14.44</v>
      </c>
      <c r="G466" s="16">
        <f t="shared" si="1"/>
        <v>-0.4951523546</v>
      </c>
      <c r="H466" s="40">
        <f>VLOOKUP($A466,'Dados StatusInvest'!$A:$AY,column(H466)-$A$5,0)*VLOOKUP($A466,'Dados StatusInvest'!$A:$AY,2,0)/$E466/100</f>
        <v>0</v>
      </c>
      <c r="I466" s="41">
        <f>VLOOKUP($A466,'Dados StatusInvest'!$A:$AY,column(I466)-$A$5,0)/VLOOKUP($A466,'Dados StatusInvest'!$A:$AY,2,0)*$E466</f>
        <v>29.28929059</v>
      </c>
      <c r="J466" s="41">
        <f>VLOOKUP($A466,'Dados StatusInvest'!$A:$AY,column(J466)-$A$5,0)/VLOOKUP($A466,'Dados StatusInvest'!$A:$AY,2,0)*$E466</f>
        <v>0.5967257844</v>
      </c>
      <c r="K466" s="42">
        <f>VLOOKUP($A466,'Dados StatusInvest'!$A:$AY,column(K466)-$A$5,0)/VLOOKUP($A466,'Dados StatusInvest'!$A:$AY,2,0)*$E466</f>
        <v>0.5967257844</v>
      </c>
      <c r="L466" s="43">
        <f>VLOOKUP($A466,'Dados StatusInvest'!$A:$AY,column(L466)-$A$5,0)/100</f>
        <v>0</v>
      </c>
      <c r="M466" s="44">
        <f>VLOOKUP($A466,'Dados StatusInvest'!$A:$AY,column(M466)-$A$5,0)</f>
        <v>0</v>
      </c>
      <c r="N466" s="44">
        <f>VLOOKUP($A466,'Dados StatusInvest'!$A:$AY,column(N466)-$A$5,0)</f>
        <v>0</v>
      </c>
      <c r="O466" s="41">
        <f>VLOOKUP($A466,'Dados StatusInvest'!$A:$AY,column(O466)-$A$5,0)/VLOOKUP($A466,'Dados StatusInvest'!$A:$AY,2,0)*$E466</f>
        <v>29.41858117</v>
      </c>
      <c r="P466" s="41">
        <f>VLOOKUP($A466,'Dados StatusInvest'!$A:$AY,column(P466)-$A$5,0)-VLOOKUP($A466,'Dados StatusInvest'!$A:$AY,column(P466)-$A$5-1,0)+O466</f>
        <v>30.94858117</v>
      </c>
      <c r="Q466" s="44">
        <f>VLOOKUP($A466,'Dados StatusInvest'!$A:$AY,column(Q466)-$A$5,0)</f>
        <v>-0.62</v>
      </c>
      <c r="R466" s="44">
        <f>VLOOKUP($A466,'Dados StatusInvest'!$A:$AY,column(R466)-$A$5,0)</f>
        <v>-0.01</v>
      </c>
      <c r="S466" s="41">
        <f>VLOOKUP($A466,'Dados StatusInvest'!$A:$AY,column(S466)-$A$5,0)/VLOOKUP($A466,'Dados StatusInvest'!$A:$AY,2,0)*$E466</f>
        <v>0</v>
      </c>
      <c r="T466" s="42">
        <f>VLOOKUP($A466,'Dados StatusInvest'!$A:$AY,column(T466)-$A$5,0)/VLOOKUP($A466,'Dados StatusInvest'!$A:$AY,2,0)*$E466</f>
        <v>57.84261937</v>
      </c>
      <c r="U466" s="47">
        <f>VLOOKUP($A466,'Dados StatusInvest'!$A:$AY,column(U466)-$A$5,0)</f>
        <v>-0.61</v>
      </c>
      <c r="V466" s="45">
        <f>VLOOKUP($A466,'Dados StatusInvest'!$A:$AY,column(V466)-$A$5,0)</f>
        <v>4.26</v>
      </c>
      <c r="W466" s="45">
        <f>VLOOKUP($A466,'Dados StatusInvest'!$A:$AY,column(W466)-$A$5,0)</f>
        <v>2.05</v>
      </c>
      <c r="X466" s="48">
        <f>VLOOKUP($A466,'Dados StatusInvest'!$A:$AY,column(X466)-$A$5,0)</f>
        <v>2.04</v>
      </c>
      <c r="Y466" s="45">
        <f>VLOOKUP($A466,'Dados StatusInvest'!$A:$AY,column(Y466)-$A$5,0)</f>
        <v>2.04</v>
      </c>
      <c r="Z466" s="44">
        <f>VLOOKUP($A466,'Dados StatusInvest'!$A:$AY,column(Z466)-$A$5,0)</f>
        <v>1</v>
      </c>
      <c r="AA466" s="44">
        <f>VLOOKUP($A466,'Dados StatusInvest'!$A:$AY,column(AA466)-$A$5,0)</f>
        <v>0</v>
      </c>
      <c r="AB466" s="44">
        <f>VLOOKUP($A466,'Dados StatusInvest'!$A:$AY,column(AB466)-$A$5,0)</f>
        <v>0</v>
      </c>
      <c r="AC466" s="44">
        <f>VLOOKUP($A466,'Dados StatusInvest'!$A:$AY,column(AC466)-$A$5,0)</f>
        <v>-12.49</v>
      </c>
      <c r="AD466" s="45">
        <f>VLOOKUP($A466,'Dados StatusInvest'!$A:$AY,column(AD466)-$A$5,0)</f>
        <v>-16.37</v>
      </c>
      <c r="AE466" s="46">
        <f>VLOOKUP($A466,'Dados StatusInvest'!$A:$AY,column(AE466)-$A$5,0)</f>
        <v>2303.13</v>
      </c>
      <c r="AF466" s="18"/>
    </row>
    <row r="467">
      <c r="A467" s="10" t="s">
        <v>513</v>
      </c>
      <c r="B467" s="52" t="str">
        <f>VLOOKUP(LEFT($A467,4),Setor!$A:$E,3,0)</f>
        <v>Bens Industriais</v>
      </c>
      <c r="C467" s="52" t="str">
        <f>VLOOKUP(LEFT($A467,4),Setor!$A:$E,4,0)</f>
        <v>Transporte</v>
      </c>
      <c r="D467" s="52" t="str">
        <f>VLOOKUP(LEFT($A467,4),Setor!$A:$E,5,0)</f>
        <v>Transporte Ferroviário</v>
      </c>
      <c r="E467" s="53">
        <f>IFERROR(__xludf.DUMMYFUNCTION("GOOGLEFINANCE(A467)"),35.0)</f>
        <v>35</v>
      </c>
      <c r="F467" s="53">
        <f>IFERROR(__xludf.DUMMYFUNCTION("GOOGLEFINANCE($A467,""high52"")"),42.0)</f>
        <v>42</v>
      </c>
      <c r="G467" s="54">
        <f t="shared" si="1"/>
        <v>-0.1666666667</v>
      </c>
      <c r="H467" s="55">
        <f>VLOOKUP($A467,'Dados StatusInvest'!$A:$AY,COLUMN(H467)-$A$5,0)*VLOOKUP($A467,'Dados StatusInvest'!$A:$AY,2,0)/$E467/100</f>
        <v>0.009</v>
      </c>
      <c r="I467" s="56">
        <f>VLOOKUP($A467,'Dados StatusInvest'!$A:$AY,COLUMN(I467)-$A$5,0)/VLOOKUP($A467,'Dados StatusInvest'!$A:$AY,2,0)*$E467</f>
        <v>13.66</v>
      </c>
      <c r="J467" s="56">
        <f>VLOOKUP($A467,'Dados StatusInvest'!$A:$AY,COLUMN(J467)-$A$5,0)/VLOOKUP($A467,'Dados StatusInvest'!$A:$AY,2,0)*$E467</f>
        <v>2.47</v>
      </c>
      <c r="K467" s="57">
        <f>VLOOKUP($A467,'Dados StatusInvest'!$A:$AY,COLUMN(K467)-$A$5,0)/VLOOKUP($A467,'Dados StatusInvest'!$A:$AY,2,0)*$E467</f>
        <v>1.07</v>
      </c>
      <c r="L467" s="58">
        <f>VLOOKUP($A467,'Dados StatusInvest'!$A:$AY,COLUMN(L467)-$A$5,0)/100</f>
        <v>0.3536</v>
      </c>
      <c r="M467" s="63">
        <f>VLOOKUP($A467,'Dados StatusInvest'!$A:$AY,COLUMN(M467)-$A$5,0)</f>
        <v>37.55</v>
      </c>
      <c r="N467" s="63">
        <f>VLOOKUP($A467,'Dados StatusInvest'!$A:$AY,COLUMN(N467)-$A$5,0)</f>
        <v>21.1</v>
      </c>
      <c r="O467" s="56">
        <f>VLOOKUP($A467,'Dados StatusInvest'!$A:$AY,COLUMN(O467)-$A$5,0)/VLOOKUP($A467,'Dados StatusInvest'!$A:$AY,2,0)*$E467</f>
        <v>7.67</v>
      </c>
      <c r="P467" s="56">
        <f>VLOOKUP($A467,'Dados StatusInvest'!$A:$AY,COLUMN(P467)-$A$5,0)-VLOOKUP($A467,'Dados StatusInvest'!$A:$AY,COLUMN(P467)-$A$5-1,0)+O467</f>
        <v>8.77</v>
      </c>
      <c r="Q467" s="59">
        <f>VLOOKUP($A467,'Dados StatusInvest'!$A:$AY,COLUMN(Q467)-$A$5,0)</f>
        <v>1.01</v>
      </c>
      <c r="R467" s="59">
        <f>VLOOKUP($A467,'Dados StatusInvest'!$A:$AY,COLUMN(R467)-$A$5,0)</f>
        <v>0.33</v>
      </c>
      <c r="S467" s="56">
        <f>VLOOKUP($A467,'Dados StatusInvest'!$A:$AY,COLUMN(S467)-$A$5,0)/VLOOKUP($A467,'Dados StatusInvest'!$A:$AY,2,0)*$E467</f>
        <v>2.88</v>
      </c>
      <c r="T467" s="57">
        <f>VLOOKUP($A467,'Dados StatusInvest'!$A:$AY,COLUMN(T467)-$A$5,0)/VLOOKUP($A467,'Dados StatusInvest'!$A:$AY,2,0)*$E467</f>
        <v>-19.23</v>
      </c>
      <c r="U467" s="63">
        <f>VLOOKUP($A467,'Dados StatusInvest'!$A:$AY,COLUMN(U467)-$A$5,0)</f>
        <v>-1.24</v>
      </c>
      <c r="V467" s="60">
        <f>VLOOKUP($A467,'Dados StatusInvest'!$A:$AY,COLUMN(V467)-$A$5,0)</f>
        <v>0.7</v>
      </c>
      <c r="W467" s="60">
        <f>VLOOKUP($A467,'Dados StatusInvest'!$A:$AY,COLUMN(W467)-$A$5,0)</f>
        <v>18.12</v>
      </c>
      <c r="X467" s="60">
        <f>VLOOKUP($A467,'Dados StatusInvest'!$A:$AY,COLUMN(X467)-$A$5,0)</f>
        <v>7.86</v>
      </c>
      <c r="Y467" s="61">
        <f>VLOOKUP($A467,'Dados StatusInvest'!$A:$AY,COLUMN(Y467)-$A$5,0)</f>
        <v>15.18</v>
      </c>
      <c r="Z467" s="59">
        <f>VLOOKUP($A467,'Dados StatusInvest'!$A:$AY,COLUMN(Z467)-$A$5,0)</f>
        <v>0.43</v>
      </c>
      <c r="AA467" s="59">
        <f>VLOOKUP($A467,'Dados StatusInvest'!$A:$AY,COLUMN(AA467)-$A$5,0)</f>
        <v>0.57</v>
      </c>
      <c r="AB467" s="59">
        <f>VLOOKUP($A467,'Dados StatusInvest'!$A:$AY,COLUMN(AB467)-$A$5,0)</f>
        <v>0.37</v>
      </c>
      <c r="AC467" s="59">
        <f>VLOOKUP($A467,'Dados StatusInvest'!$A:$AY,COLUMN(AC467)-$A$5,0)</f>
        <v>2.59</v>
      </c>
      <c r="AD467" s="60">
        <f>VLOOKUP($A467,'Dados StatusInvest'!$A:$AY,COLUMN(AD467)-$A$5,0)</f>
        <v>24.12</v>
      </c>
      <c r="AE467" s="62">
        <f>VLOOKUP($A467,'Dados StatusInvest'!$A:$AY,COLUMN(AE467)-$A$5,0)</f>
        <v>7000</v>
      </c>
      <c r="AF467" s="18"/>
    </row>
    <row r="468">
      <c r="A468" s="10" t="s">
        <v>514</v>
      </c>
      <c r="B468" s="39" t="str">
        <f>VLOOKUP(lEFT($A468,4),Setor!$A:$E,3,0)</f>
        <v>Consumo Cíclico</v>
      </c>
      <c r="C468" s="39" t="str">
        <f>VLOOKUP(lEFT($A468,4),Setor!$A:$E,4,0)</f>
        <v>Construção Civil</v>
      </c>
      <c r="D468" s="39" t="str">
        <f>VLOOKUP(lEFT($A468,4),Setor!$A:$E,5,0)</f>
        <v>Incorporações</v>
      </c>
      <c r="E468" s="17">
        <f>IFERROR(__xludf.DUMMYFUNCTION("GOOGLEFINANCE(A468)"),21.75)</f>
        <v>21.75</v>
      </c>
      <c r="F468" s="17">
        <f>IFERROR(__xludf.DUMMYFUNCTION("GOOGLEFINANCE($A468,""high52"")"),28.79)</f>
        <v>28.79</v>
      </c>
      <c r="G468" s="16">
        <f t="shared" si="1"/>
        <v>-0.2445293505</v>
      </c>
      <c r="H468" s="40">
        <f>VLOOKUP($A468,'Dados StatusInvest'!$A:$AY,column(H468)-$A$5,0)*VLOOKUP($A468,'Dados StatusInvest'!$A:$AY,2,0)/$E468/100</f>
        <v>0</v>
      </c>
      <c r="I468" s="41">
        <f>VLOOKUP($A468,'Dados StatusInvest'!$A:$AY,column(I468)-$A$5,0)/VLOOKUP($A468,'Dados StatusInvest'!$A:$AY,2,0)*$E468</f>
        <v>-3.085465116</v>
      </c>
      <c r="J468" s="41">
        <f>VLOOKUP($A468,'Dados StatusInvest'!$A:$AY,column(J468)-$A$5,0)/VLOOKUP($A468,'Dados StatusInvest'!$A:$AY,2,0)*$E468</f>
        <v>0.5058139535</v>
      </c>
      <c r="K468" s="42">
        <f>VLOOKUP($A468,'Dados StatusInvest'!$A:$AY,column(K468)-$A$5,0)/VLOOKUP($A468,'Dados StatusInvest'!$A:$AY,2,0)*$E468</f>
        <v>0.4552325581</v>
      </c>
      <c r="L468" s="43">
        <f>VLOOKUP($A468,'Dados StatusInvest'!$A:$AY,column(L468)-$A$5,0)/100</f>
        <v>-0.187</v>
      </c>
      <c r="M468" s="47">
        <f>VLOOKUP($A468,'Dados StatusInvest'!$A:$AY,column(M468)-$A$5,0)</f>
        <v>-828.63</v>
      </c>
      <c r="N468" s="47">
        <f>VLOOKUP($A468,'Dados StatusInvest'!$A:$AY,column(N468)-$A$5,0)</f>
        <v>-868.67</v>
      </c>
      <c r="O468" s="41">
        <f>VLOOKUP($A468,'Dados StatusInvest'!$A:$AY,column(O468)-$A$5,0)/VLOOKUP($A468,'Dados StatusInvest'!$A:$AY,2,0)*$E468</f>
        <v>-3.237209302</v>
      </c>
      <c r="P468" s="41">
        <f>VLOOKUP($A468,'Dados StatusInvest'!$A:$AY,column(P468)-$A$5,0)-VLOOKUP($A468,'Dados StatusInvest'!$A:$AY,column(P468)-$A$5-1,0)+O468</f>
        <v>-2.217209302</v>
      </c>
      <c r="Q468" s="44">
        <f>VLOOKUP($A468,'Dados StatusInvest'!$A:$AY,column(Q468)-$A$5,0)</f>
        <v>1.02</v>
      </c>
      <c r="R468" s="44">
        <f>VLOOKUP($A468,'Dados StatusInvest'!$A:$AY,column(R468)-$A$5,0)</f>
        <v>-0.16</v>
      </c>
      <c r="S468" s="41">
        <f>VLOOKUP($A468,'Dados StatusInvest'!$A:$AY,column(S468)-$A$5,0)/VLOOKUP($A468,'Dados StatusInvest'!$A:$AY,2,0)*$E468</f>
        <v>26.83848837</v>
      </c>
      <c r="T468" s="42">
        <f>VLOOKUP($A468,'Dados StatusInvest'!$A:$AY,column(T468)-$A$5,0)/VLOOKUP($A468,'Dados StatusInvest'!$A:$AY,2,0)*$E468</f>
        <v>3.621627907</v>
      </c>
      <c r="U468" s="44">
        <f>VLOOKUP($A468,'Dados StatusInvest'!$A:$AY,column(U468)-$A$5,0)</f>
        <v>-0.55</v>
      </c>
      <c r="V468" s="45">
        <f>VLOOKUP($A468,'Dados StatusInvest'!$A:$AY,column(V468)-$A$5,0)</f>
        <v>2.82</v>
      </c>
      <c r="W468" s="45">
        <f>VLOOKUP($A468,'Dados StatusInvest'!$A:$AY,column(W468)-$A$5,0)</f>
        <v>-16.34</v>
      </c>
      <c r="X468" s="45">
        <f>VLOOKUP($A468,'Dados StatusInvest'!$A:$AY,column(X468)-$A$5,0)</f>
        <v>-14.58</v>
      </c>
      <c r="Y468" s="45">
        <f>VLOOKUP($A468,'Dados StatusInvest'!$A:$AY,column(Y468)-$A$5,0)</f>
        <v>-17.06</v>
      </c>
      <c r="Z468" s="44">
        <f>VLOOKUP($A468,'Dados StatusInvest'!$A:$AY,column(Z468)-$A$5,0)</f>
        <v>0.89</v>
      </c>
      <c r="AA468" s="44">
        <f>VLOOKUP($A468,'Dados StatusInvest'!$A:$AY,column(AA468)-$A$5,0)</f>
        <v>0.11</v>
      </c>
      <c r="AB468" s="44">
        <f>VLOOKUP($A468,'Dados StatusInvest'!$A:$AY,column(AB468)-$A$5,0)</f>
        <v>0.02</v>
      </c>
      <c r="AC468" s="44">
        <f>VLOOKUP($A468,'Dados StatusInvest'!$A:$AY,column(AC468)-$A$5,0)</f>
        <v>-41.45</v>
      </c>
      <c r="AD468" s="45">
        <f>VLOOKUP($A468,'Dados StatusInvest'!$A:$AY,column(AD468)-$A$5,0)</f>
        <v>0</v>
      </c>
      <c r="AE468" s="46">
        <f>VLOOKUP($A468,'Dados StatusInvest'!$A:$AY,column(AE468)-$A$5,0)</f>
        <v>14318.2</v>
      </c>
      <c r="AF468" s="50"/>
    </row>
    <row r="469">
      <c r="A469" s="10" t="s">
        <v>515</v>
      </c>
      <c r="B469" s="39" t="str">
        <f>VLOOKUP(lEFT($A469,4),Setor!$A:$E,3,0)</f>
        <v>Financeiro</v>
      </c>
      <c r="C469" s="39" t="str">
        <f>VLOOKUP(lEFT($A469,4),Setor!$A:$E,4,0)</f>
        <v>Intermediários Financeiros</v>
      </c>
      <c r="D469" s="39" t="str">
        <f>VLOOKUP(lEFT($A469,4),Setor!$A:$E,5,0)</f>
        <v>Bancos</v>
      </c>
      <c r="E469" s="17">
        <f>IFERROR(__xludf.DUMMYFUNCTION("GOOGLEFINANCE(A469)"),22.25)</f>
        <v>22.25</v>
      </c>
      <c r="F469" s="17">
        <f>IFERROR(__xludf.DUMMYFUNCTION("GOOGLEFINANCE($A469,""high52"")"),35.42)</f>
        <v>35.42</v>
      </c>
      <c r="G469" s="16">
        <f t="shared" si="1"/>
        <v>-0.3718238283</v>
      </c>
      <c r="H469" s="40">
        <f>VLOOKUP($A469,'Dados StatusInvest'!$A:$AY,column(H469)-$A$5,0)*VLOOKUP($A469,'Dados StatusInvest'!$A:$AY,2,0)/$E469/100</f>
        <v>0</v>
      </c>
      <c r="I469" s="41">
        <f>VLOOKUP($A469,'Dados StatusInvest'!$A:$AY,column(I469)-$A$5,0)/VLOOKUP($A469,'Dados StatusInvest'!$A:$AY,2,0)*$E469</f>
        <v>28.52</v>
      </c>
      <c r="J469" s="41">
        <f>VLOOKUP($A469,'Dados StatusInvest'!$A:$AY,column(J469)-$A$5,0)/VLOOKUP($A469,'Dados StatusInvest'!$A:$AY,2,0)*$E469</f>
        <v>0.85</v>
      </c>
      <c r="K469" s="42">
        <f>VLOOKUP($A469,'Dados StatusInvest'!$A:$AY,column(K469)-$A$5,0)/VLOOKUP($A469,'Dados StatusInvest'!$A:$AY,2,0)*$E469</f>
        <v>0.47</v>
      </c>
      <c r="L469" s="43">
        <f>VLOOKUP($A469,'Dados StatusInvest'!$A:$AY,column(L469)-$A$5,0)/100</f>
        <v>0.8345</v>
      </c>
      <c r="M469" s="44">
        <f>VLOOKUP($A469,'Dados StatusInvest'!$A:$AY,column(M469)-$A$5,0)</f>
        <v>55.41</v>
      </c>
      <c r="N469" s="44">
        <f>VLOOKUP($A469,'Dados StatusInvest'!$A:$AY,column(N469)-$A$5,0)</f>
        <v>33.78</v>
      </c>
      <c r="O469" s="41">
        <f>VLOOKUP($A469,'Dados StatusInvest'!$A:$AY,column(O469)-$A$5,0)/VLOOKUP($A469,'Dados StatusInvest'!$A:$AY,2,0)*$E469</f>
        <v>17.38</v>
      </c>
      <c r="P469" s="41">
        <f>VLOOKUP($A469,'Dados StatusInvest'!$A:$AY,column(P469)-$A$5,0)-VLOOKUP($A469,'Dados StatusInvest'!$A:$AY,column(P469)-$A$5-1,0)+O469</f>
        <v>17.1</v>
      </c>
      <c r="Q469" s="44">
        <f>VLOOKUP($A469,'Dados StatusInvest'!$A:$AY,column(Q469)-$A$5,0)</f>
        <v>0</v>
      </c>
      <c r="R469" s="44">
        <f>VLOOKUP($A469,'Dados StatusInvest'!$A:$AY,column(R469)-$A$5,0)</f>
        <v>0</v>
      </c>
      <c r="S469" s="41">
        <f>VLOOKUP($A469,'Dados StatusInvest'!$A:$AY,column(S469)-$A$5,0)/VLOOKUP($A469,'Dados StatusInvest'!$A:$AY,2,0)*$E469</f>
        <v>9.63</v>
      </c>
      <c r="T469" s="42">
        <f>VLOOKUP($A469,'Dados StatusInvest'!$A:$AY,column(T469)-$A$5,0)/VLOOKUP($A469,'Dados StatusInvest'!$A:$AY,2,0)*$E469</f>
        <v>-8.12</v>
      </c>
      <c r="U469" s="47">
        <f>VLOOKUP($A469,'Dados StatusInvest'!$A:$AY,column(U469)-$A$5,0)</f>
        <v>-0.64</v>
      </c>
      <c r="V469" s="45">
        <f>VLOOKUP($A469,'Dados StatusInvest'!$A:$AY,column(V469)-$A$5,0)</f>
        <v>0.82</v>
      </c>
      <c r="W469" s="48">
        <f>VLOOKUP($A469,'Dados StatusInvest'!$A:$AY,column(W469)-$A$5,0)</f>
        <v>2.99</v>
      </c>
      <c r="X469" s="48">
        <f>VLOOKUP($A469,'Dados StatusInvest'!$A:$AY,column(X469)-$A$5,0)</f>
        <v>1.66</v>
      </c>
      <c r="Y469" s="48">
        <f>VLOOKUP($A469,'Dados StatusInvest'!$A:$AY,column(Y469)-$A$5,0)</f>
        <v>0</v>
      </c>
      <c r="Z469" s="44">
        <f>VLOOKUP($A469,'Dados StatusInvest'!$A:$AY,column(Z469)-$A$5,0)</f>
        <v>0.56</v>
      </c>
      <c r="AA469" s="44">
        <f>VLOOKUP($A469,'Dados StatusInvest'!$A:$AY,column(AA469)-$A$5,0)</f>
        <v>0.44</v>
      </c>
      <c r="AB469" s="44">
        <f>VLOOKUP($A469,'Dados StatusInvest'!$A:$AY,column(AB469)-$A$5,0)</f>
        <v>0.05</v>
      </c>
      <c r="AC469" s="44">
        <f>VLOOKUP($A469,'Dados StatusInvest'!$A:$AY,column(AC469)-$A$5,0)</f>
        <v>-1.79</v>
      </c>
      <c r="AD469" s="45">
        <f>VLOOKUP($A469,'Dados StatusInvest'!$A:$AY,column(AD469)-$A$5,0)</f>
        <v>-1.49</v>
      </c>
      <c r="AE469" s="46">
        <f>VLOOKUP($A469,'Dados StatusInvest'!$A:$AY,column(AE469)-$A$5,0)</f>
        <v>2225</v>
      </c>
      <c r="AF469" s="49"/>
    </row>
    <row r="470">
      <c r="A470" s="10" t="s">
        <v>516</v>
      </c>
      <c r="B470" s="68" t="str">
        <f>VLOOKUP(lEFT($A470,4),Setor!$A:$E,3,0)</f>
        <v>Financeiro</v>
      </c>
      <c r="C470" s="68" t="str">
        <f>VLOOKUP(lEFT($A470,4),Setor!$A:$E,4,0)</f>
        <v>Previdência e Seguros</v>
      </c>
      <c r="D470" s="68" t="str">
        <f>VLOOKUP(lEFT($A470,4),Setor!$A:$E,5,0)</f>
        <v>Seguradoras</v>
      </c>
      <c r="E470" s="69">
        <f>IFERROR(__xludf.DUMMYFUNCTION("GOOGLEFINANCE(A470)"),45.0)</f>
        <v>45</v>
      </c>
      <c r="F470" s="69">
        <f>IFERROR(__xludf.DUMMYFUNCTION("GOOGLEFINANCE($A470,""high52"")"),60.0)</f>
        <v>60</v>
      </c>
      <c r="G470" s="70">
        <f t="shared" si="1"/>
        <v>-0.25</v>
      </c>
      <c r="H470" s="40">
        <f>VLOOKUP($A470,'Dados StatusInvest'!$A:$AY,column(H470)-$A$5,0)*VLOOKUP($A470,'Dados StatusInvest'!$A:$AY,2,0)/$E470/100</f>
        <v>0.0455</v>
      </c>
      <c r="I470" s="41">
        <f>VLOOKUP($A470,'Dados StatusInvest'!$A:$AY,column(I470)-$A$5,0)/VLOOKUP($A470,'Dados StatusInvest'!$A:$AY,2,0)*$E470</f>
        <v>7.35</v>
      </c>
      <c r="J470" s="41">
        <f>VLOOKUP($A470,'Dados StatusInvest'!$A:$AY,column(J470)-$A$5,0)/VLOOKUP($A470,'Dados StatusInvest'!$A:$AY,2,0)*$E470</f>
        <v>1.92</v>
      </c>
      <c r="K470" s="42">
        <f>VLOOKUP($A470,'Dados StatusInvest'!$A:$AY,column(K470)-$A$5,0)/VLOOKUP($A470,'Dados StatusInvest'!$A:$AY,2,0)*$E470</f>
        <v>0.93</v>
      </c>
      <c r="L470" s="43">
        <f>VLOOKUP($A470,'Dados StatusInvest'!$A:$AY,column(L470)-$A$5,0)/100</f>
        <v>1.5442</v>
      </c>
      <c r="M470" s="47">
        <f>VLOOKUP($A470,'Dados StatusInvest'!$A:$AY,column(M470)-$A$5,0)</f>
        <v>1285.07</v>
      </c>
      <c r="N470" s="47">
        <f>VLOOKUP($A470,'Dados StatusInvest'!$A:$AY,column(N470)-$A$5,0)</f>
        <v>1426.31</v>
      </c>
      <c r="O470" s="41">
        <f>VLOOKUP($A470,'Dados StatusInvest'!$A:$AY,column(O470)-$A$5,0)/VLOOKUP($A470,'Dados StatusInvest'!$A:$AY,2,0)*$E470</f>
        <v>8.16</v>
      </c>
      <c r="P470" s="41">
        <f>VLOOKUP($A470,'Dados StatusInvest'!$A:$AY,column(P470)-$A$5,0)-VLOOKUP($A470,'Dados StatusInvest'!$A:$AY,column(P470)-$A$5-1,0)+O470</f>
        <v>9.98</v>
      </c>
      <c r="Q470" s="44">
        <f>VLOOKUP($A470,'Dados StatusInvest'!$A:$AY,column(Q470)-$A$5,0)</f>
        <v>0</v>
      </c>
      <c r="R470" s="44">
        <f>VLOOKUP($A470,'Dados StatusInvest'!$A:$AY,column(R470)-$A$5,0)</f>
        <v>0</v>
      </c>
      <c r="S470" s="41">
        <f>VLOOKUP($A470,'Dados StatusInvest'!$A:$AY,column(S470)-$A$5,0)/VLOOKUP($A470,'Dados StatusInvest'!$A:$AY,2,0)*$E470</f>
        <v>104.89</v>
      </c>
      <c r="T470" s="42">
        <f>VLOOKUP($A470,'Dados StatusInvest'!$A:$AY,column(T470)-$A$5,0)/VLOOKUP($A470,'Dados StatusInvest'!$A:$AY,2,0)*$E470</f>
        <v>6.73</v>
      </c>
      <c r="U470" s="44">
        <f>VLOOKUP($A470,'Dados StatusInvest'!$A:$AY,column(U470)-$A$5,0)</f>
        <v>-1.15</v>
      </c>
      <c r="V470" s="45">
        <f>VLOOKUP($A470,'Dados StatusInvest'!$A:$AY,column(V470)-$A$5,0)</f>
        <v>3.74</v>
      </c>
      <c r="W470" s="45">
        <f>VLOOKUP($A470,'Dados StatusInvest'!$A:$AY,column(W470)-$A$5,0)</f>
        <v>26.1</v>
      </c>
      <c r="X470" s="45">
        <f>VLOOKUP($A470,'Dados StatusInvest'!$A:$AY,column(X470)-$A$5,0)</f>
        <v>12.69</v>
      </c>
      <c r="Y470" s="45">
        <f>VLOOKUP($A470,'Dados StatusInvest'!$A:$AY,column(Y470)-$A$5,0)</f>
        <v>0</v>
      </c>
      <c r="Z470" s="44">
        <f>VLOOKUP($A470,'Dados StatusInvest'!$A:$AY,column(Z470)-$A$5,0)</f>
        <v>0.49</v>
      </c>
      <c r="AA470" s="44">
        <f>VLOOKUP($A470,'Dados StatusInvest'!$A:$AY,column(AA470)-$A$5,0)</f>
        <v>0.51</v>
      </c>
      <c r="AB470" s="44">
        <f>VLOOKUP($A470,'Dados StatusInvest'!$A:$AY,column(AB470)-$A$5,0)</f>
        <v>0.01</v>
      </c>
      <c r="AC470" s="44">
        <f>VLOOKUP($A470,'Dados StatusInvest'!$A:$AY,column(AC470)-$A$5,0)</f>
        <v>-41.88</v>
      </c>
      <c r="AD470" s="45">
        <f>VLOOKUP($A470,'Dados StatusInvest'!$A:$AY,column(AD470)-$A$5,0)</f>
        <v>0.35</v>
      </c>
      <c r="AE470" s="46">
        <f>VLOOKUP($A470,'Dados StatusInvest'!$A:$AY,column(AE470)-$A$5,0)</f>
        <v>6588.5</v>
      </c>
      <c r="AF470" s="50"/>
    </row>
    <row r="471">
      <c r="A471" s="10" t="s">
        <v>517</v>
      </c>
      <c r="B471" s="39" t="str">
        <f>VLOOKUP(lEFT($A471,4),Setor!$A:$E,3,0)</f>
        <v>Financeiro</v>
      </c>
      <c r="C471" s="39" t="str">
        <f>VLOOKUP(lEFT($A471,4),Setor!$A:$E,4,0)</f>
        <v>Serviços Financeiros Diversos</v>
      </c>
      <c r="D471" s="39" t="str">
        <f>VLOOKUP(lEFT($A471,4),Setor!$A:$E,5,0)</f>
        <v>Gestão de Recursos e Investimentos</v>
      </c>
      <c r="E471" s="17">
        <f>IFERROR(__xludf.DUMMYFUNCTION("GOOGLEFINANCE(A471)"),6.67)</f>
        <v>6.67</v>
      </c>
      <c r="F471" s="17">
        <f>IFERROR(__xludf.DUMMYFUNCTION("GOOGLEFINANCE($A471,""high52"")"),15.9)</f>
        <v>15.9</v>
      </c>
      <c r="G471" s="16">
        <f t="shared" si="1"/>
        <v>-0.5805031447</v>
      </c>
      <c r="H471" s="40">
        <f>VLOOKUP($A471,'Dados StatusInvest'!$A:$AY,column(H471)-$A$5,0)*VLOOKUP($A471,'Dados StatusInvest'!$A:$AY,2,0)/$E471/100</f>
        <v>0</v>
      </c>
      <c r="I471" s="41">
        <f>VLOOKUP($A471,'Dados StatusInvest'!$A:$AY,column(I471)-$A$5,0)/VLOOKUP($A471,'Dados StatusInvest'!$A:$AY,2,0)*$E471</f>
        <v>-436.5994343</v>
      </c>
      <c r="J471" s="41">
        <f>VLOOKUP($A471,'Dados StatusInvest'!$A:$AY,column(J471)-$A$5,0)/VLOOKUP($A471,'Dados StatusInvest'!$A:$AY,2,0)*$E471</f>
        <v>2346.728333</v>
      </c>
      <c r="K471" s="42">
        <f>VLOOKUP($A471,'Dados StatusInvest'!$A:$AY,column(K471)-$A$5,0)/VLOOKUP($A471,'Dados StatusInvest'!$A:$AY,2,0)*$E471</f>
        <v>12.4629052</v>
      </c>
      <c r="L471" s="43">
        <f>VLOOKUP($A471,'Dados StatusInvest'!$A:$AY,column(L471)-$A$5,0)/100</f>
        <v>0</v>
      </c>
      <c r="M471" s="47">
        <f>VLOOKUP($A471,'Dados StatusInvest'!$A:$AY,column(M471)-$A$5,0)</f>
        <v>0</v>
      </c>
      <c r="N471" s="47">
        <f>VLOOKUP($A471,'Dados StatusInvest'!$A:$AY,column(N471)-$A$5,0)</f>
        <v>0</v>
      </c>
      <c r="O471" s="41">
        <f>VLOOKUP($A471,'Dados StatusInvest'!$A:$AY,column(O471)-$A$5,0)/VLOOKUP($A471,'Dados StatusInvest'!$A:$AY,2,0)*$E471</f>
        <v>-436.5994343</v>
      </c>
      <c r="P471" s="41">
        <f>VLOOKUP($A471,'Dados StatusInvest'!$A:$AY,column(P471)-$A$5,0)-VLOOKUP($A471,'Dados StatusInvest'!$A:$AY,column(P471)-$A$5-1,0)+O471</f>
        <v>-436.5994343</v>
      </c>
      <c r="Q471" s="44">
        <f>VLOOKUP($A471,'Dados StatusInvest'!$A:$AY,column(Q471)-$A$5,0)</f>
        <v>0</v>
      </c>
      <c r="R471" s="44">
        <f>VLOOKUP($A471,'Dados StatusInvest'!$A:$AY,column(R471)-$A$5,0)</f>
        <v>0</v>
      </c>
      <c r="S471" s="41">
        <f>VLOOKUP($A471,'Dados StatusInvest'!$A:$AY,column(S471)-$A$5,0)/VLOOKUP($A471,'Dados StatusInvest'!$A:$AY,2,0)*$E471</f>
        <v>0</v>
      </c>
      <c r="T471" s="42">
        <f>VLOOKUP($A471,'Dados StatusInvest'!$A:$AY,column(T471)-$A$5,0)/VLOOKUP($A471,'Dados StatusInvest'!$A:$AY,2,0)*$E471</f>
        <v>0</v>
      </c>
      <c r="U471" s="47">
        <f>VLOOKUP($A471,'Dados StatusInvest'!$A:$AY,column(U471)-$A$5,0)</f>
        <v>-2300.99</v>
      </c>
      <c r="V471" s="45">
        <f>VLOOKUP($A471,'Dados StatusInvest'!$A:$AY,column(V471)-$A$5,0)</f>
        <v>1</v>
      </c>
      <c r="W471" s="45">
        <f>VLOOKUP($A471,'Dados StatusInvest'!$A:$AY,column(W471)-$A$5,0)</f>
        <v>-537.5</v>
      </c>
      <c r="X471" s="45">
        <f>VLOOKUP($A471,'Dados StatusInvest'!$A:$AY,column(X471)-$A$5,0)</f>
        <v>-2.86</v>
      </c>
      <c r="Y471" s="45">
        <f>VLOOKUP($A471,'Dados StatusInvest'!$A:$AY,column(Y471)-$A$5,0)</f>
        <v>0</v>
      </c>
      <c r="Z471" s="44">
        <f>VLOOKUP($A471,'Dados StatusInvest'!$A:$AY,column(Z471)-$A$5,0)</f>
        <v>0.01</v>
      </c>
      <c r="AA471" s="44">
        <f>VLOOKUP($A471,'Dados StatusInvest'!$A:$AY,column(AA471)-$A$5,0)</f>
        <v>0.99</v>
      </c>
      <c r="AB471" s="44">
        <f>VLOOKUP($A471,'Dados StatusInvest'!$A:$AY,column(AB471)-$A$5,0)</f>
        <v>0</v>
      </c>
      <c r="AC471" s="44">
        <f>VLOOKUP($A471,'Dados StatusInvest'!$A:$AY,column(AC471)-$A$5,0)</f>
        <v>0</v>
      </c>
      <c r="AD471" s="45">
        <f>VLOOKUP($A471,'Dados StatusInvest'!$A:$AY,column(AD471)-$A$5,0)</f>
        <v>0</v>
      </c>
      <c r="AE471" s="46">
        <f>VLOOKUP($A471,'Dados StatusInvest'!$A:$AY,column(AE471)-$A$5,0)</f>
        <v>4877.58</v>
      </c>
      <c r="AF471" s="18"/>
    </row>
    <row r="472">
      <c r="A472" s="10" t="s">
        <v>518</v>
      </c>
      <c r="B472" s="52" t="str">
        <f>VLOOKUP(LEFT($A472,4),Setor!$A:$E,3,0)</f>
        <v>Consumo Cíclico</v>
      </c>
      <c r="C472" s="52" t="str">
        <f>VLOOKUP(LEFT($A472,4),Setor!$A:$E,4,0)</f>
        <v>Viagens e Lazer</v>
      </c>
      <c r="D472" s="52" t="str">
        <f>VLOOKUP(LEFT($A472,4),Setor!$A:$E,5,0)</f>
        <v>Produção de Eventos e Shows</v>
      </c>
      <c r="E472" s="53">
        <f>IFERROR(__xludf.DUMMYFUNCTION("GOOGLEFINANCE(A472)"),51.5)</f>
        <v>51.5</v>
      </c>
      <c r="F472" s="53">
        <f>IFERROR(__xludf.DUMMYFUNCTION("GOOGLEFINANCE($A472,""high52"")"),51.5)</f>
        <v>51.5</v>
      </c>
      <c r="G472" s="54">
        <f t="shared" si="1"/>
        <v>0</v>
      </c>
      <c r="H472" s="55">
        <f>VLOOKUP($A472,'Dados StatusInvest'!$A:$AY,COLUMN(H472)-$A$5,0)*VLOOKUP($A472,'Dados StatusInvest'!$A:$AY,2,0)/$E472/100</f>
        <v>0</v>
      </c>
      <c r="I472" s="56">
        <f>VLOOKUP($A472,'Dados StatusInvest'!$A:$AY,COLUMN(I472)-$A$5,0)/VLOOKUP($A472,'Dados StatusInvest'!$A:$AY,2,0)*$E472</f>
        <v>-8.43</v>
      </c>
      <c r="J472" s="56">
        <f>VLOOKUP($A472,'Dados StatusInvest'!$A:$AY,COLUMN(J472)-$A$5,0)/VLOOKUP($A472,'Dados StatusInvest'!$A:$AY,2,0)*$E472</f>
        <v>-10.29</v>
      </c>
      <c r="K472" s="57">
        <f>VLOOKUP($A472,'Dados StatusInvest'!$A:$AY,COLUMN(K472)-$A$5,0)/VLOOKUP($A472,'Dados StatusInvest'!$A:$AY,2,0)*$E472</f>
        <v>1.58</v>
      </c>
      <c r="L472" s="58">
        <f>VLOOKUP($A472,'Dados StatusInvest'!$A:$AY,COLUMN(L472)-$A$5,0)/100</f>
        <v>0.2197</v>
      </c>
      <c r="M472" s="59">
        <f>VLOOKUP($A472,'Dados StatusInvest'!$A:$AY,COLUMN(M472)-$A$5,0)</f>
        <v>-15.75</v>
      </c>
      <c r="N472" s="59">
        <f>VLOOKUP($A472,'Dados StatusInvest'!$A:$AY,COLUMN(N472)-$A$5,0)</f>
        <v>-26.33</v>
      </c>
      <c r="O472" s="56">
        <f>VLOOKUP($A472,'Dados StatusInvest'!$A:$AY,COLUMN(O472)-$A$5,0)/VLOOKUP($A472,'Dados StatusInvest'!$A:$AY,2,0)*$E472</f>
        <v>-14.08</v>
      </c>
      <c r="P472" s="56">
        <f>VLOOKUP($A472,'Dados StatusInvest'!$A:$AY,COLUMN(P472)-$A$5,0)-VLOOKUP($A472,'Dados StatusInvest'!$A:$AY,COLUMN(P472)-$A$5-1,0)+O472</f>
        <v>-6.84</v>
      </c>
      <c r="Q472" s="59">
        <f>VLOOKUP($A472,'Dados StatusInvest'!$A:$AY,COLUMN(Q472)-$A$5,0)</f>
        <v>0.11</v>
      </c>
      <c r="R472" s="59">
        <f>VLOOKUP($A472,'Dados StatusInvest'!$A:$AY,COLUMN(R472)-$A$5,0)</f>
        <v>0</v>
      </c>
      <c r="S472" s="56">
        <f>VLOOKUP($A472,'Dados StatusInvest'!$A:$AY,COLUMN(S472)-$A$5,0)/VLOOKUP($A472,'Dados StatusInvest'!$A:$AY,2,0)*$E472</f>
        <v>2.22</v>
      </c>
      <c r="T472" s="57">
        <f>VLOOKUP($A472,'Dados StatusInvest'!$A:$AY,COLUMN(T472)-$A$5,0)/VLOOKUP($A472,'Dados StatusInvest'!$A:$AY,2,0)*$E472</f>
        <v>-6.13</v>
      </c>
      <c r="U472" s="59">
        <f>VLOOKUP($A472,'Dados StatusInvest'!$A:$AY,COLUMN(U472)-$A$5,0)</f>
        <v>-1.98</v>
      </c>
      <c r="V472" s="60">
        <f>VLOOKUP($A472,'Dados StatusInvest'!$A:$AY,COLUMN(V472)-$A$5,0)</f>
        <v>0.44</v>
      </c>
      <c r="W472" s="60">
        <f>VLOOKUP($A472,'Dados StatusInvest'!$A:$AY,COLUMN(W472)-$A$5,0)</f>
        <v>-122.15</v>
      </c>
      <c r="X472" s="60">
        <f>VLOOKUP($A472,'Dados StatusInvest'!$A:$AY,COLUMN(X472)-$A$5,0)</f>
        <v>-18.7</v>
      </c>
      <c r="Y472" s="60">
        <f>VLOOKUP($A472,'Dados StatusInvest'!$A:$AY,COLUMN(Y472)-$A$5,0)</f>
        <v>73.09</v>
      </c>
      <c r="Z472" s="59">
        <f>VLOOKUP($A472,'Dados StatusInvest'!$A:$AY,COLUMN(Z472)-$A$5,0)</f>
        <v>-0.15</v>
      </c>
      <c r="AA472" s="59">
        <f>VLOOKUP($A472,'Dados StatusInvest'!$A:$AY,COLUMN(AA472)-$A$5,0)</f>
        <v>1.15</v>
      </c>
      <c r="AB472" s="59">
        <f>VLOOKUP($A472,'Dados StatusInvest'!$A:$AY,COLUMN(AB472)-$A$5,0)</f>
        <v>0.71</v>
      </c>
      <c r="AC472" s="59">
        <f>VLOOKUP($A472,'Dados StatusInvest'!$A:$AY,COLUMN(AC472)-$A$5,0)</f>
        <v>1.88</v>
      </c>
      <c r="AD472" s="60">
        <f>VLOOKUP($A472,'Dados StatusInvest'!$A:$AY,COLUMN(AD472)-$A$5,0)</f>
        <v>0</v>
      </c>
      <c r="AE472" s="62">
        <f>VLOOKUP($A472,'Dados StatusInvest'!$A:$AY,COLUMN(AE472)-$A$5,0)</f>
        <v>6742</v>
      </c>
      <c r="AF472" s="18"/>
    </row>
    <row r="473">
      <c r="A473" s="10" t="s">
        <v>519</v>
      </c>
      <c r="B473" s="52" t="str">
        <f>VLOOKUP(LEFT($A473,4),Setor!$A:$E,3,0)</f>
        <v>Financeiro</v>
      </c>
      <c r="C473" s="52" t="str">
        <f>VLOOKUP(LEFT($A473,4),Setor!$A:$E,4,0)</f>
        <v>Intermediários Financeiros</v>
      </c>
      <c r="D473" s="52" t="str">
        <f>VLOOKUP(LEFT($A473,4),Setor!$A:$E,5,0)</f>
        <v>Bancos</v>
      </c>
      <c r="E473" s="53">
        <f>IFERROR(__xludf.DUMMYFUNCTION("GOOGLEFINANCE(A473)"),17.0)</f>
        <v>17</v>
      </c>
      <c r="F473" s="53">
        <f>IFERROR(__xludf.DUMMYFUNCTION("GOOGLEFINANCE($A473,""high52"")"),21.9)</f>
        <v>21.9</v>
      </c>
      <c r="G473" s="54">
        <f t="shared" si="1"/>
        <v>-0.2237442922</v>
      </c>
      <c r="H473" s="55">
        <f>VLOOKUP($A473,'Dados StatusInvest'!$A:$AY,COLUMN(H473)-$A$5,0)*VLOOKUP($A473,'Dados StatusInvest'!$A:$AY,2,0)/$E473/100</f>
        <v>0.0731</v>
      </c>
      <c r="I473" s="56">
        <f>VLOOKUP($A473,'Dados StatusInvest'!$A:$AY,COLUMN(I473)-$A$5,0)/VLOOKUP($A473,'Dados StatusInvest'!$A:$AY,2,0)*$E473</f>
        <v>7.77</v>
      </c>
      <c r="J473" s="56">
        <f>VLOOKUP($A473,'Dados StatusInvest'!$A:$AY,COLUMN(J473)-$A$5,0)/VLOOKUP($A473,'Dados StatusInvest'!$A:$AY,2,0)*$E473</f>
        <v>0.8</v>
      </c>
      <c r="K473" s="57">
        <f>VLOOKUP($A473,'Dados StatusInvest'!$A:$AY,COLUMN(K473)-$A$5,0)/VLOOKUP($A473,'Dados StatusInvest'!$A:$AY,2,0)*$E473</f>
        <v>0.07</v>
      </c>
      <c r="L473" s="58">
        <f>VLOOKUP($A473,'Dados StatusInvest'!$A:$AY,COLUMN(L473)-$A$5,0)/100</f>
        <v>0.8568</v>
      </c>
      <c r="M473" s="59">
        <f>VLOOKUP($A473,'Dados StatusInvest'!$A:$AY,COLUMN(M473)-$A$5,0)</f>
        <v>17.04</v>
      </c>
      <c r="N473" s="59">
        <f>VLOOKUP($A473,'Dados StatusInvest'!$A:$AY,COLUMN(N473)-$A$5,0)</f>
        <v>13.76</v>
      </c>
      <c r="O473" s="56">
        <f>VLOOKUP($A473,'Dados StatusInvest'!$A:$AY,COLUMN(O473)-$A$5,0)/VLOOKUP($A473,'Dados StatusInvest'!$A:$AY,2,0)*$E473</f>
        <v>6.27</v>
      </c>
      <c r="P473" s="56">
        <f>VLOOKUP($A473,'Dados StatusInvest'!$A:$AY,COLUMN(P473)-$A$5,0)-VLOOKUP($A473,'Dados StatusInvest'!$A:$AY,COLUMN(P473)-$A$5-1,0)+O473</f>
        <v>4.62</v>
      </c>
      <c r="Q473" s="59">
        <f>VLOOKUP($A473,'Dados StatusInvest'!$A:$AY,COLUMN(Q473)-$A$5,0)</f>
        <v>0</v>
      </c>
      <c r="R473" s="59">
        <f>VLOOKUP($A473,'Dados StatusInvest'!$A:$AY,COLUMN(R473)-$A$5,0)</f>
        <v>0</v>
      </c>
      <c r="S473" s="56">
        <f>VLOOKUP($A473,'Dados StatusInvest'!$A:$AY,COLUMN(S473)-$A$5,0)/VLOOKUP($A473,'Dados StatusInvest'!$A:$AY,2,0)*$E473</f>
        <v>1.07</v>
      </c>
      <c r="T473" s="57">
        <f>VLOOKUP($A473,'Dados StatusInvest'!$A:$AY,COLUMN(T473)-$A$5,0)/VLOOKUP($A473,'Dados StatusInvest'!$A:$AY,2,0)*$E473</f>
        <v>1.43</v>
      </c>
      <c r="U473" s="59">
        <f>VLOOKUP($A473,'Dados StatusInvest'!$A:$AY,COLUMN(U473)-$A$5,0)</f>
        <v>-0.08</v>
      </c>
      <c r="V473" s="60">
        <f>VLOOKUP($A473,'Dados StatusInvest'!$A:$AY,COLUMN(V473)-$A$5,0)</f>
        <v>2.07</v>
      </c>
      <c r="W473" s="60">
        <f>VLOOKUP($A473,'Dados StatusInvest'!$A:$AY,COLUMN(W473)-$A$5,0)</f>
        <v>10.34</v>
      </c>
      <c r="X473" s="60">
        <f>VLOOKUP($A473,'Dados StatusInvest'!$A:$AY,COLUMN(X473)-$A$5,0)</f>
        <v>0.91</v>
      </c>
      <c r="Y473" s="60">
        <f>VLOOKUP($A473,'Dados StatusInvest'!$A:$AY,COLUMN(Y473)-$A$5,0)</f>
        <v>0</v>
      </c>
      <c r="Z473" s="59">
        <f>VLOOKUP($A473,'Dados StatusInvest'!$A:$AY,COLUMN(Z473)-$A$5,0)</f>
        <v>0.09</v>
      </c>
      <c r="AA473" s="59">
        <f>VLOOKUP($A473,'Dados StatusInvest'!$A:$AY,COLUMN(AA473)-$A$5,0)</f>
        <v>0.91</v>
      </c>
      <c r="AB473" s="59">
        <f>VLOOKUP($A473,'Dados StatusInvest'!$A:$AY,COLUMN(AB473)-$A$5,0)</f>
        <v>0.07</v>
      </c>
      <c r="AC473" s="59">
        <f>VLOOKUP($A473,'Dados StatusInvest'!$A:$AY,COLUMN(AC473)-$A$5,0)</f>
        <v>-5.25</v>
      </c>
      <c r="AD473" s="60">
        <f>VLOOKUP($A473,'Dados StatusInvest'!$A:$AY,COLUMN(AD473)-$A$5,0)</f>
        <v>0.33</v>
      </c>
      <c r="AE473" s="62">
        <f>VLOOKUP($A473,'Dados StatusInvest'!$A:$AY,COLUMN(AE473)-$A$5,0)</f>
        <v>5473.83</v>
      </c>
      <c r="AF473" s="18"/>
    </row>
    <row r="474">
      <c r="A474" s="10" t="s">
        <v>520</v>
      </c>
      <c r="B474" s="52" t="str">
        <f>VLOOKUP(LEFT($A474,4),Setor!$A:$E,3,0)</f>
        <v>Financeiro</v>
      </c>
      <c r="C474" s="52" t="str">
        <f>VLOOKUP(LEFT($A474,4),Setor!$A:$E,4,0)</f>
        <v>Intermediários Financeiros</v>
      </c>
      <c r="D474" s="52" t="str">
        <f>VLOOKUP(LEFT($A474,4),Setor!$A:$E,5,0)</f>
        <v>Soc. Crédito e Financiamento</v>
      </c>
      <c r="E474" s="53">
        <f>IFERROR(__xludf.DUMMYFUNCTION("GOOGLEFINANCE(A474)"),5.12)</f>
        <v>5.12</v>
      </c>
      <c r="F474" s="53">
        <f>IFERROR(__xludf.DUMMYFUNCTION("GOOGLEFINANCE($A474,""high52"")"),8.78)</f>
        <v>8.78</v>
      </c>
      <c r="G474" s="54">
        <f t="shared" si="1"/>
        <v>-0.416856492</v>
      </c>
      <c r="H474" s="55">
        <f>VLOOKUP($A474,'Dados StatusInvest'!$A:$AY,COLUMN(H474)-$A$5,0)*VLOOKUP($A474,'Dados StatusInvest'!$A:$AY,2,0)/$E474/100</f>
        <v>0</v>
      </c>
      <c r="I474" s="56">
        <f>VLOOKUP($A474,'Dados StatusInvest'!$A:$AY,COLUMN(I474)-$A$5,0)/VLOOKUP($A474,'Dados StatusInvest'!$A:$AY,2,0)*$E474</f>
        <v>9.65312253</v>
      </c>
      <c r="J474" s="56">
        <f>VLOOKUP($A474,'Dados StatusInvest'!$A:$AY,COLUMN(J474)-$A$5,0)/VLOOKUP($A474,'Dados StatusInvest'!$A:$AY,2,0)*$E474</f>
        <v>0.5261660079</v>
      </c>
      <c r="K474" s="57">
        <f>VLOOKUP($A474,'Dados StatusInvest'!$A:$AY,COLUMN(K474)-$A$5,0)/VLOOKUP($A474,'Dados StatusInvest'!$A:$AY,2,0)*$E474</f>
        <v>0.0809486166</v>
      </c>
      <c r="L474" s="58">
        <f>VLOOKUP($A474,'Dados StatusInvest'!$A:$AY,COLUMN(L474)-$A$5,0)/100</f>
        <v>0.7344</v>
      </c>
      <c r="M474" s="63">
        <f>VLOOKUP($A474,'Dados StatusInvest'!$A:$AY,COLUMN(M474)-$A$5,0)</f>
        <v>12.33</v>
      </c>
      <c r="N474" s="63">
        <f>VLOOKUP($A474,'Dados StatusInvest'!$A:$AY,COLUMN(N474)-$A$5,0)</f>
        <v>9.29</v>
      </c>
      <c r="O474" s="56">
        <f>VLOOKUP($A474,'Dados StatusInvest'!$A:$AY,COLUMN(O474)-$A$5,0)/VLOOKUP($A474,'Dados StatusInvest'!$A:$AY,2,0)*$E474</f>
        <v>7.275256917</v>
      </c>
      <c r="P474" s="56">
        <f>VLOOKUP($A474,'Dados StatusInvest'!$A:$AY,COLUMN(P474)-$A$5,0)-VLOOKUP($A474,'Dados StatusInvest'!$A:$AY,COLUMN(P474)-$A$5-1,0)+O474</f>
        <v>7.835256917</v>
      </c>
      <c r="Q474" s="59">
        <f>VLOOKUP($A474,'Dados StatusInvest'!$A:$AY,COLUMN(Q474)-$A$5,0)</f>
        <v>0</v>
      </c>
      <c r="R474" s="59">
        <f>VLOOKUP($A474,'Dados StatusInvest'!$A:$AY,COLUMN(R474)-$A$5,0)</f>
        <v>0</v>
      </c>
      <c r="S474" s="56">
        <f>VLOOKUP($A474,'Dados StatusInvest'!$A:$AY,COLUMN(S474)-$A$5,0)/VLOOKUP($A474,'Dados StatusInvest'!$A:$AY,2,0)*$E474</f>
        <v>0.9005533597</v>
      </c>
      <c r="T474" s="57">
        <f>VLOOKUP($A474,'Dados StatusInvest'!$A:$AY,COLUMN(T474)-$A$5,0)/VLOOKUP($A474,'Dados StatusInvest'!$A:$AY,2,0)*$E474</f>
        <v>0.3339130435</v>
      </c>
      <c r="U474" s="59">
        <f>VLOOKUP($A474,'Dados StatusInvest'!$A:$AY,COLUMN(U474)-$A$5,0)</f>
        <v>-0.11</v>
      </c>
      <c r="V474" s="60">
        <f>VLOOKUP($A474,'Dados StatusInvest'!$A:$AY,COLUMN(V474)-$A$5,0)</f>
        <v>6.72</v>
      </c>
      <c r="W474" s="61">
        <f>VLOOKUP($A474,'Dados StatusInvest'!$A:$AY,COLUMN(W474)-$A$5,0)</f>
        <v>5.46</v>
      </c>
      <c r="X474" s="60">
        <f>VLOOKUP($A474,'Dados StatusInvest'!$A:$AY,COLUMN(X474)-$A$5,0)</f>
        <v>0.81</v>
      </c>
      <c r="Y474" s="60">
        <f>VLOOKUP($A474,'Dados StatusInvest'!$A:$AY,COLUMN(Y474)-$A$5,0)</f>
        <v>0</v>
      </c>
      <c r="Z474" s="59">
        <f>VLOOKUP($A474,'Dados StatusInvest'!$A:$AY,COLUMN(Z474)-$A$5,0)</f>
        <v>0.15</v>
      </c>
      <c r="AA474" s="59">
        <f>VLOOKUP($A474,'Dados StatusInvest'!$A:$AY,COLUMN(AA474)-$A$5,0)</f>
        <v>0.85</v>
      </c>
      <c r="AB474" s="59">
        <f>VLOOKUP($A474,'Dados StatusInvest'!$A:$AY,COLUMN(AB474)-$A$5,0)</f>
        <v>0.09</v>
      </c>
      <c r="AC474" s="59">
        <f>VLOOKUP($A474,'Dados StatusInvest'!$A:$AY,COLUMN(AC474)-$A$5,0)</f>
        <v>-7.18</v>
      </c>
      <c r="AD474" s="60">
        <f>VLOOKUP($A474,'Dados StatusInvest'!$A:$AY,COLUMN(AD474)-$A$5,0)</f>
        <v>6.93</v>
      </c>
      <c r="AE474" s="62">
        <f>VLOOKUP($A474,'Dados StatusInvest'!$A:$AY,COLUMN(AE474)-$A$5,0)</f>
        <v>5792.59</v>
      </c>
      <c r="AF474" s="18"/>
    </row>
    <row r="475">
      <c r="A475" s="10" t="s">
        <v>521</v>
      </c>
      <c r="B475" s="39" t="str">
        <f>VLOOKUP(lEFT($A475,4),Setor!$A:$E,3,0)</f>
        <v>Consumo Cíclico</v>
      </c>
      <c r="C475" s="39" t="str">
        <f>VLOOKUP(lEFT($A475,4),Setor!$A:$E,4,0)</f>
        <v>Tecidos, Vestuário e Calçados</v>
      </c>
      <c r="D475" s="39" t="str">
        <f>VLOOKUP(lEFT($A475,4),Setor!$A:$E,5,0)</f>
        <v>Fios e Tecidos</v>
      </c>
      <c r="E475" s="17">
        <f>IFERROR(__xludf.DUMMYFUNCTION("GOOGLEFINANCE(A475)"),26.1)</f>
        <v>26.1</v>
      </c>
      <c r="F475" s="17">
        <f>IFERROR(__xludf.DUMMYFUNCTION("GOOGLEFINANCE($A475,""high52"")"),136.62)</f>
        <v>136.62</v>
      </c>
      <c r="G475" s="16">
        <f t="shared" si="1"/>
        <v>-0.8089591568</v>
      </c>
      <c r="H475" s="40">
        <f>VLOOKUP($A475,'Dados StatusInvest'!$A:$AY,column(H475)-$A$5,0)*VLOOKUP($A475,'Dados StatusInvest'!$A:$AY,2,0)/$E475/100</f>
        <v>0</v>
      </c>
      <c r="I475" s="41">
        <f>VLOOKUP($A475,'Dados StatusInvest'!$A:$AY,column(I475)-$A$5,0)/VLOOKUP($A475,'Dados StatusInvest'!$A:$AY,2,0)*$E475</f>
        <v>-0.11</v>
      </c>
      <c r="J475" s="41">
        <f>VLOOKUP($A475,'Dados StatusInvest'!$A:$AY,column(J475)-$A$5,0)/VLOOKUP($A475,'Dados StatusInvest'!$A:$AY,2,0)*$E475</f>
        <v>-0.01</v>
      </c>
      <c r="K475" s="42">
        <f>VLOOKUP($A475,'Dados StatusInvest'!$A:$AY,column(K475)-$A$5,0)/VLOOKUP($A475,'Dados StatusInvest'!$A:$AY,2,0)*$E475</f>
        <v>0.01</v>
      </c>
      <c r="L475" s="43">
        <f>VLOOKUP($A475,'Dados StatusInvest'!$A:$AY,column(L475)-$A$5,0)/100</f>
        <v>0.1668</v>
      </c>
      <c r="M475" s="44">
        <f>VLOOKUP($A475,'Dados StatusInvest'!$A:$AY,column(M475)-$A$5,0)</f>
        <v>3.31</v>
      </c>
      <c r="N475" s="44">
        <f>VLOOKUP($A475,'Dados StatusInvest'!$A:$AY,column(N475)-$A$5,0)</f>
        <v>-63.59</v>
      </c>
      <c r="O475" s="41">
        <f>VLOOKUP($A475,'Dados StatusInvest'!$A:$AY,column(O475)-$A$5,0)/VLOOKUP($A475,'Dados StatusInvest'!$A:$AY,2,0)*$E475</f>
        <v>2.13</v>
      </c>
      <c r="P475" s="41">
        <f>VLOOKUP($A475,'Dados StatusInvest'!$A:$AY,column(P475)-$A$5,0)-VLOOKUP($A475,'Dados StatusInvest'!$A:$AY,column(P475)-$A$5-1,0)+O475</f>
        <v>90.77</v>
      </c>
      <c r="Q475" s="44">
        <f>VLOOKUP($A475,'Dados StatusInvest'!$A:$AY,column(Q475)-$A$5,0)</f>
        <v>89.4</v>
      </c>
      <c r="R475" s="44">
        <f>VLOOKUP($A475,'Dados StatusInvest'!$A:$AY,column(R475)-$A$5,0)</f>
        <v>0</v>
      </c>
      <c r="S475" s="41">
        <f>VLOOKUP($A475,'Dados StatusInvest'!$A:$AY,column(S475)-$A$5,0)/VLOOKUP($A475,'Dados StatusInvest'!$A:$AY,2,0)*$E475</f>
        <v>0.07</v>
      </c>
      <c r="T475" s="42">
        <f>VLOOKUP($A475,'Dados StatusInvest'!$A:$AY,column(T475)-$A$5,0)/VLOOKUP($A475,'Dados StatusInvest'!$A:$AY,2,0)*$E475</f>
        <v>-0.01</v>
      </c>
      <c r="U475" s="44">
        <f>VLOOKUP($A475,'Dados StatusInvest'!$A:$AY,column(U475)-$A$5,0)</f>
        <v>-0.01</v>
      </c>
      <c r="V475" s="45">
        <f>VLOOKUP($A475,'Dados StatusInvest'!$A:$AY,column(V475)-$A$5,0)</f>
        <v>0.03</v>
      </c>
      <c r="W475" s="45">
        <f>VLOOKUP($A475,'Dados StatusInvest'!$A:$AY,column(W475)-$A$5,0)</f>
        <v>-6.78</v>
      </c>
      <c r="X475" s="45">
        <f>VLOOKUP($A475,'Dados StatusInvest'!$A:$AY,column(X475)-$A$5,0)</f>
        <v>-11.62</v>
      </c>
      <c r="Y475" s="45">
        <f>VLOOKUP($A475,'Dados StatusInvest'!$A:$AY,column(Y475)-$A$5,0)</f>
        <v>-0.08</v>
      </c>
      <c r="Z475" s="44">
        <f>VLOOKUP($A475,'Dados StatusInvest'!$A:$AY,column(Z475)-$A$5,0)</f>
        <v>-1.71</v>
      </c>
      <c r="AA475" s="44">
        <f>VLOOKUP($A475,'Dados StatusInvest'!$A:$AY,column(AA475)-$A$5,0)</f>
        <v>2.71</v>
      </c>
      <c r="AB475" s="44">
        <f>VLOOKUP($A475,'Dados StatusInvest'!$A:$AY,column(AB475)-$A$5,0)</f>
        <v>0.18</v>
      </c>
      <c r="AC475" s="44">
        <f>VLOOKUP($A475,'Dados StatusInvest'!$A:$AY,column(AC475)-$A$5,0)</f>
        <v>-1.38</v>
      </c>
      <c r="AD475" s="45">
        <f>VLOOKUP($A475,'Dados StatusInvest'!$A:$AY,column(AD475)-$A$5,0)</f>
        <v>0</v>
      </c>
      <c r="AE475" s="46">
        <f>VLOOKUP($A475,'Dados StatusInvest'!$A:$AY,column(AE475)-$A$5,0)</f>
        <v>5310.25</v>
      </c>
      <c r="AF475" s="18"/>
    </row>
    <row r="476">
      <c r="A476" s="10" t="s">
        <v>522</v>
      </c>
      <c r="B476" s="39" t="str">
        <f>VLOOKUP(lEFT($A476,4),Setor!$A:$E,3,0)</f>
        <v>Utilidade Pública</v>
      </c>
      <c r="C476" s="39" t="str">
        <f>VLOOKUP(lEFT($A476,4),Setor!$A:$E,4,0)</f>
        <v>Energia Elétrica</v>
      </c>
      <c r="D476" s="39" t="str">
        <f>VLOOKUP(lEFT($A476,4),Setor!$A:$E,5,0)</f>
        <v>Energia Elétrica</v>
      </c>
      <c r="E476" s="17">
        <f>IFERROR(__xludf.DUMMYFUNCTION("GOOGLEFINANCE(A476)"),39.0)</f>
        <v>39</v>
      </c>
      <c r="F476" s="17">
        <f>IFERROR(__xludf.DUMMYFUNCTION("GOOGLEFINANCE($A476,""high52"")"),58.0)</f>
        <v>58</v>
      </c>
      <c r="G476" s="16">
        <f t="shared" si="1"/>
        <v>-0.3275862069</v>
      </c>
      <c r="H476" s="40">
        <f>VLOOKUP($A476,'Dados StatusInvest'!$A:$AY,column(H476)-$A$5,0)*VLOOKUP($A476,'Dados StatusInvest'!$A:$AY,2,0)/$E476/100</f>
        <v>0.1181</v>
      </c>
      <c r="I476" s="41">
        <f>VLOOKUP($A476,'Dados StatusInvest'!$A:$AY,column(I476)-$A$5,0)/VLOOKUP($A476,'Dados StatusInvest'!$A:$AY,2,0)*$E476</f>
        <v>6.69</v>
      </c>
      <c r="J476" s="41">
        <f>VLOOKUP($A476,'Dados StatusInvest'!$A:$AY,column(J476)-$A$5,0)/VLOOKUP($A476,'Dados StatusInvest'!$A:$AY,2,0)*$E476</f>
        <v>1.74</v>
      </c>
      <c r="K476" s="42">
        <f>VLOOKUP($A476,'Dados StatusInvest'!$A:$AY,column(K476)-$A$5,0)/VLOOKUP($A476,'Dados StatusInvest'!$A:$AY,2,0)*$E476</f>
        <v>0.45</v>
      </c>
      <c r="L476" s="43">
        <f>VLOOKUP($A476,'Dados StatusInvest'!$A:$AY,column(L476)-$A$5,0)/100</f>
        <v>0.2351</v>
      </c>
      <c r="M476" s="44">
        <f>VLOOKUP($A476,'Dados StatusInvest'!$A:$AY,column(M476)-$A$5,0)</f>
        <v>17.69</v>
      </c>
      <c r="N476" s="44">
        <f>VLOOKUP($A476,'Dados StatusInvest'!$A:$AY,column(N476)-$A$5,0)</f>
        <v>11.84</v>
      </c>
      <c r="O476" s="41">
        <f>VLOOKUP($A476,'Dados StatusInvest'!$A:$AY,column(O476)-$A$5,0)/VLOOKUP($A476,'Dados StatusInvest'!$A:$AY,2,0)*$E476</f>
        <v>4.48</v>
      </c>
      <c r="P476" s="41">
        <f>VLOOKUP($A476,'Dados StatusInvest'!$A:$AY,column(P476)-$A$5,0)-VLOOKUP($A476,'Dados StatusInvest'!$A:$AY,column(P476)-$A$5-1,0)+O476</f>
        <v>8.74</v>
      </c>
      <c r="Q476" s="44">
        <f>VLOOKUP($A476,'Dados StatusInvest'!$A:$AY,column(Q476)-$A$5,0)</f>
        <v>3.54</v>
      </c>
      <c r="R476" s="44">
        <f>VLOOKUP($A476,'Dados StatusInvest'!$A:$AY,column(R476)-$A$5,0)</f>
        <v>1.37</v>
      </c>
      <c r="S476" s="41">
        <f>VLOOKUP($A476,'Dados StatusInvest'!$A:$AY,column(S476)-$A$5,0)/VLOOKUP($A476,'Dados StatusInvest'!$A:$AY,2,0)*$E476</f>
        <v>0.79</v>
      </c>
      <c r="T476" s="42">
        <f>VLOOKUP($A476,'Dados StatusInvest'!$A:$AY,column(T476)-$A$5,0)/VLOOKUP($A476,'Dados StatusInvest'!$A:$AY,2,0)*$E476</f>
        <v>-70.49</v>
      </c>
      <c r="U476" s="44">
        <f>VLOOKUP($A476,'Dados StatusInvest'!$A:$AY,column(U476)-$A$5,0)</f>
        <v>-0.57</v>
      </c>
      <c r="V476" s="45">
        <f>VLOOKUP($A476,'Dados StatusInvest'!$A:$AY,column(V476)-$A$5,0)</f>
        <v>0.97</v>
      </c>
      <c r="W476" s="45">
        <f>VLOOKUP($A476,'Dados StatusInvest'!$A:$AY,column(W476)-$A$5,0)</f>
        <v>25.99</v>
      </c>
      <c r="X476" s="45">
        <f>VLOOKUP($A476,'Dados StatusInvest'!$A:$AY,column(X476)-$A$5,0)</f>
        <v>6.74</v>
      </c>
      <c r="Y476" s="45">
        <f>VLOOKUP($A476,'Dados StatusInvest'!$A:$AY,column(Y476)-$A$5,0)</f>
        <v>13.2</v>
      </c>
      <c r="Z476" s="44">
        <f>VLOOKUP($A476,'Dados StatusInvest'!$A:$AY,column(Z476)-$A$5,0)</f>
        <v>0.26</v>
      </c>
      <c r="AA476" s="44">
        <f>VLOOKUP($A476,'Dados StatusInvest'!$A:$AY,column(AA476)-$A$5,0)</f>
        <v>0.74</v>
      </c>
      <c r="AB476" s="44">
        <f>VLOOKUP($A476,'Dados StatusInvest'!$A:$AY,column(AB476)-$A$5,0)</f>
        <v>0.57</v>
      </c>
      <c r="AC476" s="44">
        <f>VLOOKUP($A476,'Dados StatusInvest'!$A:$AY,column(AC476)-$A$5,0)</f>
        <v>10.93</v>
      </c>
      <c r="AD476" s="45">
        <f>VLOOKUP($A476,'Dados StatusInvest'!$A:$AY,column(AD476)-$A$5,0)</f>
        <v>35.37</v>
      </c>
      <c r="AE476" s="46">
        <f>VLOOKUP($A476,'Dados StatusInvest'!$A:$AY,column(AE476)-$A$5,0)</f>
        <v>7800</v>
      </c>
      <c r="AF476" s="49"/>
    </row>
    <row r="477">
      <c r="A477" s="10" t="s">
        <v>523</v>
      </c>
      <c r="B477" s="52" t="str">
        <f>VLOOKUP(LEFT($A477,4),Setor!$A:$E,3,0)</f>
        <v>Utilidade Pública</v>
      </c>
      <c r="C477" s="52" t="str">
        <f>VLOOKUP(LEFT($A477,4),Setor!$A:$E,4,0)</f>
        <v>Energia Elétrica</v>
      </c>
      <c r="D477" s="52" t="str">
        <f>VLOOKUP(LEFT($A477,4),Setor!$A:$E,5,0)</f>
        <v>Energia Elétrica</v>
      </c>
      <c r="E477" s="53">
        <f>IFERROR(__xludf.DUMMYFUNCTION("GOOGLEFINANCE(A477)"),55.8)</f>
        <v>55.8</v>
      </c>
      <c r="F477" s="53">
        <f>IFERROR(__xludf.DUMMYFUNCTION("GOOGLEFINANCE($A477,""high52"")"),98.98)</f>
        <v>98.98</v>
      </c>
      <c r="G477" s="54">
        <f t="shared" si="1"/>
        <v>-0.4362497474</v>
      </c>
      <c r="H477" s="55">
        <f>VLOOKUP($A477,'Dados StatusInvest'!$A:$AY,COLUMN(H477)-$A$5,0)*VLOOKUP($A477,'Dados StatusInvest'!$A:$AY,2,0)/$E477/100</f>
        <v>0</v>
      </c>
      <c r="I477" s="56">
        <f>VLOOKUP($A477,'Dados StatusInvest'!$A:$AY,COLUMN(I477)-$A$5,0)/VLOOKUP($A477,'Dados StatusInvest'!$A:$AY,2,0)*$E477</f>
        <v>-4.05</v>
      </c>
      <c r="J477" s="56">
        <f>VLOOKUP($A477,'Dados StatusInvest'!$A:$AY,COLUMN(J477)-$A$5,0)/VLOOKUP($A477,'Dados StatusInvest'!$A:$AY,2,0)*$E477</f>
        <v>-1.43</v>
      </c>
      <c r="K477" s="57">
        <f>VLOOKUP($A477,'Dados StatusInvest'!$A:$AY,COLUMN(K477)-$A$5,0)/VLOOKUP($A477,'Dados StatusInvest'!$A:$AY,2,0)*$E477</f>
        <v>0.72</v>
      </c>
      <c r="L477" s="58">
        <f>VLOOKUP($A477,'Dados StatusInvest'!$A:$AY,COLUMN(L477)-$A$5,0)/100</f>
        <v>0.0453</v>
      </c>
      <c r="M477" s="59">
        <f>VLOOKUP($A477,'Dados StatusInvest'!$A:$AY,COLUMN(M477)-$A$5,0)</f>
        <v>-7.6</v>
      </c>
      <c r="N477" s="59">
        <f>VLOOKUP($A477,'Dados StatusInvest'!$A:$AY,COLUMN(N477)-$A$5,0)</f>
        <v>-23.74</v>
      </c>
      <c r="O477" s="56">
        <f>VLOOKUP($A477,'Dados StatusInvest'!$A:$AY,COLUMN(O477)-$A$5,0)/VLOOKUP($A477,'Dados StatusInvest'!$A:$AY,2,0)*$E477</f>
        <v>-12.66</v>
      </c>
      <c r="P477" s="56">
        <f>VLOOKUP($A477,'Dados StatusInvest'!$A:$AY,COLUMN(P477)-$A$5,0)-VLOOKUP($A477,'Dados StatusInvest'!$A:$AY,COLUMN(P477)-$A$5-1,0)+O477</f>
        <v>-13.58</v>
      </c>
      <c r="Q477" s="59">
        <f>VLOOKUP($A477,'Dados StatusInvest'!$A:$AY,COLUMN(Q477)-$A$5,0)</f>
        <v>-3.36</v>
      </c>
      <c r="R477" s="59">
        <f>VLOOKUP($A477,'Dados StatusInvest'!$A:$AY,COLUMN(R477)-$A$5,0)</f>
        <v>0</v>
      </c>
      <c r="S477" s="56">
        <f>VLOOKUP($A477,'Dados StatusInvest'!$A:$AY,COLUMN(S477)-$A$5,0)/VLOOKUP($A477,'Dados StatusInvest'!$A:$AY,2,0)*$E477</f>
        <v>0.96</v>
      </c>
      <c r="T477" s="57">
        <f>VLOOKUP($A477,'Dados StatusInvest'!$A:$AY,COLUMN(T477)-$A$5,0)/VLOOKUP($A477,'Dados StatusInvest'!$A:$AY,2,0)*$E477</f>
        <v>-2.56</v>
      </c>
      <c r="U477" s="59">
        <f>VLOOKUP($A477,'Dados StatusInvest'!$A:$AY,COLUMN(U477)-$A$5,0)</f>
        <v>-0.95</v>
      </c>
      <c r="V477" s="60">
        <f>VLOOKUP($A477,'Dados StatusInvest'!$A:$AY,COLUMN(V477)-$A$5,0)</f>
        <v>0.46</v>
      </c>
      <c r="W477" s="60">
        <f>VLOOKUP($A477,'Dados StatusInvest'!$A:$AY,COLUMN(W477)-$A$5,0)</f>
        <v>-35.38</v>
      </c>
      <c r="X477" s="60">
        <f>VLOOKUP($A477,'Dados StatusInvest'!$A:$AY,COLUMN(X477)-$A$5,0)</f>
        <v>-17.71</v>
      </c>
      <c r="Y477" s="60">
        <f>VLOOKUP($A477,'Dados StatusInvest'!$A:$AY,COLUMN(Y477)-$A$5,0)</f>
        <v>20.8</v>
      </c>
      <c r="Z477" s="59">
        <f>VLOOKUP($A477,'Dados StatusInvest'!$A:$AY,COLUMN(Z477)-$A$5,0)</f>
        <v>-0.5</v>
      </c>
      <c r="AA477" s="59">
        <f>VLOOKUP($A477,'Dados StatusInvest'!$A:$AY,COLUMN(AA477)-$A$5,0)</f>
        <v>1.5</v>
      </c>
      <c r="AB477" s="59">
        <f>VLOOKUP($A477,'Dados StatusInvest'!$A:$AY,COLUMN(AB477)-$A$5,0)</f>
        <v>0.75</v>
      </c>
      <c r="AC477" s="59">
        <f>VLOOKUP($A477,'Dados StatusInvest'!$A:$AY,COLUMN(AC477)-$A$5,0)</f>
        <v>-0.25</v>
      </c>
      <c r="AD477" s="60">
        <f>VLOOKUP($A477,'Dados StatusInvest'!$A:$AY,COLUMN(AD477)-$A$5,0)</f>
        <v>0</v>
      </c>
      <c r="AE477" s="62">
        <f>VLOOKUP($A477,'Dados StatusInvest'!$A:$AY,COLUMN(AE477)-$A$5,0)</f>
        <v>5580</v>
      </c>
      <c r="AF477" s="18"/>
    </row>
    <row r="478">
      <c r="A478" s="10" t="s">
        <v>524</v>
      </c>
      <c r="B478" s="52" t="str">
        <f>VLOOKUP(LEFT($A478,4),Setor!$A:$E,3,0)</f>
        <v>Materiais Básicos</v>
      </c>
      <c r="C478" s="52" t="str">
        <f>VLOOKUP(LEFT($A478,4),Setor!$A:$E,4,0)</f>
        <v>Químicos</v>
      </c>
      <c r="D478" s="52" t="str">
        <f>VLOOKUP(LEFT($A478,4),Setor!$A:$E,5,0)</f>
        <v>Petroquímicos</v>
      </c>
      <c r="E478" s="53">
        <f>IFERROR(__xludf.DUMMYFUNCTION("GOOGLEFINANCE(A478)"),36.98)</f>
        <v>36.98</v>
      </c>
      <c r="F478" s="53">
        <f>IFERROR(__xludf.DUMMYFUNCTION("GOOGLEFINANCE($A478,""high52"")"),44.0)</f>
        <v>44</v>
      </c>
      <c r="G478" s="54">
        <f t="shared" si="1"/>
        <v>-0.1595454545</v>
      </c>
      <c r="H478" s="55">
        <f>VLOOKUP($A478,'Dados StatusInvest'!$A:$AY,COLUMN(H478)-$A$5,0)*VLOOKUP($A478,'Dados StatusInvest'!$A:$AY,2,0)/$E478/100</f>
        <v>0</v>
      </c>
      <c r="I478" s="56">
        <f>VLOOKUP($A478,'Dados StatusInvest'!$A:$AY,COLUMN(I478)-$A$5,0)/VLOOKUP($A478,'Dados StatusInvest'!$A:$AY,2,0)*$E478</f>
        <v>3.15</v>
      </c>
      <c r="J478" s="56">
        <f>VLOOKUP($A478,'Dados StatusInvest'!$A:$AY,COLUMN(J478)-$A$5,0)/VLOOKUP($A478,'Dados StatusInvest'!$A:$AY,2,0)*$E478</f>
        <v>3.4</v>
      </c>
      <c r="K478" s="57">
        <f>VLOOKUP($A478,'Dados StatusInvest'!$A:$AY,COLUMN(K478)-$A$5,0)/VLOOKUP($A478,'Dados StatusInvest'!$A:$AY,2,0)*$E478</f>
        <v>0.34</v>
      </c>
      <c r="L478" s="58">
        <f>VLOOKUP($A478,'Dados StatusInvest'!$A:$AY,COLUMN(L478)-$A$5,0)/100</f>
        <v>0.3048</v>
      </c>
      <c r="M478" s="59">
        <f>VLOOKUP($A478,'Dados StatusInvest'!$A:$AY,COLUMN(M478)-$A$5,0)</f>
        <v>19.5</v>
      </c>
      <c r="N478" s="59">
        <f>VLOOKUP($A478,'Dados StatusInvest'!$A:$AY,COLUMN(N478)-$A$5,0)</f>
        <v>11.15</v>
      </c>
      <c r="O478" s="56">
        <f>VLOOKUP($A478,'Dados StatusInvest'!$A:$AY,COLUMN(O478)-$A$5,0)/VLOOKUP($A478,'Dados StatusInvest'!$A:$AY,2,0)*$E478</f>
        <v>1.8</v>
      </c>
      <c r="P478" s="56">
        <f>VLOOKUP($A478,'Dados StatusInvest'!$A:$AY,COLUMN(P478)-$A$5,0)-VLOOKUP($A478,'Dados StatusInvest'!$A:$AY,COLUMN(P478)-$A$5-1,0)+O478</f>
        <v>4.14</v>
      </c>
      <c r="Q478" s="59">
        <f>VLOOKUP($A478,'Dados StatusInvest'!$A:$AY,COLUMN(Q478)-$A$5,0)</f>
        <v>1.26</v>
      </c>
      <c r="R478" s="59">
        <f>VLOOKUP($A478,'Dados StatusInvest'!$A:$AY,COLUMN(R478)-$A$5,0)</f>
        <v>2.37</v>
      </c>
      <c r="S478" s="56">
        <f>VLOOKUP($A478,'Dados StatusInvest'!$A:$AY,COLUMN(S478)-$A$5,0)/VLOOKUP($A478,'Dados StatusInvest'!$A:$AY,2,0)*$E478</f>
        <v>0.35</v>
      </c>
      <c r="T478" s="57">
        <f>VLOOKUP($A478,'Dados StatusInvest'!$A:$AY,COLUMN(T478)-$A$5,0)/VLOOKUP($A478,'Dados StatusInvest'!$A:$AY,2,0)*$E478</f>
        <v>3.69</v>
      </c>
      <c r="U478" s="63">
        <f>VLOOKUP($A478,'Dados StatusInvest'!$A:$AY,COLUMN(U478)-$A$5,0)</f>
        <v>-0.6</v>
      </c>
      <c r="V478" s="60">
        <f>VLOOKUP($A478,'Dados StatusInvest'!$A:$AY,COLUMN(V478)-$A$5,0)</f>
        <v>1.26</v>
      </c>
      <c r="W478" s="61">
        <f>VLOOKUP($A478,'Dados StatusInvest'!$A:$AY,COLUMN(W478)-$A$5,0)</f>
        <v>107.98</v>
      </c>
      <c r="X478" s="60">
        <f>VLOOKUP($A478,'Dados StatusInvest'!$A:$AY,COLUMN(X478)-$A$5,0)</f>
        <v>10.63</v>
      </c>
      <c r="Y478" s="60">
        <f>VLOOKUP($A478,'Dados StatusInvest'!$A:$AY,COLUMN(Y478)-$A$5,0)</f>
        <v>31.39</v>
      </c>
      <c r="Z478" s="59">
        <f>VLOOKUP($A478,'Dados StatusInvest'!$A:$AY,COLUMN(Z478)-$A$5,0)</f>
        <v>0.1</v>
      </c>
      <c r="AA478" s="59">
        <f>VLOOKUP($A478,'Dados StatusInvest'!$A:$AY,COLUMN(AA478)-$A$5,0)</f>
        <v>0.92</v>
      </c>
      <c r="AB478" s="59">
        <f>VLOOKUP($A478,'Dados StatusInvest'!$A:$AY,COLUMN(AB478)-$A$5,0)</f>
        <v>0.95</v>
      </c>
      <c r="AC478" s="59">
        <f>VLOOKUP($A478,'Dados StatusInvest'!$A:$AY,COLUMN(AC478)-$A$5,0)</f>
        <v>4.54</v>
      </c>
      <c r="AD478" s="60">
        <f>VLOOKUP($A478,'Dados StatusInvest'!$A:$AY,COLUMN(AD478)-$A$5,0)</f>
        <v>25.52</v>
      </c>
      <c r="AE478" s="62">
        <f>VLOOKUP($A478,'Dados StatusInvest'!$A:$AY,COLUMN(AE478)-$A$5,0)</f>
        <v>6142.2</v>
      </c>
      <c r="AF478" s="18"/>
    </row>
    <row r="479">
      <c r="A479" s="10" t="s">
        <v>525</v>
      </c>
      <c r="B479" s="39" t="str">
        <f>VLOOKUP(lEFT($A479,4),Setor!$A:$E,3,0)</f>
        <v>Bens Industriais</v>
      </c>
      <c r="C479" s="39" t="str">
        <f>VLOOKUP(lEFT($A479,4),Setor!$A:$E,4,0)</f>
        <v>Transporte</v>
      </c>
      <c r="D479" s="39" t="str">
        <f>VLOOKUP(lEFT($A479,4),Setor!$A:$E,5,0)</f>
        <v>Transporte Ferroviário</v>
      </c>
      <c r="E479" s="17">
        <f>IFERROR(__xludf.DUMMYFUNCTION("GOOGLEFINANCE(A479)"),35.7)</f>
        <v>35.7</v>
      </c>
      <c r="F479" s="17">
        <f>IFERROR(__xludf.DUMMYFUNCTION("GOOGLEFINANCE($A479,""high52"")"),65.0)</f>
        <v>65</v>
      </c>
      <c r="G479" s="16">
        <f t="shared" si="1"/>
        <v>-0.4507692308</v>
      </c>
      <c r="H479" s="40">
        <f>VLOOKUP($A479,'Dados StatusInvest'!$A:$AY,column(H479)-$A$5,0)*VLOOKUP($A479,'Dados StatusInvest'!$A:$AY,2,0)/$E479/100</f>
        <v>0.0081</v>
      </c>
      <c r="I479" s="41">
        <f>VLOOKUP($A479,'Dados StatusInvest'!$A:$AY,column(I479)-$A$5,0)/VLOOKUP($A479,'Dados StatusInvest'!$A:$AY,2,0)*$E479</f>
        <v>13.93</v>
      </c>
      <c r="J479" s="41">
        <f>VLOOKUP($A479,'Dados StatusInvest'!$A:$AY,column(J479)-$A$5,0)/VLOOKUP($A479,'Dados StatusInvest'!$A:$AY,2,0)*$E479</f>
        <v>2.52</v>
      </c>
      <c r="K479" s="42">
        <f>VLOOKUP($A479,'Dados StatusInvest'!$A:$AY,column(K479)-$A$5,0)/VLOOKUP($A479,'Dados StatusInvest'!$A:$AY,2,0)*$E479</f>
        <v>1.1</v>
      </c>
      <c r="L479" s="43">
        <f>VLOOKUP($A479,'Dados StatusInvest'!$A:$AY,column(L479)-$A$5,0)/100</f>
        <v>0.3536</v>
      </c>
      <c r="M479" s="44">
        <f>VLOOKUP($A479,'Dados StatusInvest'!$A:$AY,column(M479)-$A$5,0)</f>
        <v>37.55</v>
      </c>
      <c r="N479" s="44">
        <f>VLOOKUP($A479,'Dados StatusInvest'!$A:$AY,column(N479)-$A$5,0)</f>
        <v>21.1</v>
      </c>
      <c r="O479" s="41">
        <f>VLOOKUP($A479,'Dados StatusInvest'!$A:$AY,column(O479)-$A$5,0)/VLOOKUP($A479,'Dados StatusInvest'!$A:$AY,2,0)*$E479</f>
        <v>7.83</v>
      </c>
      <c r="P479" s="41">
        <f>VLOOKUP($A479,'Dados StatusInvest'!$A:$AY,column(P479)-$A$5,0)-VLOOKUP($A479,'Dados StatusInvest'!$A:$AY,column(P479)-$A$5-1,0)+O479</f>
        <v>8.77</v>
      </c>
      <c r="Q479" s="44">
        <f>VLOOKUP($A479,'Dados StatusInvest'!$A:$AY,column(Q479)-$A$5,0)</f>
        <v>1.01</v>
      </c>
      <c r="R479" s="44">
        <f>VLOOKUP($A479,'Dados StatusInvest'!$A:$AY,column(R479)-$A$5,0)</f>
        <v>0.33</v>
      </c>
      <c r="S479" s="41">
        <f>VLOOKUP($A479,'Dados StatusInvest'!$A:$AY,column(S479)-$A$5,0)/VLOOKUP($A479,'Dados StatusInvest'!$A:$AY,2,0)*$E479</f>
        <v>2.94</v>
      </c>
      <c r="T479" s="42">
        <f>VLOOKUP($A479,'Dados StatusInvest'!$A:$AY,column(T479)-$A$5,0)/VLOOKUP($A479,'Dados StatusInvest'!$A:$AY,2,0)*$E479</f>
        <v>-19.62</v>
      </c>
      <c r="U479" s="47">
        <f>VLOOKUP($A479,'Dados StatusInvest'!$A:$AY,column(U479)-$A$5,0)</f>
        <v>-1.26</v>
      </c>
      <c r="V479" s="45">
        <f>VLOOKUP($A479,'Dados StatusInvest'!$A:$AY,column(V479)-$A$5,0)</f>
        <v>0.7</v>
      </c>
      <c r="W479" s="48">
        <f>VLOOKUP($A479,'Dados StatusInvest'!$A:$AY,column(W479)-$A$5,0)</f>
        <v>18.12</v>
      </c>
      <c r="X479" s="45">
        <f>VLOOKUP($A479,'Dados StatusInvest'!$A:$AY,column(X479)-$A$5,0)</f>
        <v>7.86</v>
      </c>
      <c r="Y479" s="48">
        <f>VLOOKUP($A479,'Dados StatusInvest'!$A:$AY,column(Y479)-$A$5,0)</f>
        <v>15.18</v>
      </c>
      <c r="Z479" s="44">
        <f>VLOOKUP($A479,'Dados StatusInvest'!$A:$AY,column(Z479)-$A$5,0)</f>
        <v>0.43</v>
      </c>
      <c r="AA479" s="44">
        <f>VLOOKUP($A479,'Dados StatusInvest'!$A:$AY,column(AA479)-$A$5,0)</f>
        <v>0.57</v>
      </c>
      <c r="AB479" s="44">
        <f>VLOOKUP($A479,'Dados StatusInvest'!$A:$AY,column(AB479)-$A$5,0)</f>
        <v>0.37</v>
      </c>
      <c r="AC479" s="44">
        <f>VLOOKUP($A479,'Dados StatusInvest'!$A:$AY,column(AC479)-$A$5,0)</f>
        <v>2.59</v>
      </c>
      <c r="AD479" s="45">
        <f>VLOOKUP($A479,'Dados StatusInvest'!$A:$AY,column(AD479)-$A$5,0)</f>
        <v>24.12</v>
      </c>
      <c r="AE479" s="46">
        <f>VLOOKUP($A479,'Dados StatusInvest'!$A:$AY,column(AE479)-$A$5,0)</f>
        <v>4965.67</v>
      </c>
      <c r="AF479" s="51"/>
    </row>
    <row r="480">
      <c r="A480" s="10" t="s">
        <v>526</v>
      </c>
      <c r="B480" s="39" t="str">
        <f>VLOOKUP(lEFT($A480,4),Setor!$A:$E,3,0)</f>
        <v>Consumo Cíclico</v>
      </c>
      <c r="C480" s="39" t="str">
        <f>VLOOKUP(lEFT($A480,4),Setor!$A:$E,4,0)</f>
        <v>Viagens e Lazer</v>
      </c>
      <c r="D480" s="39" t="str">
        <f>VLOOKUP(lEFT($A480,4),Setor!$A:$E,5,0)</f>
        <v>Produção de Eventos e Shows</v>
      </c>
      <c r="E480" s="17">
        <f>IFERROR(__xludf.DUMMYFUNCTION("GOOGLEFINANCE(A480)"),18.0)</f>
        <v>18</v>
      </c>
      <c r="F480" s="17">
        <f>IFERROR(__xludf.DUMMYFUNCTION("GOOGLEFINANCE($A480,""high52"")"),60.0)</f>
        <v>60</v>
      </c>
      <c r="G480" s="16">
        <f t="shared" si="1"/>
        <v>-0.7</v>
      </c>
      <c r="H480" s="40">
        <f>VLOOKUP($A480,'Dados StatusInvest'!$A:$AY,column(H480)-$A$5,0)*VLOOKUP($A480,'Dados StatusInvest'!$A:$AY,2,0)/$E480/100</f>
        <v>0</v>
      </c>
      <c r="I480" s="41">
        <f>VLOOKUP($A480,'Dados StatusInvest'!$A:$AY,column(I480)-$A$5,0)/VLOOKUP($A480,'Dados StatusInvest'!$A:$AY,2,0)*$E480</f>
        <v>-2.94</v>
      </c>
      <c r="J480" s="41">
        <f>VLOOKUP($A480,'Dados StatusInvest'!$A:$AY,column(J480)-$A$5,0)/VLOOKUP($A480,'Dados StatusInvest'!$A:$AY,2,0)*$E480</f>
        <v>-3.6</v>
      </c>
      <c r="K480" s="42">
        <f>VLOOKUP($A480,'Dados StatusInvest'!$A:$AY,column(K480)-$A$5,0)/VLOOKUP($A480,'Dados StatusInvest'!$A:$AY,2,0)*$E480</f>
        <v>0.55</v>
      </c>
      <c r="L480" s="43">
        <f>VLOOKUP($A480,'Dados StatusInvest'!$A:$AY,column(L480)-$A$5,0)/100</f>
        <v>0.2197</v>
      </c>
      <c r="M480" s="44">
        <f>VLOOKUP($A480,'Dados StatusInvest'!$A:$AY,column(M480)-$A$5,0)</f>
        <v>-15.75</v>
      </c>
      <c r="N480" s="44">
        <f>VLOOKUP($A480,'Dados StatusInvest'!$A:$AY,column(N480)-$A$5,0)</f>
        <v>-26.33</v>
      </c>
      <c r="O480" s="41">
        <f>VLOOKUP($A480,'Dados StatusInvest'!$A:$AY,column(O480)-$A$5,0)/VLOOKUP($A480,'Dados StatusInvest'!$A:$AY,2,0)*$E480</f>
        <v>-4.92</v>
      </c>
      <c r="P480" s="41">
        <f>VLOOKUP($A480,'Dados StatusInvest'!$A:$AY,column(P480)-$A$5,0)-VLOOKUP($A480,'Dados StatusInvest'!$A:$AY,column(P480)-$A$5-1,0)+O480</f>
        <v>-6.84</v>
      </c>
      <c r="Q480" s="44">
        <f>VLOOKUP($A480,'Dados StatusInvest'!$A:$AY,column(Q480)-$A$5,0)</f>
        <v>0.11</v>
      </c>
      <c r="R480" s="44">
        <f>VLOOKUP($A480,'Dados StatusInvest'!$A:$AY,column(R480)-$A$5,0)</f>
        <v>0</v>
      </c>
      <c r="S480" s="41">
        <f>VLOOKUP($A480,'Dados StatusInvest'!$A:$AY,column(S480)-$A$5,0)/VLOOKUP($A480,'Dados StatusInvest'!$A:$AY,2,0)*$E480</f>
        <v>0.78</v>
      </c>
      <c r="T480" s="42">
        <f>VLOOKUP($A480,'Dados StatusInvest'!$A:$AY,column(T480)-$A$5,0)/VLOOKUP($A480,'Dados StatusInvest'!$A:$AY,2,0)*$E480</f>
        <v>-2.14</v>
      </c>
      <c r="U480" s="44">
        <f>VLOOKUP($A480,'Dados StatusInvest'!$A:$AY,column(U480)-$A$5,0)</f>
        <v>-0.69</v>
      </c>
      <c r="V480" s="45">
        <f>VLOOKUP($A480,'Dados StatusInvest'!$A:$AY,column(V480)-$A$5,0)</f>
        <v>0.44</v>
      </c>
      <c r="W480" s="45">
        <f>VLOOKUP($A480,'Dados StatusInvest'!$A:$AY,column(W480)-$A$5,0)</f>
        <v>-122.15</v>
      </c>
      <c r="X480" s="45">
        <f>VLOOKUP($A480,'Dados StatusInvest'!$A:$AY,column(X480)-$A$5,0)</f>
        <v>-18.7</v>
      </c>
      <c r="Y480" s="45">
        <f>VLOOKUP($A480,'Dados StatusInvest'!$A:$AY,column(Y480)-$A$5,0)</f>
        <v>73.09</v>
      </c>
      <c r="Z480" s="44">
        <f>VLOOKUP($A480,'Dados StatusInvest'!$A:$AY,column(Z480)-$A$5,0)</f>
        <v>-0.15</v>
      </c>
      <c r="AA480" s="44">
        <f>VLOOKUP($A480,'Dados StatusInvest'!$A:$AY,column(AA480)-$A$5,0)</f>
        <v>1.15</v>
      </c>
      <c r="AB480" s="44">
        <f>VLOOKUP($A480,'Dados StatusInvest'!$A:$AY,column(AB480)-$A$5,0)</f>
        <v>0.71</v>
      </c>
      <c r="AC480" s="44">
        <f>VLOOKUP($A480,'Dados StatusInvest'!$A:$AY,column(AC480)-$A$5,0)</f>
        <v>1.88</v>
      </c>
      <c r="AD480" s="45">
        <f>VLOOKUP($A480,'Dados StatusInvest'!$A:$AY,column(AD480)-$A$5,0)</f>
        <v>0</v>
      </c>
      <c r="AE480" s="46">
        <f>VLOOKUP($A480,'Dados StatusInvest'!$A:$AY,column(AE480)-$A$5,0)</f>
        <v>1800</v>
      </c>
      <c r="AF480" s="51"/>
    </row>
    <row r="481">
      <c r="A481" s="10" t="s">
        <v>527</v>
      </c>
      <c r="B481" s="39" t="str">
        <f>VLOOKUP(lEFT($A481,4),Setor!$A:$E,3,0)</f>
        <v>Financeiro</v>
      </c>
      <c r="C481" s="39" t="str">
        <f>VLOOKUP(lEFT($A481,4),Setor!$A:$E,4,0)</f>
        <v>Previdência e Seguros</v>
      </c>
      <c r="D481" s="39" t="str">
        <f>VLOOKUP(lEFT($A481,4),Setor!$A:$E,5,0)</f>
        <v>Seguradoras</v>
      </c>
      <c r="E481" s="17">
        <f>IFERROR(__xludf.DUMMYFUNCTION("GOOGLEFINANCE(A481)"),9.99)</f>
        <v>9.99</v>
      </c>
      <c r="F481" s="17">
        <f>IFERROR(__xludf.DUMMYFUNCTION("GOOGLEFINANCE($A481,""high52"")"),12.78)</f>
        <v>12.78</v>
      </c>
      <c r="G481" s="16">
        <f t="shared" si="1"/>
        <v>-0.2183098592</v>
      </c>
      <c r="H481" s="40">
        <f>VLOOKUP($A481,'Dados StatusInvest'!$A:$AY,column(H481)-$A$5,0)*VLOOKUP($A481,'Dados StatusInvest'!$A:$AY,2,0)/$E481/100</f>
        <v>0.0307</v>
      </c>
      <c r="I481" s="41">
        <f>VLOOKUP($A481,'Dados StatusInvest'!$A:$AY,column(I481)-$A$5,0)/VLOOKUP($A481,'Dados StatusInvest'!$A:$AY,2,0)*$E481</f>
        <v>28.6</v>
      </c>
      <c r="J481" s="41">
        <f>VLOOKUP($A481,'Dados StatusInvest'!$A:$AY,column(J481)-$A$5,0)/VLOOKUP($A481,'Dados StatusInvest'!$A:$AY,2,0)*$E481</f>
        <v>0.6</v>
      </c>
      <c r="K481" s="42">
        <f>VLOOKUP($A481,'Dados StatusInvest'!$A:$AY,column(K481)-$A$5,0)/VLOOKUP($A481,'Dados StatusInvest'!$A:$AY,2,0)*$E481</f>
        <v>0.24</v>
      </c>
      <c r="L481" s="43">
        <f>VLOOKUP($A481,'Dados StatusInvest'!$A:$AY,column(L481)-$A$5,0)/100</f>
        <v>-18.1231</v>
      </c>
      <c r="M481" s="47">
        <f>VLOOKUP($A481,'Dados StatusInvest'!$A:$AY,column(M481)-$A$5,0)</f>
        <v>2793.51</v>
      </c>
      <c r="N481" s="44">
        <f>VLOOKUP($A481,'Dados StatusInvest'!$A:$AY,column(N481)-$A$5,0)</f>
        <v>463.68</v>
      </c>
      <c r="O481" s="41">
        <f>VLOOKUP($A481,'Dados StatusInvest'!$A:$AY,column(O481)-$A$5,0)/VLOOKUP($A481,'Dados StatusInvest'!$A:$AY,2,0)*$E481</f>
        <v>4.75</v>
      </c>
      <c r="P481" s="41">
        <f>VLOOKUP($A481,'Dados StatusInvest'!$A:$AY,column(P481)-$A$5,0)-VLOOKUP($A481,'Dados StatusInvest'!$A:$AY,column(P481)-$A$5-1,0)+O481</f>
        <v>-4.86</v>
      </c>
      <c r="Q481" s="44">
        <f>VLOOKUP($A481,'Dados StatusInvest'!$A:$AY,column(Q481)-$A$5,0)</f>
        <v>-10.02</v>
      </c>
      <c r="R481" s="44">
        <f>VLOOKUP($A481,'Dados StatusInvest'!$A:$AY,column(R481)-$A$5,0)</f>
        <v>-1.26</v>
      </c>
      <c r="S481" s="41">
        <f>VLOOKUP($A481,'Dados StatusInvest'!$A:$AY,column(S481)-$A$5,0)/VLOOKUP($A481,'Dados StatusInvest'!$A:$AY,2,0)*$E481</f>
        <v>132.61</v>
      </c>
      <c r="T481" s="42">
        <f>VLOOKUP($A481,'Dados StatusInvest'!$A:$AY,column(T481)-$A$5,0)/VLOOKUP($A481,'Dados StatusInvest'!$A:$AY,2,0)*$E481</f>
        <v>0.58</v>
      </c>
      <c r="U481" s="44">
        <f>VLOOKUP($A481,'Dados StatusInvest'!$A:$AY,column(U481)-$A$5,0)</f>
        <v>-0.6</v>
      </c>
      <c r="V481" s="45">
        <f>VLOOKUP($A481,'Dados StatusInvest'!$A:$AY,column(V481)-$A$5,0)</f>
        <v>3.25</v>
      </c>
      <c r="W481" s="45">
        <f>VLOOKUP($A481,'Dados StatusInvest'!$A:$AY,column(W481)-$A$5,0)</f>
        <v>2.08</v>
      </c>
      <c r="X481" s="45">
        <f>VLOOKUP($A481,'Dados StatusInvest'!$A:$AY,column(X481)-$A$5,0)</f>
        <v>0.84</v>
      </c>
      <c r="Y481" s="45">
        <f>VLOOKUP($A481,'Dados StatusInvest'!$A:$AY,column(Y481)-$A$5,0)</f>
        <v>8.38</v>
      </c>
      <c r="Z481" s="44">
        <f>VLOOKUP($A481,'Dados StatusInvest'!$A:$AY,column(Z481)-$A$5,0)</f>
        <v>0.4</v>
      </c>
      <c r="AA481" s="44">
        <f>VLOOKUP($A481,'Dados StatusInvest'!$A:$AY,column(AA481)-$A$5,0)</f>
        <v>0.41</v>
      </c>
      <c r="AB481" s="44">
        <f>VLOOKUP($A481,'Dados StatusInvest'!$A:$AY,column(AB481)-$A$5,0)</f>
        <v>0</v>
      </c>
      <c r="AC481" s="44">
        <f>VLOOKUP($A481,'Dados StatusInvest'!$A:$AY,column(AC481)-$A$5,0)</f>
        <v>-1.53</v>
      </c>
      <c r="AD481" s="45">
        <f>VLOOKUP($A481,'Dados StatusInvest'!$A:$AY,column(AD481)-$A$5,0)</f>
        <v>-16.72</v>
      </c>
      <c r="AE481" s="46">
        <f>VLOOKUP($A481,'Dados StatusInvest'!$A:$AY,column(AE481)-$A$5,0)</f>
        <v>4604</v>
      </c>
      <c r="AF481" s="49"/>
    </row>
    <row r="482">
      <c r="A482" s="10" t="s">
        <v>528</v>
      </c>
      <c r="B482" s="39" t="str">
        <f>VLOOKUP(lEFT($A482,4),Setor!$A:$E,3,0)</f>
        <v>Bens Industriais</v>
      </c>
      <c r="C482" s="39" t="str">
        <f>VLOOKUP(lEFT($A482,4),Setor!$A:$E,4,0)</f>
        <v>Transporte</v>
      </c>
      <c r="D482" s="39" t="str">
        <f>VLOOKUP(lEFT($A482,4),Setor!$A:$E,5,0)</f>
        <v>Transporte Ferroviário</v>
      </c>
      <c r="E482" s="17">
        <f>IFERROR(__xludf.DUMMYFUNCTION("GOOGLEFINANCE(A482)"),45.43)</f>
        <v>45.43</v>
      </c>
      <c r="F482" s="17">
        <f>IFERROR(__xludf.DUMMYFUNCTION("GOOGLEFINANCE($A482,""high52"")"),50.0)</f>
        <v>50</v>
      </c>
      <c r="G482" s="16">
        <f t="shared" si="1"/>
        <v>-0.0914</v>
      </c>
      <c r="H482" s="40">
        <f>VLOOKUP($A482,'Dados StatusInvest'!$A:$AY,column(H482)-$A$5,0)*VLOOKUP($A482,'Dados StatusInvest'!$A:$AY,2,0)/$E482/100</f>
        <v>0.007</v>
      </c>
      <c r="I482" s="41">
        <f>VLOOKUP($A482,'Dados StatusInvest'!$A:$AY,column(I482)-$A$5,0)/VLOOKUP($A482,'Dados StatusInvest'!$A:$AY,2,0)*$E482</f>
        <v>17.73</v>
      </c>
      <c r="J482" s="41">
        <f>VLOOKUP($A482,'Dados StatusInvest'!$A:$AY,column(J482)-$A$5,0)/VLOOKUP($A482,'Dados StatusInvest'!$A:$AY,2,0)*$E482</f>
        <v>3.21</v>
      </c>
      <c r="K482" s="42">
        <f>VLOOKUP($A482,'Dados StatusInvest'!$A:$AY,column(K482)-$A$5,0)/VLOOKUP($A482,'Dados StatusInvest'!$A:$AY,2,0)*$E482</f>
        <v>1.39</v>
      </c>
      <c r="L482" s="43">
        <f>VLOOKUP($A482,'Dados StatusInvest'!$A:$AY,column(L482)-$A$5,0)/100</f>
        <v>0.3536</v>
      </c>
      <c r="M482" s="47">
        <f>VLOOKUP($A482,'Dados StatusInvest'!$A:$AY,column(M482)-$A$5,0)</f>
        <v>37.55</v>
      </c>
      <c r="N482" s="47">
        <f>VLOOKUP($A482,'Dados StatusInvest'!$A:$AY,column(N482)-$A$5,0)</f>
        <v>21.1</v>
      </c>
      <c r="O482" s="41">
        <f>VLOOKUP($A482,'Dados StatusInvest'!$A:$AY,column(O482)-$A$5,0)/VLOOKUP($A482,'Dados StatusInvest'!$A:$AY,2,0)*$E482</f>
        <v>9.96</v>
      </c>
      <c r="P482" s="41">
        <f>VLOOKUP($A482,'Dados StatusInvest'!$A:$AY,column(P482)-$A$5,0)-VLOOKUP($A482,'Dados StatusInvest'!$A:$AY,column(P482)-$A$5-1,0)+O482</f>
        <v>8.77</v>
      </c>
      <c r="Q482" s="44">
        <f>VLOOKUP($A482,'Dados StatusInvest'!$A:$AY,column(Q482)-$A$5,0)</f>
        <v>1.01</v>
      </c>
      <c r="R482" s="44">
        <f>VLOOKUP($A482,'Dados StatusInvest'!$A:$AY,column(R482)-$A$5,0)</f>
        <v>0.33</v>
      </c>
      <c r="S482" s="41">
        <f>VLOOKUP($A482,'Dados StatusInvest'!$A:$AY,column(S482)-$A$5,0)/VLOOKUP($A482,'Dados StatusInvest'!$A:$AY,2,0)*$E482</f>
        <v>3.74</v>
      </c>
      <c r="T482" s="42">
        <f>VLOOKUP($A482,'Dados StatusInvest'!$A:$AY,column(T482)-$A$5,0)/VLOOKUP($A482,'Dados StatusInvest'!$A:$AY,2,0)*$E482</f>
        <v>-24.97</v>
      </c>
      <c r="U482" s="47">
        <f>VLOOKUP($A482,'Dados StatusInvest'!$A:$AY,column(U482)-$A$5,0)</f>
        <v>-1.61</v>
      </c>
      <c r="V482" s="45">
        <f>VLOOKUP($A482,'Dados StatusInvest'!$A:$AY,column(V482)-$A$5,0)</f>
        <v>0.7</v>
      </c>
      <c r="W482" s="45">
        <f>VLOOKUP($A482,'Dados StatusInvest'!$A:$AY,column(W482)-$A$5,0)</f>
        <v>18.12</v>
      </c>
      <c r="X482" s="45">
        <f>VLOOKUP($A482,'Dados StatusInvest'!$A:$AY,column(X482)-$A$5,0)</f>
        <v>7.86</v>
      </c>
      <c r="Y482" s="48">
        <f>VLOOKUP($A482,'Dados StatusInvest'!$A:$AY,column(Y482)-$A$5,0)</f>
        <v>15.18</v>
      </c>
      <c r="Z482" s="44">
        <f>VLOOKUP($A482,'Dados StatusInvest'!$A:$AY,column(Z482)-$A$5,0)</f>
        <v>0.43</v>
      </c>
      <c r="AA482" s="44">
        <f>VLOOKUP($A482,'Dados StatusInvest'!$A:$AY,column(AA482)-$A$5,0)</f>
        <v>0.57</v>
      </c>
      <c r="AB482" s="44">
        <f>VLOOKUP($A482,'Dados StatusInvest'!$A:$AY,column(AB482)-$A$5,0)</f>
        <v>0.37</v>
      </c>
      <c r="AC482" s="44">
        <f>VLOOKUP($A482,'Dados StatusInvest'!$A:$AY,column(AC482)-$A$5,0)</f>
        <v>2.59</v>
      </c>
      <c r="AD482" s="45">
        <f>VLOOKUP($A482,'Dados StatusInvest'!$A:$AY,column(AD482)-$A$5,0)</f>
        <v>24.12</v>
      </c>
      <c r="AE482" s="46">
        <f>VLOOKUP($A482,'Dados StatusInvest'!$A:$AY,column(AE482)-$A$5,0)</f>
        <v>4543</v>
      </c>
      <c r="AF482" s="49"/>
    </row>
    <row r="483">
      <c r="A483" s="10" t="s">
        <v>529</v>
      </c>
      <c r="B483" s="39" t="str">
        <f>VLOOKUP(lEFT($A483,4),Setor!$A:$E,3,0)</f>
        <v>Consumo Cíclico</v>
      </c>
      <c r="C483" s="39" t="str">
        <f>VLOOKUP(lEFT($A483,4),Setor!$A:$E,4,0)</f>
        <v>Tecidos, Vestuário e Calçados</v>
      </c>
      <c r="D483" s="39" t="str">
        <f>VLOOKUP(lEFT($A483,4),Setor!$A:$E,5,0)</f>
        <v>Fios e Tecidos</v>
      </c>
      <c r="E483" s="17">
        <f>IFERROR(__xludf.DUMMYFUNCTION("GOOGLEFINANCE(A483)"),30.0)</f>
        <v>30</v>
      </c>
      <c r="F483" s="17">
        <f>IFERROR(__xludf.DUMMYFUNCTION("GOOGLEFINANCE($A483,""high52"")"),108.0)</f>
        <v>108</v>
      </c>
      <c r="G483" s="16">
        <f t="shared" si="1"/>
        <v>-0.7222222222</v>
      </c>
      <c r="H483" s="40">
        <f>VLOOKUP($A483,'Dados StatusInvest'!$A:$AY,column(H483)-$A$5,0)*VLOOKUP($A483,'Dados StatusInvest'!$A:$AY,2,0)/$E483/100</f>
        <v>0</v>
      </c>
      <c r="I483" s="41">
        <f>VLOOKUP($A483,'Dados StatusInvest'!$A:$AY,column(I483)-$A$5,0)/VLOOKUP($A483,'Dados StatusInvest'!$A:$AY,2,0)*$E483</f>
        <v>-14.01</v>
      </c>
      <c r="J483" s="41">
        <f>VLOOKUP($A483,'Dados StatusInvest'!$A:$AY,column(J483)-$A$5,0)/VLOOKUP($A483,'Dados StatusInvest'!$A:$AY,2,0)*$E483</f>
        <v>-0.41</v>
      </c>
      <c r="K483" s="42">
        <f>VLOOKUP($A483,'Dados StatusInvest'!$A:$AY,column(K483)-$A$5,0)/VLOOKUP($A483,'Dados StatusInvest'!$A:$AY,2,0)*$E483</f>
        <v>0.62</v>
      </c>
      <c r="L483" s="43">
        <f>VLOOKUP($A483,'Dados StatusInvest'!$A:$AY,column(L483)-$A$5,0)/100</f>
        <v>0.3622</v>
      </c>
      <c r="M483" s="44">
        <f>VLOOKUP($A483,'Dados StatusInvest'!$A:$AY,column(M483)-$A$5,0)</f>
        <v>19.32</v>
      </c>
      <c r="N483" s="44">
        <f>VLOOKUP($A483,'Dados StatusInvest'!$A:$AY,column(N483)-$A$5,0)</f>
        <v>-7.09</v>
      </c>
      <c r="O483" s="41">
        <f>VLOOKUP($A483,'Dados StatusInvest'!$A:$AY,column(O483)-$A$5,0)/VLOOKUP($A483,'Dados StatusInvest'!$A:$AY,2,0)*$E483</f>
        <v>5.14</v>
      </c>
      <c r="P483" s="41">
        <f>VLOOKUP($A483,'Dados StatusInvest'!$A:$AY,column(P483)-$A$5,0)-VLOOKUP($A483,'Dados StatusInvest'!$A:$AY,column(P483)-$A$5-1,0)+O483</f>
        <v>12.73</v>
      </c>
      <c r="Q483" s="44">
        <f>VLOOKUP($A483,'Dados StatusInvest'!$A:$AY,column(Q483)-$A$5,0)</f>
        <v>9.97</v>
      </c>
      <c r="R483" s="44">
        <f>VLOOKUP($A483,'Dados StatusInvest'!$A:$AY,column(R483)-$A$5,0)</f>
        <v>0</v>
      </c>
      <c r="S483" s="41">
        <f>VLOOKUP($A483,'Dados StatusInvest'!$A:$AY,column(S483)-$A$5,0)/VLOOKUP($A483,'Dados StatusInvest'!$A:$AY,2,0)*$E483</f>
        <v>0.99</v>
      </c>
      <c r="T483" s="42">
        <f>VLOOKUP($A483,'Dados StatusInvest'!$A:$AY,column(T483)-$A$5,0)/VLOOKUP($A483,'Dados StatusInvest'!$A:$AY,2,0)*$E483</f>
        <v>-0.48</v>
      </c>
      <c r="U483" s="44">
        <f>VLOOKUP($A483,'Dados StatusInvest'!$A:$AY,column(U483)-$A$5,0)</f>
        <v>-1.08</v>
      </c>
      <c r="V483" s="45">
        <f>VLOOKUP($A483,'Dados StatusInvest'!$A:$AY,column(V483)-$A$5,0)</f>
        <v>0.24</v>
      </c>
      <c r="W483" s="45">
        <f>VLOOKUP($A483,'Dados StatusInvest'!$A:$AY,column(W483)-$A$5,0)</f>
        <v>-2.91</v>
      </c>
      <c r="X483" s="45">
        <f>VLOOKUP($A483,'Dados StatusInvest'!$A:$AY,column(X483)-$A$5,0)</f>
        <v>-4.45</v>
      </c>
      <c r="Y483" s="45">
        <f>VLOOKUP($A483,'Dados StatusInvest'!$A:$AY,column(Y483)-$A$5,0)</f>
        <v>-37.69</v>
      </c>
      <c r="Z483" s="44">
        <f>VLOOKUP($A483,'Dados StatusInvest'!$A:$AY,column(Z483)-$A$5,0)</f>
        <v>-1.53</v>
      </c>
      <c r="AA483" s="44">
        <f>VLOOKUP($A483,'Dados StatusInvest'!$A:$AY,column(AA483)-$A$5,0)</f>
        <v>2.53</v>
      </c>
      <c r="AB483" s="44">
        <f>VLOOKUP($A483,'Dados StatusInvest'!$A:$AY,column(AB483)-$A$5,0)</f>
        <v>0.63</v>
      </c>
      <c r="AC483" s="44">
        <f>VLOOKUP($A483,'Dados StatusInvest'!$A:$AY,column(AC483)-$A$5,0)</f>
        <v>1.83</v>
      </c>
      <c r="AD483" s="45">
        <f>VLOOKUP($A483,'Dados StatusInvest'!$A:$AY,column(AD483)-$A$5,0)</f>
        <v>0</v>
      </c>
      <c r="AE483" s="46">
        <f>VLOOKUP($A483,'Dados StatusInvest'!$A:$AY,column(AE483)-$A$5,0)</f>
        <v>4500.3</v>
      </c>
      <c r="AF483" s="18"/>
    </row>
    <row r="484">
      <c r="A484" s="10" t="s">
        <v>530</v>
      </c>
      <c r="B484" s="39" t="str">
        <f>VLOOKUP(lEFT($A484,4),Setor!$A:$E,3,0)</f>
        <v>Financeiro</v>
      </c>
      <c r="C484" s="39" t="str">
        <f>VLOOKUP(lEFT($A484,4),Setor!$A:$E,4,0)</f>
        <v>Intermediários Financeiros</v>
      </c>
      <c r="D484" s="39" t="str">
        <f>VLOOKUP(lEFT($A484,4),Setor!$A:$E,5,0)</f>
        <v>Bancos</v>
      </c>
      <c r="E484" s="17">
        <f>IFERROR(__xludf.DUMMYFUNCTION("GOOGLEFINANCE(A484)"),8.5)</f>
        <v>8.5</v>
      </c>
      <c r="F484" s="17">
        <f>IFERROR(__xludf.DUMMYFUNCTION("GOOGLEFINANCE($A484,""high52"")"),10.39)</f>
        <v>10.39</v>
      </c>
      <c r="G484" s="16">
        <f t="shared" si="1"/>
        <v>-0.1819056785</v>
      </c>
      <c r="H484" s="40">
        <f>VLOOKUP($A484,'Dados StatusInvest'!$A:$AY,column(H484)-$A$5,0)*VLOOKUP($A484,'Dados StatusInvest'!$A:$AY,2,0)/$E484/100</f>
        <v>0.0644</v>
      </c>
      <c r="I484" s="41">
        <f>VLOOKUP($A484,'Dados StatusInvest'!$A:$AY,column(I484)-$A$5,0)/VLOOKUP($A484,'Dados StatusInvest'!$A:$AY,2,0)*$E484</f>
        <v>34.15</v>
      </c>
      <c r="J484" s="41">
        <f>VLOOKUP($A484,'Dados StatusInvest'!$A:$AY,column(J484)-$A$5,0)/VLOOKUP($A484,'Dados StatusInvest'!$A:$AY,2,0)*$E484</f>
        <v>0.7</v>
      </c>
      <c r="K484" s="42">
        <f>VLOOKUP($A484,'Dados StatusInvest'!$A:$AY,column(K484)-$A$5,0)/VLOOKUP($A484,'Dados StatusInvest'!$A:$AY,2,0)*$E484</f>
        <v>0.7</v>
      </c>
      <c r="L484" s="43">
        <f>VLOOKUP($A484,'Dados StatusInvest'!$A:$AY,column(L484)-$A$5,0)/100</f>
        <v>0</v>
      </c>
      <c r="M484" s="44">
        <f>VLOOKUP($A484,'Dados StatusInvest'!$A:$AY,column(M484)-$A$5,0)</f>
        <v>0</v>
      </c>
      <c r="N484" s="44">
        <f>VLOOKUP($A484,'Dados StatusInvest'!$A:$AY,column(N484)-$A$5,0)</f>
        <v>0</v>
      </c>
      <c r="O484" s="41">
        <f>VLOOKUP($A484,'Dados StatusInvest'!$A:$AY,column(O484)-$A$5,0)/VLOOKUP($A484,'Dados StatusInvest'!$A:$AY,2,0)*$E484</f>
        <v>34.3</v>
      </c>
      <c r="P484" s="41">
        <f>VLOOKUP($A484,'Dados StatusInvest'!$A:$AY,column(P484)-$A$5,0)-VLOOKUP($A484,'Dados StatusInvest'!$A:$AY,column(P484)-$A$5-1,0)+O484</f>
        <v>31.11</v>
      </c>
      <c r="Q484" s="44">
        <f>VLOOKUP($A484,'Dados StatusInvest'!$A:$AY,column(Q484)-$A$5,0)</f>
        <v>-0.62</v>
      </c>
      <c r="R484" s="44">
        <f>VLOOKUP($A484,'Dados StatusInvest'!$A:$AY,column(R484)-$A$5,0)</f>
        <v>-0.01</v>
      </c>
      <c r="S484" s="41">
        <f>VLOOKUP($A484,'Dados StatusInvest'!$A:$AY,column(S484)-$A$5,0)/VLOOKUP($A484,'Dados StatusInvest'!$A:$AY,2,0)*$E484</f>
        <v>0</v>
      </c>
      <c r="T484" s="42">
        <f>VLOOKUP($A484,'Dados StatusInvest'!$A:$AY,column(T484)-$A$5,0)/VLOOKUP($A484,'Dados StatusInvest'!$A:$AY,2,0)*$E484</f>
        <v>67.45</v>
      </c>
      <c r="U484" s="47">
        <f>VLOOKUP($A484,'Dados StatusInvest'!$A:$AY,column(U484)-$A$5,0)</f>
        <v>-0.71</v>
      </c>
      <c r="V484" s="45">
        <f>VLOOKUP($A484,'Dados StatusInvest'!$A:$AY,column(V484)-$A$5,0)</f>
        <v>4.26</v>
      </c>
      <c r="W484" s="45">
        <f>VLOOKUP($A484,'Dados StatusInvest'!$A:$AY,column(W484)-$A$5,0)</f>
        <v>2.05</v>
      </c>
      <c r="X484" s="48">
        <f>VLOOKUP($A484,'Dados StatusInvest'!$A:$AY,column(X484)-$A$5,0)</f>
        <v>2.04</v>
      </c>
      <c r="Y484" s="45">
        <f>VLOOKUP($A484,'Dados StatusInvest'!$A:$AY,column(Y484)-$A$5,0)</f>
        <v>2.04</v>
      </c>
      <c r="Z484" s="44">
        <f>VLOOKUP($A484,'Dados StatusInvest'!$A:$AY,column(Z484)-$A$5,0)</f>
        <v>1</v>
      </c>
      <c r="AA484" s="44">
        <f>VLOOKUP($A484,'Dados StatusInvest'!$A:$AY,column(AA484)-$A$5,0)</f>
        <v>0</v>
      </c>
      <c r="AB484" s="44">
        <f>VLOOKUP($A484,'Dados StatusInvest'!$A:$AY,column(AB484)-$A$5,0)</f>
        <v>0</v>
      </c>
      <c r="AC484" s="44">
        <f>VLOOKUP($A484,'Dados StatusInvest'!$A:$AY,column(AC484)-$A$5,0)</f>
        <v>-12.49</v>
      </c>
      <c r="AD484" s="45">
        <f>VLOOKUP($A484,'Dados StatusInvest'!$A:$AY,column(AD484)-$A$5,0)</f>
        <v>-16.37</v>
      </c>
      <c r="AE484" s="46">
        <f>VLOOKUP($A484,'Dados StatusInvest'!$A:$AY,column(AE484)-$A$5,0)</f>
        <v>1840.83</v>
      </c>
      <c r="AF484" s="18"/>
    </row>
    <row r="485">
      <c r="A485" s="10" t="s">
        <v>531</v>
      </c>
      <c r="B485" s="52" t="str">
        <f>VLOOKUP(LEFT($A485,4),Setor!$A:$E,3,0)</f>
        <v>Utilidade Pública</v>
      </c>
      <c r="C485" s="52" t="str">
        <f>VLOOKUP(LEFT($A485,4),Setor!$A:$E,4,0)</f>
        <v>Energia Elétrica</v>
      </c>
      <c r="D485" s="52" t="str">
        <f>VLOOKUP(LEFT($A485,4),Setor!$A:$E,5,0)</f>
        <v>Energia Elétrica</v>
      </c>
      <c r="E485" s="53">
        <f>IFERROR(__xludf.DUMMYFUNCTION("GOOGLEFINANCE(A485)"),42.48)</f>
        <v>42.48</v>
      </c>
      <c r="F485" s="53">
        <f>IFERROR(__xludf.DUMMYFUNCTION("GOOGLEFINANCE($A485,""high52"")"),139.99)</f>
        <v>139.99</v>
      </c>
      <c r="G485" s="54">
        <f t="shared" si="1"/>
        <v>-0.6965497536</v>
      </c>
      <c r="H485" s="55">
        <f>VLOOKUP($A485,'Dados StatusInvest'!$A:$AY,COLUMN(H485)-$A$5,0)*VLOOKUP($A485,'Dados StatusInvest'!$A:$AY,2,0)/$E485/100</f>
        <v>0.0119</v>
      </c>
      <c r="I485" s="56">
        <f>VLOOKUP($A485,'Dados StatusInvest'!$A:$AY,COLUMN(I485)-$A$5,0)/VLOOKUP($A485,'Dados StatusInvest'!$A:$AY,2,0)*$E485</f>
        <v>21.17</v>
      </c>
      <c r="J485" s="56">
        <f>VLOOKUP($A485,'Dados StatusInvest'!$A:$AY,COLUMN(J485)-$A$5,0)/VLOOKUP($A485,'Dados StatusInvest'!$A:$AY,2,0)*$E485</f>
        <v>2.15</v>
      </c>
      <c r="K485" s="57">
        <f>VLOOKUP($A485,'Dados StatusInvest'!$A:$AY,COLUMN(K485)-$A$5,0)/VLOOKUP($A485,'Dados StatusInvest'!$A:$AY,2,0)*$E485</f>
        <v>1.56</v>
      </c>
      <c r="L485" s="58">
        <f>VLOOKUP($A485,'Dados StatusInvest'!$A:$AY,COLUMN(L485)-$A$5,0)/100</f>
        <v>0.8051</v>
      </c>
      <c r="M485" s="63">
        <f>VLOOKUP($A485,'Dados StatusInvest'!$A:$AY,COLUMN(M485)-$A$5,0)</f>
        <v>114.03</v>
      </c>
      <c r="N485" s="63">
        <f>VLOOKUP($A485,'Dados StatusInvest'!$A:$AY,COLUMN(N485)-$A$5,0)</f>
        <v>65.01</v>
      </c>
      <c r="O485" s="56">
        <f>VLOOKUP($A485,'Dados StatusInvest'!$A:$AY,COLUMN(O485)-$A$5,0)/VLOOKUP($A485,'Dados StatusInvest'!$A:$AY,2,0)*$E485</f>
        <v>12.07</v>
      </c>
      <c r="P485" s="56">
        <f>VLOOKUP($A485,'Dados StatusInvest'!$A:$AY,COLUMN(P485)-$A$5,0)-VLOOKUP($A485,'Dados StatusInvest'!$A:$AY,COLUMN(P485)-$A$5-1,0)+O485</f>
        <v>11.69</v>
      </c>
      <c r="Q485" s="59">
        <f>VLOOKUP($A485,'Dados StatusInvest'!$A:$AY,COLUMN(Q485)-$A$5,0)</f>
        <v>-0.38</v>
      </c>
      <c r="R485" s="59">
        <f>VLOOKUP($A485,'Dados StatusInvest'!$A:$AY,COLUMN(R485)-$A$5,0)</f>
        <v>-0.07</v>
      </c>
      <c r="S485" s="56">
        <f>VLOOKUP($A485,'Dados StatusInvest'!$A:$AY,COLUMN(S485)-$A$5,0)/VLOOKUP($A485,'Dados StatusInvest'!$A:$AY,2,0)*$E485</f>
        <v>13.76</v>
      </c>
      <c r="T485" s="57">
        <f>VLOOKUP($A485,'Dados StatusInvest'!$A:$AY,COLUMN(T485)-$A$5,0)/VLOOKUP($A485,'Dados StatusInvest'!$A:$AY,2,0)*$E485</f>
        <v>4.81</v>
      </c>
      <c r="U485" s="59">
        <f>VLOOKUP($A485,'Dados StatusInvest'!$A:$AY,COLUMN(U485)-$A$5,0)</f>
        <v>-2.51</v>
      </c>
      <c r="V485" s="60">
        <f>VLOOKUP($A485,'Dados StatusInvest'!$A:$AY,COLUMN(V485)-$A$5,0)</f>
        <v>6.92</v>
      </c>
      <c r="W485" s="61">
        <f>VLOOKUP($A485,'Dados StatusInvest'!$A:$AY,COLUMN(W485)-$A$5,0)</f>
        <v>10.18</v>
      </c>
      <c r="X485" s="61">
        <f>VLOOKUP($A485,'Dados StatusInvest'!$A:$AY,COLUMN(X485)-$A$5,0)</f>
        <v>7.37</v>
      </c>
      <c r="Y485" s="61">
        <f>VLOOKUP($A485,'Dados StatusInvest'!$A:$AY,COLUMN(Y485)-$A$5,0)</f>
        <v>11.2</v>
      </c>
      <c r="Z485" s="59">
        <f>VLOOKUP($A485,'Dados StatusInvest'!$A:$AY,COLUMN(Z485)-$A$5,0)</f>
        <v>0.72</v>
      </c>
      <c r="AA485" s="59">
        <f>VLOOKUP($A485,'Dados StatusInvest'!$A:$AY,COLUMN(AA485)-$A$5,0)</f>
        <v>0.28</v>
      </c>
      <c r="AB485" s="59">
        <f>VLOOKUP($A485,'Dados StatusInvest'!$A:$AY,COLUMN(AB485)-$A$5,0)</f>
        <v>0.11</v>
      </c>
      <c r="AC485" s="59">
        <f>VLOOKUP($A485,'Dados StatusInvest'!$A:$AY,COLUMN(AC485)-$A$5,0)</f>
        <v>40.68</v>
      </c>
      <c r="AD485" s="60">
        <f>VLOOKUP($A485,'Dados StatusInvest'!$A:$AY,COLUMN(AD485)-$A$5,0)</f>
        <v>0</v>
      </c>
      <c r="AE485" s="62">
        <f>VLOOKUP($A485,'Dados StatusInvest'!$A:$AY,COLUMN(AE485)-$A$5,0)</f>
        <v>4248</v>
      </c>
      <c r="AF485" s="18"/>
    </row>
    <row r="486">
      <c r="A486" s="10" t="s">
        <v>532</v>
      </c>
      <c r="B486" s="39" t="str">
        <f>VLOOKUP(lEFT($A486,4),Setor!$A:$E,3,0)</f>
        <v>Financeiro</v>
      </c>
      <c r="C486" s="39" t="str">
        <f>VLOOKUP(lEFT($A486,4),Setor!$A:$E,4,0)</f>
        <v>Intermediários Financeiros</v>
      </c>
      <c r="D486" s="39" t="str">
        <f>VLOOKUP(lEFT($A486,4),Setor!$A:$E,5,0)</f>
        <v>Bancos</v>
      </c>
      <c r="E486" s="17">
        <f>IFERROR(__xludf.DUMMYFUNCTION("GOOGLEFINANCE(A486)"),9.05)</f>
        <v>9.05</v>
      </c>
      <c r="F486" s="17">
        <f>IFERROR(__xludf.DUMMYFUNCTION("GOOGLEFINANCE($A486,""high52"")"),18.6)</f>
        <v>18.6</v>
      </c>
      <c r="G486" s="16">
        <f t="shared" si="1"/>
        <v>-0.5134408602</v>
      </c>
      <c r="H486" s="40">
        <f>VLOOKUP($A486,'Dados StatusInvest'!$A:$AY,column(H486)-$A$5,0)*VLOOKUP($A486,'Dados StatusInvest'!$A:$AY,2,0)/$E486/100</f>
        <v>0.0021</v>
      </c>
      <c r="I486" s="41">
        <f>VLOOKUP($A486,'Dados StatusInvest'!$A:$AY,column(I486)-$A$5,0)/VLOOKUP($A486,'Dados StatusInvest'!$A:$AY,2,0)*$E486</f>
        <v>9.53</v>
      </c>
      <c r="J486" s="41">
        <f>VLOOKUP($A486,'Dados StatusInvest'!$A:$AY,column(J486)-$A$5,0)/VLOOKUP($A486,'Dados StatusInvest'!$A:$AY,2,0)*$E486</f>
        <v>0.52</v>
      </c>
      <c r="K486" s="42">
        <f>VLOOKUP($A486,'Dados StatusInvest'!$A:$AY,column(K486)-$A$5,0)/VLOOKUP($A486,'Dados StatusInvest'!$A:$AY,2,0)*$E486</f>
        <v>0.04</v>
      </c>
      <c r="L486" s="43">
        <f>VLOOKUP($A486,'Dados StatusInvest'!$A:$AY,column(L486)-$A$5,0)/100</f>
        <v>0.3249</v>
      </c>
      <c r="M486" s="44">
        <f>VLOOKUP($A486,'Dados StatusInvest'!$A:$AY,column(M486)-$A$5,0)</f>
        <v>24.31</v>
      </c>
      <c r="N486" s="44">
        <f>VLOOKUP($A486,'Dados StatusInvest'!$A:$AY,column(N486)-$A$5,0)</f>
        <v>16.77</v>
      </c>
      <c r="O486" s="41">
        <f>VLOOKUP($A486,'Dados StatusInvest'!$A:$AY,column(O486)-$A$5,0)/VLOOKUP($A486,'Dados StatusInvest'!$A:$AY,2,0)*$E486</f>
        <v>6.57</v>
      </c>
      <c r="P486" s="41">
        <f>VLOOKUP($A486,'Dados StatusInvest'!$A:$AY,column(P486)-$A$5,0)-VLOOKUP($A486,'Dados StatusInvest'!$A:$AY,column(P486)-$A$5-1,0)+O486</f>
        <v>6.4</v>
      </c>
      <c r="Q486" s="44">
        <f>VLOOKUP($A486,'Dados StatusInvest'!$A:$AY,column(Q486)-$A$5,0)</f>
        <v>0</v>
      </c>
      <c r="R486" s="44">
        <f>VLOOKUP($A486,'Dados StatusInvest'!$A:$AY,column(R486)-$A$5,0)</f>
        <v>0</v>
      </c>
      <c r="S486" s="41">
        <f>VLOOKUP($A486,'Dados StatusInvest'!$A:$AY,column(S486)-$A$5,0)/VLOOKUP($A486,'Dados StatusInvest'!$A:$AY,2,0)*$E486</f>
        <v>1.6</v>
      </c>
      <c r="T486" s="42">
        <f>VLOOKUP($A486,'Dados StatusInvest'!$A:$AY,column(T486)-$A$5,0)/VLOOKUP($A486,'Dados StatusInvest'!$A:$AY,2,0)*$E486</f>
        <v>0.16</v>
      </c>
      <c r="U486" s="44">
        <f>VLOOKUP($A486,'Dados StatusInvest'!$A:$AY,column(U486)-$A$5,0)</f>
        <v>-0.05</v>
      </c>
      <c r="V486" s="45">
        <f>VLOOKUP($A486,'Dados StatusInvest'!$A:$AY,column(V486)-$A$5,0)</f>
        <v>84.58</v>
      </c>
      <c r="W486" s="45">
        <f>VLOOKUP($A486,'Dados StatusInvest'!$A:$AY,column(W486)-$A$5,0)</f>
        <v>5.4</v>
      </c>
      <c r="X486" s="45">
        <f>VLOOKUP($A486,'Dados StatusInvest'!$A:$AY,column(X486)-$A$5,0)</f>
        <v>0.41</v>
      </c>
      <c r="Y486" s="45">
        <f>VLOOKUP($A486,'Dados StatusInvest'!$A:$AY,column(Y486)-$A$5,0)</f>
        <v>0</v>
      </c>
      <c r="Z486" s="44">
        <f>VLOOKUP($A486,'Dados StatusInvest'!$A:$AY,column(Z486)-$A$5,0)</f>
        <v>0.08</v>
      </c>
      <c r="AA486" s="44">
        <f>VLOOKUP($A486,'Dados StatusInvest'!$A:$AY,column(AA486)-$A$5,0)</f>
        <v>0.92</v>
      </c>
      <c r="AB486" s="44">
        <f>VLOOKUP($A486,'Dados StatusInvest'!$A:$AY,column(AB486)-$A$5,0)</f>
        <v>0.02</v>
      </c>
      <c r="AC486" s="44">
        <f>VLOOKUP($A486,'Dados StatusInvest'!$A:$AY,column(AC486)-$A$5,0)</f>
        <v>-14.49</v>
      </c>
      <c r="AD486" s="45">
        <f>VLOOKUP($A486,'Dados StatusInvest'!$A:$AY,column(AD486)-$A$5,0)</f>
        <v>-0.16</v>
      </c>
      <c r="AE486" s="46">
        <f>VLOOKUP($A486,'Dados StatusInvest'!$A:$AY,column(AE486)-$A$5,0)</f>
        <v>3675.6</v>
      </c>
      <c r="AF486" s="49"/>
    </row>
    <row r="487">
      <c r="A487" s="10" t="s">
        <v>533</v>
      </c>
      <c r="B487" s="39" t="str">
        <f>VLOOKUP(lEFT($A487,4),Setor!$A:$E,3,0)</f>
        <v>Consumo Cíclico</v>
      </c>
      <c r="C487" s="39" t="str">
        <f>VLOOKUP(lEFT($A487,4),Setor!$A:$E,4,0)</f>
        <v>Tecidos, Vestuário e Calçados</v>
      </c>
      <c r="D487" s="39" t="str">
        <f>VLOOKUP(lEFT($A487,4),Setor!$A:$E,5,0)</f>
        <v>Fios e Tecidos</v>
      </c>
      <c r="E487" s="17">
        <f>IFERROR(__xludf.DUMMYFUNCTION("GOOGLEFINANCE(A487)"),23.49)</f>
        <v>23.49</v>
      </c>
      <c r="F487" s="17">
        <f>IFERROR(__xludf.DUMMYFUNCTION("GOOGLEFINANCE($A487,""high52"")"),65.0)</f>
        <v>65</v>
      </c>
      <c r="G487" s="16">
        <f t="shared" si="1"/>
        <v>-0.6386153846</v>
      </c>
      <c r="H487" s="40">
        <f>VLOOKUP($A487,'Dados StatusInvest'!$A:$AY,column(H487)-$A$5,0)*VLOOKUP($A487,'Dados StatusInvest'!$A:$AY,2,0)/$E487/100</f>
        <v>0.02</v>
      </c>
      <c r="I487" s="41">
        <f>VLOOKUP($A487,'Dados StatusInvest'!$A:$AY,column(I487)-$A$5,0)/VLOOKUP($A487,'Dados StatusInvest'!$A:$AY,2,0)*$E487</f>
        <v>13.95</v>
      </c>
      <c r="J487" s="41">
        <f>VLOOKUP($A487,'Dados StatusInvest'!$A:$AY,column(J487)-$A$5,0)/VLOOKUP($A487,'Dados StatusInvest'!$A:$AY,2,0)*$E487</f>
        <v>2.61</v>
      </c>
      <c r="K487" s="42">
        <f>VLOOKUP($A487,'Dados StatusInvest'!$A:$AY,column(K487)-$A$5,0)/VLOOKUP($A487,'Dados StatusInvest'!$A:$AY,2,0)*$E487</f>
        <v>2.01</v>
      </c>
      <c r="L487" s="43">
        <f>VLOOKUP($A487,'Dados StatusInvest'!$A:$AY,column(L487)-$A$5,0)/100</f>
        <v>0.322</v>
      </c>
      <c r="M487" s="44">
        <f>VLOOKUP($A487,'Dados StatusInvest'!$A:$AY,column(M487)-$A$5,0)</f>
        <v>17.98</v>
      </c>
      <c r="N487" s="44">
        <f>VLOOKUP($A487,'Dados StatusInvest'!$A:$AY,column(N487)-$A$5,0)</f>
        <v>19.54</v>
      </c>
      <c r="O487" s="41">
        <f>VLOOKUP($A487,'Dados StatusInvest'!$A:$AY,column(O487)-$A$5,0)/VLOOKUP($A487,'Dados StatusInvest'!$A:$AY,2,0)*$E487</f>
        <v>15.16</v>
      </c>
      <c r="P487" s="41">
        <f>VLOOKUP($A487,'Dados StatusInvest'!$A:$AY,column(P487)-$A$5,0)-VLOOKUP($A487,'Dados StatusInvest'!$A:$AY,column(P487)-$A$5-1,0)+O487</f>
        <v>12.1</v>
      </c>
      <c r="Q487" s="44">
        <f>VLOOKUP($A487,'Dados StatusInvest'!$A:$AY,column(Q487)-$A$5,0)</f>
        <v>0.06</v>
      </c>
      <c r="R487" s="44">
        <f>VLOOKUP($A487,'Dados StatusInvest'!$A:$AY,column(R487)-$A$5,0)</f>
        <v>0.01</v>
      </c>
      <c r="S487" s="41">
        <f>VLOOKUP($A487,'Dados StatusInvest'!$A:$AY,column(S487)-$A$5,0)/VLOOKUP($A487,'Dados StatusInvest'!$A:$AY,2,0)*$E487</f>
        <v>2.73</v>
      </c>
      <c r="T487" s="42">
        <f>VLOOKUP($A487,'Dados StatusInvest'!$A:$AY,column(T487)-$A$5,0)/VLOOKUP($A487,'Dados StatusInvest'!$A:$AY,2,0)*$E487</f>
        <v>4.62</v>
      </c>
      <c r="U487" s="44">
        <f>VLOOKUP($A487,'Dados StatusInvest'!$A:$AY,column(U487)-$A$5,0)</f>
        <v>-4.34</v>
      </c>
      <c r="V487" s="45">
        <f>VLOOKUP($A487,'Dados StatusInvest'!$A:$AY,column(V487)-$A$5,0)</f>
        <v>5.32</v>
      </c>
      <c r="W487" s="45">
        <f>VLOOKUP($A487,'Dados StatusInvest'!$A:$AY,column(W487)-$A$5,0)</f>
        <v>18.72</v>
      </c>
      <c r="X487" s="45">
        <f>VLOOKUP($A487,'Dados StatusInvest'!$A:$AY,column(X487)-$A$5,0)</f>
        <v>14.43</v>
      </c>
      <c r="Y487" s="45">
        <f>VLOOKUP($A487,'Dados StatusInvest'!$A:$AY,column(Y487)-$A$5,0)</f>
        <v>12.7</v>
      </c>
      <c r="Z487" s="44">
        <f>VLOOKUP($A487,'Dados StatusInvest'!$A:$AY,column(Z487)-$A$5,0)</f>
        <v>0.77</v>
      </c>
      <c r="AA487" s="44">
        <f>VLOOKUP($A487,'Dados StatusInvest'!$A:$AY,column(AA487)-$A$5,0)</f>
        <v>0.23</v>
      </c>
      <c r="AB487" s="44">
        <f>VLOOKUP($A487,'Dados StatusInvest'!$A:$AY,column(AB487)-$A$5,0)</f>
        <v>0.74</v>
      </c>
      <c r="AC487" s="44">
        <f>VLOOKUP($A487,'Dados StatusInvest'!$A:$AY,column(AC487)-$A$5,0)</f>
        <v>5.55</v>
      </c>
      <c r="AD487" s="45">
        <f>VLOOKUP($A487,'Dados StatusInvest'!$A:$AY,column(AD487)-$A$5,0)</f>
        <v>35.18</v>
      </c>
      <c r="AE487" s="46">
        <f>VLOOKUP($A487,'Dados StatusInvest'!$A:$AY,column(AE487)-$A$5,0)</f>
        <v>7047</v>
      </c>
      <c r="AF487" s="50"/>
    </row>
    <row r="488">
      <c r="A488" s="10" t="s">
        <v>534</v>
      </c>
      <c r="B488" s="39" t="str">
        <f>VLOOKUP(lEFT($A488,4),Setor!$A:$E,3,0)</f>
        <v>Bens Industriais</v>
      </c>
      <c r="C488" s="39" t="str">
        <f>VLOOKUP(lEFT($A488,4),Setor!$A:$E,4,0)</f>
        <v>Construção e Engenharia</v>
      </c>
      <c r="D488" s="39" t="str">
        <f>VLOOKUP(lEFT($A488,4),Setor!$A:$E,5,0)</f>
        <v>Engenharia Consultiva</v>
      </c>
      <c r="E488" s="17">
        <f>IFERROR(__xludf.DUMMYFUNCTION("GOOGLEFINANCE(A488)"),40.2)</f>
        <v>40.2</v>
      </c>
      <c r="F488" s="17">
        <f>IFERROR(__xludf.DUMMYFUNCTION("GOOGLEFINANCE($A488,""high52"")"),58.8)</f>
        <v>58.8</v>
      </c>
      <c r="G488" s="16">
        <f t="shared" si="1"/>
        <v>-0.3163265306</v>
      </c>
      <c r="H488" s="40">
        <f>VLOOKUP($A488,'Dados StatusInvest'!$A:$AY,column(H488)-$A$5,0)*VLOOKUP($A488,'Dados StatusInvest'!$A:$AY,2,0)/$E488/100</f>
        <v>0.1926</v>
      </c>
      <c r="I488" s="41">
        <f>VLOOKUP($A488,'Dados StatusInvest'!$A:$AY,column(I488)-$A$5,0)/VLOOKUP($A488,'Dados StatusInvest'!$A:$AY,2,0)*$E488</f>
        <v>23.62</v>
      </c>
      <c r="J488" s="41">
        <f>VLOOKUP($A488,'Dados StatusInvest'!$A:$AY,column(J488)-$A$5,0)/VLOOKUP($A488,'Dados StatusInvest'!$A:$AY,2,0)*$E488</f>
        <v>1.8</v>
      </c>
      <c r="K488" s="42">
        <f>VLOOKUP($A488,'Dados StatusInvest'!$A:$AY,column(K488)-$A$5,0)/VLOOKUP($A488,'Dados StatusInvest'!$A:$AY,2,0)*$E488</f>
        <v>1.25</v>
      </c>
      <c r="L488" s="43">
        <f>VLOOKUP($A488,'Dados StatusInvest'!$A:$AY,column(L488)-$A$5,0)/100</f>
        <v>0.3014</v>
      </c>
      <c r="M488" s="44">
        <f>VLOOKUP($A488,'Dados StatusInvest'!$A:$AY,column(M488)-$A$5,0)</f>
        <v>5.71</v>
      </c>
      <c r="N488" s="44">
        <f>VLOOKUP($A488,'Dados StatusInvest'!$A:$AY,column(N488)-$A$5,0)</f>
        <v>6.15</v>
      </c>
      <c r="O488" s="41">
        <f>VLOOKUP($A488,'Dados StatusInvest'!$A:$AY,column(O488)-$A$5,0)/VLOOKUP($A488,'Dados StatusInvest'!$A:$AY,2,0)*$E488</f>
        <v>25.43</v>
      </c>
      <c r="P488" s="41">
        <f>VLOOKUP($A488,'Dados StatusInvest'!$A:$AY,column(P488)-$A$5,0)-VLOOKUP($A488,'Dados StatusInvest'!$A:$AY,column(P488)-$A$5-1,0)+O488</f>
        <v>18.82</v>
      </c>
      <c r="Q488" s="44">
        <f>VLOOKUP($A488,'Dados StatusInvest'!$A:$AY,column(Q488)-$A$5,0)</f>
        <v>-5.45</v>
      </c>
      <c r="R488" s="44">
        <f>VLOOKUP($A488,'Dados StatusInvest'!$A:$AY,column(R488)-$A$5,0)</f>
        <v>-0.39</v>
      </c>
      <c r="S488" s="41">
        <f>VLOOKUP($A488,'Dados StatusInvest'!$A:$AY,column(S488)-$A$5,0)/VLOOKUP($A488,'Dados StatusInvest'!$A:$AY,2,0)*$E488</f>
        <v>1.45</v>
      </c>
      <c r="T488" s="42">
        <f>VLOOKUP($A488,'Dados StatusInvest'!$A:$AY,column(T488)-$A$5,0)/VLOOKUP($A488,'Dados StatusInvest'!$A:$AY,2,0)*$E488</f>
        <v>4.13</v>
      </c>
      <c r="U488" s="44">
        <f>VLOOKUP($A488,'Dados StatusInvest'!$A:$AY,column(U488)-$A$5,0)</f>
        <v>-2.39</v>
      </c>
      <c r="V488" s="45">
        <f>VLOOKUP($A488,'Dados StatusInvest'!$A:$AY,column(V488)-$A$5,0)</f>
        <v>2.74</v>
      </c>
      <c r="W488" s="45">
        <f>VLOOKUP($A488,'Dados StatusInvest'!$A:$AY,column(W488)-$A$5,0)</f>
        <v>7.62</v>
      </c>
      <c r="X488" s="45">
        <f>VLOOKUP($A488,'Dados StatusInvest'!$A:$AY,column(X488)-$A$5,0)</f>
        <v>5.3</v>
      </c>
      <c r="Y488" s="45">
        <f>VLOOKUP($A488,'Dados StatusInvest'!$A:$AY,column(Y488)-$A$5,0)</f>
        <v>3.07</v>
      </c>
      <c r="Z488" s="44">
        <f>VLOOKUP($A488,'Dados StatusInvest'!$A:$AY,column(Z488)-$A$5,0)</f>
        <v>0.69</v>
      </c>
      <c r="AA488" s="44">
        <f>VLOOKUP($A488,'Dados StatusInvest'!$A:$AY,column(AA488)-$A$5,0)</f>
        <v>0.3</v>
      </c>
      <c r="AB488" s="44">
        <f>VLOOKUP($A488,'Dados StatusInvest'!$A:$AY,column(AB488)-$A$5,0)</f>
        <v>0.86</v>
      </c>
      <c r="AC488" s="44">
        <f>VLOOKUP($A488,'Dados StatusInvest'!$A:$AY,column(AC488)-$A$5,0)</f>
        <v>-10.4</v>
      </c>
      <c r="AD488" s="45">
        <f>VLOOKUP($A488,'Dados StatusInvest'!$A:$AY,column(AD488)-$A$5,0)</f>
        <v>0</v>
      </c>
      <c r="AE488" s="46">
        <f>VLOOKUP($A488,'Dados StatusInvest'!$A:$AY,column(AE488)-$A$5,0)</f>
        <v>4020</v>
      </c>
      <c r="AF488" s="18"/>
    </row>
    <row r="489">
      <c r="A489" s="10" t="s">
        <v>535</v>
      </c>
      <c r="B489" s="52" t="str">
        <f>VLOOKUP(LEFT($A489,4),Setor!$A:$E,3,0)</f>
        <v>Consumo Cíclico</v>
      </c>
      <c r="C489" s="52" t="str">
        <f>VLOOKUP(LEFT($A489,4),Setor!$A:$E,4,0)</f>
        <v>Tecidos, Vestuário e Calçados</v>
      </c>
      <c r="D489" s="52" t="str">
        <f>VLOOKUP(LEFT($A489,4),Setor!$A:$E,5,0)</f>
        <v>Fios e Tecidos</v>
      </c>
      <c r="E489" s="53">
        <f>IFERROR(__xludf.DUMMYFUNCTION("GOOGLEFINANCE(A489)"),9.9)</f>
        <v>9.9</v>
      </c>
      <c r="F489" s="53">
        <f>IFERROR(__xludf.DUMMYFUNCTION("GOOGLEFINANCE($A489,""high52"")"),16.0)</f>
        <v>16</v>
      </c>
      <c r="G489" s="54">
        <f t="shared" si="1"/>
        <v>-0.38125</v>
      </c>
      <c r="H489" s="55">
        <f>VLOOKUP($A489,'Dados StatusInvest'!$A:$AY,COLUMN(H489)-$A$5,0)*VLOOKUP($A489,'Dados StatusInvest'!$A:$AY,2,0)/$E489/100</f>
        <v>0</v>
      </c>
      <c r="I489" s="56">
        <f>VLOOKUP($A489,'Dados StatusInvest'!$A:$AY,COLUMN(I489)-$A$5,0)/VLOOKUP($A489,'Dados StatusInvest'!$A:$AY,2,0)*$E489</f>
        <v>-3.33</v>
      </c>
      <c r="J489" s="56">
        <f>VLOOKUP($A489,'Dados StatusInvest'!$A:$AY,COLUMN(J489)-$A$5,0)/VLOOKUP($A489,'Dados StatusInvest'!$A:$AY,2,0)*$E489</f>
        <v>0.38</v>
      </c>
      <c r="K489" s="57">
        <f>VLOOKUP($A489,'Dados StatusInvest'!$A:$AY,COLUMN(K489)-$A$5,0)/VLOOKUP($A489,'Dados StatusInvest'!$A:$AY,2,0)*$E489</f>
        <v>0.07</v>
      </c>
      <c r="L489" s="58">
        <f>VLOOKUP($A489,'Dados StatusInvest'!$A:$AY,COLUMN(L489)-$A$5,0)/100</f>
        <v>0.2995</v>
      </c>
      <c r="M489" s="59">
        <f>VLOOKUP($A489,'Dados StatusInvest'!$A:$AY,COLUMN(M489)-$A$5,0)</f>
        <v>8.92</v>
      </c>
      <c r="N489" s="59">
        <f>VLOOKUP($A489,'Dados StatusInvest'!$A:$AY,COLUMN(N489)-$A$5,0)</f>
        <v>-3.93</v>
      </c>
      <c r="O489" s="56">
        <f>VLOOKUP($A489,'Dados StatusInvest'!$A:$AY,COLUMN(O489)-$A$5,0)/VLOOKUP($A489,'Dados StatusInvest'!$A:$AY,2,0)*$E489</f>
        <v>1.47</v>
      </c>
      <c r="P489" s="56">
        <f>VLOOKUP($A489,'Dados StatusInvest'!$A:$AY,COLUMN(P489)-$A$5,0)-VLOOKUP($A489,'Dados StatusInvest'!$A:$AY,COLUMN(P489)-$A$5-1,0)+O489</f>
        <v>7.04</v>
      </c>
      <c r="Q489" s="59">
        <f>VLOOKUP($A489,'Dados StatusInvest'!$A:$AY,COLUMN(Q489)-$A$5,0)</f>
        <v>5.97</v>
      </c>
      <c r="R489" s="59">
        <f>VLOOKUP($A489,'Dados StatusInvest'!$A:$AY,COLUMN(R489)-$A$5,0)</f>
        <v>1.56</v>
      </c>
      <c r="S489" s="56">
        <f>VLOOKUP($A489,'Dados StatusInvest'!$A:$AY,COLUMN(S489)-$A$5,0)/VLOOKUP($A489,'Dados StatusInvest'!$A:$AY,2,0)*$E489</f>
        <v>0.13</v>
      </c>
      <c r="T489" s="57">
        <f>VLOOKUP($A489,'Dados StatusInvest'!$A:$AY,COLUMN(T489)-$A$5,0)/VLOOKUP($A489,'Dados StatusInvest'!$A:$AY,2,0)*$E489</f>
        <v>2.79</v>
      </c>
      <c r="U489" s="59">
        <f>VLOOKUP($A489,'Dados StatusInvest'!$A:$AY,COLUMN(U489)-$A$5,0)</f>
        <v>-0.12</v>
      </c>
      <c r="V489" s="60">
        <f>VLOOKUP($A489,'Dados StatusInvest'!$A:$AY,COLUMN(V489)-$A$5,0)</f>
        <v>1.07</v>
      </c>
      <c r="W489" s="60">
        <f>VLOOKUP($A489,'Dados StatusInvest'!$A:$AY,COLUMN(W489)-$A$5,0)</f>
        <v>-11.54</v>
      </c>
      <c r="X489" s="60">
        <f>VLOOKUP($A489,'Dados StatusInvest'!$A:$AY,COLUMN(X489)-$A$5,0)</f>
        <v>-2.17</v>
      </c>
      <c r="Y489" s="60">
        <f>VLOOKUP($A489,'Dados StatusInvest'!$A:$AY,COLUMN(Y489)-$A$5,0)</f>
        <v>7.01</v>
      </c>
      <c r="Z489" s="59">
        <f>VLOOKUP($A489,'Dados StatusInvest'!$A:$AY,COLUMN(Z489)-$A$5,0)</f>
        <v>0.19</v>
      </c>
      <c r="AA489" s="59">
        <f>VLOOKUP($A489,'Dados StatusInvest'!$A:$AY,COLUMN(AA489)-$A$5,0)</f>
        <v>0.66</v>
      </c>
      <c r="AB489" s="59">
        <f>VLOOKUP($A489,'Dados StatusInvest'!$A:$AY,COLUMN(AB489)-$A$5,0)</f>
        <v>0.55</v>
      </c>
      <c r="AC489" s="59">
        <f>VLOOKUP($A489,'Dados StatusInvest'!$A:$AY,COLUMN(AC489)-$A$5,0)</f>
        <v>-5.17</v>
      </c>
      <c r="AD489" s="60">
        <f>VLOOKUP($A489,'Dados StatusInvest'!$A:$AY,COLUMN(AD489)-$A$5,0)</f>
        <v>0</v>
      </c>
      <c r="AE489" s="62">
        <f>VLOOKUP($A489,'Dados StatusInvest'!$A:$AY,COLUMN(AE489)-$A$5,0)</f>
        <v>4219.5</v>
      </c>
      <c r="AF489" s="18"/>
    </row>
    <row r="490">
      <c r="A490" s="10" t="s">
        <v>536</v>
      </c>
      <c r="B490" s="39" t="str">
        <f>VLOOKUP(lEFT($A490,4),Setor!$A:$E,3,0)</f>
        <v>Financeiro</v>
      </c>
      <c r="C490" s="39" t="str">
        <f>VLOOKUP(lEFT($A490,4),Setor!$A:$E,4,0)</f>
        <v>Intermediários Financeiros</v>
      </c>
      <c r="D490" s="39" t="str">
        <f>VLOOKUP(lEFT($A490,4),Setor!$A:$E,5,0)</f>
        <v>Bancos</v>
      </c>
      <c r="E490" s="17">
        <f>IFERROR(__xludf.DUMMYFUNCTION("GOOGLEFINANCE(A490)"),5.5)</f>
        <v>5.5</v>
      </c>
      <c r="F490" s="17">
        <f>IFERROR(__xludf.DUMMYFUNCTION("GOOGLEFINANCE($A490,""high52"")"),7.7)</f>
        <v>7.7</v>
      </c>
      <c r="G490" s="16">
        <f t="shared" si="1"/>
        <v>-0.2857142857</v>
      </c>
      <c r="H490" s="40">
        <f>VLOOKUP($A490,'Dados StatusInvest'!$A:$AY,column(H490)-$A$5,0)*VLOOKUP($A490,'Dados StatusInvest'!$A:$AY,2,0)/$E490/100</f>
        <v>0</v>
      </c>
      <c r="I490" s="41">
        <f>VLOOKUP($A490,'Dados StatusInvest'!$A:$AY,column(I490)-$A$5,0)/VLOOKUP($A490,'Dados StatusInvest'!$A:$AY,2,0)*$E490</f>
        <v>22.09</v>
      </c>
      <c r="J490" s="41">
        <f>VLOOKUP($A490,'Dados StatusInvest'!$A:$AY,column(J490)-$A$5,0)/VLOOKUP($A490,'Dados StatusInvest'!$A:$AY,2,0)*$E490</f>
        <v>0.45</v>
      </c>
      <c r="K490" s="42">
        <f>VLOOKUP($A490,'Dados StatusInvest'!$A:$AY,column(K490)-$A$5,0)/VLOOKUP($A490,'Dados StatusInvest'!$A:$AY,2,0)*$E490</f>
        <v>0.45</v>
      </c>
      <c r="L490" s="43">
        <f>VLOOKUP($A490,'Dados StatusInvest'!$A:$AY,column(L490)-$A$5,0)/100</f>
        <v>0</v>
      </c>
      <c r="M490" s="44">
        <f>VLOOKUP($A490,'Dados StatusInvest'!$A:$AY,column(M490)-$A$5,0)</f>
        <v>0</v>
      </c>
      <c r="N490" s="44">
        <f>VLOOKUP($A490,'Dados StatusInvest'!$A:$AY,column(N490)-$A$5,0)</f>
        <v>0</v>
      </c>
      <c r="O490" s="41">
        <f>VLOOKUP($A490,'Dados StatusInvest'!$A:$AY,column(O490)-$A$5,0)/VLOOKUP($A490,'Dados StatusInvest'!$A:$AY,2,0)*$E490</f>
        <v>22.19</v>
      </c>
      <c r="P490" s="41">
        <f>VLOOKUP($A490,'Dados StatusInvest'!$A:$AY,column(P490)-$A$5,0)-VLOOKUP($A490,'Dados StatusInvest'!$A:$AY,column(P490)-$A$5-1,0)+O490</f>
        <v>31.11</v>
      </c>
      <c r="Q490" s="44">
        <f>VLOOKUP($A490,'Dados StatusInvest'!$A:$AY,column(Q490)-$A$5,0)</f>
        <v>-0.62</v>
      </c>
      <c r="R490" s="44">
        <f>VLOOKUP($A490,'Dados StatusInvest'!$A:$AY,column(R490)-$A$5,0)</f>
        <v>-0.01</v>
      </c>
      <c r="S490" s="41">
        <f>VLOOKUP($A490,'Dados StatusInvest'!$A:$AY,column(S490)-$A$5,0)/VLOOKUP($A490,'Dados StatusInvest'!$A:$AY,2,0)*$E490</f>
        <v>0</v>
      </c>
      <c r="T490" s="42">
        <f>VLOOKUP($A490,'Dados StatusInvest'!$A:$AY,column(T490)-$A$5,0)/VLOOKUP($A490,'Dados StatusInvest'!$A:$AY,2,0)*$E490</f>
        <v>43.64</v>
      </c>
      <c r="U490" s="47">
        <f>VLOOKUP($A490,'Dados StatusInvest'!$A:$AY,column(U490)-$A$5,0)</f>
        <v>-0.46</v>
      </c>
      <c r="V490" s="45">
        <f>VLOOKUP($A490,'Dados StatusInvest'!$A:$AY,column(V490)-$A$5,0)</f>
        <v>4.26</v>
      </c>
      <c r="W490" s="45">
        <f>VLOOKUP($A490,'Dados StatusInvest'!$A:$AY,column(W490)-$A$5,0)</f>
        <v>2.05</v>
      </c>
      <c r="X490" s="48">
        <f>VLOOKUP($A490,'Dados StatusInvest'!$A:$AY,column(X490)-$A$5,0)</f>
        <v>2.04</v>
      </c>
      <c r="Y490" s="45">
        <f>VLOOKUP($A490,'Dados StatusInvest'!$A:$AY,column(Y490)-$A$5,0)</f>
        <v>2.04</v>
      </c>
      <c r="Z490" s="44">
        <f>VLOOKUP($A490,'Dados StatusInvest'!$A:$AY,column(Z490)-$A$5,0)</f>
        <v>1</v>
      </c>
      <c r="AA490" s="44">
        <f>VLOOKUP($A490,'Dados StatusInvest'!$A:$AY,column(AA490)-$A$5,0)</f>
        <v>0</v>
      </c>
      <c r="AB490" s="44">
        <f>VLOOKUP($A490,'Dados StatusInvest'!$A:$AY,column(AB490)-$A$5,0)</f>
        <v>0</v>
      </c>
      <c r="AC490" s="44">
        <f>VLOOKUP($A490,'Dados StatusInvest'!$A:$AY,column(AC490)-$A$5,0)</f>
        <v>-12.49</v>
      </c>
      <c r="AD490" s="45">
        <f>VLOOKUP($A490,'Dados StatusInvest'!$A:$AY,column(AD490)-$A$5,0)</f>
        <v>-16.37</v>
      </c>
      <c r="AE490" s="46">
        <f>VLOOKUP($A490,'Dados StatusInvest'!$A:$AY,column(AE490)-$A$5,0)</f>
        <v>906.67</v>
      </c>
      <c r="AF490" s="18"/>
    </row>
    <row r="491">
      <c r="A491" s="10" t="s">
        <v>537</v>
      </c>
      <c r="B491" s="39" t="str">
        <f>VLOOKUP(lEFT($A491,4),Setor!$A:$E,3,0)</f>
        <v>Financeiro</v>
      </c>
      <c r="C491" s="39" t="str">
        <f>VLOOKUP(lEFT($A491,4),Setor!$A:$E,4,0)</f>
        <v>Previdência e Seguros</v>
      </c>
      <c r="D491" s="39" t="str">
        <f>VLOOKUP(lEFT($A491,4),Setor!$A:$E,5,0)</f>
        <v>Seguradoras</v>
      </c>
      <c r="E491" s="17">
        <f>IFERROR(__xludf.DUMMYFUNCTION("GOOGLEFINANCE(A491)"),6.99)</f>
        <v>6.99</v>
      </c>
      <c r="F491" s="17">
        <f>IFERROR(__xludf.DUMMYFUNCTION("GOOGLEFINANCE($A491,""high52"")"),7.0)</f>
        <v>7</v>
      </c>
      <c r="G491" s="16">
        <f t="shared" si="1"/>
        <v>-0.001428571429</v>
      </c>
      <c r="H491" s="40">
        <f>VLOOKUP($A491,'Dados StatusInvest'!$A:$AY,column(H491)-$A$5,0)*VLOOKUP($A491,'Dados StatusInvest'!$A:$AY,2,0)/$E491/100</f>
        <v>0.00009856938484</v>
      </c>
      <c r="I491" s="41">
        <f>VLOOKUP($A491,'Dados StatusInvest'!$A:$AY,column(I491)-$A$5,0)/VLOOKUP($A491,'Dados StatusInvest'!$A:$AY,2,0)*$E491</f>
        <v>20.0062119</v>
      </c>
      <c r="J491" s="41">
        <f>VLOOKUP($A491,'Dados StatusInvest'!$A:$AY,column(J491)-$A$5,0)/VLOOKUP($A491,'Dados StatusInvest'!$A:$AY,2,0)*$E491</f>
        <v>0.4159506531</v>
      </c>
      <c r="K491" s="42">
        <f>VLOOKUP($A491,'Dados StatusInvest'!$A:$AY,column(K491)-$A$5,0)/VLOOKUP($A491,'Dados StatusInvest'!$A:$AY,2,0)*$E491</f>
        <v>0.172467344</v>
      </c>
      <c r="L491" s="43">
        <f>VLOOKUP($A491,'Dados StatusInvest'!$A:$AY,column(L491)-$A$5,0)/100</f>
        <v>-18.1231</v>
      </c>
      <c r="M491" s="47">
        <f>VLOOKUP($A491,'Dados StatusInvest'!$A:$AY,column(M491)-$A$5,0)</f>
        <v>2793.51</v>
      </c>
      <c r="N491" s="44">
        <f>VLOOKUP($A491,'Dados StatusInvest'!$A:$AY,column(N491)-$A$5,0)</f>
        <v>463.68</v>
      </c>
      <c r="O491" s="41">
        <f>VLOOKUP($A491,'Dados StatusInvest'!$A:$AY,column(O491)-$A$5,0)/VLOOKUP($A491,'Dados StatusInvest'!$A:$AY,2,0)*$E491</f>
        <v>3.317460087</v>
      </c>
      <c r="P491" s="41">
        <f>VLOOKUP($A491,'Dados StatusInvest'!$A:$AY,column(P491)-$A$5,0)-VLOOKUP($A491,'Dados StatusInvest'!$A:$AY,column(P491)-$A$5-1,0)+O491</f>
        <v>-4.812539913</v>
      </c>
      <c r="Q491" s="44">
        <f>VLOOKUP($A491,'Dados StatusInvest'!$A:$AY,column(Q491)-$A$5,0)</f>
        <v>-10.02</v>
      </c>
      <c r="R491" s="44">
        <f>VLOOKUP($A491,'Dados StatusInvest'!$A:$AY,column(R491)-$A$5,0)</f>
        <v>-1.26</v>
      </c>
      <c r="S491" s="41">
        <f>VLOOKUP($A491,'Dados StatusInvest'!$A:$AY,column(S491)-$A$5,0)/VLOOKUP($A491,'Dados StatusInvest'!$A:$AY,2,0)*$E491</f>
        <v>92.78743106</v>
      </c>
      <c r="T491" s="42">
        <f>VLOOKUP($A491,'Dados StatusInvest'!$A:$AY,column(T491)-$A$5,0)/VLOOKUP($A491,'Dados StatusInvest'!$A:$AY,2,0)*$E491</f>
        <v>0.4058055152</v>
      </c>
      <c r="U491" s="44">
        <f>VLOOKUP($A491,'Dados StatusInvest'!$A:$AY,column(U491)-$A$5,0)</f>
        <v>-0.41</v>
      </c>
      <c r="V491" s="45">
        <f>VLOOKUP($A491,'Dados StatusInvest'!$A:$AY,column(V491)-$A$5,0)</f>
        <v>3.25</v>
      </c>
      <c r="W491" s="45">
        <f>VLOOKUP($A491,'Dados StatusInvest'!$A:$AY,column(W491)-$A$5,0)</f>
        <v>2.08</v>
      </c>
      <c r="X491" s="45">
        <f>VLOOKUP($A491,'Dados StatusInvest'!$A:$AY,column(X491)-$A$5,0)</f>
        <v>0.84</v>
      </c>
      <c r="Y491" s="45">
        <f>VLOOKUP($A491,'Dados StatusInvest'!$A:$AY,column(Y491)-$A$5,0)</f>
        <v>8.38</v>
      </c>
      <c r="Z491" s="44">
        <f>VLOOKUP($A491,'Dados StatusInvest'!$A:$AY,column(Z491)-$A$5,0)</f>
        <v>0.4</v>
      </c>
      <c r="AA491" s="44">
        <f>VLOOKUP($A491,'Dados StatusInvest'!$A:$AY,column(AA491)-$A$5,0)</f>
        <v>0.41</v>
      </c>
      <c r="AB491" s="44">
        <f>VLOOKUP($A491,'Dados StatusInvest'!$A:$AY,column(AB491)-$A$5,0)</f>
        <v>0</v>
      </c>
      <c r="AC491" s="44">
        <f>VLOOKUP($A491,'Dados StatusInvest'!$A:$AY,column(AC491)-$A$5,0)</f>
        <v>-1.53</v>
      </c>
      <c r="AD491" s="45">
        <f>VLOOKUP($A491,'Dados StatusInvest'!$A:$AY,column(AD491)-$A$5,0)</f>
        <v>-16.72</v>
      </c>
      <c r="AE491" s="46">
        <f>VLOOKUP($A491,'Dados StatusInvest'!$A:$AY,column(AE491)-$A$5,0)</f>
        <v>5069.17</v>
      </c>
      <c r="AF491" s="50"/>
    </row>
    <row r="492">
      <c r="A492" s="10" t="s">
        <v>538</v>
      </c>
      <c r="B492" s="39" t="str">
        <f>VLOOKUP(lEFT($A492,4),Setor!$A:$E,3,0)</f>
        <v>Utilidade Pública</v>
      </c>
      <c r="C492" s="39" t="str">
        <f>VLOOKUP(lEFT($A492,4),Setor!$A:$E,4,0)</f>
        <v>Energia Elétrica</v>
      </c>
      <c r="D492" s="39" t="str">
        <f>VLOOKUP(lEFT($A492,4),Setor!$A:$E,5,0)</f>
        <v>Energia Elétrica</v>
      </c>
      <c r="E492" s="17">
        <f>IFERROR(__xludf.DUMMYFUNCTION("GOOGLEFINANCE(A492)"),28.05)</f>
        <v>28.05</v>
      </c>
      <c r="F492" s="17">
        <f>IFERROR(__xludf.DUMMYFUNCTION("GOOGLEFINANCE($A492,""high52"")"),54.05)</f>
        <v>54.05</v>
      </c>
      <c r="G492" s="16">
        <f t="shared" si="1"/>
        <v>-0.4810360777</v>
      </c>
      <c r="H492" s="40">
        <f>VLOOKUP($A492,'Dados StatusInvest'!$A:$AY,column(H492)-$A$5,0)*VLOOKUP($A492,'Dados StatusInvest'!$A:$AY,2,0)/$E492/100</f>
        <v>0.1162</v>
      </c>
      <c r="I492" s="41">
        <f>VLOOKUP($A492,'Dados StatusInvest'!$A:$AY,column(I492)-$A$5,0)/VLOOKUP($A492,'Dados StatusInvest'!$A:$AY,2,0)*$E492</f>
        <v>4.77</v>
      </c>
      <c r="J492" s="41">
        <f>VLOOKUP($A492,'Dados StatusInvest'!$A:$AY,column(J492)-$A$5,0)/VLOOKUP($A492,'Dados StatusInvest'!$A:$AY,2,0)*$E492</f>
        <v>1.16</v>
      </c>
      <c r="K492" s="42">
        <f>VLOOKUP($A492,'Dados StatusInvest'!$A:$AY,column(K492)-$A$5,0)/VLOOKUP($A492,'Dados StatusInvest'!$A:$AY,2,0)*$E492</f>
        <v>0.18</v>
      </c>
      <c r="L492" s="43">
        <f>VLOOKUP($A492,'Dados StatusInvest'!$A:$AY,column(L492)-$A$5,0)/100</f>
        <v>0.1746</v>
      </c>
      <c r="M492" s="44">
        <f>VLOOKUP($A492,'Dados StatusInvest'!$A:$AY,column(M492)-$A$5,0)</f>
        <v>10.98</v>
      </c>
      <c r="N492" s="44">
        <f>VLOOKUP($A492,'Dados StatusInvest'!$A:$AY,column(N492)-$A$5,0)</f>
        <v>5.63</v>
      </c>
      <c r="O492" s="41">
        <f>VLOOKUP($A492,'Dados StatusInvest'!$A:$AY,column(O492)-$A$5,0)/VLOOKUP($A492,'Dados StatusInvest'!$A:$AY,2,0)*$E492</f>
        <v>2.44</v>
      </c>
      <c r="P492" s="41">
        <f>VLOOKUP($A492,'Dados StatusInvest'!$A:$AY,column(P492)-$A$5,0)-VLOOKUP($A492,'Dados StatusInvest'!$A:$AY,column(P492)-$A$5-1,0)+O492</f>
        <v>15.82</v>
      </c>
      <c r="Q492" s="44">
        <f>VLOOKUP($A492,'Dados StatusInvest'!$A:$AY,column(Q492)-$A$5,0)</f>
        <v>5.84</v>
      </c>
      <c r="R492" s="44">
        <f>VLOOKUP($A492,'Dados StatusInvest'!$A:$AY,column(R492)-$A$5,0)</f>
        <v>2.78</v>
      </c>
      <c r="S492" s="41">
        <f>VLOOKUP($A492,'Dados StatusInvest'!$A:$AY,column(S492)-$A$5,0)/VLOOKUP($A492,'Dados StatusInvest'!$A:$AY,2,0)*$E492</f>
        <v>0.27</v>
      </c>
      <c r="T492" s="42">
        <f>VLOOKUP($A492,'Dados StatusInvest'!$A:$AY,column(T492)-$A$5,0)/VLOOKUP($A492,'Dados StatusInvest'!$A:$AY,2,0)*$E492</f>
        <v>4.19</v>
      </c>
      <c r="U492" s="44">
        <f>VLOOKUP($A492,'Dados StatusInvest'!$A:$AY,column(U492)-$A$5,0)</f>
        <v>-0.24</v>
      </c>
      <c r="V492" s="45">
        <f>VLOOKUP($A492,'Dados StatusInvest'!$A:$AY,column(V492)-$A$5,0)</f>
        <v>1.21</v>
      </c>
      <c r="W492" s="45">
        <f>VLOOKUP($A492,'Dados StatusInvest'!$A:$AY,column(W492)-$A$5,0)</f>
        <v>24.44</v>
      </c>
      <c r="X492" s="45">
        <f>VLOOKUP($A492,'Dados StatusInvest'!$A:$AY,column(X492)-$A$5,0)</f>
        <v>3.81</v>
      </c>
      <c r="Y492" s="45">
        <f>VLOOKUP($A492,'Dados StatusInvest'!$A:$AY,column(Y492)-$A$5,0)</f>
        <v>10.08</v>
      </c>
      <c r="Z492" s="44">
        <f>VLOOKUP($A492,'Dados StatusInvest'!$A:$AY,column(Z492)-$A$5,0)</f>
        <v>0.16</v>
      </c>
      <c r="AA492" s="44">
        <f>VLOOKUP($A492,'Dados StatusInvest'!$A:$AY,column(AA492)-$A$5,0)</f>
        <v>0.84</v>
      </c>
      <c r="AB492" s="44">
        <f>VLOOKUP($A492,'Dados StatusInvest'!$A:$AY,column(AB492)-$A$5,0)</f>
        <v>0.68</v>
      </c>
      <c r="AC492" s="44">
        <f>VLOOKUP($A492,'Dados StatusInvest'!$A:$AY,column(AC492)-$A$5,0)</f>
        <v>8.76</v>
      </c>
      <c r="AD492" s="45">
        <f>VLOOKUP($A492,'Dados StatusInvest'!$A:$AY,column(AD492)-$A$5,0)</f>
        <v>87.22</v>
      </c>
      <c r="AE492" s="46">
        <f>VLOOKUP($A492,'Dados StatusInvest'!$A:$AY,column(AE492)-$A$5,0)</f>
        <v>2924.33</v>
      </c>
      <c r="AF492" s="51"/>
    </row>
    <row r="493">
      <c r="A493" s="10" t="s">
        <v>539</v>
      </c>
      <c r="B493" s="39" t="str">
        <f>VLOOKUP(lEFT($A493,4),Setor!$A:$E,3,0)</f>
        <v>Materiais Básicos</v>
      </c>
      <c r="C493" s="39" t="str">
        <f>VLOOKUP(lEFT($A493,4),Setor!$A:$E,4,0)</f>
        <v>Siderurgia e Metalurgia</v>
      </c>
      <c r="D493" s="39" t="str">
        <f>VLOOKUP(lEFT($A493,4),Setor!$A:$E,5,0)</f>
        <v>Siderurgia</v>
      </c>
      <c r="E493" s="17">
        <f>IFERROR(__xludf.DUMMYFUNCTION("GOOGLEFINANCE(A493)"),18.99)</f>
        <v>18.99</v>
      </c>
      <c r="F493" s="17">
        <f>IFERROR(__xludf.DUMMYFUNCTION("GOOGLEFINANCE($A493,""high52"")"),30.85)</f>
        <v>30.85</v>
      </c>
      <c r="G493" s="16">
        <f t="shared" si="1"/>
        <v>-0.3844408428</v>
      </c>
      <c r="H493" s="40">
        <f>VLOOKUP($A493,'Dados StatusInvest'!$A:$AY,column(H493)-$A$5,0)*VLOOKUP($A493,'Dados StatusInvest'!$A:$AY,2,0)/$E493/100</f>
        <v>0.0649</v>
      </c>
      <c r="I493" s="41">
        <f>VLOOKUP($A493,'Dados StatusInvest'!$A:$AY,column(I493)-$A$5,0)/VLOOKUP($A493,'Dados StatusInvest'!$A:$AY,2,0)*$E493</f>
        <v>3.54</v>
      </c>
      <c r="J493" s="41">
        <f>VLOOKUP($A493,'Dados StatusInvest'!$A:$AY,column(J493)-$A$5,0)/VLOOKUP($A493,'Dados StatusInvest'!$A:$AY,2,0)*$E493</f>
        <v>1.2</v>
      </c>
      <c r="K493" s="42">
        <f>VLOOKUP($A493,'Dados StatusInvest'!$A:$AY,column(K493)-$A$5,0)/VLOOKUP($A493,'Dados StatusInvest'!$A:$AY,2,0)*$E493</f>
        <v>0.65</v>
      </c>
      <c r="L493" s="43">
        <f>VLOOKUP($A493,'Dados StatusInvest'!$A:$AY,column(L493)-$A$5,0)/100</f>
        <v>0.3232</v>
      </c>
      <c r="M493" s="44">
        <f>VLOOKUP($A493,'Dados StatusInvest'!$A:$AY,column(M493)-$A$5,0)</f>
        <v>36.46</v>
      </c>
      <c r="N493" s="44">
        <f>VLOOKUP($A493,'Dados StatusInvest'!$A:$AY,column(N493)-$A$5,0)</f>
        <v>25.33</v>
      </c>
      <c r="O493" s="41">
        <f>VLOOKUP($A493,'Dados StatusInvest'!$A:$AY,column(O493)-$A$5,0)/VLOOKUP($A493,'Dados StatusInvest'!$A:$AY,2,0)*$E493</f>
        <v>2.46</v>
      </c>
      <c r="P493" s="41">
        <f>VLOOKUP($A493,'Dados StatusInvest'!$A:$AY,column(P493)-$A$5,0)-VLOOKUP($A493,'Dados StatusInvest'!$A:$AY,column(P493)-$A$5-1,0)+O493</f>
        <v>2.05</v>
      </c>
      <c r="Q493" s="44">
        <f>VLOOKUP($A493,'Dados StatusInvest'!$A:$AY,column(Q493)-$A$5,0)</f>
        <v>-0.02</v>
      </c>
      <c r="R493" s="44">
        <f>VLOOKUP($A493,'Dados StatusInvest'!$A:$AY,column(R493)-$A$5,0)</f>
        <v>-0.01</v>
      </c>
      <c r="S493" s="41">
        <f>VLOOKUP($A493,'Dados StatusInvest'!$A:$AY,column(S493)-$A$5,0)/VLOOKUP($A493,'Dados StatusInvest'!$A:$AY,2,0)*$E493</f>
        <v>0.9</v>
      </c>
      <c r="T493" s="42">
        <f>VLOOKUP($A493,'Dados StatusInvest'!$A:$AY,column(T493)-$A$5,0)/VLOOKUP($A493,'Dados StatusInvest'!$A:$AY,2,0)*$E493</f>
        <v>1.85</v>
      </c>
      <c r="U493" s="44">
        <f>VLOOKUP($A493,'Dados StatusInvest'!$A:$AY,column(U493)-$A$5,0)</f>
        <v>-1.31</v>
      </c>
      <c r="V493" s="45">
        <f>VLOOKUP($A493,'Dados StatusInvest'!$A:$AY,column(V493)-$A$5,0)</f>
        <v>3.39</v>
      </c>
      <c r="W493" s="45">
        <f>VLOOKUP($A493,'Dados StatusInvest'!$A:$AY,column(W493)-$A$5,0)</f>
        <v>33.74</v>
      </c>
      <c r="X493" s="45">
        <f>VLOOKUP($A493,'Dados StatusInvest'!$A:$AY,column(X493)-$A$5,0)</f>
        <v>18.42</v>
      </c>
      <c r="Y493" s="45">
        <f>VLOOKUP($A493,'Dados StatusInvest'!$A:$AY,column(Y493)-$A$5,0)</f>
        <v>24.18</v>
      </c>
      <c r="Z493" s="44">
        <f>VLOOKUP($A493,'Dados StatusInvest'!$A:$AY,column(Z493)-$A$5,0)</f>
        <v>0.55</v>
      </c>
      <c r="AA493" s="44">
        <f>VLOOKUP($A493,'Dados StatusInvest'!$A:$AY,column(AA493)-$A$5,0)</f>
        <v>0.38</v>
      </c>
      <c r="AB493" s="44">
        <f>VLOOKUP($A493,'Dados StatusInvest'!$A:$AY,column(AB493)-$A$5,0)</f>
        <v>0.73</v>
      </c>
      <c r="AC493" s="44">
        <f>VLOOKUP($A493,'Dados StatusInvest'!$A:$AY,column(AC493)-$A$5,0)</f>
        <v>9.57</v>
      </c>
      <c r="AD493" s="45">
        <f>VLOOKUP($A493,'Dados StatusInvest'!$A:$AY,column(AD493)-$A$5,0)</f>
        <v>0</v>
      </c>
      <c r="AE493" s="46">
        <f>VLOOKUP($A493,'Dados StatusInvest'!$A:$AY,column(AE493)-$A$5,0)</f>
        <v>3197.67</v>
      </c>
      <c r="AF493" s="18"/>
    </row>
    <row r="494">
      <c r="A494" s="10" t="s">
        <v>540</v>
      </c>
      <c r="B494" s="52" t="str">
        <f>VLOOKUP(LEFT($A494,4),Setor!$A:$E,3,0)</f>
        <v>Financeiro</v>
      </c>
      <c r="C494" s="52" t="str">
        <f>VLOOKUP(LEFT($A494,4),Setor!$A:$E,4,0)</f>
        <v>Previdência e Seguros</v>
      </c>
      <c r="D494" s="52" t="str">
        <f>VLOOKUP(LEFT($A494,4),Setor!$A:$E,5,0)</f>
        <v>Seguradoras</v>
      </c>
      <c r="E494" s="53">
        <f>IFERROR(__xludf.DUMMYFUNCTION("GOOGLEFINANCE(A494)"),8.61)</f>
        <v>8.61</v>
      </c>
      <c r="F494" s="53">
        <f>IFERROR(__xludf.DUMMYFUNCTION("GOOGLEFINANCE($A494,""high52"")"),29.5)</f>
        <v>29.5</v>
      </c>
      <c r="G494" s="54">
        <f t="shared" si="1"/>
        <v>-0.7081355932</v>
      </c>
      <c r="H494" s="55">
        <f>VLOOKUP($A494,'Dados StatusInvest'!$A:$AY,COLUMN(H494)-$A$5,0)*VLOOKUP($A494,'Dados StatusInvest'!$A:$AY,2,0)/$E494/100</f>
        <v>0.0426902439</v>
      </c>
      <c r="I494" s="56">
        <f>VLOOKUP($A494,'Dados StatusInvest'!$A:$AY,COLUMN(I494)-$A$5,0)/VLOOKUP($A494,'Dados StatusInvest'!$A:$AY,2,0)*$E494</f>
        <v>24.65333771</v>
      </c>
      <c r="J494" s="56">
        <f>VLOOKUP($A494,'Dados StatusInvest'!$A:$AY,COLUMN(J494)-$A$5,0)/VLOOKUP($A494,'Dados StatusInvest'!$A:$AY,2,0)*$E494</f>
        <v>0.5091327201</v>
      </c>
      <c r="K494" s="57">
        <f>VLOOKUP($A494,'Dados StatusInvest'!$A:$AY,COLUMN(K494)-$A$5,0)/VLOOKUP($A494,'Dados StatusInvest'!$A:$AY,2,0)*$E494</f>
        <v>0.203653088</v>
      </c>
      <c r="L494" s="58">
        <f>VLOOKUP($A494,'Dados StatusInvest'!$A:$AY,COLUMN(L494)-$A$5,0)/100</f>
        <v>-18.1231</v>
      </c>
      <c r="M494" s="63">
        <f>VLOOKUP($A494,'Dados StatusInvest'!$A:$AY,COLUMN(M494)-$A$5,0)</f>
        <v>2793.51</v>
      </c>
      <c r="N494" s="59">
        <f>VLOOKUP($A494,'Dados StatusInvest'!$A:$AY,COLUMN(N494)-$A$5,0)</f>
        <v>463.68</v>
      </c>
      <c r="O494" s="56">
        <f>VLOOKUP($A494,'Dados StatusInvest'!$A:$AY,COLUMN(O494)-$A$5,0)/VLOOKUP($A494,'Dados StatusInvest'!$A:$AY,2,0)*$E494</f>
        <v>4.095689882</v>
      </c>
      <c r="P494" s="56">
        <f>VLOOKUP($A494,'Dados StatusInvest'!$A:$AY,COLUMN(P494)-$A$5,0)-VLOOKUP($A494,'Dados StatusInvest'!$A:$AY,COLUMN(P494)-$A$5-1,0)+O494</f>
        <v>-4.384310118</v>
      </c>
      <c r="Q494" s="59">
        <f>VLOOKUP($A494,'Dados StatusInvest'!$A:$AY,COLUMN(Q494)-$A$5,0)</f>
        <v>-10.02</v>
      </c>
      <c r="R494" s="59">
        <f>VLOOKUP($A494,'Dados StatusInvest'!$A:$AY,COLUMN(R494)-$A$5,0)</f>
        <v>-1.26</v>
      </c>
      <c r="S494" s="56">
        <f>VLOOKUP($A494,'Dados StatusInvest'!$A:$AY,COLUMN(S494)-$A$5,0)/VLOOKUP($A494,'Dados StatusInvest'!$A:$AY,2,0)*$E494</f>
        <v>114.2946386</v>
      </c>
      <c r="T494" s="57">
        <f>VLOOKUP($A494,'Dados StatusInvest'!$A:$AY,COLUMN(T494)-$A$5,0)/VLOOKUP($A494,'Dados StatusInvest'!$A:$AY,2,0)*$E494</f>
        <v>0.4978186597</v>
      </c>
      <c r="U494" s="59">
        <f>VLOOKUP($A494,'Dados StatusInvest'!$A:$AY,COLUMN(U494)-$A$5,0)</f>
        <v>-0.46</v>
      </c>
      <c r="V494" s="60">
        <f>VLOOKUP($A494,'Dados StatusInvest'!$A:$AY,COLUMN(V494)-$A$5,0)</f>
        <v>3.25</v>
      </c>
      <c r="W494" s="60">
        <f>VLOOKUP($A494,'Dados StatusInvest'!$A:$AY,COLUMN(W494)-$A$5,0)</f>
        <v>2.08</v>
      </c>
      <c r="X494" s="60">
        <f>VLOOKUP($A494,'Dados StatusInvest'!$A:$AY,COLUMN(X494)-$A$5,0)</f>
        <v>0.84</v>
      </c>
      <c r="Y494" s="60">
        <f>VLOOKUP($A494,'Dados StatusInvest'!$A:$AY,COLUMN(Y494)-$A$5,0)</f>
        <v>8.38</v>
      </c>
      <c r="Z494" s="59">
        <f>VLOOKUP($A494,'Dados StatusInvest'!$A:$AY,COLUMN(Z494)-$A$5,0)</f>
        <v>0.4</v>
      </c>
      <c r="AA494" s="59">
        <f>VLOOKUP($A494,'Dados StatusInvest'!$A:$AY,COLUMN(AA494)-$A$5,0)</f>
        <v>0.41</v>
      </c>
      <c r="AB494" s="59">
        <f>VLOOKUP($A494,'Dados StatusInvest'!$A:$AY,COLUMN(AB494)-$A$5,0)</f>
        <v>0</v>
      </c>
      <c r="AC494" s="59">
        <f>VLOOKUP($A494,'Dados StatusInvest'!$A:$AY,COLUMN(AC494)-$A$5,0)</f>
        <v>-1.53</v>
      </c>
      <c r="AD494" s="60">
        <f>VLOOKUP($A494,'Dados StatusInvest'!$A:$AY,COLUMN(AD494)-$A$5,0)</f>
        <v>-16.72</v>
      </c>
      <c r="AE494" s="62">
        <f>VLOOKUP($A494,'Dados StatusInvest'!$A:$AY,COLUMN(AE494)-$A$5,0)</f>
        <v>1053.67</v>
      </c>
      <c r="AF494" s="18"/>
    </row>
    <row r="495">
      <c r="A495" s="10" t="s">
        <v>541</v>
      </c>
      <c r="B495" s="39" t="str">
        <f>VLOOKUP(lEFT($A495,4),Setor!$A:$E,3,0)</f>
        <v>Financeiro</v>
      </c>
      <c r="C495" s="39" t="str">
        <f>VLOOKUP(lEFT($A495,4),Setor!$A:$E,4,0)</f>
        <v>Previdência e Seguros</v>
      </c>
      <c r="D495" s="39" t="str">
        <f>VLOOKUP(lEFT($A495,4),Setor!$A:$E,5,0)</f>
        <v>Seguradoras</v>
      </c>
      <c r="E495" s="17">
        <f>IFERROR(__xludf.DUMMYFUNCTION("GOOGLEFINANCE(A495)"),12.99)</f>
        <v>12.99</v>
      </c>
      <c r="F495" s="17">
        <f>IFERROR(__xludf.DUMMYFUNCTION("GOOGLEFINANCE($A495,""high52"")"),44.0)</f>
        <v>44</v>
      </c>
      <c r="G495" s="16">
        <f t="shared" si="1"/>
        <v>-0.7047727273</v>
      </c>
      <c r="H495" s="40">
        <f>VLOOKUP($A495,'Dados StatusInvest'!$A:$AY,column(H495)-$A$5,0)*VLOOKUP($A495,'Dados StatusInvest'!$A:$AY,2,0)/$E495/100</f>
        <v>0.0566</v>
      </c>
      <c r="I495" s="41">
        <f>VLOOKUP($A495,'Dados StatusInvest'!$A:$AY,column(I495)-$A$5,0)/VLOOKUP($A495,'Dados StatusInvest'!$A:$AY,2,0)*$E495</f>
        <v>37.19</v>
      </c>
      <c r="J495" s="41">
        <f>VLOOKUP($A495,'Dados StatusInvest'!$A:$AY,column(J495)-$A$5,0)/VLOOKUP($A495,'Dados StatusInvest'!$A:$AY,2,0)*$E495</f>
        <v>0.77</v>
      </c>
      <c r="K495" s="42">
        <f>VLOOKUP($A495,'Dados StatusInvest'!$A:$AY,column(K495)-$A$5,0)/VLOOKUP($A495,'Dados StatusInvest'!$A:$AY,2,0)*$E495</f>
        <v>0.31</v>
      </c>
      <c r="L495" s="43">
        <f>VLOOKUP($A495,'Dados StatusInvest'!$A:$AY,column(L495)-$A$5,0)/100</f>
        <v>-18.1231</v>
      </c>
      <c r="M495" s="47">
        <f>VLOOKUP($A495,'Dados StatusInvest'!$A:$AY,column(M495)-$A$5,0)</f>
        <v>2793.51</v>
      </c>
      <c r="N495" s="44">
        <f>VLOOKUP($A495,'Dados StatusInvest'!$A:$AY,column(N495)-$A$5,0)</f>
        <v>463.68</v>
      </c>
      <c r="O495" s="41">
        <f>VLOOKUP($A495,'Dados StatusInvest'!$A:$AY,column(O495)-$A$5,0)/VLOOKUP($A495,'Dados StatusInvest'!$A:$AY,2,0)*$E495</f>
        <v>6.17</v>
      </c>
      <c r="P495" s="41">
        <f>VLOOKUP($A495,'Dados StatusInvest'!$A:$AY,column(P495)-$A$5,0)-VLOOKUP($A495,'Dados StatusInvest'!$A:$AY,column(P495)-$A$5-1,0)+O495</f>
        <v>-4.86</v>
      </c>
      <c r="Q495" s="44">
        <f>VLOOKUP($A495,'Dados StatusInvest'!$A:$AY,column(Q495)-$A$5,0)</f>
        <v>-10.02</v>
      </c>
      <c r="R495" s="44">
        <f>VLOOKUP($A495,'Dados StatusInvest'!$A:$AY,column(R495)-$A$5,0)</f>
        <v>-1.26</v>
      </c>
      <c r="S495" s="41">
        <f>VLOOKUP($A495,'Dados StatusInvest'!$A:$AY,column(S495)-$A$5,0)/VLOOKUP($A495,'Dados StatusInvest'!$A:$AY,2,0)*$E495</f>
        <v>172.43</v>
      </c>
      <c r="T495" s="42">
        <f>VLOOKUP($A495,'Dados StatusInvest'!$A:$AY,column(T495)-$A$5,0)/VLOOKUP($A495,'Dados StatusInvest'!$A:$AY,2,0)*$E495</f>
        <v>0.75</v>
      </c>
      <c r="U495" s="44">
        <f>VLOOKUP($A495,'Dados StatusInvest'!$A:$AY,column(U495)-$A$5,0)</f>
        <v>-0.78</v>
      </c>
      <c r="V495" s="45">
        <f>VLOOKUP($A495,'Dados StatusInvest'!$A:$AY,column(V495)-$A$5,0)</f>
        <v>3.25</v>
      </c>
      <c r="W495" s="45">
        <f>VLOOKUP($A495,'Dados StatusInvest'!$A:$AY,column(W495)-$A$5,0)</f>
        <v>2.08</v>
      </c>
      <c r="X495" s="45">
        <f>VLOOKUP($A495,'Dados StatusInvest'!$A:$AY,column(X495)-$A$5,0)</f>
        <v>0.84</v>
      </c>
      <c r="Y495" s="45">
        <f>VLOOKUP($A495,'Dados StatusInvest'!$A:$AY,column(Y495)-$A$5,0)</f>
        <v>8.38</v>
      </c>
      <c r="Z495" s="44">
        <f>VLOOKUP($A495,'Dados StatusInvest'!$A:$AY,column(Z495)-$A$5,0)</f>
        <v>0.4</v>
      </c>
      <c r="AA495" s="44">
        <f>VLOOKUP($A495,'Dados StatusInvest'!$A:$AY,column(AA495)-$A$5,0)</f>
        <v>0.41</v>
      </c>
      <c r="AB495" s="44">
        <f>VLOOKUP($A495,'Dados StatusInvest'!$A:$AY,column(AB495)-$A$5,0)</f>
        <v>0</v>
      </c>
      <c r="AC495" s="44">
        <f>VLOOKUP($A495,'Dados StatusInvest'!$A:$AY,column(AC495)-$A$5,0)</f>
        <v>-1.53</v>
      </c>
      <c r="AD495" s="45">
        <f>VLOOKUP($A495,'Dados StatusInvest'!$A:$AY,column(AD495)-$A$5,0)</f>
        <v>-16.72</v>
      </c>
      <c r="AE495" s="46">
        <f>VLOOKUP($A495,'Dados StatusInvest'!$A:$AY,column(AE495)-$A$5,0)</f>
        <v>1801.2</v>
      </c>
      <c r="AF495" s="51"/>
    </row>
    <row r="496">
      <c r="A496" s="10" t="s">
        <v>542</v>
      </c>
      <c r="B496" s="39" t="str">
        <f>VLOOKUP(lEFT($A496,4),Setor!$A:$E,3,0)</f>
        <v>Financeiro</v>
      </c>
      <c r="C496" s="39" t="str">
        <f>VLOOKUP(lEFT($A496,4),Setor!$A:$E,4,0)</f>
        <v>Intermediários Financeiros</v>
      </c>
      <c r="D496" s="39" t="str">
        <f>VLOOKUP(lEFT($A496,4),Setor!$A:$E,5,0)</f>
        <v>Soc. Crédito e Financiamento</v>
      </c>
      <c r="E496" s="17">
        <f>IFERROR(__xludf.DUMMYFUNCTION("GOOGLEFINANCE(A496)"),15.16)</f>
        <v>15.16</v>
      </c>
      <c r="F496" s="17">
        <f>IFERROR(__xludf.DUMMYFUNCTION("GOOGLEFINANCE($A496,""high52"")"),15.16)</f>
        <v>15.16</v>
      </c>
      <c r="G496" s="16">
        <f t="shared" si="1"/>
        <v>0</v>
      </c>
      <c r="H496" s="40">
        <f>VLOOKUP($A496,'Dados StatusInvest'!$A:$AY,column(H496)-$A$5,0)*VLOOKUP($A496,'Dados StatusInvest'!$A:$AY,2,0)/$E496/100</f>
        <v>0</v>
      </c>
      <c r="I496" s="41">
        <f>VLOOKUP($A496,'Dados StatusInvest'!$A:$AY,column(I496)-$A$5,0)/VLOOKUP($A496,'Dados StatusInvest'!$A:$AY,2,0)*$E496</f>
        <v>-7.73</v>
      </c>
      <c r="J496" s="41">
        <f>VLOOKUP($A496,'Dados StatusInvest'!$A:$AY,column(J496)-$A$5,0)/VLOOKUP($A496,'Dados StatusInvest'!$A:$AY,2,0)*$E496</f>
        <v>1.35</v>
      </c>
      <c r="K496" s="42">
        <f>VLOOKUP($A496,'Dados StatusInvest'!$A:$AY,column(K496)-$A$5,0)/VLOOKUP($A496,'Dados StatusInvest'!$A:$AY,2,0)*$E496</f>
        <v>1.24</v>
      </c>
      <c r="L496" s="43">
        <f>VLOOKUP($A496,'Dados StatusInvest'!$A:$AY,column(L496)-$A$5,0)/100</f>
        <v>1</v>
      </c>
      <c r="M496" s="44">
        <f>VLOOKUP($A496,'Dados StatusInvest'!$A:$AY,column(M496)-$A$5,0)</f>
        <v>-192.58</v>
      </c>
      <c r="N496" s="44">
        <f>VLOOKUP($A496,'Dados StatusInvest'!$A:$AY,column(N496)-$A$5,0)</f>
        <v>-192.58</v>
      </c>
      <c r="O496" s="41">
        <f>VLOOKUP($A496,'Dados StatusInvest'!$A:$AY,column(O496)-$A$5,0)/VLOOKUP($A496,'Dados StatusInvest'!$A:$AY,2,0)*$E496</f>
        <v>-7.73</v>
      </c>
      <c r="P496" s="41">
        <f>VLOOKUP($A496,'Dados StatusInvest'!$A:$AY,column(P496)-$A$5,0)-VLOOKUP($A496,'Dados StatusInvest'!$A:$AY,column(P496)-$A$5-1,0)+O496</f>
        <v>-7.73</v>
      </c>
      <c r="Q496" s="44">
        <f>VLOOKUP($A496,'Dados StatusInvest'!$A:$AY,column(Q496)-$A$5,0)</f>
        <v>0</v>
      </c>
      <c r="R496" s="44">
        <f>VLOOKUP($A496,'Dados StatusInvest'!$A:$AY,column(R496)-$A$5,0)</f>
        <v>0</v>
      </c>
      <c r="S496" s="41">
        <f>VLOOKUP($A496,'Dados StatusInvest'!$A:$AY,column(S496)-$A$5,0)/VLOOKUP($A496,'Dados StatusInvest'!$A:$AY,2,0)*$E496</f>
        <v>14.9</v>
      </c>
      <c r="T496" s="42">
        <f>VLOOKUP($A496,'Dados StatusInvest'!$A:$AY,column(T496)-$A$5,0)/VLOOKUP($A496,'Dados StatusInvest'!$A:$AY,2,0)*$E496</f>
        <v>2.28</v>
      </c>
      <c r="U496" s="44">
        <f>VLOOKUP($A496,'Dados StatusInvest'!$A:$AY,column(U496)-$A$5,0)</f>
        <v>-2.72</v>
      </c>
      <c r="V496" s="45">
        <f>VLOOKUP($A496,'Dados StatusInvest'!$A:$AY,column(V496)-$A$5,0)</f>
        <v>0</v>
      </c>
      <c r="W496" s="45">
        <f>VLOOKUP($A496,'Dados StatusInvest'!$A:$AY,column(W496)-$A$5,0)</f>
        <v>-17.39</v>
      </c>
      <c r="X496" s="45">
        <f>VLOOKUP($A496,'Dados StatusInvest'!$A:$AY,column(X496)-$A$5,0)</f>
        <v>-16.04</v>
      </c>
      <c r="Y496" s="45">
        <f>VLOOKUP($A496,'Dados StatusInvest'!$A:$AY,column(Y496)-$A$5,0)</f>
        <v>0</v>
      </c>
      <c r="Z496" s="44">
        <f>VLOOKUP($A496,'Dados StatusInvest'!$A:$AY,column(Z496)-$A$5,0)</f>
        <v>0.92</v>
      </c>
      <c r="AA496" s="44">
        <f>VLOOKUP($A496,'Dados StatusInvest'!$A:$AY,column(AA496)-$A$5,0)</f>
        <v>0.08</v>
      </c>
      <c r="AB496" s="44">
        <f>VLOOKUP($A496,'Dados StatusInvest'!$A:$AY,column(AB496)-$A$5,0)</f>
        <v>0.08</v>
      </c>
      <c r="AC496" s="44">
        <f>VLOOKUP($A496,'Dados StatusInvest'!$A:$AY,column(AC496)-$A$5,0)</f>
        <v>-37.65</v>
      </c>
      <c r="AD496" s="45">
        <f>VLOOKUP($A496,'Dados StatusInvest'!$A:$AY,column(AD496)-$A$5,0)</f>
        <v>0</v>
      </c>
      <c r="AE496" s="46">
        <f>VLOOKUP($A496,'Dados StatusInvest'!$A:$AY,column(AE496)-$A$5,0)</f>
        <v>1894.75</v>
      </c>
      <c r="AF496" s="51"/>
    </row>
    <row r="497">
      <c r="A497" s="10" t="s">
        <v>543</v>
      </c>
      <c r="B497" s="39" t="str">
        <f>VLOOKUP(lEFT($A497,4),Setor!$A:$E,3,0)</f>
        <v>Financeiro</v>
      </c>
      <c r="C497" s="39" t="str">
        <f>VLOOKUP(lEFT($A497,4),Setor!$A:$E,4,0)</f>
        <v>Previdência e Seguros</v>
      </c>
      <c r="D497" s="39" t="str">
        <f>VLOOKUP(lEFT($A497,4),Setor!$A:$E,5,0)</f>
        <v>Seguradoras</v>
      </c>
      <c r="E497" s="17">
        <f>IFERROR(__xludf.DUMMYFUNCTION("GOOGLEFINANCE(A497)"),10.41)</f>
        <v>10.41</v>
      </c>
      <c r="F497" s="17">
        <f>IFERROR(__xludf.DUMMYFUNCTION("GOOGLEFINANCE($A497,""high52"")"),40.0)</f>
        <v>40</v>
      </c>
      <c r="G497" s="16">
        <f t="shared" si="1"/>
        <v>-0.73975</v>
      </c>
      <c r="H497" s="40">
        <f>VLOOKUP($A497,'Dados StatusInvest'!$A:$AY,column(H497)-$A$5,0)*VLOOKUP($A497,'Dados StatusInvest'!$A:$AY,2,0)/$E497/100</f>
        <v>0.0294</v>
      </c>
      <c r="I497" s="41">
        <f>VLOOKUP($A497,'Dados StatusInvest'!$A:$AY,column(I497)-$A$5,0)/VLOOKUP($A497,'Dados StatusInvest'!$A:$AY,2,0)*$E497</f>
        <v>29.8</v>
      </c>
      <c r="J497" s="41">
        <f>VLOOKUP($A497,'Dados StatusInvest'!$A:$AY,column(J497)-$A$5,0)/VLOOKUP($A497,'Dados StatusInvest'!$A:$AY,2,0)*$E497</f>
        <v>0.62</v>
      </c>
      <c r="K497" s="42">
        <f>VLOOKUP($A497,'Dados StatusInvest'!$A:$AY,column(K497)-$A$5,0)/VLOOKUP($A497,'Dados StatusInvest'!$A:$AY,2,0)*$E497</f>
        <v>0.25</v>
      </c>
      <c r="L497" s="43">
        <f>VLOOKUP($A497,'Dados StatusInvest'!$A:$AY,column(L497)-$A$5,0)/100</f>
        <v>-18.1231</v>
      </c>
      <c r="M497" s="47">
        <f>VLOOKUP($A497,'Dados StatusInvest'!$A:$AY,column(M497)-$A$5,0)</f>
        <v>2793.51</v>
      </c>
      <c r="N497" s="44">
        <f>VLOOKUP($A497,'Dados StatusInvest'!$A:$AY,column(N497)-$A$5,0)</f>
        <v>463.68</v>
      </c>
      <c r="O497" s="41">
        <f>VLOOKUP($A497,'Dados StatusInvest'!$A:$AY,column(O497)-$A$5,0)/VLOOKUP($A497,'Dados StatusInvest'!$A:$AY,2,0)*$E497</f>
        <v>4.95</v>
      </c>
      <c r="P497" s="41">
        <f>VLOOKUP($A497,'Dados StatusInvest'!$A:$AY,column(P497)-$A$5,0)-VLOOKUP($A497,'Dados StatusInvest'!$A:$AY,column(P497)-$A$5-1,0)+O497</f>
        <v>-4.86</v>
      </c>
      <c r="Q497" s="44">
        <f>VLOOKUP($A497,'Dados StatusInvest'!$A:$AY,column(Q497)-$A$5,0)</f>
        <v>-10.02</v>
      </c>
      <c r="R497" s="44">
        <f>VLOOKUP($A497,'Dados StatusInvest'!$A:$AY,column(R497)-$A$5,0)</f>
        <v>-1.26</v>
      </c>
      <c r="S497" s="41">
        <f>VLOOKUP($A497,'Dados StatusInvest'!$A:$AY,column(S497)-$A$5,0)/VLOOKUP($A497,'Dados StatusInvest'!$A:$AY,2,0)*$E497</f>
        <v>138.19</v>
      </c>
      <c r="T497" s="42">
        <f>VLOOKUP($A497,'Dados StatusInvest'!$A:$AY,column(T497)-$A$5,0)/VLOOKUP($A497,'Dados StatusInvest'!$A:$AY,2,0)*$E497</f>
        <v>0.6</v>
      </c>
      <c r="U497" s="44">
        <f>VLOOKUP($A497,'Dados StatusInvest'!$A:$AY,column(U497)-$A$5,0)</f>
        <v>-0.62</v>
      </c>
      <c r="V497" s="45">
        <f>VLOOKUP($A497,'Dados StatusInvest'!$A:$AY,column(V497)-$A$5,0)</f>
        <v>3.25</v>
      </c>
      <c r="W497" s="45">
        <f>VLOOKUP($A497,'Dados StatusInvest'!$A:$AY,column(W497)-$A$5,0)</f>
        <v>2.08</v>
      </c>
      <c r="X497" s="45">
        <f>VLOOKUP($A497,'Dados StatusInvest'!$A:$AY,column(X497)-$A$5,0)</f>
        <v>0.84</v>
      </c>
      <c r="Y497" s="45">
        <f>VLOOKUP($A497,'Dados StatusInvest'!$A:$AY,column(Y497)-$A$5,0)</f>
        <v>8.38</v>
      </c>
      <c r="Z497" s="44">
        <f>VLOOKUP($A497,'Dados StatusInvest'!$A:$AY,column(Z497)-$A$5,0)</f>
        <v>0.4</v>
      </c>
      <c r="AA497" s="44">
        <f>VLOOKUP($A497,'Dados StatusInvest'!$A:$AY,column(AA497)-$A$5,0)</f>
        <v>0.41</v>
      </c>
      <c r="AB497" s="44">
        <f>VLOOKUP($A497,'Dados StatusInvest'!$A:$AY,column(AB497)-$A$5,0)</f>
        <v>0</v>
      </c>
      <c r="AC497" s="44">
        <f>VLOOKUP($A497,'Dados StatusInvest'!$A:$AY,column(AC497)-$A$5,0)</f>
        <v>-1.53</v>
      </c>
      <c r="AD497" s="45">
        <f>VLOOKUP($A497,'Dados StatusInvest'!$A:$AY,column(AD497)-$A$5,0)</f>
        <v>-16.72</v>
      </c>
      <c r="AE497" s="46">
        <f>VLOOKUP($A497,'Dados StatusInvest'!$A:$AY,column(AE497)-$A$5,0)</f>
        <v>1041</v>
      </c>
      <c r="AF497" s="49"/>
    </row>
    <row r="498">
      <c r="A498" s="10" t="s">
        <v>544</v>
      </c>
      <c r="B498" s="39" t="str">
        <f>VLOOKUP(lEFT($A498,4),Setor!$A:$E,3,0)</f>
        <v>Materiais Básicos</v>
      </c>
      <c r="C498" s="39" t="str">
        <f>VLOOKUP(lEFT($A498,4),Setor!$A:$E,4,0)</f>
        <v>Materiais Diversos</v>
      </c>
      <c r="D498" s="39" t="str">
        <f>VLOOKUP(lEFT($A498,4),Setor!$A:$E,5,0)</f>
        <v>Materiais Diversos</v>
      </c>
      <c r="E498" s="17">
        <f>IFERROR(__xludf.DUMMYFUNCTION("GOOGLEFINANCE(A498)"),11.51)</f>
        <v>11.51</v>
      </c>
      <c r="F498" s="17">
        <f>IFERROR(__xludf.DUMMYFUNCTION("GOOGLEFINANCE($A498,""high52"")"),230.01)</f>
        <v>230.01</v>
      </c>
      <c r="G498" s="16">
        <f t="shared" si="1"/>
        <v>-0.9499586974</v>
      </c>
      <c r="H498" s="40">
        <f>VLOOKUP($A498,'Dados StatusInvest'!$A:$AY,column(H498)-$A$5,0)*VLOOKUP($A498,'Dados StatusInvest'!$A:$AY,2,0)/$E498/100</f>
        <v>0</v>
      </c>
      <c r="I498" s="41">
        <f>VLOOKUP($A498,'Dados StatusInvest'!$A:$AY,column(I498)-$A$5,0)/VLOOKUP($A498,'Dados StatusInvest'!$A:$AY,2,0)*$E498</f>
        <v>-0.7943885971</v>
      </c>
      <c r="J498" s="41">
        <f>VLOOKUP($A498,'Dados StatusInvest'!$A:$AY,column(J498)-$A$5,0)/VLOOKUP($A498,'Dados StatusInvest'!$A:$AY,2,0)*$E498</f>
        <v>-0.06044261065</v>
      </c>
      <c r="K498" s="42">
        <f>VLOOKUP($A498,'Dados StatusInvest'!$A:$AY,column(K498)-$A$5,0)/VLOOKUP($A498,'Dados StatusInvest'!$A:$AY,2,0)*$E498</f>
        <v>0.2158664666</v>
      </c>
      <c r="L498" s="43">
        <f>VLOOKUP($A498,'Dados StatusInvest'!$A:$AY,column(L498)-$A$5,0)/100</f>
        <v>0.1819</v>
      </c>
      <c r="M498" s="44">
        <f>VLOOKUP($A498,'Dados StatusInvest'!$A:$AY,column(M498)-$A$5,0)</f>
        <v>-2.49</v>
      </c>
      <c r="N498" s="44">
        <f>VLOOKUP($A498,'Dados StatusInvest'!$A:$AY,column(N498)-$A$5,0)</f>
        <v>-16.61</v>
      </c>
      <c r="O498" s="41">
        <f>VLOOKUP($A498,'Dados StatusInvest'!$A:$AY,column(O498)-$A$5,0)/VLOOKUP($A498,'Dados StatusInvest'!$A:$AY,2,0)*$E498</f>
        <v>-5.327584396</v>
      </c>
      <c r="P498" s="41">
        <f>VLOOKUP($A498,'Dados StatusInvest'!$A:$AY,column(P498)-$A$5,0)-VLOOKUP($A498,'Dados StatusInvest'!$A:$AY,column(P498)-$A$5-1,0)+O498</f>
        <v>-11.8575844</v>
      </c>
      <c r="Q498" s="44">
        <f>VLOOKUP($A498,'Dados StatusInvest'!$A:$AY,column(Q498)-$A$5,0)</f>
        <v>-6.7</v>
      </c>
      <c r="R498" s="44">
        <f>VLOOKUP($A498,'Dados StatusInvest'!$A:$AY,column(R498)-$A$5,0)</f>
        <v>0</v>
      </c>
      <c r="S498" s="41">
        <f>VLOOKUP($A498,'Dados StatusInvest'!$A:$AY,column(S498)-$A$5,0)/VLOOKUP($A498,'Dados StatusInvest'!$A:$AY,2,0)*$E498</f>
        <v>0.12951988</v>
      </c>
      <c r="T498" s="42">
        <f>VLOOKUP($A498,'Dados StatusInvest'!$A:$AY,column(T498)-$A$5,0)/VLOOKUP($A498,'Dados StatusInvest'!$A:$AY,2,0)*$E498</f>
        <v>-1.511065266</v>
      </c>
      <c r="U498" s="44">
        <f>VLOOKUP($A498,'Dados StatusInvest'!$A:$AY,column(U498)-$A$5,0)</f>
        <v>-0.59</v>
      </c>
      <c r="V498" s="45">
        <f>VLOOKUP($A498,'Dados StatusInvest'!$A:$AY,column(V498)-$A$5,0)</f>
        <v>0.8</v>
      </c>
      <c r="W498" s="45">
        <f>VLOOKUP($A498,'Dados StatusInvest'!$A:$AY,column(W498)-$A$5,0)</f>
        <v>-7.88</v>
      </c>
      <c r="X498" s="45">
        <f>VLOOKUP($A498,'Dados StatusInvest'!$A:$AY,column(X498)-$A$5,0)</f>
        <v>-27.01</v>
      </c>
      <c r="Y498" s="45">
        <f>VLOOKUP($A498,'Dados StatusInvest'!$A:$AY,column(Y498)-$A$5,0)</f>
        <v>1.31</v>
      </c>
      <c r="Z498" s="44">
        <f>VLOOKUP($A498,'Dados StatusInvest'!$A:$AY,column(Z498)-$A$5,0)</f>
        <v>-3.43</v>
      </c>
      <c r="AA498" s="44">
        <f>VLOOKUP($A498,'Dados StatusInvest'!$A:$AY,column(AA498)-$A$5,0)</f>
        <v>4.46</v>
      </c>
      <c r="AB498" s="44">
        <f>VLOOKUP($A498,'Dados StatusInvest'!$A:$AY,column(AB498)-$A$5,0)</f>
        <v>1.63</v>
      </c>
      <c r="AC498" s="44">
        <f>VLOOKUP($A498,'Dados StatusInvest'!$A:$AY,column(AC498)-$A$5,0)</f>
        <v>4.14</v>
      </c>
      <c r="AD498" s="45">
        <f>VLOOKUP($A498,'Dados StatusInvest'!$A:$AY,column(AD498)-$A$5,0)</f>
        <v>0</v>
      </c>
      <c r="AE498" s="46">
        <f>VLOOKUP($A498,'Dados StatusInvest'!$A:$AY,column(AE498)-$A$5,0)</f>
        <v>0</v>
      </c>
      <c r="AF498" s="18"/>
    </row>
    <row r="499">
      <c r="A499" s="10" t="s">
        <v>545</v>
      </c>
      <c r="B499" s="39" t="str">
        <f>VLOOKUP(lEFT($A499,4),Setor!$A:$E,3,0)</f>
        <v>Materiais Básicos</v>
      </c>
      <c r="C499" s="39" t="str">
        <f>VLOOKUP(lEFT($A499,4),Setor!$A:$E,4,0)</f>
        <v>Madeira e Papel</v>
      </c>
      <c r="D499" s="39" t="str">
        <f>VLOOKUP(lEFT($A499,4),Setor!$A:$E,5,0)</f>
        <v>Papel e Celulose</v>
      </c>
      <c r="E499" s="17">
        <f>IFERROR(__xludf.DUMMYFUNCTION("GOOGLEFINANCE(A499)"),45.0)</f>
        <v>45</v>
      </c>
      <c r="F499" s="17">
        <f>IFERROR(__xludf.DUMMYFUNCTION("GOOGLEFINANCE($A499,""high52"")"),53.35)</f>
        <v>53.35</v>
      </c>
      <c r="G499" s="16">
        <f t="shared" si="1"/>
        <v>-0.1565135895</v>
      </c>
      <c r="H499" s="40">
        <f>VLOOKUP($A499,'Dados StatusInvest'!$A:$AY,column(H499)-$A$5,0)*VLOOKUP($A499,'Dados StatusInvest'!$A:$AY,2,0)/$E499/100</f>
        <v>0</v>
      </c>
      <c r="I499" s="41">
        <f>VLOOKUP($A499,'Dados StatusInvest'!$A:$AY,column(I499)-$A$5,0)/VLOOKUP($A499,'Dados StatusInvest'!$A:$AY,2,0)*$E499</f>
        <v>-7.65</v>
      </c>
      <c r="J499" s="41">
        <f>VLOOKUP($A499,'Dados StatusInvest'!$A:$AY,column(J499)-$A$5,0)/VLOOKUP($A499,'Dados StatusInvest'!$A:$AY,2,0)*$E499</f>
        <v>0.35</v>
      </c>
      <c r="K499" s="42">
        <f>VLOOKUP($A499,'Dados StatusInvest'!$A:$AY,column(K499)-$A$5,0)/VLOOKUP($A499,'Dados StatusInvest'!$A:$AY,2,0)*$E499</f>
        <v>0.21</v>
      </c>
      <c r="L499" s="43">
        <f>VLOOKUP($A499,'Dados StatusInvest'!$A:$AY,column(L499)-$A$5,0)/100</f>
        <v>0.2691</v>
      </c>
      <c r="M499" s="44">
        <f>VLOOKUP($A499,'Dados StatusInvest'!$A:$AY,column(M499)-$A$5,0)</f>
        <v>-39.25</v>
      </c>
      <c r="N499" s="44">
        <f>VLOOKUP($A499,'Dados StatusInvest'!$A:$AY,column(N499)-$A$5,0)</f>
        <v>-30.29</v>
      </c>
      <c r="O499" s="41">
        <f>VLOOKUP($A499,'Dados StatusInvest'!$A:$AY,column(O499)-$A$5,0)/VLOOKUP($A499,'Dados StatusInvest'!$A:$AY,2,0)*$E499</f>
        <v>-5.91</v>
      </c>
      <c r="P499" s="41">
        <f>VLOOKUP($A499,'Dados StatusInvest'!$A:$AY,column(P499)-$A$5,0)-VLOOKUP($A499,'Dados StatusInvest'!$A:$AY,column(P499)-$A$5-1,0)+O499</f>
        <v>-7.31</v>
      </c>
      <c r="Q499" s="44">
        <f>VLOOKUP($A499,'Dados StatusInvest'!$A:$AY,column(Q499)-$A$5,0)</f>
        <v>-1.03</v>
      </c>
      <c r="R499" s="44">
        <f>VLOOKUP($A499,'Dados StatusInvest'!$A:$AY,column(R499)-$A$5,0)</f>
        <v>0.06</v>
      </c>
      <c r="S499" s="41">
        <f>VLOOKUP($A499,'Dados StatusInvest'!$A:$AY,column(S499)-$A$5,0)/VLOOKUP($A499,'Dados StatusInvest'!$A:$AY,2,0)*$E499</f>
        <v>2.32</v>
      </c>
      <c r="T499" s="42">
        <f>VLOOKUP($A499,'Dados StatusInvest'!$A:$AY,column(T499)-$A$5,0)/VLOOKUP($A499,'Dados StatusInvest'!$A:$AY,2,0)*$E499</f>
        <v>13.1</v>
      </c>
      <c r="U499" s="44">
        <f>VLOOKUP($A499,'Dados StatusInvest'!$A:$AY,column(U499)-$A$5,0)</f>
        <v>-0.22</v>
      </c>
      <c r="V499" s="45">
        <f>VLOOKUP($A499,'Dados StatusInvest'!$A:$AY,column(V499)-$A$5,0)</f>
        <v>1.38</v>
      </c>
      <c r="W499" s="45">
        <f>VLOOKUP($A499,'Dados StatusInvest'!$A:$AY,column(W499)-$A$5,0)</f>
        <v>-4.63</v>
      </c>
      <c r="X499" s="45">
        <f>VLOOKUP($A499,'Dados StatusInvest'!$A:$AY,column(X499)-$A$5,0)</f>
        <v>-2.72</v>
      </c>
      <c r="Y499" s="45">
        <f>VLOOKUP($A499,'Dados StatusInvest'!$A:$AY,column(Y499)-$A$5,0)</f>
        <v>-7.07</v>
      </c>
      <c r="Z499" s="44">
        <f>VLOOKUP($A499,'Dados StatusInvest'!$A:$AY,column(Z499)-$A$5,0)</f>
        <v>0.59</v>
      </c>
      <c r="AA499" s="44">
        <f>VLOOKUP($A499,'Dados StatusInvest'!$A:$AY,column(AA499)-$A$5,0)</f>
        <v>0.41</v>
      </c>
      <c r="AB499" s="44">
        <f>VLOOKUP($A499,'Dados StatusInvest'!$A:$AY,column(AB499)-$A$5,0)</f>
        <v>0.09</v>
      </c>
      <c r="AC499" s="44">
        <f>VLOOKUP($A499,'Dados StatusInvest'!$A:$AY,column(AC499)-$A$5,0)</f>
        <v>-2.17</v>
      </c>
      <c r="AD499" s="45">
        <f>VLOOKUP($A499,'Dados StatusInvest'!$A:$AY,column(AD499)-$A$5,0)</f>
        <v>0</v>
      </c>
      <c r="AE499" s="46">
        <f>VLOOKUP($A499,'Dados StatusInvest'!$A:$AY,column(AE499)-$A$5,0)</f>
        <v>0</v>
      </c>
      <c r="AF499" s="49"/>
    </row>
    <row r="500">
      <c r="A500" s="10" t="s">
        <v>546</v>
      </c>
      <c r="B500" s="39" t="str">
        <f>VLOOKUP(lEFT($A500,4),Setor!$A:$E,3,0)</f>
        <v>Consumo Cíclico</v>
      </c>
      <c r="C500" s="39" t="str">
        <f>VLOOKUP(lEFT($A500,4),Setor!$A:$E,4,0)</f>
        <v>Viagens e Lazer</v>
      </c>
      <c r="D500" s="39" t="str">
        <f>VLOOKUP(lEFT($A500,4),Setor!$A:$E,5,0)</f>
        <v>Brinquedos e Jogos</v>
      </c>
      <c r="E500" s="17">
        <f>IFERROR(__xludf.DUMMYFUNCTION("GOOGLEFINANCE(A500)"),40.0)</f>
        <v>40</v>
      </c>
      <c r="F500" s="17">
        <f>IFERROR(__xludf.DUMMYFUNCTION("GOOGLEFINANCE($A500,""high52"")"),47.99)</f>
        <v>47.99</v>
      </c>
      <c r="G500" s="16">
        <f t="shared" si="1"/>
        <v>-0.1664930194</v>
      </c>
      <c r="H500" s="40">
        <f>VLOOKUP($A500,'Dados StatusInvest'!$A:$AY,column(H500)-$A$5,0)*VLOOKUP($A500,'Dados StatusInvest'!$A:$AY,2,0)/$E500/100</f>
        <v>0</v>
      </c>
      <c r="I500" s="41">
        <f>VLOOKUP($A500,'Dados StatusInvest'!$A:$AY,column(I500)-$A$5,0)/VLOOKUP($A500,'Dados StatusInvest'!$A:$AY,2,0)*$E500</f>
        <v>-1.707865169</v>
      </c>
      <c r="J500" s="41">
        <f>VLOOKUP($A500,'Dados StatusInvest'!$A:$AY,column(J500)-$A$5,0)/VLOOKUP($A500,'Dados StatusInvest'!$A:$AY,2,0)*$E500</f>
        <v>-0.06741573034</v>
      </c>
      <c r="K500" s="42">
        <f>VLOOKUP($A500,'Dados StatusInvest'!$A:$AY,column(K500)-$A$5,0)/VLOOKUP($A500,'Dados StatusInvest'!$A:$AY,2,0)*$E500</f>
        <v>0.1348314607</v>
      </c>
      <c r="L500" s="43">
        <f>VLOOKUP($A500,'Dados StatusInvest'!$A:$AY,column(L500)-$A$5,0)/100</f>
        <v>0.4954</v>
      </c>
      <c r="M500" s="44">
        <f>VLOOKUP($A500,'Dados StatusInvest'!$A:$AY,column(M500)-$A$5,0)</f>
        <v>9.67</v>
      </c>
      <c r="N500" s="44">
        <f>VLOOKUP($A500,'Dados StatusInvest'!$A:$AY,column(N500)-$A$5,0)</f>
        <v>-12.1</v>
      </c>
      <c r="O500" s="41">
        <f>VLOOKUP($A500,'Dados StatusInvest'!$A:$AY,column(O500)-$A$5,0)/VLOOKUP($A500,'Dados StatusInvest'!$A:$AY,2,0)*$E500</f>
        <v>2.134831461</v>
      </c>
      <c r="P500" s="41">
        <f>VLOOKUP($A500,'Dados StatusInvest'!$A:$AY,column(P500)-$A$5,0)-VLOOKUP($A500,'Dados StatusInvest'!$A:$AY,column(P500)-$A$5-1,0)+O500</f>
        <v>8.344831461</v>
      </c>
      <c r="Q500" s="44">
        <f>VLOOKUP($A500,'Dados StatusInvest'!$A:$AY,column(Q500)-$A$5,0)</f>
        <v>4.32</v>
      </c>
      <c r="R500" s="44">
        <f>VLOOKUP($A500,'Dados StatusInvest'!$A:$AY,column(R500)-$A$5,0)</f>
        <v>0</v>
      </c>
      <c r="S500" s="41">
        <f>VLOOKUP($A500,'Dados StatusInvest'!$A:$AY,column(S500)-$A$5,0)/VLOOKUP($A500,'Dados StatusInvest'!$A:$AY,2,0)*$E500</f>
        <v>0.202247191</v>
      </c>
      <c r="T500" s="42">
        <f>VLOOKUP($A500,'Dados StatusInvest'!$A:$AY,column(T500)-$A$5,0)/VLOOKUP($A500,'Dados StatusInvest'!$A:$AY,2,0)*$E500</f>
        <v>-0.06741573034</v>
      </c>
      <c r="U500" s="44">
        <f>VLOOKUP($A500,'Dados StatusInvest'!$A:$AY,column(U500)-$A$5,0)</f>
        <v>-0.12</v>
      </c>
      <c r="V500" s="45">
        <f>VLOOKUP($A500,'Dados StatusInvest'!$A:$AY,column(V500)-$A$5,0)</f>
        <v>0.21</v>
      </c>
      <c r="W500" s="45">
        <f>VLOOKUP($A500,'Dados StatusInvest'!$A:$AY,column(W500)-$A$5,0)</f>
        <v>-3.72</v>
      </c>
      <c r="X500" s="45">
        <f>VLOOKUP($A500,'Dados StatusInvest'!$A:$AY,column(X500)-$A$5,0)</f>
        <v>-7.76</v>
      </c>
      <c r="Y500" s="45">
        <f>VLOOKUP($A500,'Dados StatusInvest'!$A:$AY,column(Y500)-$A$5,0)</f>
        <v>-3.47</v>
      </c>
      <c r="Z500" s="44">
        <f>VLOOKUP($A500,'Dados StatusInvest'!$A:$AY,column(Z500)-$A$5,0)</f>
        <v>-2.09</v>
      </c>
      <c r="AA500" s="44">
        <f>VLOOKUP($A500,'Dados StatusInvest'!$A:$AY,column(AA500)-$A$5,0)</f>
        <v>3.09</v>
      </c>
      <c r="AB500" s="44">
        <f>VLOOKUP($A500,'Dados StatusInvest'!$A:$AY,column(AB500)-$A$5,0)</f>
        <v>0.64</v>
      </c>
      <c r="AC500" s="44">
        <f>VLOOKUP($A500,'Dados StatusInvest'!$A:$AY,column(AC500)-$A$5,0)</f>
        <v>-3.9</v>
      </c>
      <c r="AD500" s="45">
        <f>VLOOKUP($A500,'Dados StatusInvest'!$A:$AY,column(AD500)-$A$5,0)</f>
        <v>0</v>
      </c>
      <c r="AE500" s="46">
        <f>VLOOKUP($A500,'Dados StatusInvest'!$A:$AY,column(AE500)-$A$5,0)</f>
        <v>0</v>
      </c>
      <c r="AF500" s="49"/>
    </row>
    <row r="501">
      <c r="A501" s="10" t="s">
        <v>547</v>
      </c>
      <c r="B501" s="52" t="str">
        <f>VLOOKUP(lEFT($A501,4),Setor!$A:$E,3,0)</f>
        <v>Utilidade Pública</v>
      </c>
      <c r="C501" s="52" t="str">
        <f>VLOOKUP(lEFT($A501,4),Setor!$A:$E,4,0)</f>
        <v>Energia Elétrica</v>
      </c>
      <c r="D501" s="52" t="str">
        <f>VLOOKUP(lEFT($A501,4),Setor!$A:$E,5,0)</f>
        <v>Energia Elétrica</v>
      </c>
      <c r="E501" s="53">
        <f>IFERROR(__xludf.DUMMYFUNCTION("GOOGLEFINANCE(A501)"),10.68)</f>
        <v>10.68</v>
      </c>
      <c r="F501" s="53">
        <f>IFERROR(__xludf.DUMMYFUNCTION("GOOGLEFINANCE($A501,""high52"")"),22.5)</f>
        <v>22.5</v>
      </c>
      <c r="G501" s="54">
        <f t="shared" si="1"/>
        <v>-0.5253333333</v>
      </c>
      <c r="H501" s="55">
        <f>VLOOKUP($A501,'Dados StatusInvest'!$A:$AY,column(H501)-$A$5,0)*VLOOKUP($A501,'Dados StatusInvest'!$A:$AY,2,0)/$E501/100</f>
        <v>0.04209662921</v>
      </c>
      <c r="I501" s="56">
        <f>VLOOKUP($A501,'Dados StatusInvest'!$A:$AY,column(I501)-$A$5,0)/VLOOKUP($A501,'Dados StatusInvest'!$A:$AY,2,0)*$E501</f>
        <v>27.95347328</v>
      </c>
      <c r="J501" s="56">
        <f>VLOOKUP($A501,'Dados StatusInvest'!$A:$AY,column(J501)-$A$5,0)/VLOOKUP($A501,'Dados StatusInvest'!$A:$AY,2,0)*$E501</f>
        <v>6.624045802</v>
      </c>
      <c r="K501" s="57">
        <f>VLOOKUP($A501,'Dados StatusInvest'!$A:$AY,column(K501)-$A$5,0)/VLOOKUP($A501,'Dados StatusInvest'!$A:$AY,2,0)*$E501</f>
        <v>1.895496183</v>
      </c>
      <c r="L501" s="58">
        <f>VLOOKUP($A501,'Dados StatusInvest'!$A:$AY,column(L501)-$A$5,0)/100</f>
        <v>0.2978</v>
      </c>
      <c r="M501" s="59">
        <f>VLOOKUP($A501,'Dados StatusInvest'!$A:$AY,column(M501)-$A$5,0)</f>
        <v>20.7</v>
      </c>
      <c r="N501" s="63">
        <f>VLOOKUP($A501,'Dados StatusInvest'!$A:$AY,column(N501)-$A$5,0)</f>
        <v>12.93</v>
      </c>
      <c r="O501" s="56">
        <f>VLOOKUP($A501,'Dados StatusInvest'!$A:$AY,column(O501)-$A$5,0)/VLOOKUP($A501,'Dados StatusInvest'!$A:$AY,2,0)*$E501</f>
        <v>17.46709924</v>
      </c>
      <c r="P501" s="56">
        <f>VLOOKUP($A501,'Dados StatusInvest'!$A:$AY,column(P501)-$A$5,0)-VLOOKUP($A501,'Dados StatusInvest'!$A:$AY,column(P501)-$A$5-1,0)+O501</f>
        <v>9.547099237</v>
      </c>
      <c r="Q501" s="59">
        <f>VLOOKUP($A501,'Dados StatusInvest'!$A:$AY,column(Q501)-$A$5,0)</f>
        <v>1.01</v>
      </c>
      <c r="R501" s="59">
        <f>VLOOKUP($A501,'Dados StatusInvest'!$A:$AY,column(R501)-$A$5,0)</f>
        <v>0.38</v>
      </c>
      <c r="S501" s="56">
        <f>VLOOKUP($A501,'Dados StatusInvest'!$A:$AY,column(S501)-$A$5,0)/VLOOKUP($A501,'Dados StatusInvest'!$A:$AY,2,0)*$E501</f>
        <v>3.617748092</v>
      </c>
      <c r="T501" s="57">
        <f>VLOOKUP($A501,'Dados StatusInvest'!$A:$AY,column(T501)-$A$5,0)/VLOOKUP($A501,'Dados StatusInvest'!$A:$AY,2,0)*$E501</f>
        <v>8.254580153</v>
      </c>
      <c r="U501" s="59">
        <f>VLOOKUP($A501,'Dados StatusInvest'!$A:$AY,column(U501)-$A$5,0)</f>
        <v>-3.36</v>
      </c>
      <c r="V501" s="60">
        <f>VLOOKUP($A501,'Dados StatusInvest'!$A:$AY,column(V501)-$A$5,0)</f>
        <v>2.04</v>
      </c>
      <c r="W501" s="60">
        <f>VLOOKUP($A501,'Dados StatusInvest'!$A:$AY,column(W501)-$A$5,0)</f>
        <v>23.69</v>
      </c>
      <c r="X501" s="60">
        <f>VLOOKUP($A501,'Dados StatusInvest'!$A:$AY,column(X501)-$A$5,0)</f>
        <v>6.76</v>
      </c>
      <c r="Y501" s="60">
        <f>VLOOKUP($A501,'Dados StatusInvest'!$A:$AY,column(Y501)-$A$5,0)</f>
        <v>14.32</v>
      </c>
      <c r="Z501" s="59">
        <f>VLOOKUP($A501,'Dados StatusInvest'!$A:$AY,column(Z501)-$A$5,0)</f>
        <v>0.29</v>
      </c>
      <c r="AA501" s="59">
        <f>VLOOKUP($A501,'Dados StatusInvest'!$A:$AY,column(AA501)-$A$5,0)</f>
        <v>0.71</v>
      </c>
      <c r="AB501" s="59">
        <f>VLOOKUP($A501,'Dados StatusInvest'!$A:$AY,column(AB501)-$A$5,0)</f>
        <v>0.52</v>
      </c>
      <c r="AC501" s="59">
        <f>VLOOKUP($A501,'Dados StatusInvest'!$A:$AY,column(AC501)-$A$5,0)</f>
        <v>7.01</v>
      </c>
      <c r="AD501" s="60">
        <f>VLOOKUP($A501,'Dados StatusInvest'!$A:$AY,column(AD501)-$A$5,0)</f>
        <v>10.16</v>
      </c>
      <c r="AE501" s="62">
        <f>VLOOKUP($A501,'Dados StatusInvest'!$A:$AY,column(AE501)-$A$5,0)</f>
        <v>0</v>
      </c>
      <c r="AF501" s="18"/>
    </row>
    <row r="502">
      <c r="A502" s="10" t="s">
        <v>548</v>
      </c>
      <c r="B502" s="52" t="str">
        <f>VLOOKUP(LEFT($A502,4),Setor!$A:$E,3,0)</f>
        <v>Financeiro</v>
      </c>
      <c r="C502" s="52" t="str">
        <f>VLOOKUP(LEFT($A502,4),Setor!$A:$E,4,0)</f>
        <v>Exploração de Imóveis</v>
      </c>
      <c r="D502" s="52" t="str">
        <f>VLOOKUP(LEFT($A502,4),Setor!$A:$E,5,0)</f>
        <v>Exploração de Imóveis</v>
      </c>
      <c r="E502" s="53">
        <f>IFERROR(__xludf.DUMMYFUNCTION("GOOGLEFINANCE(A502)"),82.0)</f>
        <v>82</v>
      </c>
      <c r="F502" s="53">
        <f>IFERROR(__xludf.DUMMYFUNCTION("GOOGLEFINANCE($A502,""high52"")"),82.0)</f>
        <v>82</v>
      </c>
      <c r="G502" s="54">
        <f t="shared" si="1"/>
        <v>0</v>
      </c>
      <c r="H502" s="55">
        <f>VLOOKUP($A502,'Dados StatusInvest'!$A:$AY,COLUMN(H502)-$A$5,0)*VLOOKUP($A502,'Dados StatusInvest'!$A:$AY,2,0)/$E502/100</f>
        <v>0.075</v>
      </c>
      <c r="I502" s="56">
        <f>VLOOKUP($A502,'Dados StatusInvest'!$A:$AY,COLUMN(I502)-$A$5,0)/VLOOKUP($A502,'Dados StatusInvest'!$A:$AY,2,0)*$E502</f>
        <v>0.36</v>
      </c>
      <c r="J502" s="56">
        <f>VLOOKUP($A502,'Dados StatusInvest'!$A:$AY,COLUMN(J502)-$A$5,0)/VLOOKUP($A502,'Dados StatusInvest'!$A:$AY,2,0)*$E502</f>
        <v>5.01</v>
      </c>
      <c r="K502" s="57">
        <f>VLOOKUP($A502,'Dados StatusInvest'!$A:$AY,COLUMN(K502)-$A$5,0)/VLOOKUP($A502,'Dados StatusInvest'!$A:$AY,2,0)*$E502</f>
        <v>0.09</v>
      </c>
      <c r="L502" s="58">
        <f>VLOOKUP($A502,'Dados StatusInvest'!$A:$AY,COLUMN(L502)-$A$5,0)/100</f>
        <v>0.7716</v>
      </c>
      <c r="M502" s="59">
        <f>VLOOKUP($A502,'Dados StatusInvest'!$A:$AY,COLUMN(M502)-$A$5,0)</f>
        <v>28.59</v>
      </c>
      <c r="N502" s="59">
        <f>VLOOKUP($A502,'Dados StatusInvest'!$A:$AY,COLUMN(N502)-$A$5,0)</f>
        <v>27.09</v>
      </c>
      <c r="O502" s="56">
        <f>VLOOKUP($A502,'Dados StatusInvest'!$A:$AY,COLUMN(O502)-$A$5,0)/VLOOKUP($A502,'Dados StatusInvest'!$A:$AY,2,0)*$E502</f>
        <v>0.34</v>
      </c>
      <c r="P502" s="56">
        <f>VLOOKUP($A502,'Dados StatusInvest'!$A:$AY,COLUMN(P502)-$A$5,0)-VLOOKUP($A502,'Dados StatusInvest'!$A:$AY,COLUMN(P502)-$A$5-1,0)+O502</f>
        <v>-2.53</v>
      </c>
      <c r="Q502" s="59">
        <f>VLOOKUP($A502,'Dados StatusInvest'!$A:$AY,COLUMN(Q502)-$A$5,0)</f>
        <v>-2.75</v>
      </c>
      <c r="R502" s="59">
        <f>VLOOKUP($A502,'Dados StatusInvest'!$A:$AY,COLUMN(R502)-$A$5,0)</f>
        <v>-40.8</v>
      </c>
      <c r="S502" s="56">
        <f>VLOOKUP($A502,'Dados StatusInvest'!$A:$AY,COLUMN(S502)-$A$5,0)/VLOOKUP($A502,'Dados StatusInvest'!$A:$AY,2,0)*$E502</f>
        <v>0.1</v>
      </c>
      <c r="T502" s="57">
        <f>VLOOKUP($A502,'Dados StatusInvest'!$A:$AY,COLUMN(T502)-$A$5,0)/VLOOKUP($A502,'Dados StatusInvest'!$A:$AY,2,0)*$E502</f>
        <v>0.11</v>
      </c>
      <c r="U502" s="59">
        <f>VLOOKUP($A502,'Dados StatusInvest'!$A:$AY,COLUMN(U502)-$A$5,0)</f>
        <v>-0.46</v>
      </c>
      <c r="V502" s="60">
        <f>VLOOKUP($A502,'Dados StatusInvest'!$A:$AY,COLUMN(V502)-$A$5,0)</f>
        <v>27.03</v>
      </c>
      <c r="W502" s="61">
        <f>VLOOKUP($A502,'Dados StatusInvest'!$A:$AY,COLUMN(W502)-$A$5,0)</f>
        <v>1403.96</v>
      </c>
      <c r="X502" s="60">
        <f>VLOOKUP($A502,'Dados StatusInvest'!$A:$AY,COLUMN(X502)-$A$5,0)</f>
        <v>24.34</v>
      </c>
      <c r="Y502" s="61">
        <f>VLOOKUP($A502,'Dados StatusInvest'!$A:$AY,COLUMN(Y502)-$A$5,0)</f>
        <v>1220.05</v>
      </c>
      <c r="Z502" s="59">
        <f>VLOOKUP($A502,'Dados StatusInvest'!$A:$AY,COLUMN(Z502)-$A$5,0)</f>
        <v>0.02</v>
      </c>
      <c r="AA502" s="59">
        <f>VLOOKUP($A502,'Dados StatusInvest'!$A:$AY,COLUMN(AA502)-$A$5,0)</f>
        <v>0.98</v>
      </c>
      <c r="AB502" s="59">
        <f>VLOOKUP($A502,'Dados StatusInvest'!$A:$AY,COLUMN(AB502)-$A$5,0)</f>
        <v>0.9</v>
      </c>
      <c r="AC502" s="59">
        <f>VLOOKUP($A502,'Dados StatusInvest'!$A:$AY,COLUMN(AC502)-$A$5,0)</f>
        <v>44.77</v>
      </c>
      <c r="AD502" s="60">
        <f>VLOOKUP($A502,'Dados StatusInvest'!$A:$AY,COLUMN(AD502)-$A$5,0)</f>
        <v>0</v>
      </c>
      <c r="AE502" s="62">
        <f>VLOOKUP($A502,'Dados StatusInvest'!$A:$AY,COLUMN(AE502)-$A$5,0)</f>
        <v>0</v>
      </c>
      <c r="AF502" s="18"/>
    </row>
    <row r="503">
      <c r="A503" s="10" t="s">
        <v>549</v>
      </c>
      <c r="B503" s="39" t="str">
        <f>VLOOKUP(lEFT($A503,4),Setor!$A:$E,3,0)</f>
        <v>Utilidade Pública</v>
      </c>
      <c r="C503" s="39" t="str">
        <f>VLOOKUP(lEFT($A503,4),Setor!$A:$E,4,0)</f>
        <v>Água e Saneamento</v>
      </c>
      <c r="D503" s="39" t="str">
        <f>VLOOKUP(lEFT($A503,4),Setor!$A:$E,5,0)</f>
        <v>Água e Saneamento</v>
      </c>
      <c r="E503" s="17">
        <f>IFERROR(__xludf.DUMMYFUNCTION("GOOGLEFINANCE(A503)"),15.01)</f>
        <v>15.01</v>
      </c>
      <c r="F503" s="17">
        <f>IFERROR(__xludf.DUMMYFUNCTION("GOOGLEFINANCE($A503,""high52"")"),50.0)</f>
        <v>50</v>
      </c>
      <c r="G503" s="16">
        <f t="shared" si="1"/>
        <v>-0.6998</v>
      </c>
      <c r="H503" s="40">
        <f>VLOOKUP($A503,'Dados StatusInvest'!$A:$AY,column(H503)-$A$5,0)*VLOOKUP($A503,'Dados StatusInvest'!$A:$AY,2,0)/$E503/100</f>
        <v>0.0025</v>
      </c>
      <c r="I503" s="41">
        <f>VLOOKUP($A503,'Dados StatusInvest'!$A:$AY,column(I503)-$A$5,0)/VLOOKUP($A503,'Dados StatusInvest'!$A:$AY,2,0)*$E503</f>
        <v>98.93</v>
      </c>
      <c r="J503" s="41">
        <f>VLOOKUP($A503,'Dados StatusInvest'!$A:$AY,column(J503)-$A$5,0)/VLOOKUP($A503,'Dados StatusInvest'!$A:$AY,2,0)*$E503</f>
        <v>8.29</v>
      </c>
      <c r="K503" s="42">
        <f>VLOOKUP($A503,'Dados StatusInvest'!$A:$AY,column(K503)-$A$5,0)/VLOOKUP($A503,'Dados StatusInvest'!$A:$AY,2,0)*$E503</f>
        <v>3.2</v>
      </c>
      <c r="L503" s="43">
        <f>VLOOKUP($A503,'Dados StatusInvest'!$A:$AY,column(L503)-$A$5,0)/100</f>
        <v>0.4975</v>
      </c>
      <c r="M503" s="44">
        <f>VLOOKUP($A503,'Dados StatusInvest'!$A:$AY,column(M503)-$A$5,0)</f>
        <v>21.44</v>
      </c>
      <c r="N503" s="44">
        <f>VLOOKUP($A503,'Dados StatusInvest'!$A:$AY,column(N503)-$A$5,0)</f>
        <v>10.42</v>
      </c>
      <c r="O503" s="41">
        <f>VLOOKUP($A503,'Dados StatusInvest'!$A:$AY,column(O503)-$A$5,0)/VLOOKUP($A503,'Dados StatusInvest'!$A:$AY,2,0)*$E503</f>
        <v>48.06</v>
      </c>
      <c r="P503" s="41">
        <f>VLOOKUP($A503,'Dados StatusInvest'!$A:$AY,column(P503)-$A$5,0)-VLOOKUP($A503,'Dados StatusInvest'!$A:$AY,column(P503)-$A$5-1,0)+O503</f>
        <v>42.61</v>
      </c>
      <c r="Q503" s="44">
        <f>VLOOKUP($A503,'Dados StatusInvest'!$A:$AY,column(Q503)-$A$5,0)</f>
        <v>5.18</v>
      </c>
      <c r="R503" s="44">
        <f>VLOOKUP($A503,'Dados StatusInvest'!$A:$AY,column(R503)-$A$5,0)</f>
        <v>0.89</v>
      </c>
      <c r="S503" s="41">
        <f>VLOOKUP($A503,'Dados StatusInvest'!$A:$AY,column(S503)-$A$5,0)/VLOOKUP($A503,'Dados StatusInvest'!$A:$AY,2,0)*$E503</f>
        <v>10.3</v>
      </c>
      <c r="T503" s="42">
        <f>VLOOKUP($A503,'Dados StatusInvest'!$A:$AY,column(T503)-$A$5,0)/VLOOKUP($A503,'Dados StatusInvest'!$A:$AY,2,0)*$E503</f>
        <v>-224.24</v>
      </c>
      <c r="U503" s="44">
        <f>VLOOKUP($A503,'Dados StatusInvest'!$A:$AY,column(U503)-$A$5,0)</f>
        <v>-3.64</v>
      </c>
      <c r="V503" s="45">
        <f>VLOOKUP($A503,'Dados StatusInvest'!$A:$AY,column(V503)-$A$5,0)</f>
        <v>0.89</v>
      </c>
      <c r="W503" s="45">
        <f>VLOOKUP($A503,'Dados StatusInvest'!$A:$AY,column(W503)-$A$5,0)</f>
        <v>8.38</v>
      </c>
      <c r="X503" s="45">
        <f>VLOOKUP($A503,'Dados StatusInvest'!$A:$AY,column(X503)-$A$5,0)</f>
        <v>3.24</v>
      </c>
      <c r="Y503" s="45">
        <f>VLOOKUP($A503,'Dados StatusInvest'!$A:$AY,column(Y503)-$A$5,0)</f>
        <v>6.36</v>
      </c>
      <c r="Z503" s="44">
        <f>VLOOKUP($A503,'Dados StatusInvest'!$A:$AY,column(Z503)-$A$5,0)</f>
        <v>0.39</v>
      </c>
      <c r="AA503" s="44">
        <f>VLOOKUP($A503,'Dados StatusInvest'!$A:$AY,column(AA503)-$A$5,0)</f>
        <v>0.61</v>
      </c>
      <c r="AB503" s="44">
        <f>VLOOKUP($A503,'Dados StatusInvest'!$A:$AY,column(AB503)-$A$5,0)</f>
        <v>0.31</v>
      </c>
      <c r="AC503" s="44">
        <f>VLOOKUP($A503,'Dados StatusInvest'!$A:$AY,column(AC503)-$A$5,0)</f>
        <v>7.49</v>
      </c>
      <c r="AD503" s="45">
        <f>VLOOKUP($A503,'Dados StatusInvest'!$A:$AY,column(AD503)-$A$5,0)</f>
        <v>61.83</v>
      </c>
      <c r="AE503" s="46">
        <f>VLOOKUP($A503,'Dados StatusInvest'!$A:$AY,column(AE503)-$A$5,0)</f>
        <v>0</v>
      </c>
      <c r="AF503" s="51"/>
    </row>
    <row r="504">
      <c r="A504" s="71"/>
      <c r="B504" s="13"/>
      <c r="C504" s="13"/>
      <c r="D504" s="13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7"/>
      <c r="AF504" s="18"/>
    </row>
    <row r="505">
      <c r="A505" s="71"/>
      <c r="B505" s="13"/>
      <c r="C505" s="13"/>
      <c r="D505" s="13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7"/>
      <c r="AF505" s="18"/>
    </row>
    <row r="506">
      <c r="A506" s="71"/>
      <c r="B506" s="13"/>
      <c r="C506" s="13"/>
      <c r="D506" s="13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7"/>
      <c r="AF506" s="18"/>
    </row>
    <row r="507">
      <c r="A507" s="71"/>
      <c r="B507" s="13"/>
      <c r="C507" s="13"/>
      <c r="D507" s="1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7"/>
      <c r="AF507" s="18"/>
    </row>
    <row r="508">
      <c r="A508" s="71"/>
      <c r="B508" s="13"/>
      <c r="C508" s="13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7"/>
      <c r="AF508" s="18"/>
    </row>
    <row r="509">
      <c r="A509" s="71"/>
      <c r="B509" s="13"/>
      <c r="C509" s="13"/>
      <c r="D509" s="13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7"/>
      <c r="AF509" s="18"/>
    </row>
    <row r="510">
      <c r="A510" s="71"/>
      <c r="B510" s="13"/>
      <c r="C510" s="13"/>
      <c r="D510" s="13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7"/>
      <c r="AF510" s="18"/>
    </row>
    <row r="511">
      <c r="A511" s="71"/>
      <c r="B511" s="13"/>
      <c r="C511" s="13"/>
      <c r="D511" s="13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7"/>
      <c r="AF511" s="18"/>
    </row>
    <row r="512">
      <c r="A512" s="71"/>
      <c r="B512" s="13"/>
      <c r="C512" s="13"/>
      <c r="D512" s="13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7"/>
      <c r="AF512" s="18"/>
    </row>
    <row r="513">
      <c r="A513" s="71"/>
      <c r="B513" s="13"/>
      <c r="C513" s="13"/>
      <c r="D513" s="13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7"/>
      <c r="AF513" s="18"/>
    </row>
    <row r="514">
      <c r="A514" s="71"/>
      <c r="B514" s="13"/>
      <c r="C514" s="13"/>
      <c r="D514" s="13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7"/>
      <c r="AF514" s="18"/>
    </row>
    <row r="515">
      <c r="A515" s="71"/>
      <c r="B515" s="13"/>
      <c r="C515" s="13"/>
      <c r="D515" s="13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7"/>
      <c r="AF515" s="18"/>
    </row>
    <row r="516">
      <c r="A516" s="71"/>
      <c r="B516" s="13"/>
      <c r="C516" s="13"/>
      <c r="D516" s="13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7"/>
      <c r="AF516" s="18"/>
    </row>
    <row r="517">
      <c r="A517" s="71"/>
      <c r="B517" s="13"/>
      <c r="C517" s="13"/>
      <c r="D517" s="13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7"/>
      <c r="AF517" s="18"/>
    </row>
    <row r="518">
      <c r="A518" s="71"/>
      <c r="B518" s="13"/>
      <c r="C518" s="13"/>
      <c r="D518" s="13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7"/>
      <c r="AF518" s="18"/>
    </row>
    <row r="519">
      <c r="A519" s="71"/>
      <c r="B519" s="13"/>
      <c r="C519" s="13"/>
      <c r="D519" s="13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7"/>
      <c r="AF519" s="18"/>
    </row>
    <row r="520">
      <c r="A520" s="71"/>
      <c r="B520" s="13"/>
      <c r="C520" s="13"/>
      <c r="D520" s="13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7"/>
      <c r="AF520" s="18"/>
    </row>
    <row r="521">
      <c r="A521" s="71"/>
      <c r="B521" s="13"/>
      <c r="C521" s="13"/>
      <c r="D521" s="13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7"/>
      <c r="AF521" s="18"/>
    </row>
    <row r="522">
      <c r="A522" s="71"/>
      <c r="B522" s="13"/>
      <c r="C522" s="13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7"/>
      <c r="AF522" s="18"/>
    </row>
    <row r="523">
      <c r="A523" s="71"/>
      <c r="B523" s="13"/>
      <c r="C523" s="13"/>
      <c r="D523" s="1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7"/>
      <c r="AF523" s="18"/>
    </row>
    <row r="524">
      <c r="A524" s="71"/>
      <c r="B524" s="13"/>
      <c r="C524" s="13"/>
      <c r="D524" s="13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7"/>
      <c r="AF524" s="18"/>
    </row>
    <row r="525">
      <c r="A525" s="71"/>
      <c r="B525" s="13"/>
      <c r="C525" s="13"/>
      <c r="D525" s="13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7"/>
      <c r="AF525" s="18"/>
    </row>
    <row r="526">
      <c r="A526" s="71"/>
      <c r="B526" s="13"/>
      <c r="C526" s="13"/>
      <c r="D526" s="13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7"/>
      <c r="AF526" s="18"/>
    </row>
    <row r="527">
      <c r="A527" s="71"/>
      <c r="B527" s="13"/>
      <c r="C527" s="13"/>
      <c r="D527" s="13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7"/>
      <c r="AF527" s="18"/>
    </row>
    <row r="528">
      <c r="A528" s="71"/>
      <c r="B528" s="13"/>
      <c r="C528" s="13"/>
      <c r="D528" s="13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7"/>
      <c r="AF528" s="18"/>
    </row>
    <row r="529">
      <c r="A529" s="71"/>
      <c r="B529" s="13"/>
      <c r="C529" s="13"/>
      <c r="D529" s="13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7"/>
      <c r="AF529" s="18"/>
    </row>
    <row r="530">
      <c r="A530" s="71"/>
      <c r="B530" s="13"/>
      <c r="C530" s="13"/>
      <c r="D530" s="13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7"/>
      <c r="AF530" s="18"/>
    </row>
    <row r="531">
      <c r="A531" s="71"/>
      <c r="B531" s="13"/>
      <c r="C531" s="13"/>
      <c r="D531" s="13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7"/>
      <c r="AF531" s="18"/>
    </row>
    <row r="532">
      <c r="A532" s="71"/>
      <c r="B532" s="13"/>
      <c r="C532" s="13"/>
      <c r="D532" s="13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7"/>
      <c r="AF532" s="18"/>
    </row>
    <row r="533">
      <c r="A533" s="71"/>
      <c r="B533" s="13"/>
      <c r="C533" s="13"/>
      <c r="D533" s="13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7"/>
      <c r="AF533" s="18"/>
    </row>
    <row r="534">
      <c r="A534" s="71"/>
      <c r="B534" s="13"/>
      <c r="C534" s="13"/>
      <c r="D534" s="13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7"/>
      <c r="AF534" s="18"/>
    </row>
    <row r="535">
      <c r="A535" s="71"/>
      <c r="B535" s="13"/>
      <c r="C535" s="13"/>
      <c r="D535" s="13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7"/>
      <c r="AF535" s="18"/>
    </row>
    <row r="536">
      <c r="A536" s="71"/>
      <c r="B536" s="13"/>
      <c r="C536" s="13"/>
      <c r="D536" s="13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7"/>
      <c r="AF536" s="18"/>
    </row>
    <row r="537">
      <c r="A537" s="71"/>
      <c r="B537" s="13"/>
      <c r="C537" s="13"/>
      <c r="D537" s="1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7"/>
      <c r="AF537" s="18"/>
    </row>
    <row r="538">
      <c r="A538" s="71"/>
      <c r="B538" s="13"/>
      <c r="C538" s="13"/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7"/>
      <c r="AF538" s="18"/>
    </row>
    <row r="539">
      <c r="A539" s="71"/>
      <c r="B539" s="13"/>
      <c r="C539" s="13"/>
      <c r="D539" s="13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7"/>
      <c r="AF539" s="18"/>
    </row>
    <row r="540">
      <c r="A540" s="71"/>
      <c r="B540" s="13"/>
      <c r="C540" s="13"/>
      <c r="D540" s="13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7"/>
      <c r="AF540" s="18"/>
    </row>
    <row r="541">
      <c r="A541" s="71"/>
      <c r="B541" s="13"/>
      <c r="C541" s="13"/>
      <c r="D541" s="13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7"/>
      <c r="AF541" s="18"/>
    </row>
    <row r="542">
      <c r="A542" s="71"/>
      <c r="B542" s="13"/>
      <c r="C542" s="13"/>
      <c r="D542" s="13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7"/>
      <c r="AF542" s="18"/>
    </row>
    <row r="543">
      <c r="A543" s="71"/>
      <c r="B543" s="13"/>
      <c r="C543" s="13"/>
      <c r="D543" s="13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7"/>
      <c r="AF543" s="18"/>
    </row>
    <row r="544">
      <c r="A544" s="71"/>
      <c r="B544" s="13"/>
      <c r="C544" s="13"/>
      <c r="D544" s="13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7"/>
      <c r="AF544" s="18"/>
    </row>
    <row r="545">
      <c r="A545" s="71"/>
      <c r="B545" s="13"/>
      <c r="C545" s="13"/>
      <c r="D545" s="13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7"/>
      <c r="AF545" s="18"/>
    </row>
    <row r="546">
      <c r="A546" s="71"/>
      <c r="B546" s="13"/>
      <c r="C546" s="13"/>
      <c r="D546" s="13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7"/>
      <c r="AF546" s="18"/>
    </row>
    <row r="547">
      <c r="A547" s="71"/>
      <c r="B547" s="13"/>
      <c r="C547" s="13"/>
      <c r="D547" s="13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7"/>
      <c r="AF547" s="18"/>
    </row>
    <row r="548">
      <c r="A548" s="71"/>
      <c r="B548" s="13"/>
      <c r="C548" s="13"/>
      <c r="D548" s="13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7"/>
      <c r="AF548" s="18"/>
    </row>
    <row r="549">
      <c r="A549" s="71"/>
      <c r="B549" s="13"/>
      <c r="C549" s="13"/>
      <c r="D549" s="13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7"/>
      <c r="AF549" s="18"/>
    </row>
    <row r="550">
      <c r="A550" s="71"/>
      <c r="B550" s="13"/>
      <c r="C550" s="13"/>
      <c r="D550" s="13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7"/>
      <c r="AF550" s="18"/>
    </row>
    <row r="551">
      <c r="A551" s="71"/>
      <c r="B551" s="13"/>
      <c r="C551" s="13"/>
      <c r="D551" s="13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7"/>
      <c r="AF551" s="18"/>
    </row>
    <row r="552">
      <c r="A552" s="71"/>
      <c r="B552" s="13"/>
      <c r="C552" s="13"/>
      <c r="D552" s="13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7"/>
      <c r="AF552" s="18"/>
    </row>
    <row r="553">
      <c r="A553" s="71"/>
      <c r="B553" s="13"/>
      <c r="C553" s="13"/>
      <c r="D553" s="13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7"/>
      <c r="AF553" s="18"/>
    </row>
    <row r="554">
      <c r="A554" s="71"/>
      <c r="B554" s="13"/>
      <c r="C554" s="13"/>
      <c r="D554" s="13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7"/>
      <c r="AF554" s="18"/>
    </row>
    <row r="555">
      <c r="A555" s="71"/>
      <c r="B555" s="13"/>
      <c r="C555" s="13"/>
      <c r="D555" s="13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7"/>
      <c r="AF555" s="18"/>
    </row>
    <row r="556">
      <c r="A556" s="71"/>
      <c r="B556" s="13"/>
      <c r="C556" s="13"/>
      <c r="D556" s="13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7"/>
      <c r="AF556" s="18"/>
    </row>
    <row r="557">
      <c r="A557" s="71"/>
      <c r="B557" s="13"/>
      <c r="C557" s="13"/>
      <c r="D557" s="1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7"/>
      <c r="AF557" s="18"/>
    </row>
    <row r="558">
      <c r="A558" s="71"/>
      <c r="B558" s="13"/>
      <c r="C558" s="13"/>
      <c r="D558" s="1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7"/>
      <c r="AF558" s="18"/>
    </row>
    <row r="559">
      <c r="A559" s="71"/>
      <c r="B559" s="13"/>
      <c r="C559" s="13"/>
      <c r="D559" s="13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7"/>
      <c r="AF559" s="18"/>
    </row>
    <row r="560">
      <c r="A560" s="71"/>
      <c r="B560" s="13"/>
      <c r="C560" s="13"/>
      <c r="D560" s="13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7"/>
      <c r="AF560" s="18"/>
    </row>
    <row r="561">
      <c r="A561" s="71"/>
      <c r="B561" s="13"/>
      <c r="C561" s="13"/>
      <c r="D561" s="13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7"/>
      <c r="AF561" s="18"/>
    </row>
    <row r="562">
      <c r="A562" s="71"/>
      <c r="B562" s="13"/>
      <c r="C562" s="13"/>
      <c r="D562" s="13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7"/>
      <c r="AF562" s="18"/>
    </row>
    <row r="563">
      <c r="A563" s="71"/>
      <c r="B563" s="13"/>
      <c r="C563" s="13"/>
      <c r="D563" s="13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7"/>
      <c r="AF563" s="18"/>
    </row>
    <row r="564">
      <c r="A564" s="71"/>
      <c r="B564" s="13"/>
      <c r="C564" s="13"/>
      <c r="D564" s="13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7"/>
      <c r="AF564" s="18"/>
    </row>
    <row r="565">
      <c r="A565" s="71"/>
      <c r="B565" s="13"/>
      <c r="C565" s="13"/>
      <c r="D565" s="13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7"/>
      <c r="AF565" s="18"/>
    </row>
    <row r="566">
      <c r="A566" s="71"/>
      <c r="B566" s="13"/>
      <c r="C566" s="13"/>
      <c r="D566" s="13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7"/>
      <c r="AF566" s="18"/>
    </row>
    <row r="567">
      <c r="A567" s="71"/>
      <c r="B567" s="13"/>
      <c r="C567" s="13"/>
      <c r="D567" s="13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7"/>
      <c r="AF567" s="18"/>
    </row>
    <row r="568">
      <c r="A568" s="71"/>
      <c r="B568" s="13"/>
      <c r="C568" s="13"/>
      <c r="D568" s="13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7"/>
      <c r="AF568" s="18"/>
    </row>
    <row r="569">
      <c r="A569" s="71"/>
      <c r="B569" s="13"/>
      <c r="C569" s="13"/>
      <c r="D569" s="13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7"/>
      <c r="AF569" s="18"/>
    </row>
    <row r="570">
      <c r="A570" s="71"/>
      <c r="B570" s="13"/>
      <c r="C570" s="13"/>
      <c r="D570" s="13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7"/>
      <c r="AF570" s="18"/>
    </row>
    <row r="571">
      <c r="A571" s="71"/>
      <c r="B571" s="13"/>
      <c r="C571" s="13"/>
      <c r="D571" s="13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7"/>
      <c r="AF571" s="18"/>
    </row>
    <row r="572">
      <c r="A572" s="71"/>
      <c r="B572" s="13"/>
      <c r="C572" s="13"/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7"/>
      <c r="AF572" s="18"/>
    </row>
    <row r="573">
      <c r="A573" s="71"/>
      <c r="B573" s="13"/>
      <c r="C573" s="13"/>
      <c r="D573" s="1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7"/>
      <c r="AF573" s="18"/>
    </row>
    <row r="574">
      <c r="A574" s="71"/>
      <c r="B574" s="13"/>
      <c r="C574" s="13"/>
      <c r="D574" s="13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7"/>
      <c r="AF574" s="18"/>
    </row>
    <row r="575">
      <c r="A575" s="71"/>
      <c r="B575" s="13"/>
      <c r="C575" s="13"/>
      <c r="D575" s="13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7"/>
      <c r="AF575" s="18"/>
    </row>
    <row r="576">
      <c r="A576" s="71"/>
      <c r="B576" s="13"/>
      <c r="C576" s="13"/>
      <c r="D576" s="13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7"/>
      <c r="AF576" s="18"/>
    </row>
    <row r="577">
      <c r="A577" s="71"/>
      <c r="B577" s="13"/>
      <c r="C577" s="13"/>
      <c r="D577" s="13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7"/>
      <c r="AF577" s="18"/>
    </row>
    <row r="578">
      <c r="A578" s="71"/>
      <c r="B578" s="13"/>
      <c r="C578" s="13"/>
      <c r="D578" s="13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7"/>
      <c r="AF578" s="18"/>
    </row>
    <row r="579">
      <c r="A579" s="71"/>
      <c r="B579" s="13"/>
      <c r="C579" s="13"/>
      <c r="D579" s="13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7"/>
      <c r="AF579" s="18"/>
    </row>
    <row r="580">
      <c r="A580" s="71"/>
      <c r="B580" s="13"/>
      <c r="C580" s="13"/>
      <c r="D580" s="13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7"/>
      <c r="AF580" s="18"/>
    </row>
    <row r="581">
      <c r="A581" s="71"/>
      <c r="B581" s="13"/>
      <c r="C581" s="13"/>
      <c r="D581" s="13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7"/>
      <c r="AF581" s="18"/>
    </row>
    <row r="582">
      <c r="A582" s="71"/>
      <c r="B582" s="13"/>
      <c r="C582" s="13"/>
      <c r="D582" s="13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7"/>
      <c r="AF582" s="18"/>
    </row>
    <row r="583">
      <c r="A583" s="71"/>
      <c r="B583" s="13"/>
      <c r="C583" s="13"/>
      <c r="D583" s="13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7"/>
      <c r="AF583" s="18"/>
    </row>
    <row r="584">
      <c r="A584" s="71"/>
      <c r="B584" s="13"/>
      <c r="C584" s="13"/>
      <c r="D584" s="13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7"/>
      <c r="AF584" s="18"/>
    </row>
    <row r="585">
      <c r="A585" s="71"/>
      <c r="B585" s="13"/>
      <c r="C585" s="13"/>
      <c r="D585" s="13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7"/>
      <c r="AF585" s="18"/>
    </row>
    <row r="586">
      <c r="A586" s="71"/>
      <c r="B586" s="13"/>
      <c r="C586" s="13"/>
      <c r="D586" s="13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7"/>
      <c r="AF586" s="18"/>
    </row>
    <row r="587">
      <c r="A587" s="71"/>
      <c r="B587" s="13"/>
      <c r="C587" s="13"/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7"/>
      <c r="AF587" s="18"/>
    </row>
    <row r="588">
      <c r="A588" s="71"/>
      <c r="B588" s="13"/>
      <c r="C588" s="13"/>
      <c r="D588" s="1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7"/>
      <c r="AF588" s="18"/>
    </row>
    <row r="589">
      <c r="A589" s="71"/>
      <c r="B589" s="13"/>
      <c r="C589" s="13"/>
      <c r="D589" s="13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7"/>
      <c r="AF589" s="18"/>
    </row>
    <row r="590">
      <c r="A590" s="71"/>
      <c r="B590" s="13"/>
      <c r="C590" s="13"/>
      <c r="D590" s="13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7"/>
      <c r="AF590" s="18"/>
    </row>
    <row r="591">
      <c r="A591" s="71"/>
      <c r="B591" s="13"/>
      <c r="C591" s="13"/>
      <c r="D591" s="13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7"/>
      <c r="AF591" s="18"/>
    </row>
    <row r="592">
      <c r="A592" s="71"/>
      <c r="B592" s="13"/>
      <c r="C592" s="13"/>
      <c r="D592" s="13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7"/>
      <c r="AF592" s="18"/>
    </row>
    <row r="593">
      <c r="A593" s="71"/>
      <c r="B593" s="13"/>
      <c r="C593" s="13"/>
      <c r="D593" s="13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7"/>
      <c r="AF593" s="18"/>
    </row>
    <row r="594">
      <c r="A594" s="71"/>
      <c r="B594" s="13"/>
      <c r="C594" s="13"/>
      <c r="D594" s="13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7"/>
      <c r="AF594" s="18"/>
    </row>
    <row r="595">
      <c r="A595" s="71"/>
      <c r="B595" s="13"/>
      <c r="C595" s="13"/>
      <c r="D595" s="13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7"/>
      <c r="AF595" s="18"/>
    </row>
    <row r="596">
      <c r="A596" s="71"/>
      <c r="B596" s="13"/>
      <c r="C596" s="13"/>
      <c r="D596" s="13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7"/>
      <c r="AF596" s="18"/>
    </row>
    <row r="597">
      <c r="A597" s="71"/>
      <c r="B597" s="13"/>
      <c r="C597" s="13"/>
      <c r="D597" s="13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7"/>
      <c r="AF597" s="18"/>
    </row>
    <row r="598">
      <c r="A598" s="71"/>
      <c r="B598" s="13"/>
      <c r="C598" s="13"/>
      <c r="D598" s="13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7"/>
      <c r="AF598" s="18"/>
    </row>
    <row r="599">
      <c r="A599" s="71"/>
      <c r="B599" s="13"/>
      <c r="C599" s="13"/>
      <c r="D599" s="13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7"/>
      <c r="AF599" s="18"/>
    </row>
    <row r="600">
      <c r="A600" s="71"/>
      <c r="B600" s="13"/>
      <c r="C600" s="13"/>
      <c r="D600" s="13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7"/>
      <c r="AF600" s="18"/>
    </row>
    <row r="601">
      <c r="A601" s="71"/>
      <c r="B601" s="13"/>
      <c r="C601" s="13"/>
      <c r="D601" s="13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7"/>
      <c r="AF601" s="18"/>
    </row>
    <row r="602">
      <c r="A602" s="71"/>
      <c r="B602" s="13"/>
      <c r="C602" s="13"/>
      <c r="D602" s="1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7"/>
      <c r="AF602" s="18"/>
    </row>
    <row r="603">
      <c r="A603" s="71"/>
      <c r="B603" s="13"/>
      <c r="C603" s="13"/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7"/>
      <c r="AF603" s="18"/>
    </row>
    <row r="604">
      <c r="A604" s="71"/>
      <c r="B604" s="13"/>
      <c r="C604" s="13"/>
      <c r="D604" s="13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7"/>
      <c r="AF604" s="18"/>
    </row>
    <row r="605">
      <c r="A605" s="71"/>
      <c r="B605" s="13"/>
      <c r="C605" s="13"/>
      <c r="D605" s="13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7"/>
      <c r="AF605" s="18"/>
    </row>
    <row r="606">
      <c r="A606" s="71"/>
      <c r="B606" s="13"/>
      <c r="C606" s="13"/>
      <c r="D606" s="13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7"/>
      <c r="AF606" s="18"/>
    </row>
    <row r="607">
      <c r="A607" s="71"/>
      <c r="B607" s="13"/>
      <c r="C607" s="13"/>
      <c r="D607" s="13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7"/>
      <c r="AF607" s="18"/>
    </row>
    <row r="608">
      <c r="A608" s="71"/>
      <c r="B608" s="13"/>
      <c r="C608" s="13"/>
      <c r="D608" s="13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7"/>
      <c r="AF608" s="18"/>
    </row>
    <row r="609">
      <c r="A609" s="71"/>
      <c r="B609" s="13"/>
      <c r="C609" s="13"/>
      <c r="D609" s="13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7"/>
      <c r="AF609" s="18"/>
    </row>
    <row r="610">
      <c r="A610" s="71"/>
      <c r="B610" s="13"/>
      <c r="C610" s="13"/>
      <c r="D610" s="13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7"/>
      <c r="AF610" s="18"/>
    </row>
    <row r="611">
      <c r="A611" s="71"/>
      <c r="B611" s="13"/>
      <c r="C611" s="13"/>
      <c r="D611" s="13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7"/>
      <c r="AF611" s="18"/>
    </row>
    <row r="612">
      <c r="A612" s="71"/>
      <c r="B612" s="13"/>
      <c r="C612" s="13"/>
      <c r="D612" s="13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7"/>
      <c r="AF612" s="18"/>
    </row>
    <row r="613">
      <c r="A613" s="71"/>
      <c r="B613" s="13"/>
      <c r="C613" s="13"/>
      <c r="D613" s="13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7"/>
      <c r="AF613" s="18"/>
    </row>
    <row r="614">
      <c r="A614" s="71"/>
      <c r="B614" s="13"/>
      <c r="C614" s="13"/>
      <c r="D614" s="13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7"/>
      <c r="AF614" s="18"/>
    </row>
    <row r="615">
      <c r="A615" s="71"/>
      <c r="B615" s="13"/>
      <c r="C615" s="13"/>
      <c r="D615" s="13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7"/>
      <c r="AF615" s="18"/>
    </row>
    <row r="616">
      <c r="A616" s="71"/>
      <c r="B616" s="13"/>
      <c r="C616" s="13"/>
      <c r="D616" s="1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7"/>
      <c r="AF616" s="18"/>
    </row>
    <row r="617">
      <c r="A617" s="71"/>
      <c r="B617" s="13"/>
      <c r="C617" s="13"/>
      <c r="D617" s="1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7"/>
      <c r="AF617" s="18"/>
    </row>
    <row r="618">
      <c r="A618" s="71"/>
      <c r="B618" s="13"/>
      <c r="C618" s="13"/>
      <c r="D618" s="13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7"/>
      <c r="AF618" s="18"/>
    </row>
    <row r="619">
      <c r="A619" s="71"/>
      <c r="B619" s="13"/>
      <c r="C619" s="13"/>
      <c r="D619" s="13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7"/>
      <c r="AF619" s="18"/>
    </row>
    <row r="620">
      <c r="A620" s="71"/>
      <c r="B620" s="13"/>
      <c r="C620" s="13"/>
      <c r="D620" s="13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7"/>
      <c r="AF620" s="18"/>
    </row>
    <row r="621">
      <c r="A621" s="71"/>
      <c r="B621" s="13"/>
      <c r="C621" s="13"/>
      <c r="D621" s="13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7"/>
      <c r="AF621" s="18"/>
    </row>
    <row r="622">
      <c r="A622" s="71"/>
      <c r="B622" s="13"/>
      <c r="C622" s="13"/>
      <c r="D622" s="13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7"/>
      <c r="AF622" s="18"/>
    </row>
    <row r="623">
      <c r="A623" s="71"/>
      <c r="B623" s="13"/>
      <c r="C623" s="13"/>
      <c r="D623" s="13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7"/>
      <c r="AF623" s="18"/>
    </row>
    <row r="624">
      <c r="A624" s="71"/>
      <c r="B624" s="13"/>
      <c r="C624" s="13"/>
      <c r="D624" s="13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7"/>
      <c r="AF624" s="18"/>
    </row>
    <row r="625">
      <c r="A625" s="71"/>
      <c r="B625" s="13"/>
      <c r="C625" s="13"/>
      <c r="D625" s="13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7"/>
      <c r="AF625" s="18"/>
    </row>
    <row r="626">
      <c r="A626" s="71"/>
      <c r="B626" s="13"/>
      <c r="C626" s="13"/>
      <c r="D626" s="13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7"/>
      <c r="AF626" s="18"/>
    </row>
    <row r="627">
      <c r="A627" s="71"/>
      <c r="B627" s="13"/>
      <c r="C627" s="13"/>
      <c r="D627" s="13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7"/>
      <c r="AF627" s="18"/>
    </row>
    <row r="628">
      <c r="A628" s="71"/>
      <c r="B628" s="13"/>
      <c r="C628" s="13"/>
      <c r="D628" s="13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7"/>
      <c r="AF628" s="18"/>
    </row>
    <row r="629">
      <c r="A629" s="71"/>
      <c r="B629" s="13"/>
      <c r="C629" s="13"/>
      <c r="D629" s="13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7"/>
      <c r="AF629" s="18"/>
    </row>
    <row r="630">
      <c r="A630" s="71"/>
      <c r="B630" s="13"/>
      <c r="C630" s="13"/>
      <c r="D630" s="13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7"/>
      <c r="AF630" s="18"/>
    </row>
    <row r="631">
      <c r="A631" s="71"/>
      <c r="B631" s="13"/>
      <c r="C631" s="13"/>
      <c r="D631" s="1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7"/>
      <c r="AF631" s="18"/>
    </row>
    <row r="632">
      <c r="A632" s="71"/>
      <c r="B632" s="13"/>
      <c r="C632" s="13"/>
      <c r="D632" s="1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7"/>
      <c r="AF632" s="18"/>
    </row>
    <row r="633">
      <c r="A633" s="71"/>
      <c r="B633" s="13"/>
      <c r="C633" s="13"/>
      <c r="D633" s="13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7"/>
      <c r="AF633" s="18"/>
    </row>
    <row r="634">
      <c r="A634" s="71"/>
      <c r="B634" s="13"/>
      <c r="C634" s="13"/>
      <c r="D634" s="13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7"/>
      <c r="AF634" s="18"/>
    </row>
    <row r="635">
      <c r="A635" s="71"/>
      <c r="B635" s="13"/>
      <c r="C635" s="13"/>
      <c r="D635" s="13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7"/>
      <c r="AF635" s="18"/>
    </row>
    <row r="636">
      <c r="A636" s="71"/>
      <c r="B636" s="13"/>
      <c r="C636" s="13"/>
      <c r="D636" s="13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7"/>
      <c r="AF636" s="18"/>
    </row>
    <row r="637">
      <c r="A637" s="71"/>
      <c r="B637" s="13"/>
      <c r="C637" s="13"/>
      <c r="D637" s="13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7"/>
      <c r="AF637" s="18"/>
    </row>
    <row r="638">
      <c r="A638" s="71"/>
      <c r="B638" s="13"/>
      <c r="C638" s="13"/>
      <c r="D638" s="13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7"/>
      <c r="AF638" s="18"/>
    </row>
    <row r="639">
      <c r="A639" s="71"/>
      <c r="B639" s="13"/>
      <c r="C639" s="13"/>
      <c r="D639" s="13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7"/>
      <c r="AF639" s="18"/>
    </row>
    <row r="640">
      <c r="A640" s="71"/>
      <c r="B640" s="13"/>
      <c r="C640" s="13"/>
      <c r="D640" s="13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7"/>
      <c r="AF640" s="18"/>
    </row>
    <row r="641">
      <c r="A641" s="71"/>
      <c r="B641" s="13"/>
      <c r="C641" s="13"/>
      <c r="D641" s="13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7"/>
      <c r="AF641" s="18"/>
    </row>
    <row r="642">
      <c r="A642" s="71"/>
      <c r="B642" s="13"/>
      <c r="C642" s="13"/>
      <c r="D642" s="13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7"/>
      <c r="AF642" s="18"/>
    </row>
    <row r="643">
      <c r="A643" s="71"/>
      <c r="B643" s="13"/>
      <c r="C643" s="13"/>
      <c r="D643" s="13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7"/>
      <c r="AF643" s="18"/>
    </row>
    <row r="644">
      <c r="A644" s="71"/>
      <c r="B644" s="13"/>
      <c r="C644" s="13"/>
      <c r="D644" s="1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7"/>
      <c r="AF644" s="18"/>
    </row>
    <row r="645">
      <c r="A645" s="71"/>
      <c r="B645" s="13"/>
      <c r="C645" s="13"/>
      <c r="D645" s="1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7"/>
      <c r="AF645" s="18"/>
    </row>
    <row r="646">
      <c r="A646" s="71"/>
      <c r="B646" s="13"/>
      <c r="C646" s="13"/>
      <c r="D646" s="13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7"/>
      <c r="AF646" s="18"/>
    </row>
    <row r="647">
      <c r="A647" s="71"/>
      <c r="B647" s="13"/>
      <c r="C647" s="13"/>
      <c r="D647" s="13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7"/>
      <c r="AF647" s="18"/>
    </row>
    <row r="648">
      <c r="A648" s="71"/>
      <c r="B648" s="13"/>
      <c r="C648" s="13"/>
      <c r="D648" s="13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7"/>
      <c r="AF648" s="18"/>
    </row>
    <row r="649">
      <c r="A649" s="71"/>
      <c r="B649" s="13"/>
      <c r="C649" s="13"/>
      <c r="D649" s="13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7"/>
      <c r="AF649" s="18"/>
    </row>
    <row r="650">
      <c r="A650" s="71"/>
      <c r="B650" s="13"/>
      <c r="C650" s="13"/>
      <c r="D650" s="13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7"/>
      <c r="AF650" s="18"/>
    </row>
    <row r="651">
      <c r="A651" s="71"/>
      <c r="B651" s="13"/>
      <c r="C651" s="13"/>
      <c r="D651" s="13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7"/>
      <c r="AF651" s="18"/>
    </row>
    <row r="652">
      <c r="A652" s="71"/>
      <c r="B652" s="13"/>
      <c r="C652" s="13"/>
      <c r="D652" s="13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7"/>
      <c r="AF652" s="18"/>
    </row>
    <row r="653">
      <c r="A653" s="71"/>
      <c r="B653" s="13"/>
      <c r="C653" s="13"/>
      <c r="D653" s="13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7"/>
      <c r="AF653" s="18"/>
    </row>
    <row r="654">
      <c r="A654" s="71"/>
      <c r="B654" s="13"/>
      <c r="C654" s="13"/>
      <c r="D654" s="13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7"/>
      <c r="AF654" s="18"/>
    </row>
    <row r="655">
      <c r="A655" s="71"/>
      <c r="B655" s="13"/>
      <c r="C655" s="13"/>
      <c r="D655" s="13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7"/>
      <c r="AF655" s="18"/>
    </row>
    <row r="656">
      <c r="A656" s="71"/>
      <c r="B656" s="13"/>
      <c r="C656" s="13"/>
      <c r="D656" s="13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7"/>
      <c r="AF656" s="18"/>
    </row>
    <row r="657">
      <c r="A657" s="71"/>
      <c r="B657" s="13"/>
      <c r="C657" s="13"/>
      <c r="D657" s="13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7"/>
      <c r="AF657" s="18"/>
    </row>
    <row r="658">
      <c r="A658" s="71"/>
      <c r="B658" s="13"/>
      <c r="C658" s="13"/>
      <c r="D658" s="13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7"/>
      <c r="AF658" s="18"/>
    </row>
    <row r="659">
      <c r="A659" s="71"/>
      <c r="B659" s="13"/>
      <c r="C659" s="13"/>
      <c r="D659" s="1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7"/>
      <c r="AF659" s="18"/>
    </row>
    <row r="660">
      <c r="A660" s="71"/>
      <c r="B660" s="13"/>
      <c r="C660" s="13"/>
      <c r="D660" s="1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7"/>
      <c r="AF660" s="18"/>
    </row>
    <row r="661">
      <c r="A661" s="71"/>
      <c r="B661" s="13"/>
      <c r="C661" s="13"/>
      <c r="D661" s="13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7"/>
      <c r="AF661" s="18"/>
    </row>
    <row r="662">
      <c r="A662" s="71"/>
      <c r="B662" s="13"/>
      <c r="C662" s="13"/>
      <c r="D662" s="13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7"/>
      <c r="AF662" s="18"/>
    </row>
    <row r="663">
      <c r="A663" s="71"/>
      <c r="B663" s="13"/>
      <c r="C663" s="13"/>
      <c r="D663" s="13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7"/>
      <c r="AF663" s="18"/>
    </row>
    <row r="664">
      <c r="A664" s="71"/>
      <c r="B664" s="13"/>
      <c r="C664" s="13"/>
      <c r="D664" s="13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7"/>
      <c r="AF664" s="18"/>
    </row>
    <row r="665">
      <c r="A665" s="71"/>
      <c r="B665" s="13"/>
      <c r="C665" s="13"/>
      <c r="D665" s="13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7"/>
      <c r="AF665" s="18"/>
    </row>
    <row r="666">
      <c r="A666" s="71"/>
      <c r="B666" s="13"/>
      <c r="C666" s="13"/>
      <c r="D666" s="13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7"/>
      <c r="AF666" s="18"/>
    </row>
    <row r="667">
      <c r="A667" s="71"/>
      <c r="B667" s="13"/>
      <c r="C667" s="13"/>
      <c r="D667" s="13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7"/>
      <c r="AF667" s="18"/>
    </row>
    <row r="668">
      <c r="A668" s="71"/>
      <c r="B668" s="13"/>
      <c r="C668" s="13"/>
      <c r="D668" s="13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7"/>
      <c r="AF668" s="18"/>
    </row>
    <row r="669">
      <c r="A669" s="71"/>
      <c r="B669" s="13"/>
      <c r="C669" s="13"/>
      <c r="D669" s="13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7"/>
      <c r="AF669" s="18"/>
    </row>
    <row r="670">
      <c r="A670" s="71"/>
      <c r="B670" s="13"/>
      <c r="C670" s="13"/>
      <c r="D670" s="13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7"/>
      <c r="AF670" s="18"/>
    </row>
    <row r="671">
      <c r="A671" s="71"/>
      <c r="B671" s="13"/>
      <c r="C671" s="13"/>
      <c r="D671" s="13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7"/>
      <c r="AF671" s="18"/>
    </row>
    <row r="672">
      <c r="A672" s="71"/>
      <c r="B672" s="13"/>
      <c r="C672" s="13"/>
      <c r="D672" s="13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7"/>
      <c r="AF672" s="18"/>
    </row>
    <row r="673">
      <c r="A673" s="71"/>
      <c r="B673" s="13"/>
      <c r="C673" s="13"/>
      <c r="D673" s="13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7"/>
      <c r="AF673" s="18"/>
    </row>
    <row r="674">
      <c r="A674" s="71"/>
      <c r="B674" s="13"/>
      <c r="C674" s="13"/>
      <c r="D674" s="1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7"/>
      <c r="AF674" s="18"/>
    </row>
    <row r="675">
      <c r="A675" s="71"/>
      <c r="B675" s="13"/>
      <c r="C675" s="13"/>
      <c r="D675" s="1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7"/>
      <c r="AF675" s="18"/>
    </row>
    <row r="676">
      <c r="A676" s="71"/>
      <c r="B676" s="13"/>
      <c r="C676" s="13"/>
      <c r="D676" s="13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7"/>
      <c r="AF676" s="18"/>
    </row>
    <row r="677">
      <c r="A677" s="71"/>
      <c r="B677" s="13"/>
      <c r="C677" s="13"/>
      <c r="D677" s="13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7"/>
      <c r="AF677" s="18"/>
    </row>
    <row r="678">
      <c r="A678" s="71"/>
      <c r="B678" s="13"/>
      <c r="C678" s="13"/>
      <c r="D678" s="13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7"/>
      <c r="AF678" s="18"/>
    </row>
    <row r="679">
      <c r="A679" s="71"/>
      <c r="B679" s="13"/>
      <c r="C679" s="13"/>
      <c r="D679" s="13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7"/>
      <c r="AF679" s="18"/>
    </row>
    <row r="680">
      <c r="A680" s="71"/>
      <c r="B680" s="13"/>
      <c r="C680" s="13"/>
      <c r="D680" s="13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7"/>
      <c r="AF680" s="18"/>
    </row>
    <row r="681">
      <c r="A681" s="71"/>
      <c r="B681" s="13"/>
      <c r="C681" s="13"/>
      <c r="D681" s="13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7"/>
      <c r="AF681" s="18"/>
    </row>
    <row r="682">
      <c r="A682" s="71"/>
      <c r="B682" s="13"/>
      <c r="C682" s="13"/>
      <c r="D682" s="13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7"/>
      <c r="AF682" s="18"/>
    </row>
    <row r="683">
      <c r="A683" s="71"/>
      <c r="B683" s="13"/>
      <c r="C683" s="13"/>
      <c r="D683" s="13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7"/>
      <c r="AF683" s="18"/>
    </row>
    <row r="684">
      <c r="A684" s="71"/>
      <c r="B684" s="13"/>
      <c r="C684" s="13"/>
      <c r="D684" s="13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7"/>
      <c r="AF684" s="18"/>
    </row>
    <row r="685">
      <c r="A685" s="71"/>
      <c r="B685" s="13"/>
      <c r="C685" s="13"/>
      <c r="D685" s="13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7"/>
      <c r="AF685" s="18"/>
    </row>
    <row r="686">
      <c r="A686" s="71"/>
      <c r="B686" s="13"/>
      <c r="C686" s="13"/>
      <c r="D686" s="13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7"/>
      <c r="AF686" s="18"/>
    </row>
    <row r="687">
      <c r="A687" s="71"/>
      <c r="B687" s="13"/>
      <c r="C687" s="13"/>
      <c r="D687" s="13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7"/>
      <c r="AF687" s="18"/>
    </row>
    <row r="688">
      <c r="A688" s="71"/>
      <c r="B688" s="13"/>
      <c r="C688" s="13"/>
      <c r="D688" s="1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7"/>
      <c r="AF688" s="18"/>
    </row>
    <row r="689">
      <c r="A689" s="71"/>
      <c r="B689" s="13"/>
      <c r="C689" s="13"/>
      <c r="D689" s="1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7"/>
      <c r="AF689" s="18"/>
    </row>
    <row r="690">
      <c r="A690" s="71"/>
      <c r="B690" s="13"/>
      <c r="C690" s="13"/>
      <c r="D690" s="13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7"/>
      <c r="AF690" s="18"/>
    </row>
    <row r="691">
      <c r="A691" s="71"/>
      <c r="B691" s="13"/>
      <c r="C691" s="13"/>
      <c r="D691" s="13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7"/>
      <c r="AF691" s="18"/>
    </row>
    <row r="692">
      <c r="A692" s="71"/>
      <c r="B692" s="13"/>
      <c r="C692" s="13"/>
      <c r="D692" s="13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7"/>
      <c r="AF692" s="18"/>
    </row>
    <row r="693">
      <c r="A693" s="71"/>
      <c r="B693" s="13"/>
      <c r="C693" s="13"/>
      <c r="D693" s="13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7"/>
      <c r="AF693" s="18"/>
    </row>
    <row r="694">
      <c r="A694" s="71"/>
      <c r="B694" s="13"/>
      <c r="C694" s="13"/>
      <c r="D694" s="13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7"/>
      <c r="AF694" s="18"/>
    </row>
    <row r="695">
      <c r="A695" s="71"/>
      <c r="B695" s="13"/>
      <c r="C695" s="13"/>
      <c r="D695" s="13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7"/>
      <c r="AF695" s="18"/>
    </row>
    <row r="696">
      <c r="A696" s="71"/>
      <c r="B696" s="13"/>
      <c r="C696" s="13"/>
      <c r="D696" s="13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7"/>
      <c r="AF696" s="18"/>
    </row>
    <row r="697">
      <c r="A697" s="71"/>
      <c r="B697" s="13"/>
      <c r="C697" s="13"/>
      <c r="D697" s="13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7"/>
      <c r="AF697" s="18"/>
    </row>
    <row r="698">
      <c r="A698" s="71"/>
      <c r="B698" s="13"/>
      <c r="C698" s="13"/>
      <c r="D698" s="13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7"/>
      <c r="AF698" s="18"/>
    </row>
    <row r="699">
      <c r="A699" s="71"/>
      <c r="B699" s="13"/>
      <c r="C699" s="13"/>
      <c r="D699" s="13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7"/>
      <c r="AF699" s="18"/>
    </row>
    <row r="700">
      <c r="A700" s="71"/>
      <c r="B700" s="13"/>
      <c r="C700" s="13"/>
      <c r="D700" s="13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7"/>
      <c r="AF700" s="18"/>
    </row>
    <row r="701">
      <c r="A701" s="71"/>
      <c r="B701" s="13"/>
      <c r="C701" s="13"/>
      <c r="D701" s="13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7"/>
      <c r="AF701" s="18"/>
    </row>
    <row r="702">
      <c r="A702" s="71"/>
      <c r="B702" s="13"/>
      <c r="C702" s="13"/>
      <c r="D702" s="13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7"/>
      <c r="AF702" s="18"/>
    </row>
    <row r="703">
      <c r="A703" s="71"/>
      <c r="B703" s="13"/>
      <c r="C703" s="13"/>
      <c r="D703" s="1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7"/>
      <c r="AF703" s="18"/>
    </row>
    <row r="704">
      <c r="A704" s="71"/>
      <c r="B704" s="13"/>
      <c r="C704" s="13"/>
      <c r="D704" s="1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7"/>
      <c r="AF704" s="18"/>
    </row>
    <row r="705">
      <c r="A705" s="71"/>
      <c r="B705" s="13"/>
      <c r="C705" s="13"/>
      <c r="D705" s="13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7"/>
      <c r="AF705" s="18"/>
    </row>
    <row r="706">
      <c r="A706" s="71"/>
      <c r="B706" s="13"/>
      <c r="C706" s="13"/>
      <c r="D706" s="13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7"/>
      <c r="AF706" s="18"/>
    </row>
    <row r="707">
      <c r="A707" s="71"/>
      <c r="B707" s="13"/>
      <c r="C707" s="13"/>
      <c r="D707" s="13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7"/>
      <c r="AF707" s="18"/>
    </row>
    <row r="708">
      <c r="A708" s="71"/>
      <c r="B708" s="13"/>
      <c r="C708" s="13"/>
      <c r="D708" s="13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7"/>
      <c r="AF708" s="18"/>
    </row>
    <row r="709">
      <c r="A709" s="71"/>
      <c r="B709" s="13"/>
      <c r="C709" s="13"/>
      <c r="D709" s="13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7"/>
      <c r="AF709" s="18"/>
    </row>
  </sheetData>
  <autoFilter ref="$A$6:$AF$709">
    <sortState ref="A6:AF709">
      <sortCondition descending="1" ref="A6:A709"/>
      <sortCondition descending="1" ref="E6:E709"/>
      <sortCondition ref="H6:H709"/>
      <sortCondition ref="P6:P709"/>
      <sortCondition descending="1" ref="J6:J709"/>
      <sortCondition descending="1" ref="I6:I709"/>
    </sortState>
  </autoFilter>
  <customSheetViews>
    <customSheetView guid="{B1A90CEA-F9E7-4DE5-8E9C-CAD6660A6BE2}" filter="1" showAutoFilter="1">
      <autoFilter ref="$A$6:$AE$709">
        <sortState ref="A6:AE709">
          <sortCondition ref="A6:A709"/>
          <sortCondition ref="J6:J709"/>
          <sortCondition descending="1" ref="H6:H709"/>
          <sortCondition descending="1" ref="E6:E709"/>
        </sortState>
      </autoFilter>
    </customSheetView>
  </customSheetViews>
  <mergeCells count="3">
    <mergeCell ref="D1:V1"/>
    <mergeCell ref="C4:D4"/>
    <mergeCell ref="E5:G5"/>
  </mergeCell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ySplit="6.0" topLeftCell="H7" activePane="bottomRight" state="frozen"/>
      <selection activeCell="H1" sqref="H1" pane="topRight"/>
      <selection activeCell="A7" sqref="A7" pane="bottomLeft"/>
      <selection activeCell="H7" sqref="H7" pane="bottomRight"/>
    </sheetView>
  </sheetViews>
  <sheetFormatPr customHeight="1" defaultColWidth="14.43" defaultRowHeight="15.75"/>
  <cols>
    <col customWidth="1" min="1" max="1" width="6.57"/>
    <col customWidth="1" hidden="1" min="2" max="2" width="35.43"/>
    <col customWidth="1" min="3" max="3" width="29.14"/>
    <col customWidth="1" hidden="1" min="6" max="6" width="10.14"/>
    <col customWidth="1" min="7" max="7" width="9.0"/>
    <col customWidth="1" min="8" max="8" width="7.29"/>
    <col customWidth="1" min="9" max="9" width="9.71"/>
    <col customWidth="1" min="10" max="10" width="33.0"/>
    <col customWidth="1" min="11" max="11" width="19.0"/>
    <col customWidth="1" min="12" max="12" width="2.0"/>
    <col customWidth="1" min="13" max="13" width="2.29"/>
    <col customWidth="1" min="15" max="15" width="10.14"/>
    <col customWidth="1" min="16" max="16" width="27.43"/>
    <col customWidth="1" min="17" max="20" width="10.14"/>
    <col customWidth="1" min="21" max="41" width="2.86"/>
    <col customWidth="1" min="42" max="45" width="10.14"/>
    <col customWidth="1" min="46" max="66" width="3.14"/>
    <col customWidth="1" min="67" max="67" width="5.29"/>
  </cols>
  <sheetData>
    <row r="1">
      <c r="C1" s="72"/>
      <c r="H1" s="11"/>
      <c r="I1" s="73"/>
      <c r="J1" s="74"/>
      <c r="O1" s="75"/>
      <c r="P1" s="76"/>
      <c r="Q1" s="77"/>
      <c r="R1" s="78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9"/>
      <c r="AQ1" s="79"/>
      <c r="AR1" s="79"/>
      <c r="AS1" s="79"/>
      <c r="AT1" s="79"/>
      <c r="AU1" s="79"/>
      <c r="AV1" s="79"/>
      <c r="AW1" s="79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</row>
    <row r="2">
      <c r="C2" s="72"/>
      <c r="H2" s="81" t="s">
        <v>550</v>
      </c>
      <c r="O2" s="82" t="s">
        <v>551</v>
      </c>
      <c r="P2" s="83">
        <v>1.0E7</v>
      </c>
      <c r="Q2" s="77"/>
      <c r="R2" s="78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9"/>
      <c r="AQ2" s="79"/>
      <c r="AR2" s="79"/>
      <c r="AS2" s="79"/>
      <c r="AT2" s="79"/>
      <c r="AU2" s="79"/>
      <c r="AV2" s="79"/>
      <c r="AW2" s="79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</row>
    <row r="3" ht="22.5" hidden="1" customHeight="1">
      <c r="H3" s="11"/>
      <c r="I3" s="84"/>
      <c r="J3" s="85"/>
      <c r="K3" s="86"/>
      <c r="L3" s="86"/>
      <c r="M3" s="86"/>
      <c r="N3" s="86"/>
      <c r="O3" s="87"/>
      <c r="P3" s="88"/>
      <c r="Q3" s="88"/>
      <c r="R3" s="89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90" t="str">
        <f t="shared" ref="AP3:BN3" si="1">VLOOKUP(AP6,$C:$F,3,0)</f>
        <v>Menor</v>
      </c>
      <c r="AQ3" s="90" t="str">
        <f t="shared" si="1"/>
        <v>Maior</v>
      </c>
      <c r="AR3" s="90" t="str">
        <f t="shared" si="1"/>
        <v>Maior</v>
      </c>
      <c r="AS3" s="90" t="str">
        <f t="shared" si="1"/>
        <v>#N/A</v>
      </c>
      <c r="AT3" s="90" t="str">
        <f t="shared" si="1"/>
        <v>#N/A</v>
      </c>
      <c r="AU3" s="90" t="str">
        <f t="shared" si="1"/>
        <v>#N/A</v>
      </c>
      <c r="AV3" s="90" t="str">
        <f t="shared" si="1"/>
        <v>#N/A</v>
      </c>
      <c r="AW3" s="90" t="str">
        <f t="shared" si="1"/>
        <v>#N/A</v>
      </c>
      <c r="AX3" s="91" t="str">
        <f t="shared" si="1"/>
        <v>#N/A</v>
      </c>
      <c r="AY3" s="91" t="str">
        <f t="shared" si="1"/>
        <v>#N/A</v>
      </c>
      <c r="AZ3" s="91" t="str">
        <f t="shared" si="1"/>
        <v>#N/A</v>
      </c>
      <c r="BA3" s="91" t="str">
        <f t="shared" si="1"/>
        <v>#N/A</v>
      </c>
      <c r="BB3" s="91" t="str">
        <f t="shared" si="1"/>
        <v>#N/A</v>
      </c>
      <c r="BC3" s="91" t="str">
        <f t="shared" si="1"/>
        <v>#N/A</v>
      </c>
      <c r="BD3" s="91" t="str">
        <f t="shared" si="1"/>
        <v>#N/A</v>
      </c>
      <c r="BE3" s="91" t="str">
        <f t="shared" si="1"/>
        <v>#N/A</v>
      </c>
      <c r="BF3" s="91" t="str">
        <f t="shared" si="1"/>
        <v>#N/A</v>
      </c>
      <c r="BG3" s="91" t="str">
        <f t="shared" si="1"/>
        <v>#N/A</v>
      </c>
      <c r="BH3" s="91" t="str">
        <f t="shared" si="1"/>
        <v>#N/A</v>
      </c>
      <c r="BI3" s="91" t="str">
        <f t="shared" si="1"/>
        <v>#N/A</v>
      </c>
      <c r="BJ3" s="91" t="str">
        <f t="shared" si="1"/>
        <v>#N/A</v>
      </c>
      <c r="BK3" s="91" t="str">
        <f t="shared" si="1"/>
        <v>#N/A</v>
      </c>
      <c r="BL3" s="91" t="str">
        <f t="shared" si="1"/>
        <v>#N/A</v>
      </c>
      <c r="BM3" s="91" t="str">
        <f t="shared" si="1"/>
        <v>#N/A</v>
      </c>
      <c r="BN3" s="91" t="str">
        <f t="shared" si="1"/>
        <v>#N/A</v>
      </c>
      <c r="BO3" s="92"/>
    </row>
    <row r="4" ht="22.5" hidden="1" customHeight="1">
      <c r="H4" s="11"/>
      <c r="I4" s="84"/>
      <c r="J4" s="85"/>
      <c r="K4" s="86"/>
      <c r="L4" s="86"/>
      <c r="M4" s="86"/>
      <c r="N4" s="86"/>
      <c r="O4" s="87"/>
      <c r="P4" s="93"/>
      <c r="Q4" s="88"/>
      <c r="R4" s="89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90">
        <v>1.0</v>
      </c>
      <c r="AQ4" s="90">
        <v>2.0</v>
      </c>
      <c r="AR4" s="90">
        <v>3.0</v>
      </c>
      <c r="AS4" s="90">
        <v>4.0</v>
      </c>
      <c r="AT4" s="90">
        <v>5.0</v>
      </c>
      <c r="AU4" s="90">
        <v>6.0</v>
      </c>
      <c r="AV4" s="90">
        <v>7.0</v>
      </c>
      <c r="AW4" s="90">
        <v>8.0</v>
      </c>
      <c r="AX4" s="91">
        <v>9.0</v>
      </c>
      <c r="AY4" s="91">
        <v>10.0</v>
      </c>
      <c r="AZ4" s="91">
        <v>11.0</v>
      </c>
      <c r="BA4" s="91">
        <v>12.0</v>
      </c>
      <c r="BB4" s="91">
        <v>13.0</v>
      </c>
      <c r="BC4" s="91">
        <v>14.0</v>
      </c>
      <c r="BD4" s="91">
        <v>15.0</v>
      </c>
      <c r="BE4" s="91">
        <v>16.0</v>
      </c>
      <c r="BF4" s="91">
        <v>17.0</v>
      </c>
      <c r="BG4" s="91">
        <v>18.0</v>
      </c>
      <c r="BH4" s="91">
        <v>19.0</v>
      </c>
      <c r="BI4" s="91">
        <v>20.0</v>
      </c>
      <c r="BJ4" s="91">
        <v>21.0</v>
      </c>
      <c r="BK4" s="91">
        <v>22.0</v>
      </c>
      <c r="BL4" s="91">
        <v>23.0</v>
      </c>
      <c r="BM4" s="91">
        <v>24.0</v>
      </c>
      <c r="BN4" s="91">
        <v>25.0</v>
      </c>
      <c r="BO4" s="92"/>
    </row>
    <row r="5" ht="22.5" hidden="1" customHeight="1">
      <c r="G5" s="86"/>
      <c r="H5" s="11"/>
      <c r="I5" s="84"/>
      <c r="J5" s="85"/>
      <c r="K5" s="86"/>
      <c r="L5" s="86"/>
      <c r="M5" s="86"/>
      <c r="N5" s="86"/>
      <c r="O5" s="94"/>
      <c r="P5" s="93"/>
      <c r="Q5" s="95"/>
      <c r="R5" s="96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79">
        <f t="shared" ref="AP5:BN5" si="2">VLOOKUP(AP4,$B$19:$F$42,5,0)</f>
        <v>16</v>
      </c>
      <c r="AQ5" s="79">
        <f t="shared" si="2"/>
        <v>25</v>
      </c>
      <c r="AR5" s="79">
        <f t="shared" si="2"/>
        <v>30</v>
      </c>
      <c r="AS5" s="79" t="str">
        <f t="shared" si="2"/>
        <v>#N/A</v>
      </c>
      <c r="AT5" s="79" t="str">
        <f t="shared" si="2"/>
        <v>#N/A</v>
      </c>
      <c r="AU5" s="79" t="str">
        <f t="shared" si="2"/>
        <v>#N/A</v>
      </c>
      <c r="AV5" s="79" t="str">
        <f t="shared" si="2"/>
        <v>#N/A</v>
      </c>
      <c r="AW5" s="79" t="str">
        <f t="shared" si="2"/>
        <v>#N/A</v>
      </c>
      <c r="AX5" s="97" t="str">
        <f t="shared" si="2"/>
        <v>#N/A</v>
      </c>
      <c r="AY5" s="97" t="str">
        <f t="shared" si="2"/>
        <v>#N/A</v>
      </c>
      <c r="AZ5" s="97" t="str">
        <f t="shared" si="2"/>
        <v>#N/A</v>
      </c>
      <c r="BA5" s="97" t="str">
        <f t="shared" si="2"/>
        <v>#N/A</v>
      </c>
      <c r="BB5" s="97" t="str">
        <f t="shared" si="2"/>
        <v>#N/A</v>
      </c>
      <c r="BC5" s="97" t="str">
        <f t="shared" si="2"/>
        <v>#N/A</v>
      </c>
      <c r="BD5" s="97" t="str">
        <f t="shared" si="2"/>
        <v>#N/A</v>
      </c>
      <c r="BE5" s="97" t="str">
        <f t="shared" si="2"/>
        <v>#N/A</v>
      </c>
      <c r="BF5" s="97" t="str">
        <f t="shared" si="2"/>
        <v>#N/A</v>
      </c>
      <c r="BG5" s="97" t="str">
        <f t="shared" si="2"/>
        <v>#N/A</v>
      </c>
      <c r="BH5" s="97" t="str">
        <f t="shared" si="2"/>
        <v>#N/A</v>
      </c>
      <c r="BI5" s="97" t="str">
        <f t="shared" si="2"/>
        <v>#N/A</v>
      </c>
      <c r="BJ5" s="97" t="str">
        <f t="shared" si="2"/>
        <v>#N/A</v>
      </c>
      <c r="BK5" s="97" t="str">
        <f t="shared" si="2"/>
        <v>#N/A</v>
      </c>
      <c r="BL5" s="97" t="str">
        <f t="shared" si="2"/>
        <v>#N/A</v>
      </c>
      <c r="BM5" s="97" t="str">
        <f t="shared" si="2"/>
        <v>#N/A</v>
      </c>
      <c r="BN5" s="97" t="str">
        <f t="shared" si="2"/>
        <v>#N/A</v>
      </c>
      <c r="BO5" s="97"/>
      <c r="BP5" s="97"/>
    </row>
    <row r="6" ht="66.0" customHeight="1">
      <c r="A6" s="98"/>
      <c r="B6" s="98"/>
      <c r="C6" s="99"/>
      <c r="D6" s="100"/>
      <c r="E6" s="100"/>
      <c r="F6" s="101"/>
      <c r="G6" s="100"/>
      <c r="H6" s="102"/>
      <c r="I6" s="103" t="s">
        <v>23</v>
      </c>
      <c r="J6" s="28" t="s">
        <v>24</v>
      </c>
      <c r="K6" s="28" t="s">
        <v>552</v>
      </c>
      <c r="L6" s="11"/>
      <c r="M6" s="11"/>
      <c r="N6" s="33" t="s">
        <v>23</v>
      </c>
      <c r="O6" s="104" t="s">
        <v>553</v>
      </c>
      <c r="P6" s="28" t="s">
        <v>554</v>
      </c>
      <c r="Q6" s="105" t="str">
        <f t="shared" ref="Q6:AO6" si="3">AP6</f>
        <v>EV/EBIT</v>
      </c>
      <c r="R6" s="106" t="str">
        <f t="shared" si="3"/>
        <v>ROIC</v>
      </c>
      <c r="S6" s="105" t="str">
        <f t="shared" si="3"/>
        <v>CAGR LUCROS 5 ANOS</v>
      </c>
      <c r="T6" s="105" t="str">
        <f t="shared" si="3"/>
        <v/>
      </c>
      <c r="U6" s="105" t="str">
        <f t="shared" si="3"/>
        <v/>
      </c>
      <c r="V6" s="105" t="str">
        <f t="shared" si="3"/>
        <v/>
      </c>
      <c r="W6" s="105" t="str">
        <f t="shared" si="3"/>
        <v/>
      </c>
      <c r="X6" s="105" t="str">
        <f t="shared" si="3"/>
        <v/>
      </c>
      <c r="Y6" s="107" t="str">
        <f t="shared" si="3"/>
        <v/>
      </c>
      <c r="Z6" s="107" t="str">
        <f t="shared" si="3"/>
        <v/>
      </c>
      <c r="AA6" s="107" t="str">
        <f t="shared" si="3"/>
        <v/>
      </c>
      <c r="AB6" s="107" t="str">
        <f t="shared" si="3"/>
        <v/>
      </c>
      <c r="AC6" s="107" t="str">
        <f t="shared" si="3"/>
        <v/>
      </c>
      <c r="AD6" s="107" t="str">
        <f t="shared" si="3"/>
        <v/>
      </c>
      <c r="AE6" s="107" t="str">
        <f t="shared" si="3"/>
        <v/>
      </c>
      <c r="AF6" s="107" t="str">
        <f t="shared" si="3"/>
        <v/>
      </c>
      <c r="AG6" s="107" t="str">
        <f t="shared" si="3"/>
        <v/>
      </c>
      <c r="AH6" s="107" t="str">
        <f t="shared" si="3"/>
        <v/>
      </c>
      <c r="AI6" s="107" t="str">
        <f t="shared" si="3"/>
        <v/>
      </c>
      <c r="AJ6" s="107" t="str">
        <f t="shared" si="3"/>
        <v/>
      </c>
      <c r="AK6" s="107" t="str">
        <f t="shared" si="3"/>
        <v/>
      </c>
      <c r="AL6" s="107" t="str">
        <f t="shared" si="3"/>
        <v/>
      </c>
      <c r="AM6" s="107" t="str">
        <f t="shared" si="3"/>
        <v/>
      </c>
      <c r="AN6" s="107" t="str">
        <f t="shared" si="3"/>
        <v/>
      </c>
      <c r="AO6" s="107" t="str">
        <f t="shared" si="3"/>
        <v/>
      </c>
      <c r="AP6" s="105" t="str">
        <f t="shared" ref="AP6:BN6" si="4">IF(ISERROR(VLOOKUP(AP4,$B:$E,2,0)),"",VLOOKUP(AP4,$B:$E,2,0))</f>
        <v>EV/EBIT</v>
      </c>
      <c r="AQ6" s="105" t="str">
        <f t="shared" si="4"/>
        <v>ROIC</v>
      </c>
      <c r="AR6" s="105" t="str">
        <f t="shared" si="4"/>
        <v>CAGR LUCROS 5 ANOS</v>
      </c>
      <c r="AS6" s="105" t="str">
        <f t="shared" si="4"/>
        <v/>
      </c>
      <c r="AT6" s="105" t="str">
        <f t="shared" si="4"/>
        <v/>
      </c>
      <c r="AU6" s="105" t="str">
        <f t="shared" si="4"/>
        <v/>
      </c>
      <c r="AV6" s="105" t="str">
        <f t="shared" si="4"/>
        <v/>
      </c>
      <c r="AW6" s="105" t="str">
        <f t="shared" si="4"/>
        <v/>
      </c>
      <c r="AX6" s="107" t="str">
        <f t="shared" si="4"/>
        <v/>
      </c>
      <c r="AY6" s="107" t="str">
        <f t="shared" si="4"/>
        <v/>
      </c>
      <c r="AZ6" s="107" t="str">
        <f t="shared" si="4"/>
        <v/>
      </c>
      <c r="BA6" s="107" t="str">
        <f t="shared" si="4"/>
        <v/>
      </c>
      <c r="BB6" s="107" t="str">
        <f t="shared" si="4"/>
        <v/>
      </c>
      <c r="BC6" s="107" t="str">
        <f t="shared" si="4"/>
        <v/>
      </c>
      <c r="BD6" s="107" t="str">
        <f t="shared" si="4"/>
        <v/>
      </c>
      <c r="BE6" s="107" t="str">
        <f t="shared" si="4"/>
        <v/>
      </c>
      <c r="BF6" s="107" t="str">
        <f t="shared" si="4"/>
        <v/>
      </c>
      <c r="BG6" s="107" t="str">
        <f t="shared" si="4"/>
        <v/>
      </c>
      <c r="BH6" s="107" t="str">
        <f t="shared" si="4"/>
        <v/>
      </c>
      <c r="BI6" s="107" t="str">
        <f t="shared" si="4"/>
        <v/>
      </c>
      <c r="BJ6" s="107" t="str">
        <f t="shared" si="4"/>
        <v/>
      </c>
      <c r="BK6" s="107" t="str">
        <f t="shared" si="4"/>
        <v/>
      </c>
      <c r="BL6" s="107" t="str">
        <f t="shared" si="4"/>
        <v/>
      </c>
      <c r="BM6" s="107" t="str">
        <f t="shared" si="4"/>
        <v/>
      </c>
      <c r="BN6" s="107" t="str">
        <f t="shared" si="4"/>
        <v/>
      </c>
      <c r="BO6" s="108"/>
      <c r="BP6" s="108" t="str">
        <f>IF(ISERROR(VLOOKUP(BP4,$B:$E,3,0)),"",VLOOKUP(BP4,$B:$E,3,0))</f>
        <v/>
      </c>
      <c r="BQ6" s="98"/>
      <c r="BR6" s="98"/>
    </row>
    <row r="7">
      <c r="C7" s="109" t="s">
        <v>555</v>
      </c>
      <c r="G7" s="11"/>
      <c r="H7" s="8">
        <v>1.0</v>
      </c>
      <c r="I7" s="110" t="str">
        <f t="shared" ref="I7:I198" si="6">index(N:N,match(SMALL(O:O,H7),O:O,0))</f>
        <v>ETER3</v>
      </c>
      <c r="J7" s="111" t="str">
        <f>VLOOKUP(left(I7,4),Setor!A:D,3,0)&amp;" | "&amp;VLOOKUP(left(I7,4),Setor!A:D,4,0)</f>
        <v>Bens Industriais | Construção e Engenharia</v>
      </c>
      <c r="K7" s="112">
        <f t="shared" ref="K7:K198" si="7">VLOOKUP(I7,N:P,3,0)</f>
        <v>28084200.33</v>
      </c>
      <c r="L7" s="11"/>
      <c r="M7" s="11"/>
      <c r="N7" s="10" t="s">
        <v>53</v>
      </c>
      <c r="O7" s="113">
        <f t="shared" ref="O7:O503" si="8">SUM(Q7:AO7)+IF(P7&gt;$P$2,0,1000)</f>
        <v>287.0034</v>
      </c>
      <c r="P7" s="114">
        <f>VLOOKUP(N7,'Dados StatusInvest'!A:Z,26,0)</f>
        <v>2820511501</v>
      </c>
      <c r="Q7" s="115">
        <f t="shared" ref="Q7:Q503" si="9">IF(AP7="","", RANK(AP7,AP$7:AP$503,0)+RANK(AP7,AP$7:AP$503,0)/10000)</f>
        <v>34.0034</v>
      </c>
      <c r="R7" s="116">
        <f t="shared" ref="R7:AO7" si="5">IF(AQ7="","", RANK(AQ7,AQ$7:AQ$503,0))</f>
        <v>34</v>
      </c>
      <c r="S7" s="115">
        <f t="shared" si="5"/>
        <v>219</v>
      </c>
      <c r="T7" s="115" t="str">
        <f t="shared" si="5"/>
        <v/>
      </c>
      <c r="U7" s="115" t="str">
        <f t="shared" si="5"/>
        <v/>
      </c>
      <c r="V7" s="115" t="str">
        <f t="shared" si="5"/>
        <v/>
      </c>
      <c r="W7" s="115" t="str">
        <f t="shared" si="5"/>
        <v/>
      </c>
      <c r="X7" s="115" t="str">
        <f t="shared" si="5"/>
        <v/>
      </c>
      <c r="Y7" s="115" t="str">
        <f t="shared" si="5"/>
        <v/>
      </c>
      <c r="Z7" s="115" t="str">
        <f t="shared" si="5"/>
        <v/>
      </c>
      <c r="AA7" s="115" t="str">
        <f t="shared" si="5"/>
        <v/>
      </c>
      <c r="AB7" s="115" t="str">
        <f t="shared" si="5"/>
        <v/>
      </c>
      <c r="AC7" s="115" t="str">
        <f t="shared" si="5"/>
        <v/>
      </c>
      <c r="AD7" s="115" t="str">
        <f t="shared" si="5"/>
        <v/>
      </c>
      <c r="AE7" s="115" t="str">
        <f t="shared" si="5"/>
        <v/>
      </c>
      <c r="AF7" s="115" t="str">
        <f t="shared" si="5"/>
        <v/>
      </c>
      <c r="AG7" s="115" t="str">
        <f t="shared" si="5"/>
        <v/>
      </c>
      <c r="AH7" s="115" t="str">
        <f t="shared" si="5"/>
        <v/>
      </c>
      <c r="AI7" s="115" t="str">
        <f t="shared" si="5"/>
        <v/>
      </c>
      <c r="AJ7" s="115" t="str">
        <f t="shared" si="5"/>
        <v/>
      </c>
      <c r="AK7" s="115" t="str">
        <f t="shared" si="5"/>
        <v/>
      </c>
      <c r="AL7" s="115" t="str">
        <f t="shared" si="5"/>
        <v/>
      </c>
      <c r="AM7" s="115" t="str">
        <f t="shared" si="5"/>
        <v/>
      </c>
      <c r="AN7" s="115" t="str">
        <f t="shared" si="5"/>
        <v/>
      </c>
      <c r="AO7" s="115" t="str">
        <f t="shared" si="5"/>
        <v/>
      </c>
      <c r="AP7" s="117">
        <f>IF(AP$6="","",IF(AP$3="Maior",IFERROR(IF(VLOOKUP($N7,Capa!$A:$AE,AP$5,0)="",0,VLOOKUP($N7,Capa!$A:$AE,AP$5,0)),0),IF(ISERROR(1/VLOOKUP($N7,Capa!$A:$AE,AP$5,0)),0,1/VLOOKUP($N7,Capa!$A:$AE,AP$5,0))))</f>
        <v>0.3003431927</v>
      </c>
      <c r="AQ7" s="118">
        <f>IF(AQ$6="","",IF(AQ$3="Maior",IFERROR(IF(VLOOKUP($N7,Capa!$A:$AE,AQ$5,0)="",0,VLOOKUP($N7,Capa!$A:$AE,AQ$5,0)),0),IF(ISERROR(1/VLOOKUP($N7,Capa!$A:$AE,AQ$5,0)),0,1/VLOOKUP($N7,Capa!$A:$AE,AQ$5,0))))</f>
        <v>35.12</v>
      </c>
      <c r="AR7" s="118">
        <f>IF(AR$6="","",IF(AR$3="Maior",IFERROR(IF(VLOOKUP($N7,Capa!$A:$AE,AR$5,0)="",0,VLOOKUP($N7,Capa!$A:$AE,AR$5,0)),0),IF(ISERROR(1/VLOOKUP($N7,Capa!$A:$AE,AR$5,0)),0,1/VLOOKUP($N7,Capa!$A:$AE,AR$5,0))))</f>
        <v>0</v>
      </c>
      <c r="AS7" s="118" t="str">
        <f>IF(AS$6="","",IF(AS$3="Maior",IFERROR(IF(VLOOKUP($N7,Capa!$A:$AE,AS$5,0)="",0,VLOOKUP($N7,Capa!$A:$AE,AS$5,0)),0),IF(ISERROR(1/VLOOKUP($N7,Capa!$A:$AE,AS$5,0)),0,1/VLOOKUP($N7,Capa!$A:$AE,AS$5,0))))</f>
        <v/>
      </c>
      <c r="AT7" s="118" t="str">
        <f>IF(AT$6="","",IF(AT$3="Maior",IFERROR(IF(VLOOKUP($N7,Capa!$A:$AE,AT$5,0)="",0,VLOOKUP($N7,Capa!$A:$AE,AT$5,0)),0),IF(ISERROR(1/VLOOKUP($N7,Capa!$A:$AE,AT$5,0)),0,1/VLOOKUP($N7,Capa!$A:$AE,AT$5,0))))</f>
        <v/>
      </c>
      <c r="AU7" s="118" t="str">
        <f>IF(AU$6="","",IF(AU$3="Maior",IFERROR(IF(VLOOKUP($N7,Capa!$A:$AE,AU$5,0)="",0,VLOOKUP($N7,Capa!$A:$AE,AU$5,0)),0),IF(ISERROR(1/VLOOKUP($N7,Capa!$A:$AE,AU$5,0)),0,1/VLOOKUP($N7,Capa!$A:$AE,AU$5,0))))</f>
        <v/>
      </c>
      <c r="AV7" s="118" t="str">
        <f>IF(AV$6="","",IF(AV$3="Maior",IFERROR(IF(VLOOKUP($N7,Capa!$A:$AE,AV$5,0)="",0,VLOOKUP($N7,Capa!$A:$AE,AV$5,0)),0),IF(ISERROR(1/VLOOKUP($N7,Capa!$A:$AE,AV$5,0)),0,1/VLOOKUP($N7,Capa!$A:$AE,AV$5,0))))</f>
        <v/>
      </c>
      <c r="AW7" s="118" t="str">
        <f>IF(AW$6="","",IF(AW$3="Maior",IFERROR(IF(VLOOKUP($N7,Capa!$A:$AE,AW$5,0)="",0,VLOOKUP($N7,Capa!$A:$AE,AW$5,0)),0),IF(ISERROR(1/VLOOKUP($N7,Capa!$A:$AE,AW$5,0)),0,1/VLOOKUP($N7,Capa!$A:$AE,AW$5,0))))</f>
        <v/>
      </c>
      <c r="AX7" s="118" t="str">
        <f>IF(AX$6="","",IF(AX$3="Maior",IFERROR(IF(VLOOKUP($N7,Capa!$A:$AE,AX$5,0)="",0,VLOOKUP($N7,Capa!$A:$AE,AX$5,0)),0),IF(ISERROR(1/VLOOKUP($N7,Capa!$A:$AE,AX$5,0)),0,1/VLOOKUP($N7,Capa!$A:$AE,AX$5,0))))</f>
        <v/>
      </c>
      <c r="AY7" s="118" t="str">
        <f>IF(AY$6="","",IF(AY$3="Maior",IFERROR(IF(VLOOKUP($N7,Capa!$A:$AE,AY$5,0)="",0,VLOOKUP($N7,Capa!$A:$AE,AY$5,0)),0),IF(ISERROR(1/VLOOKUP($N7,Capa!$A:$AE,AY$5,0)),0,1/VLOOKUP($N7,Capa!$A:$AE,AY$5,0))))</f>
        <v/>
      </c>
      <c r="AZ7" s="118" t="str">
        <f>IF(AZ$6="","",IF(AZ$3="Maior",IFERROR(IF(VLOOKUP($N7,Capa!$A:$AE,AZ$5,0)="",0,VLOOKUP($N7,Capa!$A:$AE,AZ$5,0)),0),IF(ISERROR(1/VLOOKUP($N7,Capa!$A:$AE,AZ$5,0)),0,1/VLOOKUP($N7,Capa!$A:$AE,AZ$5,0))))</f>
        <v/>
      </c>
      <c r="BA7" s="118" t="str">
        <f>IF(BA$6="","",IF(BA$3="Maior",IFERROR(IF(VLOOKUP($N7,Capa!$A:$AE,BA$5,0)="",0,VLOOKUP($N7,Capa!$A:$AE,BA$5,0)),0),IF(ISERROR(1/VLOOKUP($N7,Capa!$A:$AE,BA$5,0)),0,1/VLOOKUP($N7,Capa!$A:$AE,BA$5,0))))</f>
        <v/>
      </c>
      <c r="BB7" s="118" t="str">
        <f>IF(BB$6="","",IF(BB$3="Maior",IFERROR(IF(VLOOKUP($N7,Capa!$A:$AE,BB$5,0)="",0,VLOOKUP($N7,Capa!$A:$AE,BB$5,0)),0),IF(ISERROR(1/VLOOKUP($N7,Capa!$A:$AE,BB$5,0)),0,1/VLOOKUP($N7,Capa!$A:$AE,BB$5,0))))</f>
        <v/>
      </c>
      <c r="BC7" s="118" t="str">
        <f>IF(BC$6="","",IF(BC$3="Maior",IFERROR(IF(VLOOKUP($N7,Capa!$A:$AE,BC$5,0)="",0,VLOOKUP($N7,Capa!$A:$AE,BC$5,0)),0),IF(ISERROR(1/VLOOKUP($N7,Capa!$A:$AE,BC$5,0)),0,1/VLOOKUP($N7,Capa!$A:$AE,BC$5,0))))</f>
        <v/>
      </c>
      <c r="BD7" s="118" t="str">
        <f>IF(BD$6="","",IF(BD$3="Maior",IFERROR(IF(VLOOKUP($N7,Capa!$A:$AE,BD$5,0)="",0,VLOOKUP($N7,Capa!$A:$AE,BD$5,0)),0),IF(ISERROR(1/VLOOKUP($N7,Capa!$A:$AE,BD$5,0)),0,1/VLOOKUP($N7,Capa!$A:$AE,BD$5,0))))</f>
        <v/>
      </c>
      <c r="BE7" s="118" t="str">
        <f>IF(BE$6="","",IF(BE$3="Maior",IFERROR(IF(VLOOKUP($N7,Capa!$A:$AE,BE$5,0)="",0,VLOOKUP($N7,Capa!$A:$AE,BE$5,0)),0),IF(ISERROR(1/VLOOKUP($N7,Capa!$A:$AE,BE$5,0)),0,1/VLOOKUP($N7,Capa!$A:$AE,BE$5,0))))</f>
        <v/>
      </c>
      <c r="BF7" s="118" t="str">
        <f>IF(BF$6="","",IF(BF$3="Maior",IFERROR(IF(VLOOKUP($N7,Capa!$A:$AE,BF$5,0)="",0,VLOOKUP($N7,Capa!$A:$AE,BF$5,0)),0),IF(ISERROR(1/VLOOKUP($N7,Capa!$A:$AE,BF$5,0)),0,1/VLOOKUP($N7,Capa!$A:$AE,BF$5,0))))</f>
        <v/>
      </c>
      <c r="BG7" s="118" t="str">
        <f>IF(BG$6="","",IF(BG$3="Maior",IFERROR(IF(VLOOKUP($N7,Capa!$A:$AE,BG$5,0)="",0,VLOOKUP($N7,Capa!$A:$AE,BG$5,0)),0),IF(ISERROR(1/VLOOKUP($N7,Capa!$A:$AE,BG$5,0)),0,1/VLOOKUP($N7,Capa!$A:$AE,BG$5,0))))</f>
        <v/>
      </c>
      <c r="BH7" s="118" t="str">
        <f>IF(BH$6="","",IF(BH$3="Maior",IFERROR(IF(VLOOKUP($N7,Capa!$A:$AE,BH$5,0)="",0,VLOOKUP($N7,Capa!$A:$AE,BH$5,0)),0),IF(ISERROR(1/VLOOKUP($N7,Capa!$A:$AE,BH$5,0)),0,1/VLOOKUP($N7,Capa!$A:$AE,BH$5,0))))</f>
        <v/>
      </c>
      <c r="BI7" s="118" t="str">
        <f>IF(BI$6="","",IF(BI$3="Maior",IFERROR(IF(VLOOKUP($N7,Capa!$A:$AE,BI$5,0)="",0,VLOOKUP($N7,Capa!$A:$AE,BI$5,0)),0),IF(ISERROR(1/VLOOKUP($N7,Capa!$A:$AE,BI$5,0)),0,1/VLOOKUP($N7,Capa!$A:$AE,BI$5,0))))</f>
        <v/>
      </c>
      <c r="BJ7" s="118" t="str">
        <f>IF(BJ$6="","",IF(BJ$3="Maior",IFERROR(IF(VLOOKUP($N7,Capa!$A:$AE,BJ$5,0)="",0,VLOOKUP($N7,Capa!$A:$AE,BJ$5,0)),0),IF(ISERROR(1/VLOOKUP($N7,Capa!$A:$AE,BJ$5,0)),0,1/VLOOKUP($N7,Capa!$A:$AE,BJ$5,0))))</f>
        <v/>
      </c>
      <c r="BK7" s="118" t="str">
        <f>IF(BK$6="","",IF(BK$3="Maior",IFERROR(IF(VLOOKUP($N7,Capa!$A:$AE,BK$5,0)="",0,VLOOKUP($N7,Capa!$A:$AE,BK$5,0)),0),IF(ISERROR(1/VLOOKUP($N7,Capa!$A:$AE,BK$5,0)),0,1/VLOOKUP($N7,Capa!$A:$AE,BK$5,0))))</f>
        <v/>
      </c>
      <c r="BL7" s="118" t="str">
        <f>IF(BL$6="","",IF(BL$3="Maior",IFERROR(IF(VLOOKUP($N7,Capa!$A:$AE,BL$5,0)="",0,VLOOKUP($N7,Capa!$A:$AE,BL$5,0)),0),IF(ISERROR(1/VLOOKUP($N7,Capa!$A:$AE,BL$5,0)),0,1/VLOOKUP($N7,Capa!$A:$AE,BL$5,0))))</f>
        <v/>
      </c>
      <c r="BM7" s="118" t="str">
        <f>IF(BM$6="","",IF(BM$3="Maior",IFERROR(IF(VLOOKUP($N7,Capa!$A:$AE,BM$5,0)="",0,VLOOKUP($N7,Capa!$A:$AE,BM$5,0)),0),IF(ISERROR(1/VLOOKUP($N7,Capa!$A:$AE,BM$5,0)),0,1/VLOOKUP($N7,Capa!$A:$AE,BM$5,0))))</f>
        <v/>
      </c>
      <c r="BN7" s="118" t="str">
        <f>IF(BN$6="","",IF(BN$3="Maior",IFERROR(IF(VLOOKUP($N7,Capa!$A:$AE,BN$5,0)="",0,VLOOKUP($N7,Capa!$A:$AE,BN$5,0)),0),IF(ISERROR(1/VLOOKUP($N7,Capa!$A:$AE,BN$5,0)),0,1/VLOOKUP($N7,Capa!$A:$AE,BN$5,0))))</f>
        <v/>
      </c>
      <c r="BO7" s="92"/>
    </row>
    <row r="8">
      <c r="C8" s="119" t="s">
        <v>556</v>
      </c>
      <c r="E8" s="120" t="s">
        <v>557</v>
      </c>
      <c r="G8" s="11"/>
      <c r="H8" s="8">
        <v>2.0</v>
      </c>
      <c r="I8" s="110" t="str">
        <f t="shared" si="6"/>
        <v>UNIP6</v>
      </c>
      <c r="J8" s="111" t="str">
        <f>VLOOKUP(left(I8,4),Setor!A:D,3,0)&amp;" | "&amp;VLOOKUP(left(I8,4),Setor!A:D,4,0)</f>
        <v>Materiais Básicos | Químicos</v>
      </c>
      <c r="K8" s="112">
        <f t="shared" si="7"/>
        <v>24325842.13</v>
      </c>
      <c r="L8" s="11"/>
      <c r="M8" s="11"/>
      <c r="N8" s="10" t="s">
        <v>54</v>
      </c>
      <c r="O8" s="113">
        <f t="shared" si="8"/>
        <v>338.0045</v>
      </c>
      <c r="P8" s="114">
        <f>VLOOKUP(N8,'Dados StatusInvest'!A:Z,26,0)</f>
        <v>1987397901</v>
      </c>
      <c r="Q8" s="115">
        <f t="shared" si="9"/>
        <v>45.0045</v>
      </c>
      <c r="R8" s="116">
        <f t="shared" ref="R8:AO8" si="10">IF(AQ8="","", RANK(AQ8,AQ$7:AQ$503,0))</f>
        <v>74</v>
      </c>
      <c r="S8" s="115">
        <f t="shared" si="10"/>
        <v>219</v>
      </c>
      <c r="T8" s="115" t="str">
        <f t="shared" si="10"/>
        <v/>
      </c>
      <c r="U8" s="115" t="str">
        <f t="shared" si="10"/>
        <v/>
      </c>
      <c r="V8" s="115" t="str">
        <f t="shared" si="10"/>
        <v/>
      </c>
      <c r="W8" s="115" t="str">
        <f t="shared" si="10"/>
        <v/>
      </c>
      <c r="X8" s="115" t="str">
        <f t="shared" si="10"/>
        <v/>
      </c>
      <c r="Y8" s="115" t="str">
        <f t="shared" si="10"/>
        <v/>
      </c>
      <c r="Z8" s="115" t="str">
        <f t="shared" si="10"/>
        <v/>
      </c>
      <c r="AA8" s="115" t="str">
        <f t="shared" si="10"/>
        <v/>
      </c>
      <c r="AB8" s="115" t="str">
        <f t="shared" si="10"/>
        <v/>
      </c>
      <c r="AC8" s="115" t="str">
        <f t="shared" si="10"/>
        <v/>
      </c>
      <c r="AD8" s="115" t="str">
        <f t="shared" si="10"/>
        <v/>
      </c>
      <c r="AE8" s="115" t="str">
        <f t="shared" si="10"/>
        <v/>
      </c>
      <c r="AF8" s="115" t="str">
        <f t="shared" si="10"/>
        <v/>
      </c>
      <c r="AG8" s="115" t="str">
        <f t="shared" si="10"/>
        <v/>
      </c>
      <c r="AH8" s="115" t="str">
        <f t="shared" si="10"/>
        <v/>
      </c>
      <c r="AI8" s="115" t="str">
        <f t="shared" si="10"/>
        <v/>
      </c>
      <c r="AJ8" s="115" t="str">
        <f t="shared" si="10"/>
        <v/>
      </c>
      <c r="AK8" s="115" t="str">
        <f t="shared" si="10"/>
        <v/>
      </c>
      <c r="AL8" s="115" t="str">
        <f t="shared" si="10"/>
        <v/>
      </c>
      <c r="AM8" s="115" t="str">
        <f t="shared" si="10"/>
        <v/>
      </c>
      <c r="AN8" s="115" t="str">
        <f t="shared" si="10"/>
        <v/>
      </c>
      <c r="AO8" s="115" t="str">
        <f t="shared" si="10"/>
        <v/>
      </c>
      <c r="AP8" s="117">
        <f>IF(AP$6="","",IF(AP$3="Maior",IFERROR(IF(VLOOKUP($N8,Capa!$A:$AE,AP$5,0)="",0,VLOOKUP($N8,Capa!$A:$AE,AP$5,0)),0),IF(ISERROR(1/VLOOKUP($N8,Capa!$A:$AE,AP$5,0)),0,1/VLOOKUP($N8,Capa!$A:$AE,AP$5,0))))</f>
        <v>0.2640108529</v>
      </c>
      <c r="AQ8" s="118">
        <f>IF(AQ$6="","",IF(AQ$3="Maior",IFERROR(IF(VLOOKUP($N8,Capa!$A:$AE,AQ$5,0)="",0,VLOOKUP($N8,Capa!$A:$AE,AQ$5,0)),0),IF(ISERROR(1/VLOOKUP($N8,Capa!$A:$AE,AQ$5,0)),0,1/VLOOKUP($N8,Capa!$A:$AE,AQ$5,0))))</f>
        <v>20.44</v>
      </c>
      <c r="AR8" s="118">
        <f>IF(AR$6="","",IF(AR$3="Maior",IFERROR(IF(VLOOKUP($N8,Capa!$A:$AE,AR$5,0)="",0,VLOOKUP($N8,Capa!$A:$AE,AR$5,0)),0),IF(ISERROR(1/VLOOKUP($N8,Capa!$A:$AE,AR$5,0)),0,1/VLOOKUP($N8,Capa!$A:$AE,AR$5,0))))</f>
        <v>0</v>
      </c>
      <c r="AS8" s="118" t="str">
        <f>IF(AS$6="","",IF(AS$3="Maior",IFERROR(IF(VLOOKUP($N8,Capa!$A:$AE,AS$5,0)="",0,VLOOKUP($N8,Capa!$A:$AE,AS$5,0)),0),IF(ISERROR(1/VLOOKUP($N8,Capa!$A:$AE,AS$5,0)),0,1/VLOOKUP($N8,Capa!$A:$AE,AS$5,0))))</f>
        <v/>
      </c>
      <c r="AT8" s="118" t="str">
        <f>IF(AT$6="","",IF(AT$3="Maior",IFERROR(IF(VLOOKUP($N8,Capa!$A:$AE,AT$5,0)="",0,VLOOKUP($N8,Capa!$A:$AE,AT$5,0)),0),IF(ISERROR(1/VLOOKUP($N8,Capa!$A:$AE,AT$5,0)),0,1/VLOOKUP($N8,Capa!$A:$AE,AT$5,0))))</f>
        <v/>
      </c>
      <c r="AU8" s="118" t="str">
        <f>IF(AU$6="","",IF(AU$3="Maior",IFERROR(IF(VLOOKUP($N8,Capa!$A:$AE,AU$5,0)="",0,VLOOKUP($N8,Capa!$A:$AE,AU$5,0)),0),IF(ISERROR(1/VLOOKUP($N8,Capa!$A:$AE,AU$5,0)),0,1/VLOOKUP($N8,Capa!$A:$AE,AU$5,0))))</f>
        <v/>
      </c>
      <c r="AV8" s="118" t="str">
        <f>IF(AV$6="","",IF(AV$3="Maior",IFERROR(IF(VLOOKUP($N8,Capa!$A:$AE,AV$5,0)="",0,VLOOKUP($N8,Capa!$A:$AE,AV$5,0)),0),IF(ISERROR(1/VLOOKUP($N8,Capa!$A:$AE,AV$5,0)),0,1/VLOOKUP($N8,Capa!$A:$AE,AV$5,0))))</f>
        <v/>
      </c>
      <c r="AW8" s="118" t="str">
        <f>IF(AW$6="","",IF(AW$3="Maior",IFERROR(IF(VLOOKUP($N8,Capa!$A:$AE,AW$5,0)="",0,VLOOKUP($N8,Capa!$A:$AE,AW$5,0)),0),IF(ISERROR(1/VLOOKUP($N8,Capa!$A:$AE,AW$5,0)),0,1/VLOOKUP($N8,Capa!$A:$AE,AW$5,0))))</f>
        <v/>
      </c>
      <c r="AX8" s="118" t="str">
        <f>IF(AX$6="","",IF(AX$3="Maior",IFERROR(IF(VLOOKUP($N8,Capa!$A:$AE,AX$5,0)="",0,VLOOKUP($N8,Capa!$A:$AE,AX$5,0)),0),IF(ISERROR(1/VLOOKUP($N8,Capa!$A:$AE,AX$5,0)),0,1/VLOOKUP($N8,Capa!$A:$AE,AX$5,0))))</f>
        <v/>
      </c>
      <c r="AY8" s="118" t="str">
        <f>IF(AY$6="","",IF(AY$3="Maior",IFERROR(IF(VLOOKUP($N8,Capa!$A:$AE,AY$5,0)="",0,VLOOKUP($N8,Capa!$A:$AE,AY$5,0)),0),IF(ISERROR(1/VLOOKUP($N8,Capa!$A:$AE,AY$5,0)),0,1/VLOOKUP($N8,Capa!$A:$AE,AY$5,0))))</f>
        <v/>
      </c>
      <c r="AZ8" s="118" t="str">
        <f>IF(AZ$6="","",IF(AZ$3="Maior",IFERROR(IF(VLOOKUP($N8,Capa!$A:$AE,AZ$5,0)="",0,VLOOKUP($N8,Capa!$A:$AE,AZ$5,0)),0),IF(ISERROR(1/VLOOKUP($N8,Capa!$A:$AE,AZ$5,0)),0,1/VLOOKUP($N8,Capa!$A:$AE,AZ$5,0))))</f>
        <v/>
      </c>
      <c r="BA8" s="118" t="str">
        <f>IF(BA$6="","",IF(BA$3="Maior",IFERROR(IF(VLOOKUP($N8,Capa!$A:$AE,BA$5,0)="",0,VLOOKUP($N8,Capa!$A:$AE,BA$5,0)),0),IF(ISERROR(1/VLOOKUP($N8,Capa!$A:$AE,BA$5,0)),0,1/VLOOKUP($N8,Capa!$A:$AE,BA$5,0))))</f>
        <v/>
      </c>
      <c r="BB8" s="118" t="str">
        <f>IF(BB$6="","",IF(BB$3="Maior",IFERROR(IF(VLOOKUP($N8,Capa!$A:$AE,BB$5,0)="",0,VLOOKUP($N8,Capa!$A:$AE,BB$5,0)),0),IF(ISERROR(1/VLOOKUP($N8,Capa!$A:$AE,BB$5,0)),0,1/VLOOKUP($N8,Capa!$A:$AE,BB$5,0))))</f>
        <v/>
      </c>
      <c r="BC8" s="118" t="str">
        <f>IF(BC$6="","",IF(BC$3="Maior",IFERROR(IF(VLOOKUP($N8,Capa!$A:$AE,BC$5,0)="",0,VLOOKUP($N8,Capa!$A:$AE,BC$5,0)),0),IF(ISERROR(1/VLOOKUP($N8,Capa!$A:$AE,BC$5,0)),0,1/VLOOKUP($N8,Capa!$A:$AE,BC$5,0))))</f>
        <v/>
      </c>
      <c r="BD8" s="118" t="str">
        <f>IF(BD$6="","",IF(BD$3="Maior",IFERROR(IF(VLOOKUP($N8,Capa!$A:$AE,BD$5,0)="",0,VLOOKUP($N8,Capa!$A:$AE,BD$5,0)),0),IF(ISERROR(1/VLOOKUP($N8,Capa!$A:$AE,BD$5,0)),0,1/VLOOKUP($N8,Capa!$A:$AE,BD$5,0))))</f>
        <v/>
      </c>
      <c r="BE8" s="118" t="str">
        <f>IF(BE$6="","",IF(BE$3="Maior",IFERROR(IF(VLOOKUP($N8,Capa!$A:$AE,BE$5,0)="",0,VLOOKUP($N8,Capa!$A:$AE,BE$5,0)),0),IF(ISERROR(1/VLOOKUP($N8,Capa!$A:$AE,BE$5,0)),0,1/VLOOKUP($N8,Capa!$A:$AE,BE$5,0))))</f>
        <v/>
      </c>
      <c r="BF8" s="118" t="str">
        <f>IF(BF$6="","",IF(BF$3="Maior",IFERROR(IF(VLOOKUP($N8,Capa!$A:$AE,BF$5,0)="",0,VLOOKUP($N8,Capa!$A:$AE,BF$5,0)),0),IF(ISERROR(1/VLOOKUP($N8,Capa!$A:$AE,BF$5,0)),0,1/VLOOKUP($N8,Capa!$A:$AE,BF$5,0))))</f>
        <v/>
      </c>
      <c r="BG8" s="118" t="str">
        <f>IF(BG$6="","",IF(BG$3="Maior",IFERROR(IF(VLOOKUP($N8,Capa!$A:$AE,BG$5,0)="",0,VLOOKUP($N8,Capa!$A:$AE,BG$5,0)),0),IF(ISERROR(1/VLOOKUP($N8,Capa!$A:$AE,BG$5,0)),0,1/VLOOKUP($N8,Capa!$A:$AE,BG$5,0))))</f>
        <v/>
      </c>
      <c r="BH8" s="118" t="str">
        <f>IF(BH$6="","",IF(BH$3="Maior",IFERROR(IF(VLOOKUP($N8,Capa!$A:$AE,BH$5,0)="",0,VLOOKUP($N8,Capa!$A:$AE,BH$5,0)),0),IF(ISERROR(1/VLOOKUP($N8,Capa!$A:$AE,BH$5,0)),0,1/VLOOKUP($N8,Capa!$A:$AE,BH$5,0))))</f>
        <v/>
      </c>
      <c r="BI8" s="118" t="str">
        <f>IF(BI$6="","",IF(BI$3="Maior",IFERROR(IF(VLOOKUP($N8,Capa!$A:$AE,BI$5,0)="",0,VLOOKUP($N8,Capa!$A:$AE,BI$5,0)),0),IF(ISERROR(1/VLOOKUP($N8,Capa!$A:$AE,BI$5,0)),0,1/VLOOKUP($N8,Capa!$A:$AE,BI$5,0))))</f>
        <v/>
      </c>
      <c r="BJ8" s="118" t="str">
        <f>IF(BJ$6="","",IF(BJ$3="Maior",IFERROR(IF(VLOOKUP($N8,Capa!$A:$AE,BJ$5,0)="",0,VLOOKUP($N8,Capa!$A:$AE,BJ$5,0)),0),IF(ISERROR(1/VLOOKUP($N8,Capa!$A:$AE,BJ$5,0)),0,1/VLOOKUP($N8,Capa!$A:$AE,BJ$5,0))))</f>
        <v/>
      </c>
      <c r="BK8" s="118" t="str">
        <f>IF(BK$6="","",IF(BK$3="Maior",IFERROR(IF(VLOOKUP($N8,Capa!$A:$AE,BK$5,0)="",0,VLOOKUP($N8,Capa!$A:$AE,BK$5,0)),0),IF(ISERROR(1/VLOOKUP($N8,Capa!$A:$AE,BK$5,0)),0,1/VLOOKUP($N8,Capa!$A:$AE,BK$5,0))))</f>
        <v/>
      </c>
      <c r="BL8" s="118" t="str">
        <f>IF(BL$6="","",IF(BL$3="Maior",IFERROR(IF(VLOOKUP($N8,Capa!$A:$AE,BL$5,0)="",0,VLOOKUP($N8,Capa!$A:$AE,BL$5,0)),0),IF(ISERROR(1/VLOOKUP($N8,Capa!$A:$AE,BL$5,0)),0,1/VLOOKUP($N8,Capa!$A:$AE,BL$5,0))))</f>
        <v/>
      </c>
      <c r="BM8" s="118" t="str">
        <f>IF(BM$6="","",IF(BM$3="Maior",IFERROR(IF(VLOOKUP($N8,Capa!$A:$AE,BM$5,0)="",0,VLOOKUP($N8,Capa!$A:$AE,BM$5,0)),0),IF(ISERROR(1/VLOOKUP($N8,Capa!$A:$AE,BM$5,0)),0,1/VLOOKUP($N8,Capa!$A:$AE,BM$5,0))))</f>
        <v/>
      </c>
      <c r="BN8" s="118" t="str">
        <f>IF(BN$6="","",IF(BN$3="Maior",IFERROR(IF(VLOOKUP($N8,Capa!$A:$AE,BN$5,0)="",0,VLOOKUP($N8,Capa!$A:$AE,BN$5,0)),0),IF(ISERROR(1/VLOOKUP($N8,Capa!$A:$AE,BN$5,0)),0,1/VLOOKUP($N8,Capa!$A:$AE,BN$5,0))))</f>
        <v/>
      </c>
      <c r="BO8" s="92"/>
    </row>
    <row r="9">
      <c r="C9" s="119" t="s">
        <v>558</v>
      </c>
      <c r="G9" s="11"/>
      <c r="H9" s="8">
        <v>3.0</v>
      </c>
      <c r="I9" s="110" t="str">
        <f t="shared" si="6"/>
        <v>CYRE3</v>
      </c>
      <c r="J9" s="111" t="str">
        <f>VLOOKUP(left(I9,4),Setor!A:D,3,0)&amp;" | "&amp;VLOOKUP(left(I9,4),Setor!A:D,4,0)</f>
        <v>Consumo Cíclico | Construção Civil</v>
      </c>
      <c r="K9" s="112">
        <f t="shared" si="7"/>
        <v>136742258.7</v>
      </c>
      <c r="L9" s="11"/>
      <c r="M9" s="11"/>
      <c r="N9" s="10" t="s">
        <v>55</v>
      </c>
      <c r="O9" s="113">
        <f t="shared" si="8"/>
        <v>689.0108</v>
      </c>
      <c r="P9" s="114">
        <f>VLOOKUP(N9,'Dados StatusInvest'!A:Z,26,0)</f>
        <v>1189784441</v>
      </c>
      <c r="Q9" s="115">
        <f t="shared" si="9"/>
        <v>108.0108</v>
      </c>
      <c r="R9" s="116">
        <f t="shared" ref="R9:AO9" si="11">IF(AQ9="","", RANK(AQ9,AQ$7:AQ$503,0))</f>
        <v>375</v>
      </c>
      <c r="S9" s="115">
        <f t="shared" si="11"/>
        <v>206</v>
      </c>
      <c r="T9" s="115" t="str">
        <f t="shared" si="11"/>
        <v/>
      </c>
      <c r="U9" s="115" t="str">
        <f t="shared" si="11"/>
        <v/>
      </c>
      <c r="V9" s="115" t="str">
        <f t="shared" si="11"/>
        <v/>
      </c>
      <c r="W9" s="115" t="str">
        <f t="shared" si="11"/>
        <v/>
      </c>
      <c r="X9" s="115" t="str">
        <f t="shared" si="11"/>
        <v/>
      </c>
      <c r="Y9" s="115" t="str">
        <f t="shared" si="11"/>
        <v/>
      </c>
      <c r="Z9" s="115" t="str">
        <f t="shared" si="11"/>
        <v/>
      </c>
      <c r="AA9" s="115" t="str">
        <f t="shared" si="11"/>
        <v/>
      </c>
      <c r="AB9" s="115" t="str">
        <f t="shared" si="11"/>
        <v/>
      </c>
      <c r="AC9" s="115" t="str">
        <f t="shared" si="11"/>
        <v/>
      </c>
      <c r="AD9" s="115" t="str">
        <f t="shared" si="11"/>
        <v/>
      </c>
      <c r="AE9" s="115" t="str">
        <f t="shared" si="11"/>
        <v/>
      </c>
      <c r="AF9" s="115" t="str">
        <f t="shared" si="11"/>
        <v/>
      </c>
      <c r="AG9" s="115" t="str">
        <f t="shared" si="11"/>
        <v/>
      </c>
      <c r="AH9" s="115" t="str">
        <f t="shared" si="11"/>
        <v/>
      </c>
      <c r="AI9" s="115" t="str">
        <f t="shared" si="11"/>
        <v/>
      </c>
      <c r="AJ9" s="115" t="str">
        <f t="shared" si="11"/>
        <v/>
      </c>
      <c r="AK9" s="115" t="str">
        <f t="shared" si="11"/>
        <v/>
      </c>
      <c r="AL9" s="115" t="str">
        <f t="shared" si="11"/>
        <v/>
      </c>
      <c r="AM9" s="115" t="str">
        <f t="shared" si="11"/>
        <v/>
      </c>
      <c r="AN9" s="115" t="str">
        <f t="shared" si="11"/>
        <v/>
      </c>
      <c r="AO9" s="115" t="str">
        <f t="shared" si="11"/>
        <v/>
      </c>
      <c r="AP9" s="117">
        <f>IF(AP$6="","",IF(AP$3="Maior",IFERROR(IF(VLOOKUP($N9,Capa!$A:$AE,AP$5,0)="",0,VLOOKUP($N9,Capa!$A:$AE,AP$5,0)),0),IF(ISERROR(1/VLOOKUP($N9,Capa!$A:$AE,AP$5,0)),0,1/VLOOKUP($N9,Capa!$A:$AE,AP$5,0))))</f>
        <v>0.1771557485</v>
      </c>
      <c r="AQ9" s="118">
        <f>IF(AQ$6="","",IF(AQ$3="Maior",IFERROR(IF(VLOOKUP($N9,Capa!$A:$AE,AQ$5,0)="",0,VLOOKUP($N9,Capa!$A:$AE,AQ$5,0)),0),IF(ISERROR(1/VLOOKUP($N9,Capa!$A:$AE,AQ$5,0)),0,1/VLOOKUP($N9,Capa!$A:$AE,AQ$5,0))))</f>
        <v>0</v>
      </c>
      <c r="AR9" s="118">
        <f>IF(AR$6="","",IF(AR$3="Maior",IFERROR(IF(VLOOKUP($N9,Capa!$A:$AE,AR$5,0)="",0,VLOOKUP($N9,Capa!$A:$AE,AR$5,0)),0),IF(ISERROR(1/VLOOKUP($N9,Capa!$A:$AE,AR$5,0)),0,1/VLOOKUP($N9,Capa!$A:$AE,AR$5,0))))</f>
        <v>1.55</v>
      </c>
      <c r="AS9" s="118" t="str">
        <f>IF(AS$6="","",IF(AS$3="Maior",IFERROR(IF(VLOOKUP($N9,Capa!$A:$AE,AS$5,0)="",0,VLOOKUP($N9,Capa!$A:$AE,AS$5,0)),0),IF(ISERROR(1/VLOOKUP($N9,Capa!$A:$AE,AS$5,0)),0,1/VLOOKUP($N9,Capa!$A:$AE,AS$5,0))))</f>
        <v/>
      </c>
      <c r="AT9" s="118" t="str">
        <f>IF(AT$6="","",IF(AT$3="Maior",IFERROR(IF(VLOOKUP($N9,Capa!$A:$AE,AT$5,0)="",0,VLOOKUP($N9,Capa!$A:$AE,AT$5,0)),0),IF(ISERROR(1/VLOOKUP($N9,Capa!$A:$AE,AT$5,0)),0,1/VLOOKUP($N9,Capa!$A:$AE,AT$5,0))))</f>
        <v/>
      </c>
      <c r="AU9" s="118" t="str">
        <f>IF(AU$6="","",IF(AU$3="Maior",IFERROR(IF(VLOOKUP($N9,Capa!$A:$AE,AU$5,0)="",0,VLOOKUP($N9,Capa!$A:$AE,AU$5,0)),0),IF(ISERROR(1/VLOOKUP($N9,Capa!$A:$AE,AU$5,0)),0,1/VLOOKUP($N9,Capa!$A:$AE,AU$5,0))))</f>
        <v/>
      </c>
      <c r="AV9" s="118" t="str">
        <f>IF(AV$6="","",IF(AV$3="Maior",IFERROR(IF(VLOOKUP($N9,Capa!$A:$AE,AV$5,0)="",0,VLOOKUP($N9,Capa!$A:$AE,AV$5,0)),0),IF(ISERROR(1/VLOOKUP($N9,Capa!$A:$AE,AV$5,0)),0,1/VLOOKUP($N9,Capa!$A:$AE,AV$5,0))))</f>
        <v/>
      </c>
      <c r="AW9" s="118" t="str">
        <f>IF(AW$6="","",IF(AW$3="Maior",IFERROR(IF(VLOOKUP($N9,Capa!$A:$AE,AW$5,0)="",0,VLOOKUP($N9,Capa!$A:$AE,AW$5,0)),0),IF(ISERROR(1/VLOOKUP($N9,Capa!$A:$AE,AW$5,0)),0,1/VLOOKUP($N9,Capa!$A:$AE,AW$5,0))))</f>
        <v/>
      </c>
      <c r="AX9" s="118" t="str">
        <f>IF(AX$6="","",IF(AX$3="Maior",IFERROR(IF(VLOOKUP($N9,Capa!$A:$AE,AX$5,0)="",0,VLOOKUP($N9,Capa!$A:$AE,AX$5,0)),0),IF(ISERROR(1/VLOOKUP($N9,Capa!$A:$AE,AX$5,0)),0,1/VLOOKUP($N9,Capa!$A:$AE,AX$5,0))))</f>
        <v/>
      </c>
      <c r="AY9" s="118" t="str">
        <f>IF(AY$6="","",IF(AY$3="Maior",IFERROR(IF(VLOOKUP($N9,Capa!$A:$AE,AY$5,0)="",0,VLOOKUP($N9,Capa!$A:$AE,AY$5,0)),0),IF(ISERROR(1/VLOOKUP($N9,Capa!$A:$AE,AY$5,0)),0,1/VLOOKUP($N9,Capa!$A:$AE,AY$5,0))))</f>
        <v/>
      </c>
      <c r="AZ9" s="118" t="str">
        <f>IF(AZ$6="","",IF(AZ$3="Maior",IFERROR(IF(VLOOKUP($N9,Capa!$A:$AE,AZ$5,0)="",0,VLOOKUP($N9,Capa!$A:$AE,AZ$5,0)),0),IF(ISERROR(1/VLOOKUP($N9,Capa!$A:$AE,AZ$5,0)),0,1/VLOOKUP($N9,Capa!$A:$AE,AZ$5,0))))</f>
        <v/>
      </c>
      <c r="BA9" s="118" t="str">
        <f>IF(BA$6="","",IF(BA$3="Maior",IFERROR(IF(VLOOKUP($N9,Capa!$A:$AE,BA$5,0)="",0,VLOOKUP($N9,Capa!$A:$AE,BA$5,0)),0),IF(ISERROR(1/VLOOKUP($N9,Capa!$A:$AE,BA$5,0)),0,1/VLOOKUP($N9,Capa!$A:$AE,BA$5,0))))</f>
        <v/>
      </c>
      <c r="BB9" s="118" t="str">
        <f>IF(BB$6="","",IF(BB$3="Maior",IFERROR(IF(VLOOKUP($N9,Capa!$A:$AE,BB$5,0)="",0,VLOOKUP($N9,Capa!$A:$AE,BB$5,0)),0),IF(ISERROR(1/VLOOKUP($N9,Capa!$A:$AE,BB$5,0)),0,1/VLOOKUP($N9,Capa!$A:$AE,BB$5,0))))</f>
        <v/>
      </c>
      <c r="BC9" s="118" t="str">
        <f>IF(BC$6="","",IF(BC$3="Maior",IFERROR(IF(VLOOKUP($N9,Capa!$A:$AE,BC$5,0)="",0,VLOOKUP($N9,Capa!$A:$AE,BC$5,0)),0),IF(ISERROR(1/VLOOKUP($N9,Capa!$A:$AE,BC$5,0)),0,1/VLOOKUP($N9,Capa!$A:$AE,BC$5,0))))</f>
        <v/>
      </c>
      <c r="BD9" s="118" t="str">
        <f>IF(BD$6="","",IF(BD$3="Maior",IFERROR(IF(VLOOKUP($N9,Capa!$A:$AE,BD$5,0)="",0,VLOOKUP($N9,Capa!$A:$AE,BD$5,0)),0),IF(ISERROR(1/VLOOKUP($N9,Capa!$A:$AE,BD$5,0)),0,1/VLOOKUP($N9,Capa!$A:$AE,BD$5,0))))</f>
        <v/>
      </c>
      <c r="BE9" s="118" t="str">
        <f>IF(BE$6="","",IF(BE$3="Maior",IFERROR(IF(VLOOKUP($N9,Capa!$A:$AE,BE$5,0)="",0,VLOOKUP($N9,Capa!$A:$AE,BE$5,0)),0),IF(ISERROR(1/VLOOKUP($N9,Capa!$A:$AE,BE$5,0)),0,1/VLOOKUP($N9,Capa!$A:$AE,BE$5,0))))</f>
        <v/>
      </c>
      <c r="BF9" s="118" t="str">
        <f>IF(BF$6="","",IF(BF$3="Maior",IFERROR(IF(VLOOKUP($N9,Capa!$A:$AE,BF$5,0)="",0,VLOOKUP($N9,Capa!$A:$AE,BF$5,0)),0),IF(ISERROR(1/VLOOKUP($N9,Capa!$A:$AE,BF$5,0)),0,1/VLOOKUP($N9,Capa!$A:$AE,BF$5,0))))</f>
        <v/>
      </c>
      <c r="BG9" s="118" t="str">
        <f>IF(BG$6="","",IF(BG$3="Maior",IFERROR(IF(VLOOKUP($N9,Capa!$A:$AE,BG$5,0)="",0,VLOOKUP($N9,Capa!$A:$AE,BG$5,0)),0),IF(ISERROR(1/VLOOKUP($N9,Capa!$A:$AE,BG$5,0)),0,1/VLOOKUP($N9,Capa!$A:$AE,BG$5,0))))</f>
        <v/>
      </c>
      <c r="BH9" s="118" t="str">
        <f>IF(BH$6="","",IF(BH$3="Maior",IFERROR(IF(VLOOKUP($N9,Capa!$A:$AE,BH$5,0)="",0,VLOOKUP($N9,Capa!$A:$AE,BH$5,0)),0),IF(ISERROR(1/VLOOKUP($N9,Capa!$A:$AE,BH$5,0)),0,1/VLOOKUP($N9,Capa!$A:$AE,BH$5,0))))</f>
        <v/>
      </c>
      <c r="BI9" s="118" t="str">
        <f>IF(BI$6="","",IF(BI$3="Maior",IFERROR(IF(VLOOKUP($N9,Capa!$A:$AE,BI$5,0)="",0,VLOOKUP($N9,Capa!$A:$AE,BI$5,0)),0),IF(ISERROR(1/VLOOKUP($N9,Capa!$A:$AE,BI$5,0)),0,1/VLOOKUP($N9,Capa!$A:$AE,BI$5,0))))</f>
        <v/>
      </c>
      <c r="BJ9" s="118" t="str">
        <f>IF(BJ$6="","",IF(BJ$3="Maior",IFERROR(IF(VLOOKUP($N9,Capa!$A:$AE,BJ$5,0)="",0,VLOOKUP($N9,Capa!$A:$AE,BJ$5,0)),0),IF(ISERROR(1/VLOOKUP($N9,Capa!$A:$AE,BJ$5,0)),0,1/VLOOKUP($N9,Capa!$A:$AE,BJ$5,0))))</f>
        <v/>
      </c>
      <c r="BK9" s="118" t="str">
        <f>IF(BK$6="","",IF(BK$3="Maior",IFERROR(IF(VLOOKUP($N9,Capa!$A:$AE,BK$5,0)="",0,VLOOKUP($N9,Capa!$A:$AE,BK$5,0)),0),IF(ISERROR(1/VLOOKUP($N9,Capa!$A:$AE,BK$5,0)),0,1/VLOOKUP($N9,Capa!$A:$AE,BK$5,0))))</f>
        <v/>
      </c>
      <c r="BL9" s="118" t="str">
        <f>IF(BL$6="","",IF(BL$3="Maior",IFERROR(IF(VLOOKUP($N9,Capa!$A:$AE,BL$5,0)="",0,VLOOKUP($N9,Capa!$A:$AE,BL$5,0)),0),IF(ISERROR(1/VLOOKUP($N9,Capa!$A:$AE,BL$5,0)),0,1/VLOOKUP($N9,Capa!$A:$AE,BL$5,0))))</f>
        <v/>
      </c>
      <c r="BM9" s="118" t="str">
        <f>IF(BM$6="","",IF(BM$3="Maior",IFERROR(IF(VLOOKUP($N9,Capa!$A:$AE,BM$5,0)="",0,VLOOKUP($N9,Capa!$A:$AE,BM$5,0)),0),IF(ISERROR(1/VLOOKUP($N9,Capa!$A:$AE,BM$5,0)),0,1/VLOOKUP($N9,Capa!$A:$AE,BM$5,0))))</f>
        <v/>
      </c>
      <c r="BN9" s="118" t="str">
        <f>IF(BN$6="","",IF(BN$3="Maior",IFERROR(IF(VLOOKUP($N9,Capa!$A:$AE,BN$5,0)="",0,VLOOKUP($N9,Capa!$A:$AE,BN$5,0)),0),IF(ISERROR(1/VLOOKUP($N9,Capa!$A:$AE,BN$5,0)),0,1/VLOOKUP($N9,Capa!$A:$AE,BN$5,0))))</f>
        <v/>
      </c>
      <c r="BO9" s="92"/>
    </row>
    <row r="10">
      <c r="C10" s="119" t="s">
        <v>559</v>
      </c>
      <c r="G10" s="11"/>
      <c r="H10" s="8">
        <v>4.0</v>
      </c>
      <c r="I10" s="110" t="str">
        <f t="shared" si="6"/>
        <v>ENAT3</v>
      </c>
      <c r="J10" s="111" t="str">
        <f>VLOOKUP(left(I10,4),Setor!A:D,3,0)&amp;" | "&amp;VLOOKUP(left(I10,4),Setor!A:D,4,0)</f>
        <v>Petróleo, Gás e Biocombustíveis | Petróleo, Gás e Biocombustíveis</v>
      </c>
      <c r="K10" s="112">
        <f t="shared" si="7"/>
        <v>29133528.21</v>
      </c>
      <c r="L10" s="11"/>
      <c r="M10" s="11"/>
      <c r="N10" s="10" t="s">
        <v>56</v>
      </c>
      <c r="O10" s="113">
        <f t="shared" si="8"/>
        <v>697.0127</v>
      </c>
      <c r="P10" s="114">
        <f>VLOOKUP(N10,'Dados StatusInvest'!A:Z,26,0)</f>
        <v>1033416064</v>
      </c>
      <c r="Q10" s="115">
        <f t="shared" si="9"/>
        <v>127.0127</v>
      </c>
      <c r="R10" s="116">
        <f t="shared" ref="R10:AO10" si="12">IF(AQ10="","", RANK(AQ10,AQ$7:AQ$503,0))</f>
        <v>375</v>
      </c>
      <c r="S10" s="115">
        <f t="shared" si="12"/>
        <v>195</v>
      </c>
      <c r="T10" s="115" t="str">
        <f t="shared" si="12"/>
        <v/>
      </c>
      <c r="U10" s="115" t="str">
        <f t="shared" si="12"/>
        <v/>
      </c>
      <c r="V10" s="115" t="str">
        <f t="shared" si="12"/>
        <v/>
      </c>
      <c r="W10" s="115" t="str">
        <f t="shared" si="12"/>
        <v/>
      </c>
      <c r="X10" s="115" t="str">
        <f t="shared" si="12"/>
        <v/>
      </c>
      <c r="Y10" s="115" t="str">
        <f t="shared" si="12"/>
        <v/>
      </c>
      <c r="Z10" s="115" t="str">
        <f t="shared" si="12"/>
        <v/>
      </c>
      <c r="AA10" s="115" t="str">
        <f t="shared" si="12"/>
        <v/>
      </c>
      <c r="AB10" s="115" t="str">
        <f t="shared" si="12"/>
        <v/>
      </c>
      <c r="AC10" s="115" t="str">
        <f t="shared" si="12"/>
        <v/>
      </c>
      <c r="AD10" s="115" t="str">
        <f t="shared" si="12"/>
        <v/>
      </c>
      <c r="AE10" s="115" t="str">
        <f t="shared" si="12"/>
        <v/>
      </c>
      <c r="AF10" s="115" t="str">
        <f t="shared" si="12"/>
        <v/>
      </c>
      <c r="AG10" s="115" t="str">
        <f t="shared" si="12"/>
        <v/>
      </c>
      <c r="AH10" s="115" t="str">
        <f t="shared" si="12"/>
        <v/>
      </c>
      <c r="AI10" s="115" t="str">
        <f t="shared" si="12"/>
        <v/>
      </c>
      <c r="AJ10" s="115" t="str">
        <f t="shared" si="12"/>
        <v/>
      </c>
      <c r="AK10" s="115" t="str">
        <f t="shared" si="12"/>
        <v/>
      </c>
      <c r="AL10" s="115" t="str">
        <f t="shared" si="12"/>
        <v/>
      </c>
      <c r="AM10" s="115" t="str">
        <f t="shared" si="12"/>
        <v/>
      </c>
      <c r="AN10" s="115" t="str">
        <f t="shared" si="12"/>
        <v/>
      </c>
      <c r="AO10" s="115" t="str">
        <f t="shared" si="12"/>
        <v/>
      </c>
      <c r="AP10" s="117">
        <f>IF(AP$6="","",IF(AP$3="Maior",IFERROR(IF(VLOOKUP($N10,Capa!$A:$AE,AP$5,0)="",0,VLOOKUP($N10,Capa!$A:$AE,AP$5,0)),0),IF(ISERROR(1/VLOOKUP($N10,Capa!$A:$AE,AP$5,0)),0,1/VLOOKUP($N10,Capa!$A:$AE,AP$5,0))))</f>
        <v>0.1455306183</v>
      </c>
      <c r="AQ10" s="118">
        <f>IF(AQ$6="","",IF(AQ$3="Maior",IFERROR(IF(VLOOKUP($N10,Capa!$A:$AE,AQ$5,0)="",0,VLOOKUP($N10,Capa!$A:$AE,AQ$5,0)),0),IF(ISERROR(1/VLOOKUP($N10,Capa!$A:$AE,AQ$5,0)),0,1/VLOOKUP($N10,Capa!$A:$AE,AQ$5,0))))</f>
        <v>0</v>
      </c>
      <c r="AR10" s="118">
        <f>IF(AR$6="","",IF(AR$3="Maior",IFERROR(IF(VLOOKUP($N10,Capa!$A:$AE,AR$5,0)="",0,VLOOKUP($N10,Capa!$A:$AE,AR$5,0)),0),IF(ISERROR(1/VLOOKUP($N10,Capa!$A:$AE,AR$5,0)),0,1/VLOOKUP($N10,Capa!$A:$AE,AR$5,0))))</f>
        <v>3.74</v>
      </c>
      <c r="AS10" s="118" t="str">
        <f>IF(AS$6="","",IF(AS$3="Maior",IFERROR(IF(VLOOKUP($N10,Capa!$A:$AE,AS$5,0)="",0,VLOOKUP($N10,Capa!$A:$AE,AS$5,0)),0),IF(ISERROR(1/VLOOKUP($N10,Capa!$A:$AE,AS$5,0)),0,1/VLOOKUP($N10,Capa!$A:$AE,AS$5,0))))</f>
        <v/>
      </c>
      <c r="AT10" s="118" t="str">
        <f>IF(AT$6="","",IF(AT$3="Maior",IFERROR(IF(VLOOKUP($N10,Capa!$A:$AE,AT$5,0)="",0,VLOOKUP($N10,Capa!$A:$AE,AT$5,0)),0),IF(ISERROR(1/VLOOKUP($N10,Capa!$A:$AE,AT$5,0)),0,1/VLOOKUP($N10,Capa!$A:$AE,AT$5,0))))</f>
        <v/>
      </c>
      <c r="AU10" s="118" t="str">
        <f>IF(AU$6="","",IF(AU$3="Maior",IFERROR(IF(VLOOKUP($N10,Capa!$A:$AE,AU$5,0)="",0,VLOOKUP($N10,Capa!$A:$AE,AU$5,0)),0),IF(ISERROR(1/VLOOKUP($N10,Capa!$A:$AE,AU$5,0)),0,1/VLOOKUP($N10,Capa!$A:$AE,AU$5,0))))</f>
        <v/>
      </c>
      <c r="AV10" s="118" t="str">
        <f>IF(AV$6="","",IF(AV$3="Maior",IFERROR(IF(VLOOKUP($N10,Capa!$A:$AE,AV$5,0)="",0,VLOOKUP($N10,Capa!$A:$AE,AV$5,0)),0),IF(ISERROR(1/VLOOKUP($N10,Capa!$A:$AE,AV$5,0)),0,1/VLOOKUP($N10,Capa!$A:$AE,AV$5,0))))</f>
        <v/>
      </c>
      <c r="AW10" s="118" t="str">
        <f>IF(AW$6="","",IF(AW$3="Maior",IFERROR(IF(VLOOKUP($N10,Capa!$A:$AE,AW$5,0)="",0,VLOOKUP($N10,Capa!$A:$AE,AW$5,0)),0),IF(ISERROR(1/VLOOKUP($N10,Capa!$A:$AE,AW$5,0)),0,1/VLOOKUP($N10,Capa!$A:$AE,AW$5,0))))</f>
        <v/>
      </c>
      <c r="AX10" s="118" t="str">
        <f>IF(AX$6="","",IF(AX$3="Maior",IFERROR(IF(VLOOKUP($N10,Capa!$A:$AE,AX$5,0)="",0,VLOOKUP($N10,Capa!$A:$AE,AX$5,0)),0),IF(ISERROR(1/VLOOKUP($N10,Capa!$A:$AE,AX$5,0)),0,1/VLOOKUP($N10,Capa!$A:$AE,AX$5,0))))</f>
        <v/>
      </c>
      <c r="AY10" s="118" t="str">
        <f>IF(AY$6="","",IF(AY$3="Maior",IFERROR(IF(VLOOKUP($N10,Capa!$A:$AE,AY$5,0)="",0,VLOOKUP($N10,Capa!$A:$AE,AY$5,0)),0),IF(ISERROR(1/VLOOKUP($N10,Capa!$A:$AE,AY$5,0)),0,1/VLOOKUP($N10,Capa!$A:$AE,AY$5,0))))</f>
        <v/>
      </c>
      <c r="AZ10" s="118" t="str">
        <f>IF(AZ$6="","",IF(AZ$3="Maior",IFERROR(IF(VLOOKUP($N10,Capa!$A:$AE,AZ$5,0)="",0,VLOOKUP($N10,Capa!$A:$AE,AZ$5,0)),0),IF(ISERROR(1/VLOOKUP($N10,Capa!$A:$AE,AZ$5,0)),0,1/VLOOKUP($N10,Capa!$A:$AE,AZ$5,0))))</f>
        <v/>
      </c>
      <c r="BA10" s="118" t="str">
        <f>IF(BA$6="","",IF(BA$3="Maior",IFERROR(IF(VLOOKUP($N10,Capa!$A:$AE,BA$5,0)="",0,VLOOKUP($N10,Capa!$A:$AE,BA$5,0)),0),IF(ISERROR(1/VLOOKUP($N10,Capa!$A:$AE,BA$5,0)),0,1/VLOOKUP($N10,Capa!$A:$AE,BA$5,0))))</f>
        <v/>
      </c>
      <c r="BB10" s="118" t="str">
        <f>IF(BB$6="","",IF(BB$3="Maior",IFERROR(IF(VLOOKUP($N10,Capa!$A:$AE,BB$5,0)="",0,VLOOKUP($N10,Capa!$A:$AE,BB$5,0)),0),IF(ISERROR(1/VLOOKUP($N10,Capa!$A:$AE,BB$5,0)),0,1/VLOOKUP($N10,Capa!$A:$AE,BB$5,0))))</f>
        <v/>
      </c>
      <c r="BC10" s="118" t="str">
        <f>IF(BC$6="","",IF(BC$3="Maior",IFERROR(IF(VLOOKUP($N10,Capa!$A:$AE,BC$5,0)="",0,VLOOKUP($N10,Capa!$A:$AE,BC$5,0)),0),IF(ISERROR(1/VLOOKUP($N10,Capa!$A:$AE,BC$5,0)),0,1/VLOOKUP($N10,Capa!$A:$AE,BC$5,0))))</f>
        <v/>
      </c>
      <c r="BD10" s="118" t="str">
        <f>IF(BD$6="","",IF(BD$3="Maior",IFERROR(IF(VLOOKUP($N10,Capa!$A:$AE,BD$5,0)="",0,VLOOKUP($N10,Capa!$A:$AE,BD$5,0)),0),IF(ISERROR(1/VLOOKUP($N10,Capa!$A:$AE,BD$5,0)),0,1/VLOOKUP($N10,Capa!$A:$AE,BD$5,0))))</f>
        <v/>
      </c>
      <c r="BE10" s="118" t="str">
        <f>IF(BE$6="","",IF(BE$3="Maior",IFERROR(IF(VLOOKUP($N10,Capa!$A:$AE,BE$5,0)="",0,VLOOKUP($N10,Capa!$A:$AE,BE$5,0)),0),IF(ISERROR(1/VLOOKUP($N10,Capa!$A:$AE,BE$5,0)),0,1/VLOOKUP($N10,Capa!$A:$AE,BE$5,0))))</f>
        <v/>
      </c>
      <c r="BF10" s="118" t="str">
        <f>IF(BF$6="","",IF(BF$3="Maior",IFERROR(IF(VLOOKUP($N10,Capa!$A:$AE,BF$5,0)="",0,VLOOKUP($N10,Capa!$A:$AE,BF$5,0)),0),IF(ISERROR(1/VLOOKUP($N10,Capa!$A:$AE,BF$5,0)),0,1/VLOOKUP($N10,Capa!$A:$AE,BF$5,0))))</f>
        <v/>
      </c>
      <c r="BG10" s="118" t="str">
        <f>IF(BG$6="","",IF(BG$3="Maior",IFERROR(IF(VLOOKUP($N10,Capa!$A:$AE,BG$5,0)="",0,VLOOKUP($N10,Capa!$A:$AE,BG$5,0)),0),IF(ISERROR(1/VLOOKUP($N10,Capa!$A:$AE,BG$5,0)),0,1/VLOOKUP($N10,Capa!$A:$AE,BG$5,0))))</f>
        <v/>
      </c>
      <c r="BH10" s="118" t="str">
        <f>IF(BH$6="","",IF(BH$3="Maior",IFERROR(IF(VLOOKUP($N10,Capa!$A:$AE,BH$5,0)="",0,VLOOKUP($N10,Capa!$A:$AE,BH$5,0)),0),IF(ISERROR(1/VLOOKUP($N10,Capa!$A:$AE,BH$5,0)),0,1/VLOOKUP($N10,Capa!$A:$AE,BH$5,0))))</f>
        <v/>
      </c>
      <c r="BI10" s="118" t="str">
        <f>IF(BI$6="","",IF(BI$3="Maior",IFERROR(IF(VLOOKUP($N10,Capa!$A:$AE,BI$5,0)="",0,VLOOKUP($N10,Capa!$A:$AE,BI$5,0)),0),IF(ISERROR(1/VLOOKUP($N10,Capa!$A:$AE,BI$5,0)),0,1/VLOOKUP($N10,Capa!$A:$AE,BI$5,0))))</f>
        <v/>
      </c>
      <c r="BJ10" s="118" t="str">
        <f>IF(BJ$6="","",IF(BJ$3="Maior",IFERROR(IF(VLOOKUP($N10,Capa!$A:$AE,BJ$5,0)="",0,VLOOKUP($N10,Capa!$A:$AE,BJ$5,0)),0),IF(ISERROR(1/VLOOKUP($N10,Capa!$A:$AE,BJ$5,0)),0,1/VLOOKUP($N10,Capa!$A:$AE,BJ$5,0))))</f>
        <v/>
      </c>
      <c r="BK10" s="118" t="str">
        <f>IF(BK$6="","",IF(BK$3="Maior",IFERROR(IF(VLOOKUP($N10,Capa!$A:$AE,BK$5,0)="",0,VLOOKUP($N10,Capa!$A:$AE,BK$5,0)),0),IF(ISERROR(1/VLOOKUP($N10,Capa!$A:$AE,BK$5,0)),0,1/VLOOKUP($N10,Capa!$A:$AE,BK$5,0))))</f>
        <v/>
      </c>
      <c r="BL10" s="118" t="str">
        <f>IF(BL$6="","",IF(BL$3="Maior",IFERROR(IF(VLOOKUP($N10,Capa!$A:$AE,BL$5,0)="",0,VLOOKUP($N10,Capa!$A:$AE,BL$5,0)),0),IF(ISERROR(1/VLOOKUP($N10,Capa!$A:$AE,BL$5,0)),0,1/VLOOKUP($N10,Capa!$A:$AE,BL$5,0))))</f>
        <v/>
      </c>
      <c r="BM10" s="118" t="str">
        <f>IF(BM$6="","",IF(BM$3="Maior",IFERROR(IF(VLOOKUP($N10,Capa!$A:$AE,BM$5,0)="",0,VLOOKUP($N10,Capa!$A:$AE,BM$5,0)),0),IF(ISERROR(1/VLOOKUP($N10,Capa!$A:$AE,BM$5,0)),0,1/VLOOKUP($N10,Capa!$A:$AE,BM$5,0))))</f>
        <v/>
      </c>
      <c r="BN10" s="118" t="str">
        <f>IF(BN$6="","",IF(BN$3="Maior",IFERROR(IF(VLOOKUP($N10,Capa!$A:$AE,BN$5,0)="",0,VLOOKUP($N10,Capa!$A:$AE,BN$5,0)),0),IF(ISERROR(1/VLOOKUP($N10,Capa!$A:$AE,BN$5,0)),0,1/VLOOKUP($N10,Capa!$A:$AE,BN$5,0))))</f>
        <v/>
      </c>
      <c r="BO10" s="92"/>
    </row>
    <row r="11">
      <c r="C11" s="119" t="s">
        <v>560</v>
      </c>
      <c r="G11" s="11"/>
      <c r="H11" s="8">
        <v>5.0</v>
      </c>
      <c r="I11" s="110" t="str">
        <f t="shared" si="6"/>
        <v>ALUP11</v>
      </c>
      <c r="J11" s="111" t="str">
        <f>VLOOKUP(left(I11,4),Setor!A:D,3,0)&amp;" | "&amp;VLOOKUP(left(I11,4),Setor!A:D,4,0)</f>
        <v>Utilidade Pública | Energia Elétrica</v>
      </c>
      <c r="K11" s="112">
        <f t="shared" si="7"/>
        <v>21204546.67</v>
      </c>
      <c r="L11" s="11"/>
      <c r="M11" s="11"/>
      <c r="N11" s="10" t="s">
        <v>57</v>
      </c>
      <c r="O11" s="113">
        <f t="shared" si="8"/>
        <v>524.0218</v>
      </c>
      <c r="P11" s="114">
        <f>VLOOKUP(N11,'Dados StatusInvest'!A:Z,26,0)</f>
        <v>676684293.5</v>
      </c>
      <c r="Q11" s="115">
        <f t="shared" si="9"/>
        <v>218.0218</v>
      </c>
      <c r="R11" s="116">
        <f t="shared" ref="R11:AO11" si="13">IF(AQ11="","", RANK(AQ11,AQ$7:AQ$503,0))</f>
        <v>158</v>
      </c>
      <c r="S11" s="115">
        <f t="shared" si="13"/>
        <v>148</v>
      </c>
      <c r="T11" s="115" t="str">
        <f t="shared" si="13"/>
        <v/>
      </c>
      <c r="U11" s="115" t="str">
        <f t="shared" si="13"/>
        <v/>
      </c>
      <c r="V11" s="115" t="str">
        <f t="shared" si="13"/>
        <v/>
      </c>
      <c r="W11" s="115" t="str">
        <f t="shared" si="13"/>
        <v/>
      </c>
      <c r="X11" s="115" t="str">
        <f t="shared" si="13"/>
        <v/>
      </c>
      <c r="Y11" s="115" t="str">
        <f t="shared" si="13"/>
        <v/>
      </c>
      <c r="Z11" s="115" t="str">
        <f t="shared" si="13"/>
        <v/>
      </c>
      <c r="AA11" s="115" t="str">
        <f t="shared" si="13"/>
        <v/>
      </c>
      <c r="AB11" s="115" t="str">
        <f t="shared" si="13"/>
        <v/>
      </c>
      <c r="AC11" s="115" t="str">
        <f t="shared" si="13"/>
        <v/>
      </c>
      <c r="AD11" s="115" t="str">
        <f t="shared" si="13"/>
        <v/>
      </c>
      <c r="AE11" s="115" t="str">
        <f t="shared" si="13"/>
        <v/>
      </c>
      <c r="AF11" s="115" t="str">
        <f t="shared" si="13"/>
        <v/>
      </c>
      <c r="AG11" s="115" t="str">
        <f t="shared" si="13"/>
        <v/>
      </c>
      <c r="AH11" s="115" t="str">
        <f t="shared" si="13"/>
        <v/>
      </c>
      <c r="AI11" s="115" t="str">
        <f t="shared" si="13"/>
        <v/>
      </c>
      <c r="AJ11" s="115" t="str">
        <f t="shared" si="13"/>
        <v/>
      </c>
      <c r="AK11" s="115" t="str">
        <f t="shared" si="13"/>
        <v/>
      </c>
      <c r="AL11" s="115" t="str">
        <f t="shared" si="13"/>
        <v/>
      </c>
      <c r="AM11" s="115" t="str">
        <f t="shared" si="13"/>
        <v/>
      </c>
      <c r="AN11" s="115" t="str">
        <f t="shared" si="13"/>
        <v/>
      </c>
      <c r="AO11" s="115" t="str">
        <f t="shared" si="13"/>
        <v/>
      </c>
      <c r="AP11" s="117">
        <f>IF(AP$6="","",IF(AP$3="Maior",IFERROR(IF(VLOOKUP($N11,Capa!$A:$AE,AP$5,0)="",0,VLOOKUP($N11,Capa!$A:$AE,AP$5,0)),0),IF(ISERROR(1/VLOOKUP($N11,Capa!$A:$AE,AP$5,0)),0,1/VLOOKUP($N11,Capa!$A:$AE,AP$5,0))))</f>
        <v>0.09616535777</v>
      </c>
      <c r="AQ11" s="118">
        <f>IF(AQ$6="","",IF(AQ$3="Maior",IFERROR(IF(VLOOKUP($N11,Capa!$A:$AE,AQ$5,0)="",0,VLOOKUP($N11,Capa!$A:$AE,AQ$5,0)),0),IF(ISERROR(1/VLOOKUP($N11,Capa!$A:$AE,AQ$5,0)),0,1/VLOOKUP($N11,Capa!$A:$AE,AQ$5,0))))</f>
        <v>13.91</v>
      </c>
      <c r="AR11" s="118">
        <f>IF(AR$6="","",IF(AR$3="Maior",IFERROR(IF(VLOOKUP($N11,Capa!$A:$AE,AR$5,0)="",0,VLOOKUP($N11,Capa!$A:$AE,AR$5,0)),0),IF(ISERROR(1/VLOOKUP($N11,Capa!$A:$AE,AR$5,0)),0,1/VLOOKUP($N11,Capa!$A:$AE,AR$5,0))))</f>
        <v>16.29</v>
      </c>
      <c r="AS11" s="118" t="str">
        <f>IF(AS$6="","",IF(AS$3="Maior",IFERROR(IF(VLOOKUP($N11,Capa!$A:$AE,AS$5,0)="",0,VLOOKUP($N11,Capa!$A:$AE,AS$5,0)),0),IF(ISERROR(1/VLOOKUP($N11,Capa!$A:$AE,AS$5,0)),0,1/VLOOKUP($N11,Capa!$A:$AE,AS$5,0))))</f>
        <v/>
      </c>
      <c r="AT11" s="118" t="str">
        <f>IF(AT$6="","",IF(AT$3="Maior",IFERROR(IF(VLOOKUP($N11,Capa!$A:$AE,AT$5,0)="",0,VLOOKUP($N11,Capa!$A:$AE,AT$5,0)),0),IF(ISERROR(1/VLOOKUP($N11,Capa!$A:$AE,AT$5,0)),0,1/VLOOKUP($N11,Capa!$A:$AE,AT$5,0))))</f>
        <v/>
      </c>
      <c r="AU11" s="118" t="str">
        <f>IF(AU$6="","",IF(AU$3="Maior",IFERROR(IF(VLOOKUP($N11,Capa!$A:$AE,AU$5,0)="",0,VLOOKUP($N11,Capa!$A:$AE,AU$5,0)),0),IF(ISERROR(1/VLOOKUP($N11,Capa!$A:$AE,AU$5,0)),0,1/VLOOKUP($N11,Capa!$A:$AE,AU$5,0))))</f>
        <v/>
      </c>
      <c r="AV11" s="118" t="str">
        <f>IF(AV$6="","",IF(AV$3="Maior",IFERROR(IF(VLOOKUP($N11,Capa!$A:$AE,AV$5,0)="",0,VLOOKUP($N11,Capa!$A:$AE,AV$5,0)),0),IF(ISERROR(1/VLOOKUP($N11,Capa!$A:$AE,AV$5,0)),0,1/VLOOKUP($N11,Capa!$A:$AE,AV$5,0))))</f>
        <v/>
      </c>
      <c r="AW11" s="118" t="str">
        <f>IF(AW$6="","",IF(AW$3="Maior",IFERROR(IF(VLOOKUP($N11,Capa!$A:$AE,AW$5,0)="",0,VLOOKUP($N11,Capa!$A:$AE,AW$5,0)),0),IF(ISERROR(1/VLOOKUP($N11,Capa!$A:$AE,AW$5,0)),0,1/VLOOKUP($N11,Capa!$A:$AE,AW$5,0))))</f>
        <v/>
      </c>
      <c r="AX11" s="118" t="str">
        <f>IF(AX$6="","",IF(AX$3="Maior",IFERROR(IF(VLOOKUP($N11,Capa!$A:$AE,AX$5,0)="",0,VLOOKUP($N11,Capa!$A:$AE,AX$5,0)),0),IF(ISERROR(1/VLOOKUP($N11,Capa!$A:$AE,AX$5,0)),0,1/VLOOKUP($N11,Capa!$A:$AE,AX$5,0))))</f>
        <v/>
      </c>
      <c r="AY11" s="118" t="str">
        <f>IF(AY$6="","",IF(AY$3="Maior",IFERROR(IF(VLOOKUP($N11,Capa!$A:$AE,AY$5,0)="",0,VLOOKUP($N11,Capa!$A:$AE,AY$5,0)),0),IF(ISERROR(1/VLOOKUP($N11,Capa!$A:$AE,AY$5,0)),0,1/VLOOKUP($N11,Capa!$A:$AE,AY$5,0))))</f>
        <v/>
      </c>
      <c r="AZ11" s="118" t="str">
        <f>IF(AZ$6="","",IF(AZ$3="Maior",IFERROR(IF(VLOOKUP($N11,Capa!$A:$AE,AZ$5,0)="",0,VLOOKUP($N11,Capa!$A:$AE,AZ$5,0)),0),IF(ISERROR(1/VLOOKUP($N11,Capa!$A:$AE,AZ$5,0)),0,1/VLOOKUP($N11,Capa!$A:$AE,AZ$5,0))))</f>
        <v/>
      </c>
      <c r="BA11" s="118" t="str">
        <f>IF(BA$6="","",IF(BA$3="Maior",IFERROR(IF(VLOOKUP($N11,Capa!$A:$AE,BA$5,0)="",0,VLOOKUP($N11,Capa!$A:$AE,BA$5,0)),0),IF(ISERROR(1/VLOOKUP($N11,Capa!$A:$AE,BA$5,0)),0,1/VLOOKUP($N11,Capa!$A:$AE,BA$5,0))))</f>
        <v/>
      </c>
      <c r="BB11" s="118" t="str">
        <f>IF(BB$6="","",IF(BB$3="Maior",IFERROR(IF(VLOOKUP($N11,Capa!$A:$AE,BB$5,0)="",0,VLOOKUP($N11,Capa!$A:$AE,BB$5,0)),0),IF(ISERROR(1/VLOOKUP($N11,Capa!$A:$AE,BB$5,0)),0,1/VLOOKUP($N11,Capa!$A:$AE,BB$5,0))))</f>
        <v/>
      </c>
      <c r="BC11" s="118" t="str">
        <f>IF(BC$6="","",IF(BC$3="Maior",IFERROR(IF(VLOOKUP($N11,Capa!$A:$AE,BC$5,0)="",0,VLOOKUP($N11,Capa!$A:$AE,BC$5,0)),0),IF(ISERROR(1/VLOOKUP($N11,Capa!$A:$AE,BC$5,0)),0,1/VLOOKUP($N11,Capa!$A:$AE,BC$5,0))))</f>
        <v/>
      </c>
      <c r="BD11" s="118" t="str">
        <f>IF(BD$6="","",IF(BD$3="Maior",IFERROR(IF(VLOOKUP($N11,Capa!$A:$AE,BD$5,0)="",0,VLOOKUP($N11,Capa!$A:$AE,BD$5,0)),0),IF(ISERROR(1/VLOOKUP($N11,Capa!$A:$AE,BD$5,0)),0,1/VLOOKUP($N11,Capa!$A:$AE,BD$5,0))))</f>
        <v/>
      </c>
      <c r="BE11" s="118" t="str">
        <f>IF(BE$6="","",IF(BE$3="Maior",IFERROR(IF(VLOOKUP($N11,Capa!$A:$AE,BE$5,0)="",0,VLOOKUP($N11,Capa!$A:$AE,BE$5,0)),0),IF(ISERROR(1/VLOOKUP($N11,Capa!$A:$AE,BE$5,0)),0,1/VLOOKUP($N11,Capa!$A:$AE,BE$5,0))))</f>
        <v/>
      </c>
      <c r="BF11" s="118" t="str">
        <f>IF(BF$6="","",IF(BF$3="Maior",IFERROR(IF(VLOOKUP($N11,Capa!$A:$AE,BF$5,0)="",0,VLOOKUP($N11,Capa!$A:$AE,BF$5,0)),0),IF(ISERROR(1/VLOOKUP($N11,Capa!$A:$AE,BF$5,0)),0,1/VLOOKUP($N11,Capa!$A:$AE,BF$5,0))))</f>
        <v/>
      </c>
      <c r="BG11" s="118" t="str">
        <f>IF(BG$6="","",IF(BG$3="Maior",IFERROR(IF(VLOOKUP($N11,Capa!$A:$AE,BG$5,0)="",0,VLOOKUP($N11,Capa!$A:$AE,BG$5,0)),0),IF(ISERROR(1/VLOOKUP($N11,Capa!$A:$AE,BG$5,0)),0,1/VLOOKUP($N11,Capa!$A:$AE,BG$5,0))))</f>
        <v/>
      </c>
      <c r="BH11" s="118" t="str">
        <f>IF(BH$6="","",IF(BH$3="Maior",IFERROR(IF(VLOOKUP($N11,Capa!$A:$AE,BH$5,0)="",0,VLOOKUP($N11,Capa!$A:$AE,BH$5,0)),0),IF(ISERROR(1/VLOOKUP($N11,Capa!$A:$AE,BH$5,0)),0,1/VLOOKUP($N11,Capa!$A:$AE,BH$5,0))))</f>
        <v/>
      </c>
      <c r="BI11" s="118" t="str">
        <f>IF(BI$6="","",IF(BI$3="Maior",IFERROR(IF(VLOOKUP($N11,Capa!$A:$AE,BI$5,0)="",0,VLOOKUP($N11,Capa!$A:$AE,BI$5,0)),0),IF(ISERROR(1/VLOOKUP($N11,Capa!$A:$AE,BI$5,0)),0,1/VLOOKUP($N11,Capa!$A:$AE,BI$5,0))))</f>
        <v/>
      </c>
      <c r="BJ11" s="118" t="str">
        <f>IF(BJ$6="","",IF(BJ$3="Maior",IFERROR(IF(VLOOKUP($N11,Capa!$A:$AE,BJ$5,0)="",0,VLOOKUP($N11,Capa!$A:$AE,BJ$5,0)),0),IF(ISERROR(1/VLOOKUP($N11,Capa!$A:$AE,BJ$5,0)),0,1/VLOOKUP($N11,Capa!$A:$AE,BJ$5,0))))</f>
        <v/>
      </c>
      <c r="BK11" s="118" t="str">
        <f>IF(BK$6="","",IF(BK$3="Maior",IFERROR(IF(VLOOKUP($N11,Capa!$A:$AE,BK$5,0)="",0,VLOOKUP($N11,Capa!$A:$AE,BK$5,0)),0),IF(ISERROR(1/VLOOKUP($N11,Capa!$A:$AE,BK$5,0)),0,1/VLOOKUP($N11,Capa!$A:$AE,BK$5,0))))</f>
        <v/>
      </c>
      <c r="BL11" s="118" t="str">
        <f>IF(BL$6="","",IF(BL$3="Maior",IFERROR(IF(VLOOKUP($N11,Capa!$A:$AE,BL$5,0)="",0,VLOOKUP($N11,Capa!$A:$AE,BL$5,0)),0),IF(ISERROR(1/VLOOKUP($N11,Capa!$A:$AE,BL$5,0)),0,1/VLOOKUP($N11,Capa!$A:$AE,BL$5,0))))</f>
        <v/>
      </c>
      <c r="BM11" s="118" t="str">
        <f>IF(BM$6="","",IF(BM$3="Maior",IFERROR(IF(VLOOKUP($N11,Capa!$A:$AE,BM$5,0)="",0,VLOOKUP($N11,Capa!$A:$AE,BM$5,0)),0),IF(ISERROR(1/VLOOKUP($N11,Capa!$A:$AE,BM$5,0)),0,1/VLOOKUP($N11,Capa!$A:$AE,BM$5,0))))</f>
        <v/>
      </c>
      <c r="BN11" s="118" t="str">
        <f>IF(BN$6="","",IF(BN$3="Maior",IFERROR(IF(VLOOKUP($N11,Capa!$A:$AE,BN$5,0)="",0,VLOOKUP($N11,Capa!$A:$AE,BN$5,0)),0),IF(ISERROR(1/VLOOKUP($N11,Capa!$A:$AE,BN$5,0)),0,1/VLOOKUP($N11,Capa!$A:$AE,BN$5,0))))</f>
        <v/>
      </c>
      <c r="BO11" s="92"/>
    </row>
    <row r="12">
      <c r="C12" s="119" t="s">
        <v>561</v>
      </c>
      <c r="G12" s="11"/>
      <c r="H12" s="8">
        <v>6.0</v>
      </c>
      <c r="I12" s="110" t="str">
        <f t="shared" si="6"/>
        <v>BRKM5</v>
      </c>
      <c r="J12" s="111" t="str">
        <f>VLOOKUP(left(I12,4),Setor!A:D,3,0)&amp;" | "&amp;VLOOKUP(left(I12,4),Setor!A:D,4,0)</f>
        <v>Materiais Básicos | Químicos</v>
      </c>
      <c r="K12" s="112">
        <f t="shared" si="7"/>
        <v>241411211</v>
      </c>
      <c r="L12" s="11"/>
      <c r="M12" s="11"/>
      <c r="N12" s="10" t="s">
        <v>58</v>
      </c>
      <c r="O12" s="113">
        <f t="shared" si="8"/>
        <v>740.0383</v>
      </c>
      <c r="P12" s="114">
        <f>VLOOKUP(N12,'Dados StatusInvest'!A:Z,26,0)</f>
        <v>598729703.8</v>
      </c>
      <c r="Q12" s="115">
        <f t="shared" si="9"/>
        <v>383.0383</v>
      </c>
      <c r="R12" s="116">
        <f t="shared" ref="R12:AO12" si="14">IF(AQ12="","", RANK(AQ12,AQ$7:AQ$503,0))</f>
        <v>138</v>
      </c>
      <c r="S12" s="115">
        <f t="shared" si="14"/>
        <v>219</v>
      </c>
      <c r="T12" s="115" t="str">
        <f t="shared" si="14"/>
        <v/>
      </c>
      <c r="U12" s="115" t="str">
        <f t="shared" si="14"/>
        <v/>
      </c>
      <c r="V12" s="115" t="str">
        <f t="shared" si="14"/>
        <v/>
      </c>
      <c r="W12" s="115" t="str">
        <f t="shared" si="14"/>
        <v/>
      </c>
      <c r="X12" s="115" t="str">
        <f t="shared" si="14"/>
        <v/>
      </c>
      <c r="Y12" s="115" t="str">
        <f t="shared" si="14"/>
        <v/>
      </c>
      <c r="Z12" s="115" t="str">
        <f t="shared" si="14"/>
        <v/>
      </c>
      <c r="AA12" s="115" t="str">
        <f t="shared" si="14"/>
        <v/>
      </c>
      <c r="AB12" s="115" t="str">
        <f t="shared" si="14"/>
        <v/>
      </c>
      <c r="AC12" s="115" t="str">
        <f t="shared" si="14"/>
        <v/>
      </c>
      <c r="AD12" s="115" t="str">
        <f t="shared" si="14"/>
        <v/>
      </c>
      <c r="AE12" s="115" t="str">
        <f t="shared" si="14"/>
        <v/>
      </c>
      <c r="AF12" s="115" t="str">
        <f t="shared" si="14"/>
        <v/>
      </c>
      <c r="AG12" s="115" t="str">
        <f t="shared" si="14"/>
        <v/>
      </c>
      <c r="AH12" s="115" t="str">
        <f t="shared" si="14"/>
        <v/>
      </c>
      <c r="AI12" s="115" t="str">
        <f t="shared" si="14"/>
        <v/>
      </c>
      <c r="AJ12" s="115" t="str">
        <f t="shared" si="14"/>
        <v/>
      </c>
      <c r="AK12" s="115" t="str">
        <f t="shared" si="14"/>
        <v/>
      </c>
      <c r="AL12" s="115" t="str">
        <f t="shared" si="14"/>
        <v/>
      </c>
      <c r="AM12" s="115" t="str">
        <f t="shared" si="14"/>
        <v/>
      </c>
      <c r="AN12" s="115" t="str">
        <f t="shared" si="14"/>
        <v/>
      </c>
      <c r="AO12" s="115" t="str">
        <f t="shared" si="14"/>
        <v/>
      </c>
      <c r="AP12" s="117">
        <f>IF(AP$6="","",IF(AP$3="Maior",IFERROR(IF(VLOOKUP($N12,Capa!$A:$AE,AP$5,0)="",0,VLOOKUP($N12,Capa!$A:$AE,AP$5,0)),0),IF(ISERROR(1/VLOOKUP($N12,Capa!$A:$AE,AP$5,0)),0,1/VLOOKUP($N12,Capa!$A:$AE,AP$5,0))))</f>
        <v>0.01457182544</v>
      </c>
      <c r="AQ12" s="118">
        <f>IF(AQ$6="","",IF(AQ$3="Maior",IFERROR(IF(VLOOKUP($N12,Capa!$A:$AE,AQ$5,0)="",0,VLOOKUP($N12,Capa!$A:$AE,AQ$5,0)),0),IF(ISERROR(1/VLOOKUP($N12,Capa!$A:$AE,AQ$5,0)),0,1/VLOOKUP($N12,Capa!$A:$AE,AQ$5,0))))</f>
        <v>14.6</v>
      </c>
      <c r="AR12" s="118">
        <f>IF(AR$6="","",IF(AR$3="Maior",IFERROR(IF(VLOOKUP($N12,Capa!$A:$AE,AR$5,0)="",0,VLOOKUP($N12,Capa!$A:$AE,AR$5,0)),0),IF(ISERROR(1/VLOOKUP($N12,Capa!$A:$AE,AR$5,0)),0,1/VLOOKUP($N12,Capa!$A:$AE,AR$5,0))))</f>
        <v>0</v>
      </c>
      <c r="AS12" s="118" t="str">
        <f>IF(AS$6="","",IF(AS$3="Maior",IFERROR(IF(VLOOKUP($N12,Capa!$A:$AE,AS$5,0)="",0,VLOOKUP($N12,Capa!$A:$AE,AS$5,0)),0),IF(ISERROR(1/VLOOKUP($N12,Capa!$A:$AE,AS$5,0)),0,1/VLOOKUP($N12,Capa!$A:$AE,AS$5,0))))</f>
        <v/>
      </c>
      <c r="AT12" s="118" t="str">
        <f>IF(AT$6="","",IF(AT$3="Maior",IFERROR(IF(VLOOKUP($N12,Capa!$A:$AE,AT$5,0)="",0,VLOOKUP($N12,Capa!$A:$AE,AT$5,0)),0),IF(ISERROR(1/VLOOKUP($N12,Capa!$A:$AE,AT$5,0)),0,1/VLOOKUP($N12,Capa!$A:$AE,AT$5,0))))</f>
        <v/>
      </c>
      <c r="AU12" s="118" t="str">
        <f>IF(AU$6="","",IF(AU$3="Maior",IFERROR(IF(VLOOKUP($N12,Capa!$A:$AE,AU$5,0)="",0,VLOOKUP($N12,Capa!$A:$AE,AU$5,0)),0),IF(ISERROR(1/VLOOKUP($N12,Capa!$A:$AE,AU$5,0)),0,1/VLOOKUP($N12,Capa!$A:$AE,AU$5,0))))</f>
        <v/>
      </c>
      <c r="AV12" s="118" t="str">
        <f>IF(AV$6="","",IF(AV$3="Maior",IFERROR(IF(VLOOKUP($N12,Capa!$A:$AE,AV$5,0)="",0,VLOOKUP($N12,Capa!$A:$AE,AV$5,0)),0),IF(ISERROR(1/VLOOKUP($N12,Capa!$A:$AE,AV$5,0)),0,1/VLOOKUP($N12,Capa!$A:$AE,AV$5,0))))</f>
        <v/>
      </c>
      <c r="AW12" s="118" t="str">
        <f>IF(AW$6="","",IF(AW$3="Maior",IFERROR(IF(VLOOKUP($N12,Capa!$A:$AE,AW$5,0)="",0,VLOOKUP($N12,Capa!$A:$AE,AW$5,0)),0),IF(ISERROR(1/VLOOKUP($N12,Capa!$A:$AE,AW$5,0)),0,1/VLOOKUP($N12,Capa!$A:$AE,AW$5,0))))</f>
        <v/>
      </c>
      <c r="AX12" s="118" t="str">
        <f>IF(AX$6="","",IF(AX$3="Maior",IFERROR(IF(VLOOKUP($N12,Capa!$A:$AE,AX$5,0)="",0,VLOOKUP($N12,Capa!$A:$AE,AX$5,0)),0),IF(ISERROR(1/VLOOKUP($N12,Capa!$A:$AE,AX$5,0)),0,1/VLOOKUP($N12,Capa!$A:$AE,AX$5,0))))</f>
        <v/>
      </c>
      <c r="AY12" s="118" t="str">
        <f>IF(AY$6="","",IF(AY$3="Maior",IFERROR(IF(VLOOKUP($N12,Capa!$A:$AE,AY$5,0)="",0,VLOOKUP($N12,Capa!$A:$AE,AY$5,0)),0),IF(ISERROR(1/VLOOKUP($N12,Capa!$A:$AE,AY$5,0)),0,1/VLOOKUP($N12,Capa!$A:$AE,AY$5,0))))</f>
        <v/>
      </c>
      <c r="AZ12" s="118" t="str">
        <f>IF(AZ$6="","",IF(AZ$3="Maior",IFERROR(IF(VLOOKUP($N12,Capa!$A:$AE,AZ$5,0)="",0,VLOOKUP($N12,Capa!$A:$AE,AZ$5,0)),0),IF(ISERROR(1/VLOOKUP($N12,Capa!$A:$AE,AZ$5,0)),0,1/VLOOKUP($N12,Capa!$A:$AE,AZ$5,0))))</f>
        <v/>
      </c>
      <c r="BA12" s="118" t="str">
        <f>IF(BA$6="","",IF(BA$3="Maior",IFERROR(IF(VLOOKUP($N12,Capa!$A:$AE,BA$5,0)="",0,VLOOKUP($N12,Capa!$A:$AE,BA$5,0)),0),IF(ISERROR(1/VLOOKUP($N12,Capa!$A:$AE,BA$5,0)),0,1/VLOOKUP($N12,Capa!$A:$AE,BA$5,0))))</f>
        <v/>
      </c>
      <c r="BB12" s="118" t="str">
        <f>IF(BB$6="","",IF(BB$3="Maior",IFERROR(IF(VLOOKUP($N12,Capa!$A:$AE,BB$5,0)="",0,VLOOKUP($N12,Capa!$A:$AE,BB$5,0)),0),IF(ISERROR(1/VLOOKUP($N12,Capa!$A:$AE,BB$5,0)),0,1/VLOOKUP($N12,Capa!$A:$AE,BB$5,0))))</f>
        <v/>
      </c>
      <c r="BC12" s="118" t="str">
        <f>IF(BC$6="","",IF(BC$3="Maior",IFERROR(IF(VLOOKUP($N12,Capa!$A:$AE,BC$5,0)="",0,VLOOKUP($N12,Capa!$A:$AE,BC$5,0)),0),IF(ISERROR(1/VLOOKUP($N12,Capa!$A:$AE,BC$5,0)),0,1/VLOOKUP($N12,Capa!$A:$AE,BC$5,0))))</f>
        <v/>
      </c>
      <c r="BD12" s="118" t="str">
        <f>IF(BD$6="","",IF(BD$3="Maior",IFERROR(IF(VLOOKUP($N12,Capa!$A:$AE,BD$5,0)="",0,VLOOKUP($N12,Capa!$A:$AE,BD$5,0)),0),IF(ISERROR(1/VLOOKUP($N12,Capa!$A:$AE,BD$5,0)),0,1/VLOOKUP($N12,Capa!$A:$AE,BD$5,0))))</f>
        <v/>
      </c>
      <c r="BE12" s="118" t="str">
        <f>IF(BE$6="","",IF(BE$3="Maior",IFERROR(IF(VLOOKUP($N12,Capa!$A:$AE,BE$5,0)="",0,VLOOKUP($N12,Capa!$A:$AE,BE$5,0)),0),IF(ISERROR(1/VLOOKUP($N12,Capa!$A:$AE,BE$5,0)),0,1/VLOOKUP($N12,Capa!$A:$AE,BE$5,0))))</f>
        <v/>
      </c>
      <c r="BF12" s="118" t="str">
        <f>IF(BF$6="","",IF(BF$3="Maior",IFERROR(IF(VLOOKUP($N12,Capa!$A:$AE,BF$5,0)="",0,VLOOKUP($N12,Capa!$A:$AE,BF$5,0)),0),IF(ISERROR(1/VLOOKUP($N12,Capa!$A:$AE,BF$5,0)),0,1/VLOOKUP($N12,Capa!$A:$AE,BF$5,0))))</f>
        <v/>
      </c>
      <c r="BG12" s="118" t="str">
        <f>IF(BG$6="","",IF(BG$3="Maior",IFERROR(IF(VLOOKUP($N12,Capa!$A:$AE,BG$5,0)="",0,VLOOKUP($N12,Capa!$A:$AE,BG$5,0)),0),IF(ISERROR(1/VLOOKUP($N12,Capa!$A:$AE,BG$5,0)),0,1/VLOOKUP($N12,Capa!$A:$AE,BG$5,0))))</f>
        <v/>
      </c>
      <c r="BH12" s="118" t="str">
        <f>IF(BH$6="","",IF(BH$3="Maior",IFERROR(IF(VLOOKUP($N12,Capa!$A:$AE,BH$5,0)="",0,VLOOKUP($N12,Capa!$A:$AE,BH$5,0)),0),IF(ISERROR(1/VLOOKUP($N12,Capa!$A:$AE,BH$5,0)),0,1/VLOOKUP($N12,Capa!$A:$AE,BH$5,0))))</f>
        <v/>
      </c>
      <c r="BI12" s="118" t="str">
        <f>IF(BI$6="","",IF(BI$3="Maior",IFERROR(IF(VLOOKUP($N12,Capa!$A:$AE,BI$5,0)="",0,VLOOKUP($N12,Capa!$A:$AE,BI$5,0)),0),IF(ISERROR(1/VLOOKUP($N12,Capa!$A:$AE,BI$5,0)),0,1/VLOOKUP($N12,Capa!$A:$AE,BI$5,0))))</f>
        <v/>
      </c>
      <c r="BJ12" s="118" t="str">
        <f>IF(BJ$6="","",IF(BJ$3="Maior",IFERROR(IF(VLOOKUP($N12,Capa!$A:$AE,BJ$5,0)="",0,VLOOKUP($N12,Capa!$A:$AE,BJ$5,0)),0),IF(ISERROR(1/VLOOKUP($N12,Capa!$A:$AE,BJ$5,0)),0,1/VLOOKUP($N12,Capa!$A:$AE,BJ$5,0))))</f>
        <v/>
      </c>
      <c r="BK12" s="118" t="str">
        <f>IF(BK$6="","",IF(BK$3="Maior",IFERROR(IF(VLOOKUP($N12,Capa!$A:$AE,BK$5,0)="",0,VLOOKUP($N12,Capa!$A:$AE,BK$5,0)),0),IF(ISERROR(1/VLOOKUP($N12,Capa!$A:$AE,BK$5,0)),0,1/VLOOKUP($N12,Capa!$A:$AE,BK$5,0))))</f>
        <v/>
      </c>
      <c r="BL12" s="118" t="str">
        <f>IF(BL$6="","",IF(BL$3="Maior",IFERROR(IF(VLOOKUP($N12,Capa!$A:$AE,BL$5,0)="",0,VLOOKUP($N12,Capa!$A:$AE,BL$5,0)),0),IF(ISERROR(1/VLOOKUP($N12,Capa!$A:$AE,BL$5,0)),0,1/VLOOKUP($N12,Capa!$A:$AE,BL$5,0))))</f>
        <v/>
      </c>
      <c r="BM12" s="118" t="str">
        <f>IF(BM$6="","",IF(BM$3="Maior",IFERROR(IF(VLOOKUP($N12,Capa!$A:$AE,BM$5,0)="",0,VLOOKUP($N12,Capa!$A:$AE,BM$5,0)),0),IF(ISERROR(1/VLOOKUP($N12,Capa!$A:$AE,BM$5,0)),0,1/VLOOKUP($N12,Capa!$A:$AE,BM$5,0))))</f>
        <v/>
      </c>
      <c r="BN12" s="118" t="str">
        <f>IF(BN$6="","",IF(BN$3="Maior",IFERROR(IF(VLOOKUP($N12,Capa!$A:$AE,BN$5,0)="",0,VLOOKUP($N12,Capa!$A:$AE,BN$5,0)),0),IF(ISERROR(1/VLOOKUP($N12,Capa!$A:$AE,BN$5,0)),0,1/VLOOKUP($N12,Capa!$A:$AE,BN$5,0))))</f>
        <v/>
      </c>
      <c r="BO12" s="92"/>
    </row>
    <row r="13">
      <c r="C13" s="119" t="s">
        <v>562</v>
      </c>
      <c r="G13" s="11"/>
      <c r="H13" s="8">
        <v>7.0</v>
      </c>
      <c r="I13" s="110" t="str">
        <f t="shared" si="6"/>
        <v>WIZS3</v>
      </c>
      <c r="J13" s="111" t="str">
        <f>VLOOKUP(left(I13,4),Setor!A:D,3,0)&amp;" | "&amp;VLOOKUP(left(I13,4),Setor!A:D,4,0)</f>
        <v>Financeiro | Previdência e Seguros</v>
      </c>
      <c r="K13" s="112">
        <f t="shared" si="7"/>
        <v>57802818.04</v>
      </c>
      <c r="L13" s="11"/>
      <c r="M13" s="11"/>
      <c r="N13" s="10" t="s">
        <v>59</v>
      </c>
      <c r="O13" s="113">
        <f t="shared" si="8"/>
        <v>337.0044</v>
      </c>
      <c r="P13" s="114">
        <f>VLOOKUP(N13,'Dados StatusInvest'!A:Z,26,0)</f>
        <v>482490808.3</v>
      </c>
      <c r="Q13" s="115">
        <f t="shared" si="9"/>
        <v>44.0044</v>
      </c>
      <c r="R13" s="116">
        <f t="shared" ref="R13:AO13" si="15">IF(AQ13="","", RANK(AQ13,AQ$7:AQ$503,0))</f>
        <v>74</v>
      </c>
      <c r="S13" s="115">
        <f t="shared" si="15"/>
        <v>219</v>
      </c>
      <c r="T13" s="115" t="str">
        <f t="shared" si="15"/>
        <v/>
      </c>
      <c r="U13" s="115" t="str">
        <f t="shared" si="15"/>
        <v/>
      </c>
      <c r="V13" s="115" t="str">
        <f t="shared" si="15"/>
        <v/>
      </c>
      <c r="W13" s="115" t="str">
        <f t="shared" si="15"/>
        <v/>
      </c>
      <c r="X13" s="115" t="str">
        <f t="shared" si="15"/>
        <v/>
      </c>
      <c r="Y13" s="115" t="str">
        <f t="shared" si="15"/>
        <v/>
      </c>
      <c r="Z13" s="115" t="str">
        <f t="shared" si="15"/>
        <v/>
      </c>
      <c r="AA13" s="115" t="str">
        <f t="shared" si="15"/>
        <v/>
      </c>
      <c r="AB13" s="115" t="str">
        <f t="shared" si="15"/>
        <v/>
      </c>
      <c r="AC13" s="115" t="str">
        <f t="shared" si="15"/>
        <v/>
      </c>
      <c r="AD13" s="115" t="str">
        <f t="shared" si="15"/>
        <v/>
      </c>
      <c r="AE13" s="115" t="str">
        <f t="shared" si="15"/>
        <v/>
      </c>
      <c r="AF13" s="115" t="str">
        <f t="shared" si="15"/>
        <v/>
      </c>
      <c r="AG13" s="115" t="str">
        <f t="shared" si="15"/>
        <v/>
      </c>
      <c r="AH13" s="115" t="str">
        <f t="shared" si="15"/>
        <v/>
      </c>
      <c r="AI13" s="115" t="str">
        <f t="shared" si="15"/>
        <v/>
      </c>
      <c r="AJ13" s="115" t="str">
        <f t="shared" si="15"/>
        <v/>
      </c>
      <c r="AK13" s="115" t="str">
        <f t="shared" si="15"/>
        <v/>
      </c>
      <c r="AL13" s="115" t="str">
        <f t="shared" si="15"/>
        <v/>
      </c>
      <c r="AM13" s="115" t="str">
        <f t="shared" si="15"/>
        <v/>
      </c>
      <c r="AN13" s="115" t="str">
        <f t="shared" si="15"/>
        <v/>
      </c>
      <c r="AO13" s="115" t="str">
        <f t="shared" si="15"/>
        <v/>
      </c>
      <c r="AP13" s="117">
        <f>IF(AP$6="","",IF(AP$3="Maior",IFERROR(IF(VLOOKUP($N13,Capa!$A:$AE,AP$5,0)="",0,VLOOKUP($N13,Capa!$A:$AE,AP$5,0)),0),IF(ISERROR(1/VLOOKUP($N13,Capa!$A:$AE,AP$5,0)),0,1/VLOOKUP($N13,Capa!$A:$AE,AP$5,0))))</f>
        <v>0.2641162464</v>
      </c>
      <c r="AQ13" s="118">
        <f>IF(AQ$6="","",IF(AQ$3="Maior",IFERROR(IF(VLOOKUP($N13,Capa!$A:$AE,AQ$5,0)="",0,VLOOKUP($N13,Capa!$A:$AE,AQ$5,0)),0),IF(ISERROR(1/VLOOKUP($N13,Capa!$A:$AE,AQ$5,0)),0,1/VLOOKUP($N13,Capa!$A:$AE,AQ$5,0))))</f>
        <v>20.44</v>
      </c>
      <c r="AR13" s="118">
        <f>IF(AR$6="","",IF(AR$3="Maior",IFERROR(IF(VLOOKUP($N13,Capa!$A:$AE,AR$5,0)="",0,VLOOKUP($N13,Capa!$A:$AE,AR$5,0)),0),IF(ISERROR(1/VLOOKUP($N13,Capa!$A:$AE,AR$5,0)),0,1/VLOOKUP($N13,Capa!$A:$AE,AR$5,0))))</f>
        <v>0</v>
      </c>
      <c r="AS13" s="118" t="str">
        <f>IF(AS$6="","",IF(AS$3="Maior",IFERROR(IF(VLOOKUP($N13,Capa!$A:$AE,AS$5,0)="",0,VLOOKUP($N13,Capa!$A:$AE,AS$5,0)),0),IF(ISERROR(1/VLOOKUP($N13,Capa!$A:$AE,AS$5,0)),0,1/VLOOKUP($N13,Capa!$A:$AE,AS$5,0))))</f>
        <v/>
      </c>
      <c r="AT13" s="118" t="str">
        <f>IF(AT$6="","",IF(AT$3="Maior",IFERROR(IF(VLOOKUP($N13,Capa!$A:$AE,AT$5,0)="",0,VLOOKUP($N13,Capa!$A:$AE,AT$5,0)),0),IF(ISERROR(1/VLOOKUP($N13,Capa!$A:$AE,AT$5,0)),0,1/VLOOKUP($N13,Capa!$A:$AE,AT$5,0))))</f>
        <v/>
      </c>
      <c r="AU13" s="118" t="str">
        <f>IF(AU$6="","",IF(AU$3="Maior",IFERROR(IF(VLOOKUP($N13,Capa!$A:$AE,AU$5,0)="",0,VLOOKUP($N13,Capa!$A:$AE,AU$5,0)),0),IF(ISERROR(1/VLOOKUP($N13,Capa!$A:$AE,AU$5,0)),0,1/VLOOKUP($N13,Capa!$A:$AE,AU$5,0))))</f>
        <v/>
      </c>
      <c r="AV13" s="118" t="str">
        <f>IF(AV$6="","",IF(AV$3="Maior",IFERROR(IF(VLOOKUP($N13,Capa!$A:$AE,AV$5,0)="",0,VLOOKUP($N13,Capa!$A:$AE,AV$5,0)),0),IF(ISERROR(1/VLOOKUP($N13,Capa!$A:$AE,AV$5,0)),0,1/VLOOKUP($N13,Capa!$A:$AE,AV$5,0))))</f>
        <v/>
      </c>
      <c r="AW13" s="118" t="str">
        <f>IF(AW$6="","",IF(AW$3="Maior",IFERROR(IF(VLOOKUP($N13,Capa!$A:$AE,AW$5,0)="",0,VLOOKUP($N13,Capa!$A:$AE,AW$5,0)),0),IF(ISERROR(1/VLOOKUP($N13,Capa!$A:$AE,AW$5,0)),0,1/VLOOKUP($N13,Capa!$A:$AE,AW$5,0))))</f>
        <v/>
      </c>
      <c r="AX13" s="118" t="str">
        <f>IF(AX$6="","",IF(AX$3="Maior",IFERROR(IF(VLOOKUP($N13,Capa!$A:$AE,AX$5,0)="",0,VLOOKUP($N13,Capa!$A:$AE,AX$5,0)),0),IF(ISERROR(1/VLOOKUP($N13,Capa!$A:$AE,AX$5,0)),0,1/VLOOKUP($N13,Capa!$A:$AE,AX$5,0))))</f>
        <v/>
      </c>
      <c r="AY13" s="118" t="str">
        <f>IF(AY$6="","",IF(AY$3="Maior",IFERROR(IF(VLOOKUP($N13,Capa!$A:$AE,AY$5,0)="",0,VLOOKUP($N13,Capa!$A:$AE,AY$5,0)),0),IF(ISERROR(1/VLOOKUP($N13,Capa!$A:$AE,AY$5,0)),0,1/VLOOKUP($N13,Capa!$A:$AE,AY$5,0))))</f>
        <v/>
      </c>
      <c r="AZ13" s="118" t="str">
        <f>IF(AZ$6="","",IF(AZ$3="Maior",IFERROR(IF(VLOOKUP($N13,Capa!$A:$AE,AZ$5,0)="",0,VLOOKUP($N13,Capa!$A:$AE,AZ$5,0)),0),IF(ISERROR(1/VLOOKUP($N13,Capa!$A:$AE,AZ$5,0)),0,1/VLOOKUP($N13,Capa!$A:$AE,AZ$5,0))))</f>
        <v/>
      </c>
      <c r="BA13" s="118" t="str">
        <f>IF(BA$6="","",IF(BA$3="Maior",IFERROR(IF(VLOOKUP($N13,Capa!$A:$AE,BA$5,0)="",0,VLOOKUP($N13,Capa!$A:$AE,BA$5,0)),0),IF(ISERROR(1/VLOOKUP($N13,Capa!$A:$AE,BA$5,0)),0,1/VLOOKUP($N13,Capa!$A:$AE,BA$5,0))))</f>
        <v/>
      </c>
      <c r="BB13" s="118" t="str">
        <f>IF(BB$6="","",IF(BB$3="Maior",IFERROR(IF(VLOOKUP($N13,Capa!$A:$AE,BB$5,0)="",0,VLOOKUP($N13,Capa!$A:$AE,BB$5,0)),0),IF(ISERROR(1/VLOOKUP($N13,Capa!$A:$AE,BB$5,0)),0,1/VLOOKUP($N13,Capa!$A:$AE,BB$5,0))))</f>
        <v/>
      </c>
      <c r="BC13" s="118" t="str">
        <f>IF(BC$6="","",IF(BC$3="Maior",IFERROR(IF(VLOOKUP($N13,Capa!$A:$AE,BC$5,0)="",0,VLOOKUP($N13,Capa!$A:$AE,BC$5,0)),0),IF(ISERROR(1/VLOOKUP($N13,Capa!$A:$AE,BC$5,0)),0,1/VLOOKUP($N13,Capa!$A:$AE,BC$5,0))))</f>
        <v/>
      </c>
      <c r="BD13" s="118" t="str">
        <f>IF(BD$6="","",IF(BD$3="Maior",IFERROR(IF(VLOOKUP($N13,Capa!$A:$AE,BD$5,0)="",0,VLOOKUP($N13,Capa!$A:$AE,BD$5,0)),0),IF(ISERROR(1/VLOOKUP($N13,Capa!$A:$AE,BD$5,0)),0,1/VLOOKUP($N13,Capa!$A:$AE,BD$5,0))))</f>
        <v/>
      </c>
      <c r="BE13" s="118" t="str">
        <f>IF(BE$6="","",IF(BE$3="Maior",IFERROR(IF(VLOOKUP($N13,Capa!$A:$AE,BE$5,0)="",0,VLOOKUP($N13,Capa!$A:$AE,BE$5,0)),0),IF(ISERROR(1/VLOOKUP($N13,Capa!$A:$AE,BE$5,0)),0,1/VLOOKUP($N13,Capa!$A:$AE,BE$5,0))))</f>
        <v/>
      </c>
      <c r="BF13" s="118" t="str">
        <f>IF(BF$6="","",IF(BF$3="Maior",IFERROR(IF(VLOOKUP($N13,Capa!$A:$AE,BF$5,0)="",0,VLOOKUP($N13,Capa!$A:$AE,BF$5,0)),0),IF(ISERROR(1/VLOOKUP($N13,Capa!$A:$AE,BF$5,0)),0,1/VLOOKUP($N13,Capa!$A:$AE,BF$5,0))))</f>
        <v/>
      </c>
      <c r="BG13" s="118" t="str">
        <f>IF(BG$6="","",IF(BG$3="Maior",IFERROR(IF(VLOOKUP($N13,Capa!$A:$AE,BG$5,0)="",0,VLOOKUP($N13,Capa!$A:$AE,BG$5,0)),0),IF(ISERROR(1/VLOOKUP($N13,Capa!$A:$AE,BG$5,0)),0,1/VLOOKUP($N13,Capa!$A:$AE,BG$5,0))))</f>
        <v/>
      </c>
      <c r="BH13" s="118" t="str">
        <f>IF(BH$6="","",IF(BH$3="Maior",IFERROR(IF(VLOOKUP($N13,Capa!$A:$AE,BH$5,0)="",0,VLOOKUP($N13,Capa!$A:$AE,BH$5,0)),0),IF(ISERROR(1/VLOOKUP($N13,Capa!$A:$AE,BH$5,0)),0,1/VLOOKUP($N13,Capa!$A:$AE,BH$5,0))))</f>
        <v/>
      </c>
      <c r="BI13" s="118" t="str">
        <f>IF(BI$6="","",IF(BI$3="Maior",IFERROR(IF(VLOOKUP($N13,Capa!$A:$AE,BI$5,0)="",0,VLOOKUP($N13,Capa!$A:$AE,BI$5,0)),0),IF(ISERROR(1/VLOOKUP($N13,Capa!$A:$AE,BI$5,0)),0,1/VLOOKUP($N13,Capa!$A:$AE,BI$5,0))))</f>
        <v/>
      </c>
      <c r="BJ13" s="118" t="str">
        <f>IF(BJ$6="","",IF(BJ$3="Maior",IFERROR(IF(VLOOKUP($N13,Capa!$A:$AE,BJ$5,0)="",0,VLOOKUP($N13,Capa!$A:$AE,BJ$5,0)),0),IF(ISERROR(1/VLOOKUP($N13,Capa!$A:$AE,BJ$5,0)),0,1/VLOOKUP($N13,Capa!$A:$AE,BJ$5,0))))</f>
        <v/>
      </c>
      <c r="BK13" s="118" t="str">
        <f>IF(BK$6="","",IF(BK$3="Maior",IFERROR(IF(VLOOKUP($N13,Capa!$A:$AE,BK$5,0)="",0,VLOOKUP($N13,Capa!$A:$AE,BK$5,0)),0),IF(ISERROR(1/VLOOKUP($N13,Capa!$A:$AE,BK$5,0)),0,1/VLOOKUP($N13,Capa!$A:$AE,BK$5,0))))</f>
        <v/>
      </c>
      <c r="BL13" s="118" t="str">
        <f>IF(BL$6="","",IF(BL$3="Maior",IFERROR(IF(VLOOKUP($N13,Capa!$A:$AE,BL$5,0)="",0,VLOOKUP($N13,Capa!$A:$AE,BL$5,0)),0),IF(ISERROR(1/VLOOKUP($N13,Capa!$A:$AE,BL$5,0)),0,1/VLOOKUP($N13,Capa!$A:$AE,BL$5,0))))</f>
        <v/>
      </c>
      <c r="BM13" s="118" t="str">
        <f>IF(BM$6="","",IF(BM$3="Maior",IFERROR(IF(VLOOKUP($N13,Capa!$A:$AE,BM$5,0)="",0,VLOOKUP($N13,Capa!$A:$AE,BM$5,0)),0),IF(ISERROR(1/VLOOKUP($N13,Capa!$A:$AE,BM$5,0)),0,1/VLOOKUP($N13,Capa!$A:$AE,BM$5,0))))</f>
        <v/>
      </c>
      <c r="BN13" s="118" t="str">
        <f>IF(BN$6="","",IF(BN$3="Maior",IFERROR(IF(VLOOKUP($N13,Capa!$A:$AE,BN$5,0)="",0,VLOOKUP($N13,Capa!$A:$AE,BN$5,0)),0),IF(ISERROR(1/VLOOKUP($N13,Capa!$A:$AE,BN$5,0)),0,1/VLOOKUP($N13,Capa!$A:$AE,BN$5,0))))</f>
        <v/>
      </c>
      <c r="BO13" s="92"/>
    </row>
    <row r="14">
      <c r="C14" s="119" t="s">
        <v>563</v>
      </c>
      <c r="G14" s="11"/>
      <c r="H14" s="8">
        <v>8.0</v>
      </c>
      <c r="I14" s="110" t="str">
        <f t="shared" si="6"/>
        <v>JHSF3</v>
      </c>
      <c r="J14" s="111" t="str">
        <f>VLOOKUP(left(I14,4),Setor!A:D,3,0)&amp;" | "&amp;VLOOKUP(left(I14,4),Setor!A:D,4,0)</f>
        <v>Consumo Cíclico | Construção Civil</v>
      </c>
      <c r="K14" s="112">
        <f t="shared" si="7"/>
        <v>22317820.42</v>
      </c>
      <c r="L14" s="11"/>
      <c r="M14" s="11"/>
      <c r="N14" s="10" t="s">
        <v>60</v>
      </c>
      <c r="O14" s="113">
        <f t="shared" si="8"/>
        <v>628.0199</v>
      </c>
      <c r="P14" s="114">
        <f>VLOOKUP(N14,'Dados StatusInvest'!A:Z,26,0)</f>
        <v>472551404.8</v>
      </c>
      <c r="Q14" s="115">
        <f t="shared" si="9"/>
        <v>199.0199</v>
      </c>
      <c r="R14" s="116">
        <f t="shared" ref="R14:AO14" si="16">IF(AQ14="","", RANK(AQ14,AQ$7:AQ$503,0))</f>
        <v>210</v>
      </c>
      <c r="S14" s="115">
        <f t="shared" si="16"/>
        <v>219</v>
      </c>
      <c r="T14" s="115" t="str">
        <f t="shared" si="16"/>
        <v/>
      </c>
      <c r="U14" s="115" t="str">
        <f t="shared" si="16"/>
        <v/>
      </c>
      <c r="V14" s="115" t="str">
        <f t="shared" si="16"/>
        <v/>
      </c>
      <c r="W14" s="115" t="str">
        <f t="shared" si="16"/>
        <v/>
      </c>
      <c r="X14" s="115" t="str">
        <f t="shared" si="16"/>
        <v/>
      </c>
      <c r="Y14" s="115" t="str">
        <f t="shared" si="16"/>
        <v/>
      </c>
      <c r="Z14" s="115" t="str">
        <f t="shared" si="16"/>
        <v/>
      </c>
      <c r="AA14" s="115" t="str">
        <f t="shared" si="16"/>
        <v/>
      </c>
      <c r="AB14" s="115" t="str">
        <f t="shared" si="16"/>
        <v/>
      </c>
      <c r="AC14" s="115" t="str">
        <f t="shared" si="16"/>
        <v/>
      </c>
      <c r="AD14" s="115" t="str">
        <f t="shared" si="16"/>
        <v/>
      </c>
      <c r="AE14" s="115" t="str">
        <f t="shared" si="16"/>
        <v/>
      </c>
      <c r="AF14" s="115" t="str">
        <f t="shared" si="16"/>
        <v/>
      </c>
      <c r="AG14" s="115" t="str">
        <f t="shared" si="16"/>
        <v/>
      </c>
      <c r="AH14" s="115" t="str">
        <f t="shared" si="16"/>
        <v/>
      </c>
      <c r="AI14" s="115" t="str">
        <f t="shared" si="16"/>
        <v/>
      </c>
      <c r="AJ14" s="115" t="str">
        <f t="shared" si="16"/>
        <v/>
      </c>
      <c r="AK14" s="115" t="str">
        <f t="shared" si="16"/>
        <v/>
      </c>
      <c r="AL14" s="115" t="str">
        <f t="shared" si="16"/>
        <v/>
      </c>
      <c r="AM14" s="115" t="str">
        <f t="shared" si="16"/>
        <v/>
      </c>
      <c r="AN14" s="115" t="str">
        <f t="shared" si="16"/>
        <v/>
      </c>
      <c r="AO14" s="115" t="str">
        <f t="shared" si="16"/>
        <v/>
      </c>
      <c r="AP14" s="117">
        <f>IF(AP$6="","",IF(AP$3="Maior",IFERROR(IF(VLOOKUP($N14,Capa!$A:$AE,AP$5,0)="",0,VLOOKUP($N14,Capa!$A:$AE,AP$5,0)),0),IF(ISERROR(1/VLOOKUP($N14,Capa!$A:$AE,AP$5,0)),0,1/VLOOKUP($N14,Capa!$A:$AE,AP$5,0))))</f>
        <v>0.1074411924</v>
      </c>
      <c r="AQ14" s="118">
        <f>IF(AQ$6="","",IF(AQ$3="Maior",IFERROR(IF(VLOOKUP($N14,Capa!$A:$AE,AQ$5,0)="",0,VLOOKUP($N14,Capa!$A:$AE,AQ$5,0)),0),IF(ISERROR(1/VLOOKUP($N14,Capa!$A:$AE,AQ$5,0)),0,1/VLOOKUP($N14,Capa!$A:$AE,AQ$5,0))))</f>
        <v>10.77</v>
      </c>
      <c r="AR14" s="118">
        <f>IF(AR$6="","",IF(AR$3="Maior",IFERROR(IF(VLOOKUP($N14,Capa!$A:$AE,AR$5,0)="",0,VLOOKUP($N14,Capa!$A:$AE,AR$5,0)),0),IF(ISERROR(1/VLOOKUP($N14,Capa!$A:$AE,AR$5,0)),0,1/VLOOKUP($N14,Capa!$A:$AE,AR$5,0))))</f>
        <v>0</v>
      </c>
      <c r="AS14" s="118" t="str">
        <f>IF(AS$6="","",IF(AS$3="Maior",IFERROR(IF(VLOOKUP($N14,Capa!$A:$AE,AS$5,0)="",0,VLOOKUP($N14,Capa!$A:$AE,AS$5,0)),0),IF(ISERROR(1/VLOOKUP($N14,Capa!$A:$AE,AS$5,0)),0,1/VLOOKUP($N14,Capa!$A:$AE,AS$5,0))))</f>
        <v/>
      </c>
      <c r="AT14" s="118" t="str">
        <f>IF(AT$6="","",IF(AT$3="Maior",IFERROR(IF(VLOOKUP($N14,Capa!$A:$AE,AT$5,0)="",0,VLOOKUP($N14,Capa!$A:$AE,AT$5,0)),0),IF(ISERROR(1/VLOOKUP($N14,Capa!$A:$AE,AT$5,0)),0,1/VLOOKUP($N14,Capa!$A:$AE,AT$5,0))))</f>
        <v/>
      </c>
      <c r="AU14" s="118" t="str">
        <f>IF(AU$6="","",IF(AU$3="Maior",IFERROR(IF(VLOOKUP($N14,Capa!$A:$AE,AU$5,0)="",0,VLOOKUP($N14,Capa!$A:$AE,AU$5,0)),0),IF(ISERROR(1/VLOOKUP($N14,Capa!$A:$AE,AU$5,0)),0,1/VLOOKUP($N14,Capa!$A:$AE,AU$5,0))))</f>
        <v/>
      </c>
      <c r="AV14" s="118" t="str">
        <f>IF(AV$6="","",IF(AV$3="Maior",IFERROR(IF(VLOOKUP($N14,Capa!$A:$AE,AV$5,0)="",0,VLOOKUP($N14,Capa!$A:$AE,AV$5,0)),0),IF(ISERROR(1/VLOOKUP($N14,Capa!$A:$AE,AV$5,0)),0,1/VLOOKUP($N14,Capa!$A:$AE,AV$5,0))))</f>
        <v/>
      </c>
      <c r="AW14" s="118" t="str">
        <f>IF(AW$6="","",IF(AW$3="Maior",IFERROR(IF(VLOOKUP($N14,Capa!$A:$AE,AW$5,0)="",0,VLOOKUP($N14,Capa!$A:$AE,AW$5,0)),0),IF(ISERROR(1/VLOOKUP($N14,Capa!$A:$AE,AW$5,0)),0,1/VLOOKUP($N14,Capa!$A:$AE,AW$5,0))))</f>
        <v/>
      </c>
      <c r="AX14" s="118" t="str">
        <f>IF(AX$6="","",IF(AX$3="Maior",IFERROR(IF(VLOOKUP($N14,Capa!$A:$AE,AX$5,0)="",0,VLOOKUP($N14,Capa!$A:$AE,AX$5,0)),0),IF(ISERROR(1/VLOOKUP($N14,Capa!$A:$AE,AX$5,0)),0,1/VLOOKUP($N14,Capa!$A:$AE,AX$5,0))))</f>
        <v/>
      </c>
      <c r="AY14" s="118" t="str">
        <f>IF(AY$6="","",IF(AY$3="Maior",IFERROR(IF(VLOOKUP($N14,Capa!$A:$AE,AY$5,0)="",0,VLOOKUP($N14,Capa!$A:$AE,AY$5,0)),0),IF(ISERROR(1/VLOOKUP($N14,Capa!$A:$AE,AY$5,0)),0,1/VLOOKUP($N14,Capa!$A:$AE,AY$5,0))))</f>
        <v/>
      </c>
      <c r="AZ14" s="118" t="str">
        <f>IF(AZ$6="","",IF(AZ$3="Maior",IFERROR(IF(VLOOKUP($N14,Capa!$A:$AE,AZ$5,0)="",0,VLOOKUP($N14,Capa!$A:$AE,AZ$5,0)),0),IF(ISERROR(1/VLOOKUP($N14,Capa!$A:$AE,AZ$5,0)),0,1/VLOOKUP($N14,Capa!$A:$AE,AZ$5,0))))</f>
        <v/>
      </c>
      <c r="BA14" s="118" t="str">
        <f>IF(BA$6="","",IF(BA$3="Maior",IFERROR(IF(VLOOKUP($N14,Capa!$A:$AE,BA$5,0)="",0,VLOOKUP($N14,Capa!$A:$AE,BA$5,0)),0),IF(ISERROR(1/VLOOKUP($N14,Capa!$A:$AE,BA$5,0)),0,1/VLOOKUP($N14,Capa!$A:$AE,BA$5,0))))</f>
        <v/>
      </c>
      <c r="BB14" s="118" t="str">
        <f>IF(BB$6="","",IF(BB$3="Maior",IFERROR(IF(VLOOKUP($N14,Capa!$A:$AE,BB$5,0)="",0,VLOOKUP($N14,Capa!$A:$AE,BB$5,0)),0),IF(ISERROR(1/VLOOKUP($N14,Capa!$A:$AE,BB$5,0)),0,1/VLOOKUP($N14,Capa!$A:$AE,BB$5,0))))</f>
        <v/>
      </c>
      <c r="BC14" s="118" t="str">
        <f>IF(BC$6="","",IF(BC$3="Maior",IFERROR(IF(VLOOKUP($N14,Capa!$A:$AE,BC$5,0)="",0,VLOOKUP($N14,Capa!$A:$AE,BC$5,0)),0),IF(ISERROR(1/VLOOKUP($N14,Capa!$A:$AE,BC$5,0)),0,1/VLOOKUP($N14,Capa!$A:$AE,BC$5,0))))</f>
        <v/>
      </c>
      <c r="BD14" s="118" t="str">
        <f>IF(BD$6="","",IF(BD$3="Maior",IFERROR(IF(VLOOKUP($N14,Capa!$A:$AE,BD$5,0)="",0,VLOOKUP($N14,Capa!$A:$AE,BD$5,0)),0),IF(ISERROR(1/VLOOKUP($N14,Capa!$A:$AE,BD$5,0)),0,1/VLOOKUP($N14,Capa!$A:$AE,BD$5,0))))</f>
        <v/>
      </c>
      <c r="BE14" s="118" t="str">
        <f>IF(BE$6="","",IF(BE$3="Maior",IFERROR(IF(VLOOKUP($N14,Capa!$A:$AE,BE$5,0)="",0,VLOOKUP($N14,Capa!$A:$AE,BE$5,0)),0),IF(ISERROR(1/VLOOKUP($N14,Capa!$A:$AE,BE$5,0)),0,1/VLOOKUP($N14,Capa!$A:$AE,BE$5,0))))</f>
        <v/>
      </c>
      <c r="BF14" s="118" t="str">
        <f>IF(BF$6="","",IF(BF$3="Maior",IFERROR(IF(VLOOKUP($N14,Capa!$A:$AE,BF$5,0)="",0,VLOOKUP($N14,Capa!$A:$AE,BF$5,0)),0),IF(ISERROR(1/VLOOKUP($N14,Capa!$A:$AE,BF$5,0)),0,1/VLOOKUP($N14,Capa!$A:$AE,BF$5,0))))</f>
        <v/>
      </c>
      <c r="BG14" s="118" t="str">
        <f>IF(BG$6="","",IF(BG$3="Maior",IFERROR(IF(VLOOKUP($N14,Capa!$A:$AE,BG$5,0)="",0,VLOOKUP($N14,Capa!$A:$AE,BG$5,0)),0),IF(ISERROR(1/VLOOKUP($N14,Capa!$A:$AE,BG$5,0)),0,1/VLOOKUP($N14,Capa!$A:$AE,BG$5,0))))</f>
        <v/>
      </c>
      <c r="BH14" s="118" t="str">
        <f>IF(BH$6="","",IF(BH$3="Maior",IFERROR(IF(VLOOKUP($N14,Capa!$A:$AE,BH$5,0)="",0,VLOOKUP($N14,Capa!$A:$AE,BH$5,0)),0),IF(ISERROR(1/VLOOKUP($N14,Capa!$A:$AE,BH$5,0)),0,1/VLOOKUP($N14,Capa!$A:$AE,BH$5,0))))</f>
        <v/>
      </c>
      <c r="BI14" s="118" t="str">
        <f>IF(BI$6="","",IF(BI$3="Maior",IFERROR(IF(VLOOKUP($N14,Capa!$A:$AE,BI$5,0)="",0,VLOOKUP($N14,Capa!$A:$AE,BI$5,0)),0),IF(ISERROR(1/VLOOKUP($N14,Capa!$A:$AE,BI$5,0)),0,1/VLOOKUP($N14,Capa!$A:$AE,BI$5,0))))</f>
        <v/>
      </c>
      <c r="BJ14" s="118" t="str">
        <f>IF(BJ$6="","",IF(BJ$3="Maior",IFERROR(IF(VLOOKUP($N14,Capa!$A:$AE,BJ$5,0)="",0,VLOOKUP($N14,Capa!$A:$AE,BJ$5,0)),0),IF(ISERROR(1/VLOOKUP($N14,Capa!$A:$AE,BJ$5,0)),0,1/VLOOKUP($N14,Capa!$A:$AE,BJ$5,0))))</f>
        <v/>
      </c>
      <c r="BK14" s="118" t="str">
        <f>IF(BK$6="","",IF(BK$3="Maior",IFERROR(IF(VLOOKUP($N14,Capa!$A:$AE,BK$5,0)="",0,VLOOKUP($N14,Capa!$A:$AE,BK$5,0)),0),IF(ISERROR(1/VLOOKUP($N14,Capa!$A:$AE,BK$5,0)),0,1/VLOOKUP($N14,Capa!$A:$AE,BK$5,0))))</f>
        <v/>
      </c>
      <c r="BL14" s="118" t="str">
        <f>IF(BL$6="","",IF(BL$3="Maior",IFERROR(IF(VLOOKUP($N14,Capa!$A:$AE,BL$5,0)="",0,VLOOKUP($N14,Capa!$A:$AE,BL$5,0)),0),IF(ISERROR(1/VLOOKUP($N14,Capa!$A:$AE,BL$5,0)),0,1/VLOOKUP($N14,Capa!$A:$AE,BL$5,0))))</f>
        <v/>
      </c>
      <c r="BM14" s="118" t="str">
        <f>IF(BM$6="","",IF(BM$3="Maior",IFERROR(IF(VLOOKUP($N14,Capa!$A:$AE,BM$5,0)="",0,VLOOKUP($N14,Capa!$A:$AE,BM$5,0)),0),IF(ISERROR(1/VLOOKUP($N14,Capa!$A:$AE,BM$5,0)),0,1/VLOOKUP($N14,Capa!$A:$AE,BM$5,0))))</f>
        <v/>
      </c>
      <c r="BN14" s="118" t="str">
        <f>IF(BN$6="","",IF(BN$3="Maior",IFERROR(IF(VLOOKUP($N14,Capa!$A:$AE,BN$5,0)="",0,VLOOKUP($N14,Capa!$A:$AE,BN$5,0)),0),IF(ISERROR(1/VLOOKUP($N14,Capa!$A:$AE,BN$5,0)),0,1/VLOOKUP($N14,Capa!$A:$AE,BN$5,0))))</f>
        <v/>
      </c>
      <c r="BO14" s="92"/>
    </row>
    <row r="15">
      <c r="G15" s="11"/>
      <c r="H15" s="8">
        <v>9.0</v>
      </c>
      <c r="I15" s="110" t="str">
        <f t="shared" si="6"/>
        <v>TRPL4</v>
      </c>
      <c r="J15" s="111" t="str">
        <f>VLOOKUP(left(I15,4),Setor!A:D,3,0)&amp;" | "&amp;VLOOKUP(left(I15,4),Setor!A:D,4,0)</f>
        <v>Utilidade Pública | Energia Elétrica</v>
      </c>
      <c r="K15" s="112">
        <f t="shared" si="7"/>
        <v>32293677.13</v>
      </c>
      <c r="L15" s="11"/>
      <c r="M15" s="11"/>
      <c r="N15" s="10" t="s">
        <v>61</v>
      </c>
      <c r="O15" s="113">
        <f t="shared" si="8"/>
        <v>288.0022</v>
      </c>
      <c r="P15" s="114">
        <f>VLOOKUP(N15,'Dados StatusInvest'!A:Z,26,0)</f>
        <v>407425386.5</v>
      </c>
      <c r="Q15" s="115">
        <f t="shared" si="9"/>
        <v>22.0022</v>
      </c>
      <c r="R15" s="116">
        <f t="shared" ref="R15:AO15" si="17">IF(AQ15="","", RANK(AQ15,AQ$7:AQ$503,0))</f>
        <v>47</v>
      </c>
      <c r="S15" s="115">
        <f t="shared" si="17"/>
        <v>219</v>
      </c>
      <c r="T15" s="115" t="str">
        <f t="shared" si="17"/>
        <v/>
      </c>
      <c r="U15" s="115" t="str">
        <f t="shared" si="17"/>
        <v/>
      </c>
      <c r="V15" s="115" t="str">
        <f t="shared" si="17"/>
        <v/>
      </c>
      <c r="W15" s="115" t="str">
        <f t="shared" si="17"/>
        <v/>
      </c>
      <c r="X15" s="115" t="str">
        <f t="shared" si="17"/>
        <v/>
      </c>
      <c r="Y15" s="115" t="str">
        <f t="shared" si="17"/>
        <v/>
      </c>
      <c r="Z15" s="115" t="str">
        <f t="shared" si="17"/>
        <v/>
      </c>
      <c r="AA15" s="115" t="str">
        <f t="shared" si="17"/>
        <v/>
      </c>
      <c r="AB15" s="115" t="str">
        <f t="shared" si="17"/>
        <v/>
      </c>
      <c r="AC15" s="115" t="str">
        <f t="shared" si="17"/>
        <v/>
      </c>
      <c r="AD15" s="115" t="str">
        <f t="shared" si="17"/>
        <v/>
      </c>
      <c r="AE15" s="115" t="str">
        <f t="shared" si="17"/>
        <v/>
      </c>
      <c r="AF15" s="115" t="str">
        <f t="shared" si="17"/>
        <v/>
      </c>
      <c r="AG15" s="115" t="str">
        <f t="shared" si="17"/>
        <v/>
      </c>
      <c r="AH15" s="115" t="str">
        <f t="shared" si="17"/>
        <v/>
      </c>
      <c r="AI15" s="115" t="str">
        <f t="shared" si="17"/>
        <v/>
      </c>
      <c r="AJ15" s="115" t="str">
        <f t="shared" si="17"/>
        <v/>
      </c>
      <c r="AK15" s="115" t="str">
        <f t="shared" si="17"/>
        <v/>
      </c>
      <c r="AL15" s="115" t="str">
        <f t="shared" si="17"/>
        <v/>
      </c>
      <c r="AM15" s="115" t="str">
        <f t="shared" si="17"/>
        <v/>
      </c>
      <c r="AN15" s="115" t="str">
        <f t="shared" si="17"/>
        <v/>
      </c>
      <c r="AO15" s="115" t="str">
        <f t="shared" si="17"/>
        <v/>
      </c>
      <c r="AP15" s="117">
        <f>IF(AP$6="","",IF(AP$3="Maior",IFERROR(IF(VLOOKUP($N15,Capa!$A:$AE,AP$5,0)="",0,VLOOKUP($N15,Capa!$A:$AE,AP$5,0)),0),IF(ISERROR(1/VLOOKUP($N15,Capa!$A:$AE,AP$5,0)),0,1/VLOOKUP($N15,Capa!$A:$AE,AP$5,0))))</f>
        <v>0.3904582549</v>
      </c>
      <c r="AQ15" s="118">
        <f>IF(AQ$6="","",IF(AQ$3="Maior",IFERROR(IF(VLOOKUP($N15,Capa!$A:$AE,AQ$5,0)="",0,VLOOKUP($N15,Capa!$A:$AE,AQ$5,0)),0),IF(ISERROR(1/VLOOKUP($N15,Capa!$A:$AE,AQ$5,0)),0,1/VLOOKUP($N15,Capa!$A:$AE,AQ$5,0))))</f>
        <v>28.12</v>
      </c>
      <c r="AR15" s="118">
        <f>IF(AR$6="","",IF(AR$3="Maior",IFERROR(IF(VLOOKUP($N15,Capa!$A:$AE,AR$5,0)="",0,VLOOKUP($N15,Capa!$A:$AE,AR$5,0)),0),IF(ISERROR(1/VLOOKUP($N15,Capa!$A:$AE,AR$5,0)),0,1/VLOOKUP($N15,Capa!$A:$AE,AR$5,0))))</f>
        <v>0</v>
      </c>
      <c r="AS15" s="118" t="str">
        <f>IF(AS$6="","",IF(AS$3="Maior",IFERROR(IF(VLOOKUP($N15,Capa!$A:$AE,AS$5,0)="",0,VLOOKUP($N15,Capa!$A:$AE,AS$5,0)),0),IF(ISERROR(1/VLOOKUP($N15,Capa!$A:$AE,AS$5,0)),0,1/VLOOKUP($N15,Capa!$A:$AE,AS$5,0))))</f>
        <v/>
      </c>
      <c r="AT15" s="118" t="str">
        <f>IF(AT$6="","",IF(AT$3="Maior",IFERROR(IF(VLOOKUP($N15,Capa!$A:$AE,AT$5,0)="",0,VLOOKUP($N15,Capa!$A:$AE,AT$5,0)),0),IF(ISERROR(1/VLOOKUP($N15,Capa!$A:$AE,AT$5,0)),0,1/VLOOKUP($N15,Capa!$A:$AE,AT$5,0))))</f>
        <v/>
      </c>
      <c r="AU15" s="118" t="str">
        <f>IF(AU$6="","",IF(AU$3="Maior",IFERROR(IF(VLOOKUP($N15,Capa!$A:$AE,AU$5,0)="",0,VLOOKUP($N15,Capa!$A:$AE,AU$5,0)),0),IF(ISERROR(1/VLOOKUP($N15,Capa!$A:$AE,AU$5,0)),0,1/VLOOKUP($N15,Capa!$A:$AE,AU$5,0))))</f>
        <v/>
      </c>
      <c r="AV15" s="118" t="str">
        <f>IF(AV$6="","",IF(AV$3="Maior",IFERROR(IF(VLOOKUP($N15,Capa!$A:$AE,AV$5,0)="",0,VLOOKUP($N15,Capa!$A:$AE,AV$5,0)),0),IF(ISERROR(1/VLOOKUP($N15,Capa!$A:$AE,AV$5,0)),0,1/VLOOKUP($N15,Capa!$A:$AE,AV$5,0))))</f>
        <v/>
      </c>
      <c r="AW15" s="118" t="str">
        <f>IF(AW$6="","",IF(AW$3="Maior",IFERROR(IF(VLOOKUP($N15,Capa!$A:$AE,AW$5,0)="",0,VLOOKUP($N15,Capa!$A:$AE,AW$5,0)),0),IF(ISERROR(1/VLOOKUP($N15,Capa!$A:$AE,AW$5,0)),0,1/VLOOKUP($N15,Capa!$A:$AE,AW$5,0))))</f>
        <v/>
      </c>
      <c r="AX15" s="118" t="str">
        <f>IF(AX$6="","",IF(AX$3="Maior",IFERROR(IF(VLOOKUP($N15,Capa!$A:$AE,AX$5,0)="",0,VLOOKUP($N15,Capa!$A:$AE,AX$5,0)),0),IF(ISERROR(1/VLOOKUP($N15,Capa!$A:$AE,AX$5,0)),0,1/VLOOKUP($N15,Capa!$A:$AE,AX$5,0))))</f>
        <v/>
      </c>
      <c r="AY15" s="118" t="str">
        <f>IF(AY$6="","",IF(AY$3="Maior",IFERROR(IF(VLOOKUP($N15,Capa!$A:$AE,AY$5,0)="",0,VLOOKUP($N15,Capa!$A:$AE,AY$5,0)),0),IF(ISERROR(1/VLOOKUP($N15,Capa!$A:$AE,AY$5,0)),0,1/VLOOKUP($N15,Capa!$A:$AE,AY$5,0))))</f>
        <v/>
      </c>
      <c r="AZ15" s="118" t="str">
        <f>IF(AZ$6="","",IF(AZ$3="Maior",IFERROR(IF(VLOOKUP($N15,Capa!$A:$AE,AZ$5,0)="",0,VLOOKUP($N15,Capa!$A:$AE,AZ$5,0)),0),IF(ISERROR(1/VLOOKUP($N15,Capa!$A:$AE,AZ$5,0)),0,1/VLOOKUP($N15,Capa!$A:$AE,AZ$5,0))))</f>
        <v/>
      </c>
      <c r="BA15" s="118" t="str">
        <f>IF(BA$6="","",IF(BA$3="Maior",IFERROR(IF(VLOOKUP($N15,Capa!$A:$AE,BA$5,0)="",0,VLOOKUP($N15,Capa!$A:$AE,BA$5,0)),0),IF(ISERROR(1/VLOOKUP($N15,Capa!$A:$AE,BA$5,0)),0,1/VLOOKUP($N15,Capa!$A:$AE,BA$5,0))))</f>
        <v/>
      </c>
      <c r="BB15" s="118" t="str">
        <f>IF(BB$6="","",IF(BB$3="Maior",IFERROR(IF(VLOOKUP($N15,Capa!$A:$AE,BB$5,0)="",0,VLOOKUP($N15,Capa!$A:$AE,BB$5,0)),0),IF(ISERROR(1/VLOOKUP($N15,Capa!$A:$AE,BB$5,0)),0,1/VLOOKUP($N15,Capa!$A:$AE,BB$5,0))))</f>
        <v/>
      </c>
      <c r="BC15" s="118" t="str">
        <f>IF(BC$6="","",IF(BC$3="Maior",IFERROR(IF(VLOOKUP($N15,Capa!$A:$AE,BC$5,0)="",0,VLOOKUP($N15,Capa!$A:$AE,BC$5,0)),0),IF(ISERROR(1/VLOOKUP($N15,Capa!$A:$AE,BC$5,0)),0,1/VLOOKUP($N15,Capa!$A:$AE,BC$5,0))))</f>
        <v/>
      </c>
      <c r="BD15" s="118" t="str">
        <f>IF(BD$6="","",IF(BD$3="Maior",IFERROR(IF(VLOOKUP($N15,Capa!$A:$AE,BD$5,0)="",0,VLOOKUP($N15,Capa!$A:$AE,BD$5,0)),0),IF(ISERROR(1/VLOOKUP($N15,Capa!$A:$AE,BD$5,0)),0,1/VLOOKUP($N15,Capa!$A:$AE,BD$5,0))))</f>
        <v/>
      </c>
      <c r="BE15" s="118" t="str">
        <f>IF(BE$6="","",IF(BE$3="Maior",IFERROR(IF(VLOOKUP($N15,Capa!$A:$AE,BE$5,0)="",0,VLOOKUP($N15,Capa!$A:$AE,BE$5,0)),0),IF(ISERROR(1/VLOOKUP($N15,Capa!$A:$AE,BE$5,0)),0,1/VLOOKUP($N15,Capa!$A:$AE,BE$5,0))))</f>
        <v/>
      </c>
      <c r="BF15" s="118" t="str">
        <f>IF(BF$6="","",IF(BF$3="Maior",IFERROR(IF(VLOOKUP($N15,Capa!$A:$AE,BF$5,0)="",0,VLOOKUP($N15,Capa!$A:$AE,BF$5,0)),0),IF(ISERROR(1/VLOOKUP($N15,Capa!$A:$AE,BF$5,0)),0,1/VLOOKUP($N15,Capa!$A:$AE,BF$5,0))))</f>
        <v/>
      </c>
      <c r="BG15" s="118" t="str">
        <f>IF(BG$6="","",IF(BG$3="Maior",IFERROR(IF(VLOOKUP($N15,Capa!$A:$AE,BG$5,0)="",0,VLOOKUP($N15,Capa!$A:$AE,BG$5,0)),0),IF(ISERROR(1/VLOOKUP($N15,Capa!$A:$AE,BG$5,0)),0,1/VLOOKUP($N15,Capa!$A:$AE,BG$5,0))))</f>
        <v/>
      </c>
      <c r="BH15" s="118" t="str">
        <f>IF(BH$6="","",IF(BH$3="Maior",IFERROR(IF(VLOOKUP($N15,Capa!$A:$AE,BH$5,0)="",0,VLOOKUP($N15,Capa!$A:$AE,BH$5,0)),0),IF(ISERROR(1/VLOOKUP($N15,Capa!$A:$AE,BH$5,0)),0,1/VLOOKUP($N15,Capa!$A:$AE,BH$5,0))))</f>
        <v/>
      </c>
      <c r="BI15" s="118" t="str">
        <f>IF(BI$6="","",IF(BI$3="Maior",IFERROR(IF(VLOOKUP($N15,Capa!$A:$AE,BI$5,0)="",0,VLOOKUP($N15,Capa!$A:$AE,BI$5,0)),0),IF(ISERROR(1/VLOOKUP($N15,Capa!$A:$AE,BI$5,0)),0,1/VLOOKUP($N15,Capa!$A:$AE,BI$5,0))))</f>
        <v/>
      </c>
      <c r="BJ15" s="118" t="str">
        <f>IF(BJ$6="","",IF(BJ$3="Maior",IFERROR(IF(VLOOKUP($N15,Capa!$A:$AE,BJ$5,0)="",0,VLOOKUP($N15,Capa!$A:$AE,BJ$5,0)),0),IF(ISERROR(1/VLOOKUP($N15,Capa!$A:$AE,BJ$5,0)),0,1/VLOOKUP($N15,Capa!$A:$AE,BJ$5,0))))</f>
        <v/>
      </c>
      <c r="BK15" s="118" t="str">
        <f>IF(BK$6="","",IF(BK$3="Maior",IFERROR(IF(VLOOKUP($N15,Capa!$A:$AE,BK$5,0)="",0,VLOOKUP($N15,Capa!$A:$AE,BK$5,0)),0),IF(ISERROR(1/VLOOKUP($N15,Capa!$A:$AE,BK$5,0)),0,1/VLOOKUP($N15,Capa!$A:$AE,BK$5,0))))</f>
        <v/>
      </c>
      <c r="BL15" s="118" t="str">
        <f>IF(BL$6="","",IF(BL$3="Maior",IFERROR(IF(VLOOKUP($N15,Capa!$A:$AE,BL$5,0)="",0,VLOOKUP($N15,Capa!$A:$AE,BL$5,0)),0),IF(ISERROR(1/VLOOKUP($N15,Capa!$A:$AE,BL$5,0)),0,1/VLOOKUP($N15,Capa!$A:$AE,BL$5,0))))</f>
        <v/>
      </c>
      <c r="BM15" s="118" t="str">
        <f>IF(BM$6="","",IF(BM$3="Maior",IFERROR(IF(VLOOKUP($N15,Capa!$A:$AE,BM$5,0)="",0,VLOOKUP($N15,Capa!$A:$AE,BM$5,0)),0),IF(ISERROR(1/VLOOKUP($N15,Capa!$A:$AE,BM$5,0)),0,1/VLOOKUP($N15,Capa!$A:$AE,BM$5,0))))</f>
        <v/>
      </c>
      <c r="BN15" s="118" t="str">
        <f>IF(BN$6="","",IF(BN$3="Maior",IFERROR(IF(VLOOKUP($N15,Capa!$A:$AE,BN$5,0)="",0,VLOOKUP($N15,Capa!$A:$AE,BN$5,0)),0),IF(ISERROR(1/VLOOKUP($N15,Capa!$A:$AE,BN$5,0)),0,1/VLOOKUP($N15,Capa!$A:$AE,BN$5,0))))</f>
        <v/>
      </c>
      <c r="BO15" s="92"/>
    </row>
    <row r="16">
      <c r="C16" s="121"/>
      <c r="G16" s="11"/>
      <c r="H16" s="8">
        <v>10.0</v>
      </c>
      <c r="I16" s="110" t="str">
        <f t="shared" si="6"/>
        <v>TAEE11</v>
      </c>
      <c r="J16" s="111" t="str">
        <f>VLOOKUP(left(I16,4),Setor!A:D,3,0)&amp;" | "&amp;VLOOKUP(left(I16,4),Setor!A:D,4,0)</f>
        <v>Utilidade Pública | Energia Elétrica</v>
      </c>
      <c r="K16" s="112">
        <f t="shared" si="7"/>
        <v>89970517.13</v>
      </c>
      <c r="L16" s="11"/>
      <c r="M16" s="11"/>
      <c r="N16" s="10" t="s">
        <v>62</v>
      </c>
      <c r="O16" s="113">
        <f t="shared" si="8"/>
        <v>407.0126</v>
      </c>
      <c r="P16" s="114">
        <f>VLOOKUP(N16,'Dados StatusInvest'!A:Z,26,0)</f>
        <v>434280045.9</v>
      </c>
      <c r="Q16" s="115">
        <f t="shared" si="9"/>
        <v>126.0126</v>
      </c>
      <c r="R16" s="116">
        <f t="shared" ref="R16:AO16" si="18">IF(AQ16="","", RANK(AQ16,AQ$7:AQ$503,0))</f>
        <v>163</v>
      </c>
      <c r="S16" s="115">
        <f t="shared" si="18"/>
        <v>118</v>
      </c>
      <c r="T16" s="115" t="str">
        <f t="shared" si="18"/>
        <v/>
      </c>
      <c r="U16" s="115" t="str">
        <f t="shared" si="18"/>
        <v/>
      </c>
      <c r="V16" s="115" t="str">
        <f t="shared" si="18"/>
        <v/>
      </c>
      <c r="W16" s="115" t="str">
        <f t="shared" si="18"/>
        <v/>
      </c>
      <c r="X16" s="115" t="str">
        <f t="shared" si="18"/>
        <v/>
      </c>
      <c r="Y16" s="115" t="str">
        <f t="shared" si="18"/>
        <v/>
      </c>
      <c r="Z16" s="115" t="str">
        <f t="shared" si="18"/>
        <v/>
      </c>
      <c r="AA16" s="115" t="str">
        <f t="shared" si="18"/>
        <v/>
      </c>
      <c r="AB16" s="115" t="str">
        <f t="shared" si="18"/>
        <v/>
      </c>
      <c r="AC16" s="115" t="str">
        <f t="shared" si="18"/>
        <v/>
      </c>
      <c r="AD16" s="115" t="str">
        <f t="shared" si="18"/>
        <v/>
      </c>
      <c r="AE16" s="115" t="str">
        <f t="shared" si="18"/>
        <v/>
      </c>
      <c r="AF16" s="115" t="str">
        <f t="shared" si="18"/>
        <v/>
      </c>
      <c r="AG16" s="115" t="str">
        <f t="shared" si="18"/>
        <v/>
      </c>
      <c r="AH16" s="115" t="str">
        <f t="shared" si="18"/>
        <v/>
      </c>
      <c r="AI16" s="115" t="str">
        <f t="shared" si="18"/>
        <v/>
      </c>
      <c r="AJ16" s="115" t="str">
        <f t="shared" si="18"/>
        <v/>
      </c>
      <c r="AK16" s="115" t="str">
        <f t="shared" si="18"/>
        <v/>
      </c>
      <c r="AL16" s="115" t="str">
        <f t="shared" si="18"/>
        <v/>
      </c>
      <c r="AM16" s="115" t="str">
        <f t="shared" si="18"/>
        <v/>
      </c>
      <c r="AN16" s="115" t="str">
        <f t="shared" si="18"/>
        <v/>
      </c>
      <c r="AO16" s="115" t="str">
        <f t="shared" si="18"/>
        <v/>
      </c>
      <c r="AP16" s="117">
        <f>IF(AP$6="","",IF(AP$3="Maior",IFERROR(IF(VLOOKUP($N16,Capa!$A:$AE,AP$5,0)="",0,VLOOKUP($N16,Capa!$A:$AE,AP$5,0)),0),IF(ISERROR(1/VLOOKUP($N16,Capa!$A:$AE,AP$5,0)),0,1/VLOOKUP($N16,Capa!$A:$AE,AP$5,0))))</f>
        <v>0.1493080902</v>
      </c>
      <c r="AQ16" s="118">
        <f>IF(AQ$6="","",IF(AQ$3="Maior",IFERROR(IF(VLOOKUP($N16,Capa!$A:$AE,AQ$5,0)="",0,VLOOKUP($N16,Capa!$A:$AE,AQ$5,0)),0),IF(ISERROR(1/VLOOKUP($N16,Capa!$A:$AE,AQ$5,0)),0,1/VLOOKUP($N16,Capa!$A:$AE,AQ$5,0))))</f>
        <v>13.59</v>
      </c>
      <c r="AR16" s="118">
        <f>IF(AR$6="","",IF(AR$3="Maior",IFERROR(IF(VLOOKUP($N16,Capa!$A:$AE,AR$5,0)="",0,VLOOKUP($N16,Capa!$A:$AE,AR$5,0)),0),IF(ISERROR(1/VLOOKUP($N16,Capa!$A:$AE,AR$5,0)),0,1/VLOOKUP($N16,Capa!$A:$AE,AR$5,0))))</f>
        <v>23.96</v>
      </c>
      <c r="AS16" s="118" t="str">
        <f>IF(AS$6="","",IF(AS$3="Maior",IFERROR(IF(VLOOKUP($N16,Capa!$A:$AE,AS$5,0)="",0,VLOOKUP($N16,Capa!$A:$AE,AS$5,0)),0),IF(ISERROR(1/VLOOKUP($N16,Capa!$A:$AE,AS$5,0)),0,1/VLOOKUP($N16,Capa!$A:$AE,AS$5,0))))</f>
        <v/>
      </c>
      <c r="AT16" s="118" t="str">
        <f>IF(AT$6="","",IF(AT$3="Maior",IFERROR(IF(VLOOKUP($N16,Capa!$A:$AE,AT$5,0)="",0,VLOOKUP($N16,Capa!$A:$AE,AT$5,0)),0),IF(ISERROR(1/VLOOKUP($N16,Capa!$A:$AE,AT$5,0)),0,1/VLOOKUP($N16,Capa!$A:$AE,AT$5,0))))</f>
        <v/>
      </c>
      <c r="AU16" s="118" t="str">
        <f>IF(AU$6="","",IF(AU$3="Maior",IFERROR(IF(VLOOKUP($N16,Capa!$A:$AE,AU$5,0)="",0,VLOOKUP($N16,Capa!$A:$AE,AU$5,0)),0),IF(ISERROR(1/VLOOKUP($N16,Capa!$A:$AE,AU$5,0)),0,1/VLOOKUP($N16,Capa!$A:$AE,AU$5,0))))</f>
        <v/>
      </c>
      <c r="AV16" s="118" t="str">
        <f>IF(AV$6="","",IF(AV$3="Maior",IFERROR(IF(VLOOKUP($N16,Capa!$A:$AE,AV$5,0)="",0,VLOOKUP($N16,Capa!$A:$AE,AV$5,0)),0),IF(ISERROR(1/VLOOKUP($N16,Capa!$A:$AE,AV$5,0)),0,1/VLOOKUP($N16,Capa!$A:$AE,AV$5,0))))</f>
        <v/>
      </c>
      <c r="AW16" s="118" t="str">
        <f>IF(AW$6="","",IF(AW$3="Maior",IFERROR(IF(VLOOKUP($N16,Capa!$A:$AE,AW$5,0)="",0,VLOOKUP($N16,Capa!$A:$AE,AW$5,0)),0),IF(ISERROR(1/VLOOKUP($N16,Capa!$A:$AE,AW$5,0)),0,1/VLOOKUP($N16,Capa!$A:$AE,AW$5,0))))</f>
        <v/>
      </c>
      <c r="AX16" s="118" t="str">
        <f>IF(AX$6="","",IF(AX$3="Maior",IFERROR(IF(VLOOKUP($N16,Capa!$A:$AE,AX$5,0)="",0,VLOOKUP($N16,Capa!$A:$AE,AX$5,0)),0),IF(ISERROR(1/VLOOKUP($N16,Capa!$A:$AE,AX$5,0)),0,1/VLOOKUP($N16,Capa!$A:$AE,AX$5,0))))</f>
        <v/>
      </c>
      <c r="AY16" s="118" t="str">
        <f>IF(AY$6="","",IF(AY$3="Maior",IFERROR(IF(VLOOKUP($N16,Capa!$A:$AE,AY$5,0)="",0,VLOOKUP($N16,Capa!$A:$AE,AY$5,0)),0),IF(ISERROR(1/VLOOKUP($N16,Capa!$A:$AE,AY$5,0)),0,1/VLOOKUP($N16,Capa!$A:$AE,AY$5,0))))</f>
        <v/>
      </c>
      <c r="AZ16" s="118" t="str">
        <f>IF(AZ$6="","",IF(AZ$3="Maior",IFERROR(IF(VLOOKUP($N16,Capa!$A:$AE,AZ$5,0)="",0,VLOOKUP($N16,Capa!$A:$AE,AZ$5,0)),0),IF(ISERROR(1/VLOOKUP($N16,Capa!$A:$AE,AZ$5,0)),0,1/VLOOKUP($N16,Capa!$A:$AE,AZ$5,0))))</f>
        <v/>
      </c>
      <c r="BA16" s="118" t="str">
        <f>IF(BA$6="","",IF(BA$3="Maior",IFERROR(IF(VLOOKUP($N16,Capa!$A:$AE,BA$5,0)="",0,VLOOKUP($N16,Capa!$A:$AE,BA$5,0)),0),IF(ISERROR(1/VLOOKUP($N16,Capa!$A:$AE,BA$5,0)),0,1/VLOOKUP($N16,Capa!$A:$AE,BA$5,0))))</f>
        <v/>
      </c>
      <c r="BB16" s="118" t="str">
        <f>IF(BB$6="","",IF(BB$3="Maior",IFERROR(IF(VLOOKUP($N16,Capa!$A:$AE,BB$5,0)="",0,VLOOKUP($N16,Capa!$A:$AE,BB$5,0)),0),IF(ISERROR(1/VLOOKUP($N16,Capa!$A:$AE,BB$5,0)),0,1/VLOOKUP($N16,Capa!$A:$AE,BB$5,0))))</f>
        <v/>
      </c>
      <c r="BC16" s="118" t="str">
        <f>IF(BC$6="","",IF(BC$3="Maior",IFERROR(IF(VLOOKUP($N16,Capa!$A:$AE,BC$5,0)="",0,VLOOKUP($N16,Capa!$A:$AE,BC$5,0)),0),IF(ISERROR(1/VLOOKUP($N16,Capa!$A:$AE,BC$5,0)),0,1/VLOOKUP($N16,Capa!$A:$AE,BC$5,0))))</f>
        <v/>
      </c>
      <c r="BD16" s="118" t="str">
        <f>IF(BD$6="","",IF(BD$3="Maior",IFERROR(IF(VLOOKUP($N16,Capa!$A:$AE,BD$5,0)="",0,VLOOKUP($N16,Capa!$A:$AE,BD$5,0)),0),IF(ISERROR(1/VLOOKUP($N16,Capa!$A:$AE,BD$5,0)),0,1/VLOOKUP($N16,Capa!$A:$AE,BD$5,0))))</f>
        <v/>
      </c>
      <c r="BE16" s="118" t="str">
        <f>IF(BE$6="","",IF(BE$3="Maior",IFERROR(IF(VLOOKUP($N16,Capa!$A:$AE,BE$5,0)="",0,VLOOKUP($N16,Capa!$A:$AE,BE$5,0)),0),IF(ISERROR(1/VLOOKUP($N16,Capa!$A:$AE,BE$5,0)),0,1/VLOOKUP($N16,Capa!$A:$AE,BE$5,0))))</f>
        <v/>
      </c>
      <c r="BF16" s="118" t="str">
        <f>IF(BF$6="","",IF(BF$3="Maior",IFERROR(IF(VLOOKUP($N16,Capa!$A:$AE,BF$5,0)="",0,VLOOKUP($N16,Capa!$A:$AE,BF$5,0)),0),IF(ISERROR(1/VLOOKUP($N16,Capa!$A:$AE,BF$5,0)),0,1/VLOOKUP($N16,Capa!$A:$AE,BF$5,0))))</f>
        <v/>
      </c>
      <c r="BG16" s="118" t="str">
        <f>IF(BG$6="","",IF(BG$3="Maior",IFERROR(IF(VLOOKUP($N16,Capa!$A:$AE,BG$5,0)="",0,VLOOKUP($N16,Capa!$A:$AE,BG$5,0)),0),IF(ISERROR(1/VLOOKUP($N16,Capa!$A:$AE,BG$5,0)),0,1/VLOOKUP($N16,Capa!$A:$AE,BG$5,0))))</f>
        <v/>
      </c>
      <c r="BH16" s="118" t="str">
        <f>IF(BH$6="","",IF(BH$3="Maior",IFERROR(IF(VLOOKUP($N16,Capa!$A:$AE,BH$5,0)="",0,VLOOKUP($N16,Capa!$A:$AE,BH$5,0)),0),IF(ISERROR(1/VLOOKUP($N16,Capa!$A:$AE,BH$5,0)),0,1/VLOOKUP($N16,Capa!$A:$AE,BH$5,0))))</f>
        <v/>
      </c>
      <c r="BI16" s="118" t="str">
        <f>IF(BI$6="","",IF(BI$3="Maior",IFERROR(IF(VLOOKUP($N16,Capa!$A:$AE,BI$5,0)="",0,VLOOKUP($N16,Capa!$A:$AE,BI$5,0)),0),IF(ISERROR(1/VLOOKUP($N16,Capa!$A:$AE,BI$5,0)),0,1/VLOOKUP($N16,Capa!$A:$AE,BI$5,0))))</f>
        <v/>
      </c>
      <c r="BJ16" s="118" t="str">
        <f>IF(BJ$6="","",IF(BJ$3="Maior",IFERROR(IF(VLOOKUP($N16,Capa!$A:$AE,BJ$5,0)="",0,VLOOKUP($N16,Capa!$A:$AE,BJ$5,0)),0),IF(ISERROR(1/VLOOKUP($N16,Capa!$A:$AE,BJ$5,0)),0,1/VLOOKUP($N16,Capa!$A:$AE,BJ$5,0))))</f>
        <v/>
      </c>
      <c r="BK16" s="118" t="str">
        <f>IF(BK$6="","",IF(BK$3="Maior",IFERROR(IF(VLOOKUP($N16,Capa!$A:$AE,BK$5,0)="",0,VLOOKUP($N16,Capa!$A:$AE,BK$5,0)),0),IF(ISERROR(1/VLOOKUP($N16,Capa!$A:$AE,BK$5,0)),0,1/VLOOKUP($N16,Capa!$A:$AE,BK$5,0))))</f>
        <v/>
      </c>
      <c r="BL16" s="118" t="str">
        <f>IF(BL$6="","",IF(BL$3="Maior",IFERROR(IF(VLOOKUP($N16,Capa!$A:$AE,BL$5,0)="",0,VLOOKUP($N16,Capa!$A:$AE,BL$5,0)),0),IF(ISERROR(1/VLOOKUP($N16,Capa!$A:$AE,BL$5,0)),0,1/VLOOKUP($N16,Capa!$A:$AE,BL$5,0))))</f>
        <v/>
      </c>
      <c r="BM16" s="118" t="str">
        <f>IF(BM$6="","",IF(BM$3="Maior",IFERROR(IF(VLOOKUP($N16,Capa!$A:$AE,BM$5,0)="",0,VLOOKUP($N16,Capa!$A:$AE,BM$5,0)),0),IF(ISERROR(1/VLOOKUP($N16,Capa!$A:$AE,BM$5,0)),0,1/VLOOKUP($N16,Capa!$A:$AE,BM$5,0))))</f>
        <v/>
      </c>
      <c r="BN16" s="118" t="str">
        <f>IF(BN$6="","",IF(BN$3="Maior",IFERROR(IF(VLOOKUP($N16,Capa!$A:$AE,BN$5,0)="",0,VLOOKUP($N16,Capa!$A:$AE,BN$5,0)),0),IF(ISERROR(1/VLOOKUP($N16,Capa!$A:$AE,BN$5,0)),0,1/VLOOKUP($N16,Capa!$A:$AE,BN$5,0))))</f>
        <v/>
      </c>
      <c r="BO16" s="92"/>
    </row>
    <row r="17">
      <c r="C17" s="122"/>
      <c r="G17" s="11"/>
      <c r="H17" s="8">
        <v>11.0</v>
      </c>
      <c r="I17" s="110" t="str">
        <f t="shared" si="6"/>
        <v>CMIN3</v>
      </c>
      <c r="J17" s="111" t="str">
        <f>VLOOKUP(left(I17,4),Setor!A:D,3,0)&amp;" | "&amp;VLOOKUP(left(I17,4),Setor!A:D,4,0)</f>
        <v>#N/A</v>
      </c>
      <c r="K17" s="112">
        <f t="shared" si="7"/>
        <v>62649531.25</v>
      </c>
      <c r="L17" s="11"/>
      <c r="M17" s="11"/>
      <c r="N17" s="10" t="s">
        <v>63</v>
      </c>
      <c r="O17" s="113">
        <f t="shared" si="8"/>
        <v>293.0017</v>
      </c>
      <c r="P17" s="114">
        <f>VLOOKUP(N17,'Dados StatusInvest'!A:Z,26,0)</f>
        <v>448129857.4</v>
      </c>
      <c r="Q17" s="115">
        <f t="shared" si="9"/>
        <v>17.0017</v>
      </c>
      <c r="R17" s="116">
        <f t="shared" ref="R17:AO17" si="19">IF(AQ17="","", RANK(AQ17,AQ$7:AQ$503,0))</f>
        <v>57</v>
      </c>
      <c r="S17" s="115">
        <f t="shared" si="19"/>
        <v>219</v>
      </c>
      <c r="T17" s="115" t="str">
        <f t="shared" si="19"/>
        <v/>
      </c>
      <c r="U17" s="115" t="str">
        <f t="shared" si="19"/>
        <v/>
      </c>
      <c r="V17" s="115" t="str">
        <f t="shared" si="19"/>
        <v/>
      </c>
      <c r="W17" s="115" t="str">
        <f t="shared" si="19"/>
        <v/>
      </c>
      <c r="X17" s="115" t="str">
        <f t="shared" si="19"/>
        <v/>
      </c>
      <c r="Y17" s="115" t="str">
        <f t="shared" si="19"/>
        <v/>
      </c>
      <c r="Z17" s="115" t="str">
        <f t="shared" si="19"/>
        <v/>
      </c>
      <c r="AA17" s="115" t="str">
        <f t="shared" si="19"/>
        <v/>
      </c>
      <c r="AB17" s="115" t="str">
        <f t="shared" si="19"/>
        <v/>
      </c>
      <c r="AC17" s="115" t="str">
        <f t="shared" si="19"/>
        <v/>
      </c>
      <c r="AD17" s="115" t="str">
        <f t="shared" si="19"/>
        <v/>
      </c>
      <c r="AE17" s="115" t="str">
        <f t="shared" si="19"/>
        <v/>
      </c>
      <c r="AF17" s="115" t="str">
        <f t="shared" si="19"/>
        <v/>
      </c>
      <c r="AG17" s="115" t="str">
        <f t="shared" si="19"/>
        <v/>
      </c>
      <c r="AH17" s="115" t="str">
        <f t="shared" si="19"/>
        <v/>
      </c>
      <c r="AI17" s="115" t="str">
        <f t="shared" si="19"/>
        <v/>
      </c>
      <c r="AJ17" s="115" t="str">
        <f t="shared" si="19"/>
        <v/>
      </c>
      <c r="AK17" s="115" t="str">
        <f t="shared" si="19"/>
        <v/>
      </c>
      <c r="AL17" s="115" t="str">
        <f t="shared" si="19"/>
        <v/>
      </c>
      <c r="AM17" s="115" t="str">
        <f t="shared" si="19"/>
        <v/>
      </c>
      <c r="AN17" s="115" t="str">
        <f t="shared" si="19"/>
        <v/>
      </c>
      <c r="AO17" s="115" t="str">
        <f t="shared" si="19"/>
        <v/>
      </c>
      <c r="AP17" s="117">
        <f>IF(AP$6="","",IF(AP$3="Maior",IFERROR(IF(VLOOKUP($N17,Capa!$A:$AE,AP$5,0)="",0,VLOOKUP($N17,Capa!$A:$AE,AP$5,0)),0),IF(ISERROR(1/VLOOKUP($N17,Capa!$A:$AE,AP$5,0)),0,1/VLOOKUP($N17,Capa!$A:$AE,AP$5,0))))</f>
        <v>0.4693066494</v>
      </c>
      <c r="AQ17" s="118">
        <f>IF(AQ$6="","",IF(AQ$3="Maior",IFERROR(IF(VLOOKUP($N17,Capa!$A:$AE,AQ$5,0)="",0,VLOOKUP($N17,Capa!$A:$AE,AQ$5,0)),0),IF(ISERROR(1/VLOOKUP($N17,Capa!$A:$AE,AQ$5,0)),0,1/VLOOKUP($N17,Capa!$A:$AE,AQ$5,0))))</f>
        <v>24.18</v>
      </c>
      <c r="AR17" s="118">
        <f>IF(AR$6="","",IF(AR$3="Maior",IFERROR(IF(VLOOKUP($N17,Capa!$A:$AE,AR$5,0)="",0,VLOOKUP($N17,Capa!$A:$AE,AR$5,0)),0),IF(ISERROR(1/VLOOKUP($N17,Capa!$A:$AE,AR$5,0)),0,1/VLOOKUP($N17,Capa!$A:$AE,AR$5,0))))</f>
        <v>0</v>
      </c>
      <c r="AS17" s="118" t="str">
        <f>IF(AS$6="","",IF(AS$3="Maior",IFERROR(IF(VLOOKUP($N17,Capa!$A:$AE,AS$5,0)="",0,VLOOKUP($N17,Capa!$A:$AE,AS$5,0)),0),IF(ISERROR(1/VLOOKUP($N17,Capa!$A:$AE,AS$5,0)),0,1/VLOOKUP($N17,Capa!$A:$AE,AS$5,0))))</f>
        <v/>
      </c>
      <c r="AT17" s="118" t="str">
        <f>IF(AT$6="","",IF(AT$3="Maior",IFERROR(IF(VLOOKUP($N17,Capa!$A:$AE,AT$5,0)="",0,VLOOKUP($N17,Capa!$A:$AE,AT$5,0)),0),IF(ISERROR(1/VLOOKUP($N17,Capa!$A:$AE,AT$5,0)),0,1/VLOOKUP($N17,Capa!$A:$AE,AT$5,0))))</f>
        <v/>
      </c>
      <c r="AU17" s="118" t="str">
        <f>IF(AU$6="","",IF(AU$3="Maior",IFERROR(IF(VLOOKUP($N17,Capa!$A:$AE,AU$5,0)="",0,VLOOKUP($N17,Capa!$A:$AE,AU$5,0)),0),IF(ISERROR(1/VLOOKUP($N17,Capa!$A:$AE,AU$5,0)),0,1/VLOOKUP($N17,Capa!$A:$AE,AU$5,0))))</f>
        <v/>
      </c>
      <c r="AV17" s="118" t="str">
        <f>IF(AV$6="","",IF(AV$3="Maior",IFERROR(IF(VLOOKUP($N17,Capa!$A:$AE,AV$5,0)="",0,VLOOKUP($N17,Capa!$A:$AE,AV$5,0)),0),IF(ISERROR(1/VLOOKUP($N17,Capa!$A:$AE,AV$5,0)),0,1/VLOOKUP($N17,Capa!$A:$AE,AV$5,0))))</f>
        <v/>
      </c>
      <c r="AW17" s="118" t="str">
        <f>IF(AW$6="","",IF(AW$3="Maior",IFERROR(IF(VLOOKUP($N17,Capa!$A:$AE,AW$5,0)="",0,VLOOKUP($N17,Capa!$A:$AE,AW$5,0)),0),IF(ISERROR(1/VLOOKUP($N17,Capa!$A:$AE,AW$5,0)),0,1/VLOOKUP($N17,Capa!$A:$AE,AW$5,0))))</f>
        <v/>
      </c>
      <c r="AX17" s="118" t="str">
        <f>IF(AX$6="","",IF(AX$3="Maior",IFERROR(IF(VLOOKUP($N17,Capa!$A:$AE,AX$5,0)="",0,VLOOKUP($N17,Capa!$A:$AE,AX$5,0)),0),IF(ISERROR(1/VLOOKUP($N17,Capa!$A:$AE,AX$5,0)),0,1/VLOOKUP($N17,Capa!$A:$AE,AX$5,0))))</f>
        <v/>
      </c>
      <c r="AY17" s="118" t="str">
        <f>IF(AY$6="","",IF(AY$3="Maior",IFERROR(IF(VLOOKUP($N17,Capa!$A:$AE,AY$5,0)="",0,VLOOKUP($N17,Capa!$A:$AE,AY$5,0)),0),IF(ISERROR(1/VLOOKUP($N17,Capa!$A:$AE,AY$5,0)),0,1/VLOOKUP($N17,Capa!$A:$AE,AY$5,0))))</f>
        <v/>
      </c>
      <c r="AZ17" s="118" t="str">
        <f>IF(AZ$6="","",IF(AZ$3="Maior",IFERROR(IF(VLOOKUP($N17,Capa!$A:$AE,AZ$5,0)="",0,VLOOKUP($N17,Capa!$A:$AE,AZ$5,0)),0),IF(ISERROR(1/VLOOKUP($N17,Capa!$A:$AE,AZ$5,0)),0,1/VLOOKUP($N17,Capa!$A:$AE,AZ$5,0))))</f>
        <v/>
      </c>
      <c r="BA17" s="118" t="str">
        <f>IF(BA$6="","",IF(BA$3="Maior",IFERROR(IF(VLOOKUP($N17,Capa!$A:$AE,BA$5,0)="",0,VLOOKUP($N17,Capa!$A:$AE,BA$5,0)),0),IF(ISERROR(1/VLOOKUP($N17,Capa!$A:$AE,BA$5,0)),0,1/VLOOKUP($N17,Capa!$A:$AE,BA$5,0))))</f>
        <v/>
      </c>
      <c r="BB17" s="118" t="str">
        <f>IF(BB$6="","",IF(BB$3="Maior",IFERROR(IF(VLOOKUP($N17,Capa!$A:$AE,BB$5,0)="",0,VLOOKUP($N17,Capa!$A:$AE,BB$5,0)),0),IF(ISERROR(1/VLOOKUP($N17,Capa!$A:$AE,BB$5,0)),0,1/VLOOKUP($N17,Capa!$A:$AE,BB$5,0))))</f>
        <v/>
      </c>
      <c r="BC17" s="118" t="str">
        <f>IF(BC$6="","",IF(BC$3="Maior",IFERROR(IF(VLOOKUP($N17,Capa!$A:$AE,BC$5,0)="",0,VLOOKUP($N17,Capa!$A:$AE,BC$5,0)),0),IF(ISERROR(1/VLOOKUP($N17,Capa!$A:$AE,BC$5,0)),0,1/VLOOKUP($N17,Capa!$A:$AE,BC$5,0))))</f>
        <v/>
      </c>
      <c r="BD17" s="118" t="str">
        <f>IF(BD$6="","",IF(BD$3="Maior",IFERROR(IF(VLOOKUP($N17,Capa!$A:$AE,BD$5,0)="",0,VLOOKUP($N17,Capa!$A:$AE,BD$5,0)),0),IF(ISERROR(1/VLOOKUP($N17,Capa!$A:$AE,BD$5,0)),0,1/VLOOKUP($N17,Capa!$A:$AE,BD$5,0))))</f>
        <v/>
      </c>
      <c r="BE17" s="118" t="str">
        <f>IF(BE$6="","",IF(BE$3="Maior",IFERROR(IF(VLOOKUP($N17,Capa!$A:$AE,BE$5,0)="",0,VLOOKUP($N17,Capa!$A:$AE,BE$5,0)),0),IF(ISERROR(1/VLOOKUP($N17,Capa!$A:$AE,BE$5,0)),0,1/VLOOKUP($N17,Capa!$A:$AE,BE$5,0))))</f>
        <v/>
      </c>
      <c r="BF17" s="118" t="str">
        <f>IF(BF$6="","",IF(BF$3="Maior",IFERROR(IF(VLOOKUP($N17,Capa!$A:$AE,BF$5,0)="",0,VLOOKUP($N17,Capa!$A:$AE,BF$5,0)),0),IF(ISERROR(1/VLOOKUP($N17,Capa!$A:$AE,BF$5,0)),0,1/VLOOKUP($N17,Capa!$A:$AE,BF$5,0))))</f>
        <v/>
      </c>
      <c r="BG17" s="118" t="str">
        <f>IF(BG$6="","",IF(BG$3="Maior",IFERROR(IF(VLOOKUP($N17,Capa!$A:$AE,BG$5,0)="",0,VLOOKUP($N17,Capa!$A:$AE,BG$5,0)),0),IF(ISERROR(1/VLOOKUP($N17,Capa!$A:$AE,BG$5,0)),0,1/VLOOKUP($N17,Capa!$A:$AE,BG$5,0))))</f>
        <v/>
      </c>
      <c r="BH17" s="118" t="str">
        <f>IF(BH$6="","",IF(BH$3="Maior",IFERROR(IF(VLOOKUP($N17,Capa!$A:$AE,BH$5,0)="",0,VLOOKUP($N17,Capa!$A:$AE,BH$5,0)),0),IF(ISERROR(1/VLOOKUP($N17,Capa!$A:$AE,BH$5,0)),0,1/VLOOKUP($N17,Capa!$A:$AE,BH$5,0))))</f>
        <v/>
      </c>
      <c r="BI17" s="118" t="str">
        <f>IF(BI$6="","",IF(BI$3="Maior",IFERROR(IF(VLOOKUP($N17,Capa!$A:$AE,BI$5,0)="",0,VLOOKUP($N17,Capa!$A:$AE,BI$5,0)),0),IF(ISERROR(1/VLOOKUP($N17,Capa!$A:$AE,BI$5,0)),0,1/VLOOKUP($N17,Capa!$A:$AE,BI$5,0))))</f>
        <v/>
      </c>
      <c r="BJ17" s="118" t="str">
        <f>IF(BJ$6="","",IF(BJ$3="Maior",IFERROR(IF(VLOOKUP($N17,Capa!$A:$AE,BJ$5,0)="",0,VLOOKUP($N17,Capa!$A:$AE,BJ$5,0)),0),IF(ISERROR(1/VLOOKUP($N17,Capa!$A:$AE,BJ$5,0)),0,1/VLOOKUP($N17,Capa!$A:$AE,BJ$5,0))))</f>
        <v/>
      </c>
      <c r="BK17" s="118" t="str">
        <f>IF(BK$6="","",IF(BK$3="Maior",IFERROR(IF(VLOOKUP($N17,Capa!$A:$AE,BK$5,0)="",0,VLOOKUP($N17,Capa!$A:$AE,BK$5,0)),0),IF(ISERROR(1/VLOOKUP($N17,Capa!$A:$AE,BK$5,0)),0,1/VLOOKUP($N17,Capa!$A:$AE,BK$5,0))))</f>
        <v/>
      </c>
      <c r="BL17" s="118" t="str">
        <f>IF(BL$6="","",IF(BL$3="Maior",IFERROR(IF(VLOOKUP($N17,Capa!$A:$AE,BL$5,0)="",0,VLOOKUP($N17,Capa!$A:$AE,BL$5,0)),0),IF(ISERROR(1/VLOOKUP($N17,Capa!$A:$AE,BL$5,0)),0,1/VLOOKUP($N17,Capa!$A:$AE,BL$5,0))))</f>
        <v/>
      </c>
      <c r="BM17" s="118" t="str">
        <f>IF(BM$6="","",IF(BM$3="Maior",IFERROR(IF(VLOOKUP($N17,Capa!$A:$AE,BM$5,0)="",0,VLOOKUP($N17,Capa!$A:$AE,BM$5,0)),0),IF(ISERROR(1/VLOOKUP($N17,Capa!$A:$AE,BM$5,0)),0,1/VLOOKUP($N17,Capa!$A:$AE,BM$5,0))))</f>
        <v/>
      </c>
      <c r="BN17" s="118" t="str">
        <f>IF(BN$6="","",IF(BN$3="Maior",IFERROR(IF(VLOOKUP($N17,Capa!$A:$AE,BN$5,0)="",0,VLOOKUP($N17,Capa!$A:$AE,BN$5,0)),0),IF(ISERROR(1/VLOOKUP($N17,Capa!$A:$AE,BN$5,0)),0,1/VLOOKUP($N17,Capa!$A:$AE,BN$5,0))))</f>
        <v/>
      </c>
      <c r="BO17" s="92"/>
    </row>
    <row r="18">
      <c r="G18" s="11"/>
      <c r="H18" s="8">
        <v>12.0</v>
      </c>
      <c r="I18" s="110" t="str">
        <f t="shared" si="6"/>
        <v>RANI3</v>
      </c>
      <c r="J18" s="111" t="str">
        <f>VLOOKUP(left(I18,4),Setor!A:D,3,0)&amp;" | "&amp;VLOOKUP(left(I18,4),Setor!A:D,4,0)</f>
        <v>Materiais Básicos | Madeira e Papel</v>
      </c>
      <c r="K18" s="112">
        <f t="shared" si="7"/>
        <v>11052346.08</v>
      </c>
      <c r="L18" s="11"/>
      <c r="M18" s="11"/>
      <c r="N18" s="10" t="s">
        <v>64</v>
      </c>
      <c r="O18" s="113">
        <f t="shared" si="8"/>
        <v>364.0055</v>
      </c>
      <c r="P18" s="114">
        <f>VLOOKUP(N18,'Dados StatusInvest'!A:Z,26,0)</f>
        <v>432659240.2</v>
      </c>
      <c r="Q18" s="115">
        <f t="shared" si="9"/>
        <v>55.0055</v>
      </c>
      <c r="R18" s="116">
        <f t="shared" ref="R18:AO18" si="20">IF(AQ18="","", RANK(AQ18,AQ$7:AQ$503,0))</f>
        <v>90</v>
      </c>
      <c r="S18" s="115">
        <f t="shared" si="20"/>
        <v>219</v>
      </c>
      <c r="T18" s="115" t="str">
        <f t="shared" si="20"/>
        <v/>
      </c>
      <c r="U18" s="115" t="str">
        <f t="shared" si="20"/>
        <v/>
      </c>
      <c r="V18" s="115" t="str">
        <f t="shared" si="20"/>
        <v/>
      </c>
      <c r="W18" s="115" t="str">
        <f t="shared" si="20"/>
        <v/>
      </c>
      <c r="X18" s="115" t="str">
        <f t="shared" si="20"/>
        <v/>
      </c>
      <c r="Y18" s="115" t="str">
        <f t="shared" si="20"/>
        <v/>
      </c>
      <c r="Z18" s="115" t="str">
        <f t="shared" si="20"/>
        <v/>
      </c>
      <c r="AA18" s="115" t="str">
        <f t="shared" si="20"/>
        <v/>
      </c>
      <c r="AB18" s="115" t="str">
        <f t="shared" si="20"/>
        <v/>
      </c>
      <c r="AC18" s="115" t="str">
        <f t="shared" si="20"/>
        <v/>
      </c>
      <c r="AD18" s="115" t="str">
        <f t="shared" si="20"/>
        <v/>
      </c>
      <c r="AE18" s="115" t="str">
        <f t="shared" si="20"/>
        <v/>
      </c>
      <c r="AF18" s="115" t="str">
        <f t="shared" si="20"/>
        <v/>
      </c>
      <c r="AG18" s="115" t="str">
        <f t="shared" si="20"/>
        <v/>
      </c>
      <c r="AH18" s="115" t="str">
        <f t="shared" si="20"/>
        <v/>
      </c>
      <c r="AI18" s="115" t="str">
        <f t="shared" si="20"/>
        <v/>
      </c>
      <c r="AJ18" s="115" t="str">
        <f t="shared" si="20"/>
        <v/>
      </c>
      <c r="AK18" s="115" t="str">
        <f t="shared" si="20"/>
        <v/>
      </c>
      <c r="AL18" s="115" t="str">
        <f t="shared" si="20"/>
        <v/>
      </c>
      <c r="AM18" s="115" t="str">
        <f t="shared" si="20"/>
        <v/>
      </c>
      <c r="AN18" s="115" t="str">
        <f t="shared" si="20"/>
        <v/>
      </c>
      <c r="AO18" s="115" t="str">
        <f t="shared" si="20"/>
        <v/>
      </c>
      <c r="AP18" s="117">
        <f>IF(AP$6="","",IF(AP$3="Maior",IFERROR(IF(VLOOKUP($N18,Capa!$A:$AE,AP$5,0)="",0,VLOOKUP($N18,Capa!$A:$AE,AP$5,0)),0),IF(ISERROR(1/VLOOKUP($N18,Capa!$A:$AE,AP$5,0)),0,1/VLOOKUP($N18,Capa!$A:$AE,AP$5,0))))</f>
        <v>0.2379463681</v>
      </c>
      <c r="AQ18" s="118">
        <f>IF(AQ$6="","",IF(AQ$3="Maior",IFERROR(IF(VLOOKUP($N18,Capa!$A:$AE,AQ$5,0)="",0,VLOOKUP($N18,Capa!$A:$AE,AQ$5,0)),0),IF(ISERROR(1/VLOOKUP($N18,Capa!$A:$AE,AQ$5,0)),0,1/VLOOKUP($N18,Capa!$A:$AE,AQ$5,0))))</f>
        <v>18.49</v>
      </c>
      <c r="AR18" s="118">
        <f>IF(AR$6="","",IF(AR$3="Maior",IFERROR(IF(VLOOKUP($N18,Capa!$A:$AE,AR$5,0)="",0,VLOOKUP($N18,Capa!$A:$AE,AR$5,0)),0),IF(ISERROR(1/VLOOKUP($N18,Capa!$A:$AE,AR$5,0)),0,1/VLOOKUP($N18,Capa!$A:$AE,AR$5,0))))</f>
        <v>0</v>
      </c>
      <c r="AS18" s="118" t="str">
        <f>IF(AS$6="","",IF(AS$3="Maior",IFERROR(IF(VLOOKUP($N18,Capa!$A:$AE,AS$5,0)="",0,VLOOKUP($N18,Capa!$A:$AE,AS$5,0)),0),IF(ISERROR(1/VLOOKUP($N18,Capa!$A:$AE,AS$5,0)),0,1/VLOOKUP($N18,Capa!$A:$AE,AS$5,0))))</f>
        <v/>
      </c>
      <c r="AT18" s="118" t="str">
        <f>IF(AT$6="","",IF(AT$3="Maior",IFERROR(IF(VLOOKUP($N18,Capa!$A:$AE,AT$5,0)="",0,VLOOKUP($N18,Capa!$A:$AE,AT$5,0)),0),IF(ISERROR(1/VLOOKUP($N18,Capa!$A:$AE,AT$5,0)),0,1/VLOOKUP($N18,Capa!$A:$AE,AT$5,0))))</f>
        <v/>
      </c>
      <c r="AU18" s="118" t="str">
        <f>IF(AU$6="","",IF(AU$3="Maior",IFERROR(IF(VLOOKUP($N18,Capa!$A:$AE,AU$5,0)="",0,VLOOKUP($N18,Capa!$A:$AE,AU$5,0)),0),IF(ISERROR(1/VLOOKUP($N18,Capa!$A:$AE,AU$5,0)),0,1/VLOOKUP($N18,Capa!$A:$AE,AU$5,0))))</f>
        <v/>
      </c>
      <c r="AV18" s="118" t="str">
        <f>IF(AV$6="","",IF(AV$3="Maior",IFERROR(IF(VLOOKUP($N18,Capa!$A:$AE,AV$5,0)="",0,VLOOKUP($N18,Capa!$A:$AE,AV$5,0)),0),IF(ISERROR(1/VLOOKUP($N18,Capa!$A:$AE,AV$5,0)),0,1/VLOOKUP($N18,Capa!$A:$AE,AV$5,0))))</f>
        <v/>
      </c>
      <c r="AW18" s="118" t="str">
        <f>IF(AW$6="","",IF(AW$3="Maior",IFERROR(IF(VLOOKUP($N18,Capa!$A:$AE,AW$5,0)="",0,VLOOKUP($N18,Capa!$A:$AE,AW$5,0)),0),IF(ISERROR(1/VLOOKUP($N18,Capa!$A:$AE,AW$5,0)),0,1/VLOOKUP($N18,Capa!$A:$AE,AW$5,0))))</f>
        <v/>
      </c>
      <c r="AX18" s="118" t="str">
        <f>IF(AX$6="","",IF(AX$3="Maior",IFERROR(IF(VLOOKUP($N18,Capa!$A:$AE,AX$5,0)="",0,VLOOKUP($N18,Capa!$A:$AE,AX$5,0)),0),IF(ISERROR(1/VLOOKUP($N18,Capa!$A:$AE,AX$5,0)),0,1/VLOOKUP($N18,Capa!$A:$AE,AX$5,0))))</f>
        <v/>
      </c>
      <c r="AY18" s="118" t="str">
        <f>IF(AY$6="","",IF(AY$3="Maior",IFERROR(IF(VLOOKUP($N18,Capa!$A:$AE,AY$5,0)="",0,VLOOKUP($N18,Capa!$A:$AE,AY$5,0)),0),IF(ISERROR(1/VLOOKUP($N18,Capa!$A:$AE,AY$5,0)),0,1/VLOOKUP($N18,Capa!$A:$AE,AY$5,0))))</f>
        <v/>
      </c>
      <c r="AZ18" s="118" t="str">
        <f>IF(AZ$6="","",IF(AZ$3="Maior",IFERROR(IF(VLOOKUP($N18,Capa!$A:$AE,AZ$5,0)="",0,VLOOKUP($N18,Capa!$A:$AE,AZ$5,0)),0),IF(ISERROR(1/VLOOKUP($N18,Capa!$A:$AE,AZ$5,0)),0,1/VLOOKUP($N18,Capa!$A:$AE,AZ$5,0))))</f>
        <v/>
      </c>
      <c r="BA18" s="118" t="str">
        <f>IF(BA$6="","",IF(BA$3="Maior",IFERROR(IF(VLOOKUP($N18,Capa!$A:$AE,BA$5,0)="",0,VLOOKUP($N18,Capa!$A:$AE,BA$5,0)),0),IF(ISERROR(1/VLOOKUP($N18,Capa!$A:$AE,BA$5,0)),0,1/VLOOKUP($N18,Capa!$A:$AE,BA$5,0))))</f>
        <v/>
      </c>
      <c r="BB18" s="118" t="str">
        <f>IF(BB$6="","",IF(BB$3="Maior",IFERROR(IF(VLOOKUP($N18,Capa!$A:$AE,BB$5,0)="",0,VLOOKUP($N18,Capa!$A:$AE,BB$5,0)),0),IF(ISERROR(1/VLOOKUP($N18,Capa!$A:$AE,BB$5,0)),0,1/VLOOKUP($N18,Capa!$A:$AE,BB$5,0))))</f>
        <v/>
      </c>
      <c r="BC18" s="118" t="str">
        <f>IF(BC$6="","",IF(BC$3="Maior",IFERROR(IF(VLOOKUP($N18,Capa!$A:$AE,BC$5,0)="",0,VLOOKUP($N18,Capa!$A:$AE,BC$5,0)),0),IF(ISERROR(1/VLOOKUP($N18,Capa!$A:$AE,BC$5,0)),0,1/VLOOKUP($N18,Capa!$A:$AE,BC$5,0))))</f>
        <v/>
      </c>
      <c r="BD18" s="118" t="str">
        <f>IF(BD$6="","",IF(BD$3="Maior",IFERROR(IF(VLOOKUP($N18,Capa!$A:$AE,BD$5,0)="",0,VLOOKUP($N18,Capa!$A:$AE,BD$5,0)),0),IF(ISERROR(1/VLOOKUP($N18,Capa!$A:$AE,BD$5,0)),0,1/VLOOKUP($N18,Capa!$A:$AE,BD$5,0))))</f>
        <v/>
      </c>
      <c r="BE18" s="118" t="str">
        <f>IF(BE$6="","",IF(BE$3="Maior",IFERROR(IF(VLOOKUP($N18,Capa!$A:$AE,BE$5,0)="",0,VLOOKUP($N18,Capa!$A:$AE,BE$5,0)),0),IF(ISERROR(1/VLOOKUP($N18,Capa!$A:$AE,BE$5,0)),0,1/VLOOKUP($N18,Capa!$A:$AE,BE$5,0))))</f>
        <v/>
      </c>
      <c r="BF18" s="118" t="str">
        <f>IF(BF$6="","",IF(BF$3="Maior",IFERROR(IF(VLOOKUP($N18,Capa!$A:$AE,BF$5,0)="",0,VLOOKUP($N18,Capa!$A:$AE,BF$5,0)),0),IF(ISERROR(1/VLOOKUP($N18,Capa!$A:$AE,BF$5,0)),0,1/VLOOKUP($N18,Capa!$A:$AE,BF$5,0))))</f>
        <v/>
      </c>
      <c r="BG18" s="118" t="str">
        <f>IF(BG$6="","",IF(BG$3="Maior",IFERROR(IF(VLOOKUP($N18,Capa!$A:$AE,BG$5,0)="",0,VLOOKUP($N18,Capa!$A:$AE,BG$5,0)),0),IF(ISERROR(1/VLOOKUP($N18,Capa!$A:$AE,BG$5,0)),0,1/VLOOKUP($N18,Capa!$A:$AE,BG$5,0))))</f>
        <v/>
      </c>
      <c r="BH18" s="118" t="str">
        <f>IF(BH$6="","",IF(BH$3="Maior",IFERROR(IF(VLOOKUP($N18,Capa!$A:$AE,BH$5,0)="",0,VLOOKUP($N18,Capa!$A:$AE,BH$5,0)),0),IF(ISERROR(1/VLOOKUP($N18,Capa!$A:$AE,BH$5,0)),0,1/VLOOKUP($N18,Capa!$A:$AE,BH$5,0))))</f>
        <v/>
      </c>
      <c r="BI18" s="118" t="str">
        <f>IF(BI$6="","",IF(BI$3="Maior",IFERROR(IF(VLOOKUP($N18,Capa!$A:$AE,BI$5,0)="",0,VLOOKUP($N18,Capa!$A:$AE,BI$5,0)),0),IF(ISERROR(1/VLOOKUP($N18,Capa!$A:$AE,BI$5,0)),0,1/VLOOKUP($N18,Capa!$A:$AE,BI$5,0))))</f>
        <v/>
      </c>
      <c r="BJ18" s="118" t="str">
        <f>IF(BJ$6="","",IF(BJ$3="Maior",IFERROR(IF(VLOOKUP($N18,Capa!$A:$AE,BJ$5,0)="",0,VLOOKUP($N18,Capa!$A:$AE,BJ$5,0)),0),IF(ISERROR(1/VLOOKUP($N18,Capa!$A:$AE,BJ$5,0)),0,1/VLOOKUP($N18,Capa!$A:$AE,BJ$5,0))))</f>
        <v/>
      </c>
      <c r="BK18" s="118" t="str">
        <f>IF(BK$6="","",IF(BK$3="Maior",IFERROR(IF(VLOOKUP($N18,Capa!$A:$AE,BK$5,0)="",0,VLOOKUP($N18,Capa!$A:$AE,BK$5,0)),0),IF(ISERROR(1/VLOOKUP($N18,Capa!$A:$AE,BK$5,0)),0,1/VLOOKUP($N18,Capa!$A:$AE,BK$5,0))))</f>
        <v/>
      </c>
      <c r="BL18" s="118" t="str">
        <f>IF(BL$6="","",IF(BL$3="Maior",IFERROR(IF(VLOOKUP($N18,Capa!$A:$AE,BL$5,0)="",0,VLOOKUP($N18,Capa!$A:$AE,BL$5,0)),0),IF(ISERROR(1/VLOOKUP($N18,Capa!$A:$AE,BL$5,0)),0,1/VLOOKUP($N18,Capa!$A:$AE,BL$5,0))))</f>
        <v/>
      </c>
      <c r="BM18" s="118" t="str">
        <f>IF(BM$6="","",IF(BM$3="Maior",IFERROR(IF(VLOOKUP($N18,Capa!$A:$AE,BM$5,0)="",0,VLOOKUP($N18,Capa!$A:$AE,BM$5,0)),0),IF(ISERROR(1/VLOOKUP($N18,Capa!$A:$AE,BM$5,0)),0,1/VLOOKUP($N18,Capa!$A:$AE,BM$5,0))))</f>
        <v/>
      </c>
      <c r="BN18" s="118" t="str">
        <f>IF(BN$6="","",IF(BN$3="Maior",IFERROR(IF(VLOOKUP($N18,Capa!$A:$AE,BN$5,0)="",0,VLOOKUP($N18,Capa!$A:$AE,BN$5,0)),0),IF(ISERROR(1/VLOOKUP($N18,Capa!$A:$AE,BN$5,0)),0,1/VLOOKUP($N18,Capa!$A:$AE,BN$5,0))))</f>
        <v/>
      </c>
      <c r="BO18" s="92"/>
    </row>
    <row r="19">
      <c r="B19" s="123" t="str">
        <f>IF(D19=FALSE,B6,B6+1)</f>
        <v/>
      </c>
      <c r="C19" s="124" t="s">
        <v>28</v>
      </c>
      <c r="D19" s="125" t="b">
        <v>0</v>
      </c>
      <c r="E19" s="126" t="s">
        <v>564</v>
      </c>
      <c r="F19" s="119">
        <f>MATCH(C19,Capa!$6:$6,0)</f>
        <v>7</v>
      </c>
      <c r="G19" s="11"/>
      <c r="H19" s="8">
        <v>13.0</v>
      </c>
      <c r="I19" s="110" t="str">
        <f t="shared" si="6"/>
        <v>VALE3</v>
      </c>
      <c r="J19" s="111" t="str">
        <f>VLOOKUP(left(I19,4),Setor!A:D,3,0)&amp;" | "&amp;VLOOKUP(left(I19,4),Setor!A:D,4,0)</f>
        <v>Materiais Básicos | Mineração</v>
      </c>
      <c r="K19" s="112">
        <f t="shared" si="7"/>
        <v>2820511501</v>
      </c>
      <c r="L19" s="11"/>
      <c r="M19" s="11"/>
      <c r="N19" s="10" t="s">
        <v>65</v>
      </c>
      <c r="O19" s="113">
        <f t="shared" si="8"/>
        <v>678.0101</v>
      </c>
      <c r="P19" s="114">
        <f>VLOOKUP(N19,'Dados StatusInvest'!A:Z,26,0)</f>
        <v>394931886.8</v>
      </c>
      <c r="Q19" s="115">
        <f t="shared" si="9"/>
        <v>101.0101</v>
      </c>
      <c r="R19" s="116">
        <f t="shared" ref="R19:AO19" si="21">IF(AQ19="","", RANK(AQ19,AQ$7:AQ$503,0))</f>
        <v>375</v>
      </c>
      <c r="S19" s="115">
        <f t="shared" si="21"/>
        <v>202</v>
      </c>
      <c r="T19" s="115" t="str">
        <f t="shared" si="21"/>
        <v/>
      </c>
      <c r="U19" s="115" t="str">
        <f t="shared" si="21"/>
        <v/>
      </c>
      <c r="V19" s="115" t="str">
        <f t="shared" si="21"/>
        <v/>
      </c>
      <c r="W19" s="115" t="str">
        <f t="shared" si="21"/>
        <v/>
      </c>
      <c r="X19" s="115" t="str">
        <f t="shared" si="21"/>
        <v/>
      </c>
      <c r="Y19" s="115" t="str">
        <f t="shared" si="21"/>
        <v/>
      </c>
      <c r="Z19" s="115" t="str">
        <f t="shared" si="21"/>
        <v/>
      </c>
      <c r="AA19" s="115" t="str">
        <f t="shared" si="21"/>
        <v/>
      </c>
      <c r="AB19" s="115" t="str">
        <f t="shared" si="21"/>
        <v/>
      </c>
      <c r="AC19" s="115" t="str">
        <f t="shared" si="21"/>
        <v/>
      </c>
      <c r="AD19" s="115" t="str">
        <f t="shared" si="21"/>
        <v/>
      </c>
      <c r="AE19" s="115" t="str">
        <f t="shared" si="21"/>
        <v/>
      </c>
      <c r="AF19" s="115" t="str">
        <f t="shared" si="21"/>
        <v/>
      </c>
      <c r="AG19" s="115" t="str">
        <f t="shared" si="21"/>
        <v/>
      </c>
      <c r="AH19" s="115" t="str">
        <f t="shared" si="21"/>
        <v/>
      </c>
      <c r="AI19" s="115" t="str">
        <f t="shared" si="21"/>
        <v/>
      </c>
      <c r="AJ19" s="115" t="str">
        <f t="shared" si="21"/>
        <v/>
      </c>
      <c r="AK19" s="115" t="str">
        <f t="shared" si="21"/>
        <v/>
      </c>
      <c r="AL19" s="115" t="str">
        <f t="shared" si="21"/>
        <v/>
      </c>
      <c r="AM19" s="115" t="str">
        <f t="shared" si="21"/>
        <v/>
      </c>
      <c r="AN19" s="115" t="str">
        <f t="shared" si="21"/>
        <v/>
      </c>
      <c r="AO19" s="115" t="str">
        <f t="shared" si="21"/>
        <v/>
      </c>
      <c r="AP19" s="117">
        <f>IF(AP$6="","",IF(AP$3="Maior",IFERROR(IF(VLOOKUP($N19,Capa!$A:$AE,AP$5,0)="",0,VLOOKUP($N19,Capa!$A:$AE,AP$5,0)),0),IF(ISERROR(1/VLOOKUP($N19,Capa!$A:$AE,AP$5,0)),0,1/VLOOKUP($N19,Capa!$A:$AE,AP$5,0))))</f>
        <v>0.1856098623</v>
      </c>
      <c r="AQ19" s="118">
        <f>IF(AQ$6="","",IF(AQ$3="Maior",IFERROR(IF(VLOOKUP($N19,Capa!$A:$AE,AQ$5,0)="",0,VLOOKUP($N19,Capa!$A:$AE,AQ$5,0)),0),IF(ISERROR(1/VLOOKUP($N19,Capa!$A:$AE,AQ$5,0)),0,1/VLOOKUP($N19,Capa!$A:$AE,AQ$5,0))))</f>
        <v>0</v>
      </c>
      <c r="AR19" s="118">
        <f>IF(AR$6="","",IF(AR$3="Maior",IFERROR(IF(VLOOKUP($N19,Capa!$A:$AE,AR$5,0)="",0,VLOOKUP($N19,Capa!$A:$AE,AR$5,0)),0),IF(ISERROR(1/VLOOKUP($N19,Capa!$A:$AE,AR$5,0)),0,1/VLOOKUP($N19,Capa!$A:$AE,AR$5,0))))</f>
        <v>2.46</v>
      </c>
      <c r="AS19" s="118" t="str">
        <f>IF(AS$6="","",IF(AS$3="Maior",IFERROR(IF(VLOOKUP($N19,Capa!$A:$AE,AS$5,0)="",0,VLOOKUP($N19,Capa!$A:$AE,AS$5,0)),0),IF(ISERROR(1/VLOOKUP($N19,Capa!$A:$AE,AS$5,0)),0,1/VLOOKUP($N19,Capa!$A:$AE,AS$5,0))))</f>
        <v/>
      </c>
      <c r="AT19" s="118" t="str">
        <f>IF(AT$6="","",IF(AT$3="Maior",IFERROR(IF(VLOOKUP($N19,Capa!$A:$AE,AT$5,0)="",0,VLOOKUP($N19,Capa!$A:$AE,AT$5,0)),0),IF(ISERROR(1/VLOOKUP($N19,Capa!$A:$AE,AT$5,0)),0,1/VLOOKUP($N19,Capa!$A:$AE,AT$5,0))))</f>
        <v/>
      </c>
      <c r="AU19" s="118" t="str">
        <f>IF(AU$6="","",IF(AU$3="Maior",IFERROR(IF(VLOOKUP($N19,Capa!$A:$AE,AU$5,0)="",0,VLOOKUP($N19,Capa!$A:$AE,AU$5,0)),0),IF(ISERROR(1/VLOOKUP($N19,Capa!$A:$AE,AU$5,0)),0,1/VLOOKUP($N19,Capa!$A:$AE,AU$5,0))))</f>
        <v/>
      </c>
      <c r="AV19" s="118" t="str">
        <f>IF(AV$6="","",IF(AV$3="Maior",IFERROR(IF(VLOOKUP($N19,Capa!$A:$AE,AV$5,0)="",0,VLOOKUP($N19,Capa!$A:$AE,AV$5,0)),0),IF(ISERROR(1/VLOOKUP($N19,Capa!$A:$AE,AV$5,0)),0,1/VLOOKUP($N19,Capa!$A:$AE,AV$5,0))))</f>
        <v/>
      </c>
      <c r="AW19" s="118" t="str">
        <f>IF(AW$6="","",IF(AW$3="Maior",IFERROR(IF(VLOOKUP($N19,Capa!$A:$AE,AW$5,0)="",0,VLOOKUP($N19,Capa!$A:$AE,AW$5,0)),0),IF(ISERROR(1/VLOOKUP($N19,Capa!$A:$AE,AW$5,0)),0,1/VLOOKUP($N19,Capa!$A:$AE,AW$5,0))))</f>
        <v/>
      </c>
      <c r="AX19" s="118" t="str">
        <f>IF(AX$6="","",IF(AX$3="Maior",IFERROR(IF(VLOOKUP($N19,Capa!$A:$AE,AX$5,0)="",0,VLOOKUP($N19,Capa!$A:$AE,AX$5,0)),0),IF(ISERROR(1/VLOOKUP($N19,Capa!$A:$AE,AX$5,0)),0,1/VLOOKUP($N19,Capa!$A:$AE,AX$5,0))))</f>
        <v/>
      </c>
      <c r="AY19" s="118" t="str">
        <f>IF(AY$6="","",IF(AY$3="Maior",IFERROR(IF(VLOOKUP($N19,Capa!$A:$AE,AY$5,0)="",0,VLOOKUP($N19,Capa!$A:$AE,AY$5,0)),0),IF(ISERROR(1/VLOOKUP($N19,Capa!$A:$AE,AY$5,0)),0,1/VLOOKUP($N19,Capa!$A:$AE,AY$5,0))))</f>
        <v/>
      </c>
      <c r="AZ19" s="118" t="str">
        <f>IF(AZ$6="","",IF(AZ$3="Maior",IFERROR(IF(VLOOKUP($N19,Capa!$A:$AE,AZ$5,0)="",0,VLOOKUP($N19,Capa!$A:$AE,AZ$5,0)),0),IF(ISERROR(1/VLOOKUP($N19,Capa!$A:$AE,AZ$5,0)),0,1/VLOOKUP($N19,Capa!$A:$AE,AZ$5,0))))</f>
        <v/>
      </c>
      <c r="BA19" s="118" t="str">
        <f>IF(BA$6="","",IF(BA$3="Maior",IFERROR(IF(VLOOKUP($N19,Capa!$A:$AE,BA$5,0)="",0,VLOOKUP($N19,Capa!$A:$AE,BA$5,0)),0),IF(ISERROR(1/VLOOKUP($N19,Capa!$A:$AE,BA$5,0)),0,1/VLOOKUP($N19,Capa!$A:$AE,BA$5,0))))</f>
        <v/>
      </c>
      <c r="BB19" s="118" t="str">
        <f>IF(BB$6="","",IF(BB$3="Maior",IFERROR(IF(VLOOKUP($N19,Capa!$A:$AE,BB$5,0)="",0,VLOOKUP($N19,Capa!$A:$AE,BB$5,0)),0),IF(ISERROR(1/VLOOKUP($N19,Capa!$A:$AE,BB$5,0)),0,1/VLOOKUP($N19,Capa!$A:$AE,BB$5,0))))</f>
        <v/>
      </c>
      <c r="BC19" s="118" t="str">
        <f>IF(BC$6="","",IF(BC$3="Maior",IFERROR(IF(VLOOKUP($N19,Capa!$A:$AE,BC$5,0)="",0,VLOOKUP($N19,Capa!$A:$AE,BC$5,0)),0),IF(ISERROR(1/VLOOKUP($N19,Capa!$A:$AE,BC$5,0)),0,1/VLOOKUP($N19,Capa!$A:$AE,BC$5,0))))</f>
        <v/>
      </c>
      <c r="BD19" s="118" t="str">
        <f>IF(BD$6="","",IF(BD$3="Maior",IFERROR(IF(VLOOKUP($N19,Capa!$A:$AE,BD$5,0)="",0,VLOOKUP($N19,Capa!$A:$AE,BD$5,0)),0),IF(ISERROR(1/VLOOKUP($N19,Capa!$A:$AE,BD$5,0)),0,1/VLOOKUP($N19,Capa!$A:$AE,BD$5,0))))</f>
        <v/>
      </c>
      <c r="BE19" s="118" t="str">
        <f>IF(BE$6="","",IF(BE$3="Maior",IFERROR(IF(VLOOKUP($N19,Capa!$A:$AE,BE$5,0)="",0,VLOOKUP($N19,Capa!$A:$AE,BE$5,0)),0),IF(ISERROR(1/VLOOKUP($N19,Capa!$A:$AE,BE$5,0)),0,1/VLOOKUP($N19,Capa!$A:$AE,BE$5,0))))</f>
        <v/>
      </c>
      <c r="BF19" s="118" t="str">
        <f>IF(BF$6="","",IF(BF$3="Maior",IFERROR(IF(VLOOKUP($N19,Capa!$A:$AE,BF$5,0)="",0,VLOOKUP($N19,Capa!$A:$AE,BF$5,0)),0),IF(ISERROR(1/VLOOKUP($N19,Capa!$A:$AE,BF$5,0)),0,1/VLOOKUP($N19,Capa!$A:$AE,BF$5,0))))</f>
        <v/>
      </c>
      <c r="BG19" s="118" t="str">
        <f>IF(BG$6="","",IF(BG$3="Maior",IFERROR(IF(VLOOKUP($N19,Capa!$A:$AE,BG$5,0)="",0,VLOOKUP($N19,Capa!$A:$AE,BG$5,0)),0),IF(ISERROR(1/VLOOKUP($N19,Capa!$A:$AE,BG$5,0)),0,1/VLOOKUP($N19,Capa!$A:$AE,BG$5,0))))</f>
        <v/>
      </c>
      <c r="BH19" s="118" t="str">
        <f>IF(BH$6="","",IF(BH$3="Maior",IFERROR(IF(VLOOKUP($N19,Capa!$A:$AE,BH$5,0)="",0,VLOOKUP($N19,Capa!$A:$AE,BH$5,0)),0),IF(ISERROR(1/VLOOKUP($N19,Capa!$A:$AE,BH$5,0)),0,1/VLOOKUP($N19,Capa!$A:$AE,BH$5,0))))</f>
        <v/>
      </c>
      <c r="BI19" s="118" t="str">
        <f>IF(BI$6="","",IF(BI$3="Maior",IFERROR(IF(VLOOKUP($N19,Capa!$A:$AE,BI$5,0)="",0,VLOOKUP($N19,Capa!$A:$AE,BI$5,0)),0),IF(ISERROR(1/VLOOKUP($N19,Capa!$A:$AE,BI$5,0)),0,1/VLOOKUP($N19,Capa!$A:$AE,BI$5,0))))</f>
        <v/>
      </c>
      <c r="BJ19" s="118" t="str">
        <f>IF(BJ$6="","",IF(BJ$3="Maior",IFERROR(IF(VLOOKUP($N19,Capa!$A:$AE,BJ$5,0)="",0,VLOOKUP($N19,Capa!$A:$AE,BJ$5,0)),0),IF(ISERROR(1/VLOOKUP($N19,Capa!$A:$AE,BJ$5,0)),0,1/VLOOKUP($N19,Capa!$A:$AE,BJ$5,0))))</f>
        <v/>
      </c>
      <c r="BK19" s="118" t="str">
        <f>IF(BK$6="","",IF(BK$3="Maior",IFERROR(IF(VLOOKUP($N19,Capa!$A:$AE,BK$5,0)="",0,VLOOKUP($N19,Capa!$A:$AE,BK$5,0)),0),IF(ISERROR(1/VLOOKUP($N19,Capa!$A:$AE,BK$5,0)),0,1/VLOOKUP($N19,Capa!$A:$AE,BK$5,0))))</f>
        <v/>
      </c>
      <c r="BL19" s="118" t="str">
        <f>IF(BL$6="","",IF(BL$3="Maior",IFERROR(IF(VLOOKUP($N19,Capa!$A:$AE,BL$5,0)="",0,VLOOKUP($N19,Capa!$A:$AE,BL$5,0)),0),IF(ISERROR(1/VLOOKUP($N19,Capa!$A:$AE,BL$5,0)),0,1/VLOOKUP($N19,Capa!$A:$AE,BL$5,0))))</f>
        <v/>
      </c>
      <c r="BM19" s="118" t="str">
        <f>IF(BM$6="","",IF(BM$3="Maior",IFERROR(IF(VLOOKUP($N19,Capa!$A:$AE,BM$5,0)="",0,VLOOKUP($N19,Capa!$A:$AE,BM$5,0)),0),IF(ISERROR(1/VLOOKUP($N19,Capa!$A:$AE,BM$5,0)),0,1/VLOOKUP($N19,Capa!$A:$AE,BM$5,0))))</f>
        <v/>
      </c>
      <c r="BN19" s="118" t="str">
        <f>IF(BN$6="","",IF(BN$3="Maior",IFERROR(IF(VLOOKUP($N19,Capa!$A:$AE,BN$5,0)="",0,VLOOKUP($N19,Capa!$A:$AE,BN$5,0)),0),IF(ISERROR(1/VLOOKUP($N19,Capa!$A:$AE,BN$5,0)),0,1/VLOOKUP($N19,Capa!$A:$AE,BN$5,0))))</f>
        <v/>
      </c>
      <c r="BO19" s="92"/>
    </row>
    <row r="20">
      <c r="B20" s="123" t="str">
        <f t="shared" ref="B20:B42" si="23">IF(D20=FALSE,B19,B19+1)</f>
        <v/>
      </c>
      <c r="C20" s="127" t="s">
        <v>29</v>
      </c>
      <c r="D20" s="119" t="b">
        <v>0</v>
      </c>
      <c r="E20" s="128" t="s">
        <v>565</v>
      </c>
      <c r="F20" s="119">
        <f>MATCH(C20,Capa!$6:$6,0)</f>
        <v>8</v>
      </c>
      <c r="G20" s="11"/>
      <c r="H20" s="8">
        <v>14.0</v>
      </c>
      <c r="I20" s="110" t="str">
        <f t="shared" si="6"/>
        <v>CSNA3</v>
      </c>
      <c r="J20" s="111" t="str">
        <f>VLOOKUP(left(I20,4),Setor!A:D,3,0)&amp;" | "&amp;VLOOKUP(left(I20,4),Setor!A:D,4,0)</f>
        <v>Materiais Básicos | Siderurgia e Metalurgia</v>
      </c>
      <c r="K20" s="112">
        <f t="shared" si="7"/>
        <v>407425386.5</v>
      </c>
      <c r="L20" s="11"/>
      <c r="M20" s="11"/>
      <c r="N20" s="10" t="s">
        <v>66</v>
      </c>
      <c r="O20" s="113">
        <f t="shared" si="8"/>
        <v>609.0303</v>
      </c>
      <c r="P20" s="114">
        <f>VLOOKUP(N20,'Dados StatusInvest'!A:Z,26,0)</f>
        <v>358915154.1</v>
      </c>
      <c r="Q20" s="115">
        <f t="shared" si="9"/>
        <v>303.0303</v>
      </c>
      <c r="R20" s="116">
        <f t="shared" ref="R20:AO20" si="22">IF(AQ20="","", RANK(AQ20,AQ$7:AQ$503,0))</f>
        <v>218</v>
      </c>
      <c r="S20" s="115">
        <f t="shared" si="22"/>
        <v>88</v>
      </c>
      <c r="T20" s="115" t="str">
        <f t="shared" si="22"/>
        <v/>
      </c>
      <c r="U20" s="115" t="str">
        <f t="shared" si="22"/>
        <v/>
      </c>
      <c r="V20" s="115" t="str">
        <f t="shared" si="22"/>
        <v/>
      </c>
      <c r="W20" s="115" t="str">
        <f t="shared" si="22"/>
        <v/>
      </c>
      <c r="X20" s="115" t="str">
        <f t="shared" si="22"/>
        <v/>
      </c>
      <c r="Y20" s="115" t="str">
        <f t="shared" si="22"/>
        <v/>
      </c>
      <c r="Z20" s="115" t="str">
        <f t="shared" si="22"/>
        <v/>
      </c>
      <c r="AA20" s="115" t="str">
        <f t="shared" si="22"/>
        <v/>
      </c>
      <c r="AB20" s="115" t="str">
        <f t="shared" si="22"/>
        <v/>
      </c>
      <c r="AC20" s="115" t="str">
        <f t="shared" si="22"/>
        <v/>
      </c>
      <c r="AD20" s="115" t="str">
        <f t="shared" si="22"/>
        <v/>
      </c>
      <c r="AE20" s="115" t="str">
        <f t="shared" si="22"/>
        <v/>
      </c>
      <c r="AF20" s="115" t="str">
        <f t="shared" si="22"/>
        <v/>
      </c>
      <c r="AG20" s="115" t="str">
        <f t="shared" si="22"/>
        <v/>
      </c>
      <c r="AH20" s="115" t="str">
        <f t="shared" si="22"/>
        <v/>
      </c>
      <c r="AI20" s="115" t="str">
        <f t="shared" si="22"/>
        <v/>
      </c>
      <c r="AJ20" s="115" t="str">
        <f t="shared" si="22"/>
        <v/>
      </c>
      <c r="AK20" s="115" t="str">
        <f t="shared" si="22"/>
        <v/>
      </c>
      <c r="AL20" s="115" t="str">
        <f t="shared" si="22"/>
        <v/>
      </c>
      <c r="AM20" s="115" t="str">
        <f t="shared" si="22"/>
        <v/>
      </c>
      <c r="AN20" s="115" t="str">
        <f t="shared" si="22"/>
        <v/>
      </c>
      <c r="AO20" s="115" t="str">
        <f t="shared" si="22"/>
        <v/>
      </c>
      <c r="AP20" s="117">
        <f>IF(AP$6="","",IF(AP$3="Maior",IFERROR(IF(VLOOKUP($N20,Capa!$A:$AE,AP$5,0)="",0,VLOOKUP($N20,Capa!$A:$AE,AP$5,0)),0),IF(ISERROR(1/VLOOKUP($N20,Capa!$A:$AE,AP$5,0)),0,1/VLOOKUP($N20,Capa!$A:$AE,AP$5,0))))</f>
        <v>0.05262634795</v>
      </c>
      <c r="AQ20" s="118">
        <f>IF(AQ$6="","",IF(AQ$3="Maior",IFERROR(IF(VLOOKUP($N20,Capa!$A:$AE,AQ$5,0)="",0,VLOOKUP($N20,Capa!$A:$AE,AQ$5,0)),0),IF(ISERROR(1/VLOOKUP($N20,Capa!$A:$AE,AQ$5,0)),0,1/VLOOKUP($N20,Capa!$A:$AE,AQ$5,0))))</f>
        <v>10.24</v>
      </c>
      <c r="AR20" s="118">
        <f>IF(AR$6="","",IF(AR$3="Maior",IFERROR(IF(VLOOKUP($N20,Capa!$A:$AE,AR$5,0)="",0,VLOOKUP($N20,Capa!$A:$AE,AR$5,0)),0),IF(ISERROR(1/VLOOKUP($N20,Capa!$A:$AE,AR$5,0)),0,1/VLOOKUP($N20,Capa!$A:$AE,AR$5,0))))</f>
        <v>32.73</v>
      </c>
      <c r="AS20" s="118" t="str">
        <f>IF(AS$6="","",IF(AS$3="Maior",IFERROR(IF(VLOOKUP($N20,Capa!$A:$AE,AS$5,0)="",0,VLOOKUP($N20,Capa!$A:$AE,AS$5,0)),0),IF(ISERROR(1/VLOOKUP($N20,Capa!$A:$AE,AS$5,0)),0,1/VLOOKUP($N20,Capa!$A:$AE,AS$5,0))))</f>
        <v/>
      </c>
      <c r="AT20" s="118" t="str">
        <f>IF(AT$6="","",IF(AT$3="Maior",IFERROR(IF(VLOOKUP($N20,Capa!$A:$AE,AT$5,0)="",0,VLOOKUP($N20,Capa!$A:$AE,AT$5,0)),0),IF(ISERROR(1/VLOOKUP($N20,Capa!$A:$AE,AT$5,0)),0,1/VLOOKUP($N20,Capa!$A:$AE,AT$5,0))))</f>
        <v/>
      </c>
      <c r="AU20" s="118" t="str">
        <f>IF(AU$6="","",IF(AU$3="Maior",IFERROR(IF(VLOOKUP($N20,Capa!$A:$AE,AU$5,0)="",0,VLOOKUP($N20,Capa!$A:$AE,AU$5,0)),0),IF(ISERROR(1/VLOOKUP($N20,Capa!$A:$AE,AU$5,0)),0,1/VLOOKUP($N20,Capa!$A:$AE,AU$5,0))))</f>
        <v/>
      </c>
      <c r="AV20" s="118" t="str">
        <f>IF(AV$6="","",IF(AV$3="Maior",IFERROR(IF(VLOOKUP($N20,Capa!$A:$AE,AV$5,0)="",0,VLOOKUP($N20,Capa!$A:$AE,AV$5,0)),0),IF(ISERROR(1/VLOOKUP($N20,Capa!$A:$AE,AV$5,0)),0,1/VLOOKUP($N20,Capa!$A:$AE,AV$5,0))))</f>
        <v/>
      </c>
      <c r="AW20" s="118" t="str">
        <f>IF(AW$6="","",IF(AW$3="Maior",IFERROR(IF(VLOOKUP($N20,Capa!$A:$AE,AW$5,0)="",0,VLOOKUP($N20,Capa!$A:$AE,AW$5,0)),0),IF(ISERROR(1/VLOOKUP($N20,Capa!$A:$AE,AW$5,0)),0,1/VLOOKUP($N20,Capa!$A:$AE,AW$5,0))))</f>
        <v/>
      </c>
      <c r="AX20" s="118" t="str">
        <f>IF(AX$6="","",IF(AX$3="Maior",IFERROR(IF(VLOOKUP($N20,Capa!$A:$AE,AX$5,0)="",0,VLOOKUP($N20,Capa!$A:$AE,AX$5,0)),0),IF(ISERROR(1/VLOOKUP($N20,Capa!$A:$AE,AX$5,0)),0,1/VLOOKUP($N20,Capa!$A:$AE,AX$5,0))))</f>
        <v/>
      </c>
      <c r="AY20" s="118" t="str">
        <f>IF(AY$6="","",IF(AY$3="Maior",IFERROR(IF(VLOOKUP($N20,Capa!$A:$AE,AY$5,0)="",0,VLOOKUP($N20,Capa!$A:$AE,AY$5,0)),0),IF(ISERROR(1/VLOOKUP($N20,Capa!$A:$AE,AY$5,0)),0,1/VLOOKUP($N20,Capa!$A:$AE,AY$5,0))))</f>
        <v/>
      </c>
      <c r="AZ20" s="118" t="str">
        <f>IF(AZ$6="","",IF(AZ$3="Maior",IFERROR(IF(VLOOKUP($N20,Capa!$A:$AE,AZ$5,0)="",0,VLOOKUP($N20,Capa!$A:$AE,AZ$5,0)),0),IF(ISERROR(1/VLOOKUP($N20,Capa!$A:$AE,AZ$5,0)),0,1/VLOOKUP($N20,Capa!$A:$AE,AZ$5,0))))</f>
        <v/>
      </c>
      <c r="BA20" s="118" t="str">
        <f>IF(BA$6="","",IF(BA$3="Maior",IFERROR(IF(VLOOKUP($N20,Capa!$A:$AE,BA$5,0)="",0,VLOOKUP($N20,Capa!$A:$AE,BA$5,0)),0),IF(ISERROR(1/VLOOKUP($N20,Capa!$A:$AE,BA$5,0)),0,1/VLOOKUP($N20,Capa!$A:$AE,BA$5,0))))</f>
        <v/>
      </c>
      <c r="BB20" s="118" t="str">
        <f>IF(BB$6="","",IF(BB$3="Maior",IFERROR(IF(VLOOKUP($N20,Capa!$A:$AE,BB$5,0)="",0,VLOOKUP($N20,Capa!$A:$AE,BB$5,0)),0),IF(ISERROR(1/VLOOKUP($N20,Capa!$A:$AE,BB$5,0)),0,1/VLOOKUP($N20,Capa!$A:$AE,BB$5,0))))</f>
        <v/>
      </c>
      <c r="BC20" s="118" t="str">
        <f>IF(BC$6="","",IF(BC$3="Maior",IFERROR(IF(VLOOKUP($N20,Capa!$A:$AE,BC$5,0)="",0,VLOOKUP($N20,Capa!$A:$AE,BC$5,0)),0),IF(ISERROR(1/VLOOKUP($N20,Capa!$A:$AE,BC$5,0)),0,1/VLOOKUP($N20,Capa!$A:$AE,BC$5,0))))</f>
        <v/>
      </c>
      <c r="BD20" s="118" t="str">
        <f>IF(BD$6="","",IF(BD$3="Maior",IFERROR(IF(VLOOKUP($N20,Capa!$A:$AE,BD$5,0)="",0,VLOOKUP($N20,Capa!$A:$AE,BD$5,0)),0),IF(ISERROR(1/VLOOKUP($N20,Capa!$A:$AE,BD$5,0)),0,1/VLOOKUP($N20,Capa!$A:$AE,BD$5,0))))</f>
        <v/>
      </c>
      <c r="BE20" s="118" t="str">
        <f>IF(BE$6="","",IF(BE$3="Maior",IFERROR(IF(VLOOKUP($N20,Capa!$A:$AE,BE$5,0)="",0,VLOOKUP($N20,Capa!$A:$AE,BE$5,0)),0),IF(ISERROR(1/VLOOKUP($N20,Capa!$A:$AE,BE$5,0)),0,1/VLOOKUP($N20,Capa!$A:$AE,BE$5,0))))</f>
        <v/>
      </c>
      <c r="BF20" s="118" t="str">
        <f>IF(BF$6="","",IF(BF$3="Maior",IFERROR(IF(VLOOKUP($N20,Capa!$A:$AE,BF$5,0)="",0,VLOOKUP($N20,Capa!$A:$AE,BF$5,0)),0),IF(ISERROR(1/VLOOKUP($N20,Capa!$A:$AE,BF$5,0)),0,1/VLOOKUP($N20,Capa!$A:$AE,BF$5,0))))</f>
        <v/>
      </c>
      <c r="BG20" s="118" t="str">
        <f>IF(BG$6="","",IF(BG$3="Maior",IFERROR(IF(VLOOKUP($N20,Capa!$A:$AE,BG$5,0)="",0,VLOOKUP($N20,Capa!$A:$AE,BG$5,0)),0),IF(ISERROR(1/VLOOKUP($N20,Capa!$A:$AE,BG$5,0)),0,1/VLOOKUP($N20,Capa!$A:$AE,BG$5,0))))</f>
        <v/>
      </c>
      <c r="BH20" s="118" t="str">
        <f>IF(BH$6="","",IF(BH$3="Maior",IFERROR(IF(VLOOKUP($N20,Capa!$A:$AE,BH$5,0)="",0,VLOOKUP($N20,Capa!$A:$AE,BH$5,0)),0),IF(ISERROR(1/VLOOKUP($N20,Capa!$A:$AE,BH$5,0)),0,1/VLOOKUP($N20,Capa!$A:$AE,BH$5,0))))</f>
        <v/>
      </c>
      <c r="BI20" s="118" t="str">
        <f>IF(BI$6="","",IF(BI$3="Maior",IFERROR(IF(VLOOKUP($N20,Capa!$A:$AE,BI$5,0)="",0,VLOOKUP($N20,Capa!$A:$AE,BI$5,0)),0),IF(ISERROR(1/VLOOKUP($N20,Capa!$A:$AE,BI$5,0)),0,1/VLOOKUP($N20,Capa!$A:$AE,BI$5,0))))</f>
        <v/>
      </c>
      <c r="BJ20" s="118" t="str">
        <f>IF(BJ$6="","",IF(BJ$3="Maior",IFERROR(IF(VLOOKUP($N20,Capa!$A:$AE,BJ$5,0)="",0,VLOOKUP($N20,Capa!$A:$AE,BJ$5,0)),0),IF(ISERROR(1/VLOOKUP($N20,Capa!$A:$AE,BJ$5,0)),0,1/VLOOKUP($N20,Capa!$A:$AE,BJ$5,0))))</f>
        <v/>
      </c>
      <c r="BK20" s="118" t="str">
        <f>IF(BK$6="","",IF(BK$3="Maior",IFERROR(IF(VLOOKUP($N20,Capa!$A:$AE,BK$5,0)="",0,VLOOKUP($N20,Capa!$A:$AE,BK$5,0)),0),IF(ISERROR(1/VLOOKUP($N20,Capa!$A:$AE,BK$5,0)),0,1/VLOOKUP($N20,Capa!$A:$AE,BK$5,0))))</f>
        <v/>
      </c>
      <c r="BL20" s="118" t="str">
        <f>IF(BL$6="","",IF(BL$3="Maior",IFERROR(IF(VLOOKUP($N20,Capa!$A:$AE,BL$5,0)="",0,VLOOKUP($N20,Capa!$A:$AE,BL$5,0)),0),IF(ISERROR(1/VLOOKUP($N20,Capa!$A:$AE,BL$5,0)),0,1/VLOOKUP($N20,Capa!$A:$AE,BL$5,0))))</f>
        <v/>
      </c>
      <c r="BM20" s="118" t="str">
        <f>IF(BM$6="","",IF(BM$3="Maior",IFERROR(IF(VLOOKUP($N20,Capa!$A:$AE,BM$5,0)="",0,VLOOKUP($N20,Capa!$A:$AE,BM$5,0)),0),IF(ISERROR(1/VLOOKUP($N20,Capa!$A:$AE,BM$5,0)),0,1/VLOOKUP($N20,Capa!$A:$AE,BM$5,0))))</f>
        <v/>
      </c>
      <c r="BN20" s="118" t="str">
        <f>IF(BN$6="","",IF(BN$3="Maior",IFERROR(IF(VLOOKUP($N20,Capa!$A:$AE,BN$5,0)="",0,VLOOKUP($N20,Capa!$A:$AE,BN$5,0)),0),IF(ISERROR(1/VLOOKUP($N20,Capa!$A:$AE,BN$5,0)),0,1/VLOOKUP($N20,Capa!$A:$AE,BN$5,0))))</f>
        <v/>
      </c>
      <c r="BO20" s="92"/>
    </row>
    <row r="21">
      <c r="B21" s="123" t="str">
        <f t="shared" si="23"/>
        <v/>
      </c>
      <c r="C21" s="127" t="s">
        <v>30</v>
      </c>
      <c r="D21" s="119" t="b">
        <v>0</v>
      </c>
      <c r="E21" s="128" t="s">
        <v>564</v>
      </c>
      <c r="F21" s="119">
        <f>MATCH(C21,Capa!$6:$6,0)</f>
        <v>9</v>
      </c>
      <c r="G21" s="11"/>
      <c r="H21" s="8">
        <v>15.0</v>
      </c>
      <c r="I21" s="110" t="str">
        <f t="shared" si="6"/>
        <v>BRAP3</v>
      </c>
      <c r="J21" s="111" t="str">
        <f>VLOOKUP(left(I21,4),Setor!A:D,3,0)&amp;" | "&amp;VLOOKUP(left(I21,4),Setor!A:D,4,0)</f>
        <v>Materiais Básicos | Mineração</v>
      </c>
      <c r="K21" s="112">
        <f t="shared" si="7"/>
        <v>17111829.33</v>
      </c>
      <c r="L21" s="11"/>
      <c r="M21" s="11"/>
      <c r="N21" s="10" t="s">
        <v>67</v>
      </c>
      <c r="O21" s="113">
        <f t="shared" si="8"/>
        <v>847.0362</v>
      </c>
      <c r="P21" s="114">
        <f>VLOOKUP(N21,'Dados StatusInvest'!A:Z,26,0)</f>
        <v>301374789.9</v>
      </c>
      <c r="Q21" s="115">
        <f t="shared" si="9"/>
        <v>362.0362</v>
      </c>
      <c r="R21" s="116">
        <f t="shared" ref="R21:AO21" si="24">IF(AQ21="","", RANK(AQ21,AQ$7:AQ$503,0))</f>
        <v>266</v>
      </c>
      <c r="S21" s="115">
        <f t="shared" si="24"/>
        <v>219</v>
      </c>
      <c r="T21" s="115" t="str">
        <f t="shared" si="24"/>
        <v/>
      </c>
      <c r="U21" s="115" t="str">
        <f t="shared" si="24"/>
        <v/>
      </c>
      <c r="V21" s="115" t="str">
        <f t="shared" si="24"/>
        <v/>
      </c>
      <c r="W21" s="115" t="str">
        <f t="shared" si="24"/>
        <v/>
      </c>
      <c r="X21" s="115" t="str">
        <f t="shared" si="24"/>
        <v/>
      </c>
      <c r="Y21" s="115" t="str">
        <f t="shared" si="24"/>
        <v/>
      </c>
      <c r="Z21" s="115" t="str">
        <f t="shared" si="24"/>
        <v/>
      </c>
      <c r="AA21" s="115" t="str">
        <f t="shared" si="24"/>
        <v/>
      </c>
      <c r="AB21" s="115" t="str">
        <f t="shared" si="24"/>
        <v/>
      </c>
      <c r="AC21" s="115" t="str">
        <f t="shared" si="24"/>
        <v/>
      </c>
      <c r="AD21" s="115" t="str">
        <f t="shared" si="24"/>
        <v/>
      </c>
      <c r="AE21" s="115" t="str">
        <f t="shared" si="24"/>
        <v/>
      </c>
      <c r="AF21" s="115" t="str">
        <f t="shared" si="24"/>
        <v/>
      </c>
      <c r="AG21" s="115" t="str">
        <f t="shared" si="24"/>
        <v/>
      </c>
      <c r="AH21" s="115" t="str">
        <f t="shared" si="24"/>
        <v/>
      </c>
      <c r="AI21" s="115" t="str">
        <f t="shared" si="24"/>
        <v/>
      </c>
      <c r="AJ21" s="115" t="str">
        <f t="shared" si="24"/>
        <v/>
      </c>
      <c r="AK21" s="115" t="str">
        <f t="shared" si="24"/>
        <v/>
      </c>
      <c r="AL21" s="115" t="str">
        <f t="shared" si="24"/>
        <v/>
      </c>
      <c r="AM21" s="115" t="str">
        <f t="shared" si="24"/>
        <v/>
      </c>
      <c r="AN21" s="115" t="str">
        <f t="shared" si="24"/>
        <v/>
      </c>
      <c r="AO21" s="115" t="str">
        <f t="shared" si="24"/>
        <v/>
      </c>
      <c r="AP21" s="117">
        <f>IF(AP$6="","",IF(AP$3="Maior",IFERROR(IF(VLOOKUP($N21,Capa!$A:$AE,AP$5,0)="",0,VLOOKUP($N21,Capa!$A:$AE,AP$5,0)),0),IF(ISERROR(1/VLOOKUP($N21,Capa!$A:$AE,AP$5,0)),0,1/VLOOKUP($N21,Capa!$A:$AE,AP$5,0))))</f>
        <v>0.02367623748</v>
      </c>
      <c r="AQ21" s="118">
        <f>IF(AQ$6="","",IF(AQ$3="Maior",IFERROR(IF(VLOOKUP($N21,Capa!$A:$AE,AQ$5,0)="",0,VLOOKUP($N21,Capa!$A:$AE,AQ$5,0)),0),IF(ISERROR(1/VLOOKUP($N21,Capa!$A:$AE,AQ$5,0)),0,1/VLOOKUP($N21,Capa!$A:$AE,AQ$5,0))))</f>
        <v>7.05</v>
      </c>
      <c r="AR21" s="118">
        <f>IF(AR$6="","",IF(AR$3="Maior",IFERROR(IF(VLOOKUP($N21,Capa!$A:$AE,AR$5,0)="",0,VLOOKUP($N21,Capa!$A:$AE,AR$5,0)),0),IF(ISERROR(1/VLOOKUP($N21,Capa!$A:$AE,AR$5,0)),0,1/VLOOKUP($N21,Capa!$A:$AE,AR$5,0))))</f>
        <v>0</v>
      </c>
      <c r="AS21" s="118" t="str">
        <f>IF(AS$6="","",IF(AS$3="Maior",IFERROR(IF(VLOOKUP($N21,Capa!$A:$AE,AS$5,0)="",0,VLOOKUP($N21,Capa!$A:$AE,AS$5,0)),0),IF(ISERROR(1/VLOOKUP($N21,Capa!$A:$AE,AS$5,0)),0,1/VLOOKUP($N21,Capa!$A:$AE,AS$5,0))))</f>
        <v/>
      </c>
      <c r="AT21" s="118" t="str">
        <f>IF(AT$6="","",IF(AT$3="Maior",IFERROR(IF(VLOOKUP($N21,Capa!$A:$AE,AT$5,0)="",0,VLOOKUP($N21,Capa!$A:$AE,AT$5,0)),0),IF(ISERROR(1/VLOOKUP($N21,Capa!$A:$AE,AT$5,0)),0,1/VLOOKUP($N21,Capa!$A:$AE,AT$5,0))))</f>
        <v/>
      </c>
      <c r="AU21" s="118" t="str">
        <f>IF(AU$6="","",IF(AU$3="Maior",IFERROR(IF(VLOOKUP($N21,Capa!$A:$AE,AU$5,0)="",0,VLOOKUP($N21,Capa!$A:$AE,AU$5,0)),0),IF(ISERROR(1/VLOOKUP($N21,Capa!$A:$AE,AU$5,0)),0,1/VLOOKUP($N21,Capa!$A:$AE,AU$5,0))))</f>
        <v/>
      </c>
      <c r="AV21" s="118" t="str">
        <f>IF(AV$6="","",IF(AV$3="Maior",IFERROR(IF(VLOOKUP($N21,Capa!$A:$AE,AV$5,0)="",0,VLOOKUP($N21,Capa!$A:$AE,AV$5,0)),0),IF(ISERROR(1/VLOOKUP($N21,Capa!$A:$AE,AV$5,0)),0,1/VLOOKUP($N21,Capa!$A:$AE,AV$5,0))))</f>
        <v/>
      </c>
      <c r="AW21" s="118" t="str">
        <f>IF(AW$6="","",IF(AW$3="Maior",IFERROR(IF(VLOOKUP($N21,Capa!$A:$AE,AW$5,0)="",0,VLOOKUP($N21,Capa!$A:$AE,AW$5,0)),0),IF(ISERROR(1/VLOOKUP($N21,Capa!$A:$AE,AW$5,0)),0,1/VLOOKUP($N21,Capa!$A:$AE,AW$5,0))))</f>
        <v/>
      </c>
      <c r="AX21" s="118" t="str">
        <f>IF(AX$6="","",IF(AX$3="Maior",IFERROR(IF(VLOOKUP($N21,Capa!$A:$AE,AX$5,0)="",0,VLOOKUP($N21,Capa!$A:$AE,AX$5,0)),0),IF(ISERROR(1/VLOOKUP($N21,Capa!$A:$AE,AX$5,0)),0,1/VLOOKUP($N21,Capa!$A:$AE,AX$5,0))))</f>
        <v/>
      </c>
      <c r="AY21" s="118" t="str">
        <f>IF(AY$6="","",IF(AY$3="Maior",IFERROR(IF(VLOOKUP($N21,Capa!$A:$AE,AY$5,0)="",0,VLOOKUP($N21,Capa!$A:$AE,AY$5,0)),0),IF(ISERROR(1/VLOOKUP($N21,Capa!$A:$AE,AY$5,0)),0,1/VLOOKUP($N21,Capa!$A:$AE,AY$5,0))))</f>
        <v/>
      </c>
      <c r="AZ21" s="118" t="str">
        <f>IF(AZ$6="","",IF(AZ$3="Maior",IFERROR(IF(VLOOKUP($N21,Capa!$A:$AE,AZ$5,0)="",0,VLOOKUP($N21,Capa!$A:$AE,AZ$5,0)),0),IF(ISERROR(1/VLOOKUP($N21,Capa!$A:$AE,AZ$5,0)),0,1/VLOOKUP($N21,Capa!$A:$AE,AZ$5,0))))</f>
        <v/>
      </c>
      <c r="BA21" s="118" t="str">
        <f>IF(BA$6="","",IF(BA$3="Maior",IFERROR(IF(VLOOKUP($N21,Capa!$A:$AE,BA$5,0)="",0,VLOOKUP($N21,Capa!$A:$AE,BA$5,0)),0),IF(ISERROR(1/VLOOKUP($N21,Capa!$A:$AE,BA$5,0)),0,1/VLOOKUP($N21,Capa!$A:$AE,BA$5,0))))</f>
        <v/>
      </c>
      <c r="BB21" s="118" t="str">
        <f>IF(BB$6="","",IF(BB$3="Maior",IFERROR(IF(VLOOKUP($N21,Capa!$A:$AE,BB$5,0)="",0,VLOOKUP($N21,Capa!$A:$AE,BB$5,0)),0),IF(ISERROR(1/VLOOKUP($N21,Capa!$A:$AE,BB$5,0)),0,1/VLOOKUP($N21,Capa!$A:$AE,BB$5,0))))</f>
        <v/>
      </c>
      <c r="BC21" s="118" t="str">
        <f>IF(BC$6="","",IF(BC$3="Maior",IFERROR(IF(VLOOKUP($N21,Capa!$A:$AE,BC$5,0)="",0,VLOOKUP($N21,Capa!$A:$AE,BC$5,0)),0),IF(ISERROR(1/VLOOKUP($N21,Capa!$A:$AE,BC$5,0)),0,1/VLOOKUP($N21,Capa!$A:$AE,BC$5,0))))</f>
        <v/>
      </c>
      <c r="BD21" s="118" t="str">
        <f>IF(BD$6="","",IF(BD$3="Maior",IFERROR(IF(VLOOKUP($N21,Capa!$A:$AE,BD$5,0)="",0,VLOOKUP($N21,Capa!$A:$AE,BD$5,0)),0),IF(ISERROR(1/VLOOKUP($N21,Capa!$A:$AE,BD$5,0)),0,1/VLOOKUP($N21,Capa!$A:$AE,BD$5,0))))</f>
        <v/>
      </c>
      <c r="BE21" s="118" t="str">
        <f>IF(BE$6="","",IF(BE$3="Maior",IFERROR(IF(VLOOKUP($N21,Capa!$A:$AE,BE$5,0)="",0,VLOOKUP($N21,Capa!$A:$AE,BE$5,0)),0),IF(ISERROR(1/VLOOKUP($N21,Capa!$A:$AE,BE$5,0)),0,1/VLOOKUP($N21,Capa!$A:$AE,BE$5,0))))</f>
        <v/>
      </c>
      <c r="BF21" s="118" t="str">
        <f>IF(BF$6="","",IF(BF$3="Maior",IFERROR(IF(VLOOKUP($N21,Capa!$A:$AE,BF$5,0)="",0,VLOOKUP($N21,Capa!$A:$AE,BF$5,0)),0),IF(ISERROR(1/VLOOKUP($N21,Capa!$A:$AE,BF$5,0)),0,1/VLOOKUP($N21,Capa!$A:$AE,BF$5,0))))</f>
        <v/>
      </c>
      <c r="BG21" s="118" t="str">
        <f>IF(BG$6="","",IF(BG$3="Maior",IFERROR(IF(VLOOKUP($N21,Capa!$A:$AE,BG$5,0)="",0,VLOOKUP($N21,Capa!$A:$AE,BG$5,0)),0),IF(ISERROR(1/VLOOKUP($N21,Capa!$A:$AE,BG$5,0)),0,1/VLOOKUP($N21,Capa!$A:$AE,BG$5,0))))</f>
        <v/>
      </c>
      <c r="BH21" s="118" t="str">
        <f>IF(BH$6="","",IF(BH$3="Maior",IFERROR(IF(VLOOKUP($N21,Capa!$A:$AE,BH$5,0)="",0,VLOOKUP($N21,Capa!$A:$AE,BH$5,0)),0),IF(ISERROR(1/VLOOKUP($N21,Capa!$A:$AE,BH$5,0)),0,1/VLOOKUP($N21,Capa!$A:$AE,BH$5,0))))</f>
        <v/>
      </c>
      <c r="BI21" s="118" t="str">
        <f>IF(BI$6="","",IF(BI$3="Maior",IFERROR(IF(VLOOKUP($N21,Capa!$A:$AE,BI$5,0)="",0,VLOOKUP($N21,Capa!$A:$AE,BI$5,0)),0),IF(ISERROR(1/VLOOKUP($N21,Capa!$A:$AE,BI$5,0)),0,1/VLOOKUP($N21,Capa!$A:$AE,BI$5,0))))</f>
        <v/>
      </c>
      <c r="BJ21" s="118" t="str">
        <f>IF(BJ$6="","",IF(BJ$3="Maior",IFERROR(IF(VLOOKUP($N21,Capa!$A:$AE,BJ$5,0)="",0,VLOOKUP($N21,Capa!$A:$AE,BJ$5,0)),0),IF(ISERROR(1/VLOOKUP($N21,Capa!$A:$AE,BJ$5,0)),0,1/VLOOKUP($N21,Capa!$A:$AE,BJ$5,0))))</f>
        <v/>
      </c>
      <c r="BK21" s="118" t="str">
        <f>IF(BK$6="","",IF(BK$3="Maior",IFERROR(IF(VLOOKUP($N21,Capa!$A:$AE,BK$5,0)="",0,VLOOKUP($N21,Capa!$A:$AE,BK$5,0)),0),IF(ISERROR(1/VLOOKUP($N21,Capa!$A:$AE,BK$5,0)),0,1/VLOOKUP($N21,Capa!$A:$AE,BK$5,0))))</f>
        <v/>
      </c>
      <c r="BL21" s="118" t="str">
        <f>IF(BL$6="","",IF(BL$3="Maior",IFERROR(IF(VLOOKUP($N21,Capa!$A:$AE,BL$5,0)="",0,VLOOKUP($N21,Capa!$A:$AE,BL$5,0)),0),IF(ISERROR(1/VLOOKUP($N21,Capa!$A:$AE,BL$5,0)),0,1/VLOOKUP($N21,Capa!$A:$AE,BL$5,0))))</f>
        <v/>
      </c>
      <c r="BM21" s="118" t="str">
        <f>IF(BM$6="","",IF(BM$3="Maior",IFERROR(IF(VLOOKUP($N21,Capa!$A:$AE,BM$5,0)="",0,VLOOKUP($N21,Capa!$A:$AE,BM$5,0)),0),IF(ISERROR(1/VLOOKUP($N21,Capa!$A:$AE,BM$5,0)),0,1/VLOOKUP($N21,Capa!$A:$AE,BM$5,0))))</f>
        <v/>
      </c>
      <c r="BN21" s="118" t="str">
        <f>IF(BN$6="","",IF(BN$3="Maior",IFERROR(IF(VLOOKUP($N21,Capa!$A:$AE,BN$5,0)="",0,VLOOKUP($N21,Capa!$A:$AE,BN$5,0)),0),IF(ISERROR(1/VLOOKUP($N21,Capa!$A:$AE,BN$5,0)),0,1/VLOOKUP($N21,Capa!$A:$AE,BN$5,0))))</f>
        <v/>
      </c>
      <c r="BO21" s="92"/>
    </row>
    <row r="22">
      <c r="B22" s="123" t="str">
        <f t="shared" si="23"/>
        <v/>
      </c>
      <c r="C22" s="127" t="s">
        <v>31</v>
      </c>
      <c r="D22" s="119" t="b">
        <v>0</v>
      </c>
      <c r="E22" s="128" t="s">
        <v>564</v>
      </c>
      <c r="F22" s="119">
        <f>MATCH(C22,Capa!$6:$6,0)</f>
        <v>10</v>
      </c>
      <c r="G22" s="11"/>
      <c r="H22" s="8">
        <v>16.0</v>
      </c>
      <c r="I22" s="110" t="str">
        <f t="shared" si="6"/>
        <v>SLCE3</v>
      </c>
      <c r="J22" s="111" t="str">
        <f>VLOOKUP(left(I22,4),Setor!A:D,3,0)&amp;" | "&amp;VLOOKUP(left(I22,4),Setor!A:D,4,0)</f>
        <v>Consumo não Cíclico | Agropecuária</v>
      </c>
      <c r="K22" s="112">
        <f t="shared" si="7"/>
        <v>68049028.75</v>
      </c>
      <c r="L22" s="11"/>
      <c r="M22" s="11"/>
      <c r="N22" s="10" t="s">
        <v>68</v>
      </c>
      <c r="O22" s="113">
        <f t="shared" si="8"/>
        <v>460.0155</v>
      </c>
      <c r="P22" s="114">
        <f>VLOOKUP(N22,'Dados StatusInvest'!A:Z,26,0)</f>
        <v>468311693.5</v>
      </c>
      <c r="Q22" s="115">
        <f t="shared" si="9"/>
        <v>155.0155</v>
      </c>
      <c r="R22" s="116">
        <f t="shared" ref="R22:AO22" si="25">IF(AQ22="","", RANK(AQ22,AQ$7:AQ$503,0))</f>
        <v>114</v>
      </c>
      <c r="S22" s="115">
        <f t="shared" si="25"/>
        <v>191</v>
      </c>
      <c r="T22" s="115" t="str">
        <f t="shared" si="25"/>
        <v/>
      </c>
      <c r="U22" s="115" t="str">
        <f t="shared" si="25"/>
        <v/>
      </c>
      <c r="V22" s="115" t="str">
        <f t="shared" si="25"/>
        <v/>
      </c>
      <c r="W22" s="115" t="str">
        <f t="shared" si="25"/>
        <v/>
      </c>
      <c r="X22" s="115" t="str">
        <f t="shared" si="25"/>
        <v/>
      </c>
      <c r="Y22" s="115" t="str">
        <f t="shared" si="25"/>
        <v/>
      </c>
      <c r="Z22" s="115" t="str">
        <f t="shared" si="25"/>
        <v/>
      </c>
      <c r="AA22" s="115" t="str">
        <f t="shared" si="25"/>
        <v/>
      </c>
      <c r="AB22" s="115" t="str">
        <f t="shared" si="25"/>
        <v/>
      </c>
      <c r="AC22" s="115" t="str">
        <f t="shared" si="25"/>
        <v/>
      </c>
      <c r="AD22" s="115" t="str">
        <f t="shared" si="25"/>
        <v/>
      </c>
      <c r="AE22" s="115" t="str">
        <f t="shared" si="25"/>
        <v/>
      </c>
      <c r="AF22" s="115" t="str">
        <f t="shared" si="25"/>
        <v/>
      </c>
      <c r="AG22" s="115" t="str">
        <f t="shared" si="25"/>
        <v/>
      </c>
      <c r="AH22" s="115" t="str">
        <f t="shared" si="25"/>
        <v/>
      </c>
      <c r="AI22" s="115" t="str">
        <f t="shared" si="25"/>
        <v/>
      </c>
      <c r="AJ22" s="115" t="str">
        <f t="shared" si="25"/>
        <v/>
      </c>
      <c r="AK22" s="115" t="str">
        <f t="shared" si="25"/>
        <v/>
      </c>
      <c r="AL22" s="115" t="str">
        <f t="shared" si="25"/>
        <v/>
      </c>
      <c r="AM22" s="115" t="str">
        <f t="shared" si="25"/>
        <v/>
      </c>
      <c r="AN22" s="115" t="str">
        <f t="shared" si="25"/>
        <v/>
      </c>
      <c r="AO22" s="115" t="str">
        <f t="shared" si="25"/>
        <v/>
      </c>
      <c r="AP22" s="117">
        <f>IF(AP$6="","",IF(AP$3="Maior",IFERROR(IF(VLOOKUP($N22,Capa!$A:$AE,AP$5,0)="",0,VLOOKUP($N22,Capa!$A:$AE,AP$5,0)),0),IF(ISERROR(1/VLOOKUP($N22,Capa!$A:$AE,AP$5,0)),0,1/VLOOKUP($N22,Capa!$A:$AE,AP$5,0))))</f>
        <v>0.1282164348</v>
      </c>
      <c r="AQ22" s="118">
        <f>IF(AQ$6="","",IF(AQ$3="Maior",IFERROR(IF(VLOOKUP($N22,Capa!$A:$AE,AQ$5,0)="",0,VLOOKUP($N22,Capa!$A:$AE,AQ$5,0)),0),IF(ISERROR(1/VLOOKUP($N22,Capa!$A:$AE,AQ$5,0)),0,1/VLOOKUP($N22,Capa!$A:$AE,AQ$5,0))))</f>
        <v>16.23</v>
      </c>
      <c r="AR22" s="118">
        <f>IF(AR$6="","",IF(AR$3="Maior",IFERROR(IF(VLOOKUP($N22,Capa!$A:$AE,AR$5,0)="",0,VLOOKUP($N22,Capa!$A:$AE,AR$5,0)),0),IF(ISERROR(1/VLOOKUP($N22,Capa!$A:$AE,AR$5,0)),0,1/VLOOKUP($N22,Capa!$A:$AE,AR$5,0))))</f>
        <v>4.72</v>
      </c>
      <c r="AS22" s="118" t="str">
        <f>IF(AS$6="","",IF(AS$3="Maior",IFERROR(IF(VLOOKUP($N22,Capa!$A:$AE,AS$5,0)="",0,VLOOKUP($N22,Capa!$A:$AE,AS$5,0)),0),IF(ISERROR(1/VLOOKUP($N22,Capa!$A:$AE,AS$5,0)),0,1/VLOOKUP($N22,Capa!$A:$AE,AS$5,0))))</f>
        <v/>
      </c>
      <c r="AT22" s="118" t="str">
        <f>IF(AT$6="","",IF(AT$3="Maior",IFERROR(IF(VLOOKUP($N22,Capa!$A:$AE,AT$5,0)="",0,VLOOKUP($N22,Capa!$A:$AE,AT$5,0)),0),IF(ISERROR(1/VLOOKUP($N22,Capa!$A:$AE,AT$5,0)),0,1/VLOOKUP($N22,Capa!$A:$AE,AT$5,0))))</f>
        <v/>
      </c>
      <c r="AU22" s="118" t="str">
        <f>IF(AU$6="","",IF(AU$3="Maior",IFERROR(IF(VLOOKUP($N22,Capa!$A:$AE,AU$5,0)="",0,VLOOKUP($N22,Capa!$A:$AE,AU$5,0)),0),IF(ISERROR(1/VLOOKUP($N22,Capa!$A:$AE,AU$5,0)),0,1/VLOOKUP($N22,Capa!$A:$AE,AU$5,0))))</f>
        <v/>
      </c>
      <c r="AV22" s="118" t="str">
        <f>IF(AV$6="","",IF(AV$3="Maior",IFERROR(IF(VLOOKUP($N22,Capa!$A:$AE,AV$5,0)="",0,VLOOKUP($N22,Capa!$A:$AE,AV$5,0)),0),IF(ISERROR(1/VLOOKUP($N22,Capa!$A:$AE,AV$5,0)),0,1/VLOOKUP($N22,Capa!$A:$AE,AV$5,0))))</f>
        <v/>
      </c>
      <c r="AW22" s="118" t="str">
        <f>IF(AW$6="","",IF(AW$3="Maior",IFERROR(IF(VLOOKUP($N22,Capa!$A:$AE,AW$5,0)="",0,VLOOKUP($N22,Capa!$A:$AE,AW$5,0)),0),IF(ISERROR(1/VLOOKUP($N22,Capa!$A:$AE,AW$5,0)),0,1/VLOOKUP($N22,Capa!$A:$AE,AW$5,0))))</f>
        <v/>
      </c>
      <c r="AX22" s="118" t="str">
        <f>IF(AX$6="","",IF(AX$3="Maior",IFERROR(IF(VLOOKUP($N22,Capa!$A:$AE,AX$5,0)="",0,VLOOKUP($N22,Capa!$A:$AE,AX$5,0)),0),IF(ISERROR(1/VLOOKUP($N22,Capa!$A:$AE,AX$5,0)),0,1/VLOOKUP($N22,Capa!$A:$AE,AX$5,0))))</f>
        <v/>
      </c>
      <c r="AY22" s="118" t="str">
        <f>IF(AY$6="","",IF(AY$3="Maior",IFERROR(IF(VLOOKUP($N22,Capa!$A:$AE,AY$5,0)="",0,VLOOKUP($N22,Capa!$A:$AE,AY$5,0)),0),IF(ISERROR(1/VLOOKUP($N22,Capa!$A:$AE,AY$5,0)),0,1/VLOOKUP($N22,Capa!$A:$AE,AY$5,0))))</f>
        <v/>
      </c>
      <c r="AZ22" s="118" t="str">
        <f>IF(AZ$6="","",IF(AZ$3="Maior",IFERROR(IF(VLOOKUP($N22,Capa!$A:$AE,AZ$5,0)="",0,VLOOKUP($N22,Capa!$A:$AE,AZ$5,0)),0),IF(ISERROR(1/VLOOKUP($N22,Capa!$A:$AE,AZ$5,0)),0,1/VLOOKUP($N22,Capa!$A:$AE,AZ$5,0))))</f>
        <v/>
      </c>
      <c r="BA22" s="118" t="str">
        <f>IF(BA$6="","",IF(BA$3="Maior",IFERROR(IF(VLOOKUP($N22,Capa!$A:$AE,BA$5,0)="",0,VLOOKUP($N22,Capa!$A:$AE,BA$5,0)),0),IF(ISERROR(1/VLOOKUP($N22,Capa!$A:$AE,BA$5,0)),0,1/VLOOKUP($N22,Capa!$A:$AE,BA$5,0))))</f>
        <v/>
      </c>
      <c r="BB22" s="118" t="str">
        <f>IF(BB$6="","",IF(BB$3="Maior",IFERROR(IF(VLOOKUP($N22,Capa!$A:$AE,BB$5,0)="",0,VLOOKUP($N22,Capa!$A:$AE,BB$5,0)),0),IF(ISERROR(1/VLOOKUP($N22,Capa!$A:$AE,BB$5,0)),0,1/VLOOKUP($N22,Capa!$A:$AE,BB$5,0))))</f>
        <v/>
      </c>
      <c r="BC22" s="118" t="str">
        <f>IF(BC$6="","",IF(BC$3="Maior",IFERROR(IF(VLOOKUP($N22,Capa!$A:$AE,BC$5,0)="",0,VLOOKUP($N22,Capa!$A:$AE,BC$5,0)),0),IF(ISERROR(1/VLOOKUP($N22,Capa!$A:$AE,BC$5,0)),0,1/VLOOKUP($N22,Capa!$A:$AE,BC$5,0))))</f>
        <v/>
      </c>
      <c r="BD22" s="118" t="str">
        <f>IF(BD$6="","",IF(BD$3="Maior",IFERROR(IF(VLOOKUP($N22,Capa!$A:$AE,BD$5,0)="",0,VLOOKUP($N22,Capa!$A:$AE,BD$5,0)),0),IF(ISERROR(1/VLOOKUP($N22,Capa!$A:$AE,BD$5,0)),0,1/VLOOKUP($N22,Capa!$A:$AE,BD$5,0))))</f>
        <v/>
      </c>
      <c r="BE22" s="118" t="str">
        <f>IF(BE$6="","",IF(BE$3="Maior",IFERROR(IF(VLOOKUP($N22,Capa!$A:$AE,BE$5,0)="",0,VLOOKUP($N22,Capa!$A:$AE,BE$5,0)),0),IF(ISERROR(1/VLOOKUP($N22,Capa!$A:$AE,BE$5,0)),0,1/VLOOKUP($N22,Capa!$A:$AE,BE$5,0))))</f>
        <v/>
      </c>
      <c r="BF22" s="118" t="str">
        <f>IF(BF$6="","",IF(BF$3="Maior",IFERROR(IF(VLOOKUP($N22,Capa!$A:$AE,BF$5,0)="",0,VLOOKUP($N22,Capa!$A:$AE,BF$5,0)),0),IF(ISERROR(1/VLOOKUP($N22,Capa!$A:$AE,BF$5,0)),0,1/VLOOKUP($N22,Capa!$A:$AE,BF$5,0))))</f>
        <v/>
      </c>
      <c r="BG22" s="118" t="str">
        <f>IF(BG$6="","",IF(BG$3="Maior",IFERROR(IF(VLOOKUP($N22,Capa!$A:$AE,BG$5,0)="",0,VLOOKUP($N22,Capa!$A:$AE,BG$5,0)),0),IF(ISERROR(1/VLOOKUP($N22,Capa!$A:$AE,BG$5,0)),0,1/VLOOKUP($N22,Capa!$A:$AE,BG$5,0))))</f>
        <v/>
      </c>
      <c r="BH22" s="118" t="str">
        <f>IF(BH$6="","",IF(BH$3="Maior",IFERROR(IF(VLOOKUP($N22,Capa!$A:$AE,BH$5,0)="",0,VLOOKUP($N22,Capa!$A:$AE,BH$5,0)),0),IF(ISERROR(1/VLOOKUP($N22,Capa!$A:$AE,BH$5,0)),0,1/VLOOKUP($N22,Capa!$A:$AE,BH$5,0))))</f>
        <v/>
      </c>
      <c r="BI22" s="118" t="str">
        <f>IF(BI$6="","",IF(BI$3="Maior",IFERROR(IF(VLOOKUP($N22,Capa!$A:$AE,BI$5,0)="",0,VLOOKUP($N22,Capa!$A:$AE,BI$5,0)),0),IF(ISERROR(1/VLOOKUP($N22,Capa!$A:$AE,BI$5,0)),0,1/VLOOKUP($N22,Capa!$A:$AE,BI$5,0))))</f>
        <v/>
      </c>
      <c r="BJ22" s="118" t="str">
        <f>IF(BJ$6="","",IF(BJ$3="Maior",IFERROR(IF(VLOOKUP($N22,Capa!$A:$AE,BJ$5,0)="",0,VLOOKUP($N22,Capa!$A:$AE,BJ$5,0)),0),IF(ISERROR(1/VLOOKUP($N22,Capa!$A:$AE,BJ$5,0)),0,1/VLOOKUP($N22,Capa!$A:$AE,BJ$5,0))))</f>
        <v/>
      </c>
      <c r="BK22" s="118" t="str">
        <f>IF(BK$6="","",IF(BK$3="Maior",IFERROR(IF(VLOOKUP($N22,Capa!$A:$AE,BK$5,0)="",0,VLOOKUP($N22,Capa!$A:$AE,BK$5,0)),0),IF(ISERROR(1/VLOOKUP($N22,Capa!$A:$AE,BK$5,0)),0,1/VLOOKUP($N22,Capa!$A:$AE,BK$5,0))))</f>
        <v/>
      </c>
      <c r="BL22" s="118" t="str">
        <f>IF(BL$6="","",IF(BL$3="Maior",IFERROR(IF(VLOOKUP($N22,Capa!$A:$AE,BL$5,0)="",0,VLOOKUP($N22,Capa!$A:$AE,BL$5,0)),0),IF(ISERROR(1/VLOOKUP($N22,Capa!$A:$AE,BL$5,0)),0,1/VLOOKUP($N22,Capa!$A:$AE,BL$5,0))))</f>
        <v/>
      </c>
      <c r="BM22" s="118" t="str">
        <f>IF(BM$6="","",IF(BM$3="Maior",IFERROR(IF(VLOOKUP($N22,Capa!$A:$AE,BM$5,0)="",0,VLOOKUP($N22,Capa!$A:$AE,BM$5,0)),0),IF(ISERROR(1/VLOOKUP($N22,Capa!$A:$AE,BM$5,0)),0,1/VLOOKUP($N22,Capa!$A:$AE,BM$5,0))))</f>
        <v/>
      </c>
      <c r="BN22" s="118" t="str">
        <f>IF(BN$6="","",IF(BN$3="Maior",IFERROR(IF(VLOOKUP($N22,Capa!$A:$AE,BN$5,0)="",0,VLOOKUP($N22,Capa!$A:$AE,BN$5,0)),0),IF(ISERROR(1/VLOOKUP($N22,Capa!$A:$AE,BN$5,0)),0,1/VLOOKUP($N22,Capa!$A:$AE,BN$5,0))))</f>
        <v/>
      </c>
      <c r="BO22" s="92"/>
    </row>
    <row r="23">
      <c r="B23" s="123" t="str">
        <f t="shared" si="23"/>
        <v/>
      </c>
      <c r="C23" s="127" t="s">
        <v>32</v>
      </c>
      <c r="D23" s="119" t="b">
        <v>0</v>
      </c>
      <c r="E23" s="128" t="s">
        <v>564</v>
      </c>
      <c r="F23" s="119">
        <f>MATCH(C23,Capa!$6:$6,0)</f>
        <v>11</v>
      </c>
      <c r="G23" s="11"/>
      <c r="H23" s="8">
        <v>17.0</v>
      </c>
      <c r="I23" s="110" t="str">
        <f t="shared" si="6"/>
        <v>USIM5</v>
      </c>
      <c r="J23" s="111" t="str">
        <f>VLOOKUP(left(I23,4),Setor!A:D,3,0)&amp;" | "&amp;VLOOKUP(left(I23,4),Setor!A:D,4,0)</f>
        <v>Materiais Básicos | Siderurgia e Metalurgia</v>
      </c>
      <c r="K23" s="112">
        <f t="shared" si="7"/>
        <v>448129857.4</v>
      </c>
      <c r="L23" s="11"/>
      <c r="M23" s="11"/>
      <c r="N23" s="10" t="s">
        <v>69</v>
      </c>
      <c r="O23" s="113">
        <f t="shared" si="8"/>
        <v>548.0265</v>
      </c>
      <c r="P23" s="114">
        <f>VLOOKUP(N23,'Dados StatusInvest'!A:Z,26,0)</f>
        <v>325922620</v>
      </c>
      <c r="Q23" s="115">
        <f t="shared" si="9"/>
        <v>265.0265</v>
      </c>
      <c r="R23" s="116">
        <f t="shared" ref="R23:AO23" si="26">IF(AQ23="","", RANK(AQ23,AQ$7:AQ$503,0))</f>
        <v>277</v>
      </c>
      <c r="S23" s="115">
        <f t="shared" si="26"/>
        <v>6</v>
      </c>
      <c r="T23" s="115" t="str">
        <f t="shared" si="26"/>
        <v/>
      </c>
      <c r="U23" s="115" t="str">
        <f t="shared" si="26"/>
        <v/>
      </c>
      <c r="V23" s="115" t="str">
        <f t="shared" si="26"/>
        <v/>
      </c>
      <c r="W23" s="115" t="str">
        <f t="shared" si="26"/>
        <v/>
      </c>
      <c r="X23" s="115" t="str">
        <f t="shared" si="26"/>
        <v/>
      </c>
      <c r="Y23" s="115" t="str">
        <f t="shared" si="26"/>
        <v/>
      </c>
      <c r="Z23" s="115" t="str">
        <f t="shared" si="26"/>
        <v/>
      </c>
      <c r="AA23" s="115" t="str">
        <f t="shared" si="26"/>
        <v/>
      </c>
      <c r="AB23" s="115" t="str">
        <f t="shared" si="26"/>
        <v/>
      </c>
      <c r="AC23" s="115" t="str">
        <f t="shared" si="26"/>
        <v/>
      </c>
      <c r="AD23" s="115" t="str">
        <f t="shared" si="26"/>
        <v/>
      </c>
      <c r="AE23" s="115" t="str">
        <f t="shared" si="26"/>
        <v/>
      </c>
      <c r="AF23" s="115" t="str">
        <f t="shared" si="26"/>
        <v/>
      </c>
      <c r="AG23" s="115" t="str">
        <f t="shared" si="26"/>
        <v/>
      </c>
      <c r="AH23" s="115" t="str">
        <f t="shared" si="26"/>
        <v/>
      </c>
      <c r="AI23" s="115" t="str">
        <f t="shared" si="26"/>
        <v/>
      </c>
      <c r="AJ23" s="115" t="str">
        <f t="shared" si="26"/>
        <v/>
      </c>
      <c r="AK23" s="115" t="str">
        <f t="shared" si="26"/>
        <v/>
      </c>
      <c r="AL23" s="115" t="str">
        <f t="shared" si="26"/>
        <v/>
      </c>
      <c r="AM23" s="115" t="str">
        <f t="shared" si="26"/>
        <v/>
      </c>
      <c r="AN23" s="115" t="str">
        <f t="shared" si="26"/>
        <v/>
      </c>
      <c r="AO23" s="115" t="str">
        <f t="shared" si="26"/>
        <v/>
      </c>
      <c r="AP23" s="117">
        <f>IF(AP$6="","",IF(AP$3="Maior",IFERROR(IF(VLOOKUP($N23,Capa!$A:$AE,AP$5,0)="",0,VLOOKUP($N23,Capa!$A:$AE,AP$5,0)),0),IF(ISERROR(1/VLOOKUP($N23,Capa!$A:$AE,AP$5,0)),0,1/VLOOKUP($N23,Capa!$A:$AE,AP$5,0))))</f>
        <v>0.072733232</v>
      </c>
      <c r="AQ23" s="118">
        <f>IF(AQ$6="","",IF(AQ$3="Maior",IFERROR(IF(VLOOKUP($N23,Capa!$A:$AE,AQ$5,0)="",0,VLOOKUP($N23,Capa!$A:$AE,AQ$5,0)),0),IF(ISERROR(1/VLOOKUP($N23,Capa!$A:$AE,AQ$5,0)),0,1/VLOOKUP($N23,Capa!$A:$AE,AQ$5,0))))</f>
        <v>6.32</v>
      </c>
      <c r="AR23" s="118">
        <f>IF(AR$6="","",IF(AR$3="Maior",IFERROR(IF(VLOOKUP($N23,Capa!$A:$AE,AR$5,0)="",0,VLOOKUP($N23,Capa!$A:$AE,AR$5,0)),0),IF(ISERROR(1/VLOOKUP($N23,Capa!$A:$AE,AR$5,0)),0,1/VLOOKUP($N23,Capa!$A:$AE,AR$5,0))))</f>
        <v>145.09</v>
      </c>
      <c r="AS23" s="118" t="str">
        <f>IF(AS$6="","",IF(AS$3="Maior",IFERROR(IF(VLOOKUP($N23,Capa!$A:$AE,AS$5,0)="",0,VLOOKUP($N23,Capa!$A:$AE,AS$5,0)),0),IF(ISERROR(1/VLOOKUP($N23,Capa!$A:$AE,AS$5,0)),0,1/VLOOKUP($N23,Capa!$A:$AE,AS$5,0))))</f>
        <v/>
      </c>
      <c r="AT23" s="118" t="str">
        <f>IF(AT$6="","",IF(AT$3="Maior",IFERROR(IF(VLOOKUP($N23,Capa!$A:$AE,AT$5,0)="",0,VLOOKUP($N23,Capa!$A:$AE,AT$5,0)),0),IF(ISERROR(1/VLOOKUP($N23,Capa!$A:$AE,AT$5,0)),0,1/VLOOKUP($N23,Capa!$A:$AE,AT$5,0))))</f>
        <v/>
      </c>
      <c r="AU23" s="118" t="str">
        <f>IF(AU$6="","",IF(AU$3="Maior",IFERROR(IF(VLOOKUP($N23,Capa!$A:$AE,AU$5,0)="",0,VLOOKUP($N23,Capa!$A:$AE,AU$5,0)),0),IF(ISERROR(1/VLOOKUP($N23,Capa!$A:$AE,AU$5,0)),0,1/VLOOKUP($N23,Capa!$A:$AE,AU$5,0))))</f>
        <v/>
      </c>
      <c r="AV23" s="118" t="str">
        <f>IF(AV$6="","",IF(AV$3="Maior",IFERROR(IF(VLOOKUP($N23,Capa!$A:$AE,AV$5,0)="",0,VLOOKUP($N23,Capa!$A:$AE,AV$5,0)),0),IF(ISERROR(1/VLOOKUP($N23,Capa!$A:$AE,AV$5,0)),0,1/VLOOKUP($N23,Capa!$A:$AE,AV$5,0))))</f>
        <v/>
      </c>
      <c r="AW23" s="118" t="str">
        <f>IF(AW$6="","",IF(AW$3="Maior",IFERROR(IF(VLOOKUP($N23,Capa!$A:$AE,AW$5,0)="",0,VLOOKUP($N23,Capa!$A:$AE,AW$5,0)),0),IF(ISERROR(1/VLOOKUP($N23,Capa!$A:$AE,AW$5,0)),0,1/VLOOKUP($N23,Capa!$A:$AE,AW$5,0))))</f>
        <v/>
      </c>
      <c r="AX23" s="118" t="str">
        <f>IF(AX$6="","",IF(AX$3="Maior",IFERROR(IF(VLOOKUP($N23,Capa!$A:$AE,AX$5,0)="",0,VLOOKUP($N23,Capa!$A:$AE,AX$5,0)),0),IF(ISERROR(1/VLOOKUP($N23,Capa!$A:$AE,AX$5,0)),0,1/VLOOKUP($N23,Capa!$A:$AE,AX$5,0))))</f>
        <v/>
      </c>
      <c r="AY23" s="118" t="str">
        <f>IF(AY$6="","",IF(AY$3="Maior",IFERROR(IF(VLOOKUP($N23,Capa!$A:$AE,AY$5,0)="",0,VLOOKUP($N23,Capa!$A:$AE,AY$5,0)),0),IF(ISERROR(1/VLOOKUP($N23,Capa!$A:$AE,AY$5,0)),0,1/VLOOKUP($N23,Capa!$A:$AE,AY$5,0))))</f>
        <v/>
      </c>
      <c r="AZ23" s="118" t="str">
        <f>IF(AZ$6="","",IF(AZ$3="Maior",IFERROR(IF(VLOOKUP($N23,Capa!$A:$AE,AZ$5,0)="",0,VLOOKUP($N23,Capa!$A:$AE,AZ$5,0)),0),IF(ISERROR(1/VLOOKUP($N23,Capa!$A:$AE,AZ$5,0)),0,1/VLOOKUP($N23,Capa!$A:$AE,AZ$5,0))))</f>
        <v/>
      </c>
      <c r="BA23" s="118" t="str">
        <f>IF(BA$6="","",IF(BA$3="Maior",IFERROR(IF(VLOOKUP($N23,Capa!$A:$AE,BA$5,0)="",0,VLOOKUP($N23,Capa!$A:$AE,BA$5,0)),0),IF(ISERROR(1/VLOOKUP($N23,Capa!$A:$AE,BA$5,0)),0,1/VLOOKUP($N23,Capa!$A:$AE,BA$5,0))))</f>
        <v/>
      </c>
      <c r="BB23" s="118" t="str">
        <f>IF(BB$6="","",IF(BB$3="Maior",IFERROR(IF(VLOOKUP($N23,Capa!$A:$AE,BB$5,0)="",0,VLOOKUP($N23,Capa!$A:$AE,BB$5,0)),0),IF(ISERROR(1/VLOOKUP($N23,Capa!$A:$AE,BB$5,0)),0,1/VLOOKUP($N23,Capa!$A:$AE,BB$5,0))))</f>
        <v/>
      </c>
      <c r="BC23" s="118" t="str">
        <f>IF(BC$6="","",IF(BC$3="Maior",IFERROR(IF(VLOOKUP($N23,Capa!$A:$AE,BC$5,0)="",0,VLOOKUP($N23,Capa!$A:$AE,BC$5,0)),0),IF(ISERROR(1/VLOOKUP($N23,Capa!$A:$AE,BC$5,0)),0,1/VLOOKUP($N23,Capa!$A:$AE,BC$5,0))))</f>
        <v/>
      </c>
      <c r="BD23" s="118" t="str">
        <f>IF(BD$6="","",IF(BD$3="Maior",IFERROR(IF(VLOOKUP($N23,Capa!$A:$AE,BD$5,0)="",0,VLOOKUP($N23,Capa!$A:$AE,BD$5,0)),0),IF(ISERROR(1/VLOOKUP($N23,Capa!$A:$AE,BD$5,0)),0,1/VLOOKUP($N23,Capa!$A:$AE,BD$5,0))))</f>
        <v/>
      </c>
      <c r="BE23" s="118" t="str">
        <f>IF(BE$6="","",IF(BE$3="Maior",IFERROR(IF(VLOOKUP($N23,Capa!$A:$AE,BE$5,0)="",0,VLOOKUP($N23,Capa!$A:$AE,BE$5,0)),0),IF(ISERROR(1/VLOOKUP($N23,Capa!$A:$AE,BE$5,0)),0,1/VLOOKUP($N23,Capa!$A:$AE,BE$5,0))))</f>
        <v/>
      </c>
      <c r="BF23" s="118" t="str">
        <f>IF(BF$6="","",IF(BF$3="Maior",IFERROR(IF(VLOOKUP($N23,Capa!$A:$AE,BF$5,0)="",0,VLOOKUP($N23,Capa!$A:$AE,BF$5,0)),0),IF(ISERROR(1/VLOOKUP($N23,Capa!$A:$AE,BF$5,0)),0,1/VLOOKUP($N23,Capa!$A:$AE,BF$5,0))))</f>
        <v/>
      </c>
      <c r="BG23" s="118" t="str">
        <f>IF(BG$6="","",IF(BG$3="Maior",IFERROR(IF(VLOOKUP($N23,Capa!$A:$AE,BG$5,0)="",0,VLOOKUP($N23,Capa!$A:$AE,BG$5,0)),0),IF(ISERROR(1/VLOOKUP($N23,Capa!$A:$AE,BG$5,0)),0,1/VLOOKUP($N23,Capa!$A:$AE,BG$5,0))))</f>
        <v/>
      </c>
      <c r="BH23" s="118" t="str">
        <f>IF(BH$6="","",IF(BH$3="Maior",IFERROR(IF(VLOOKUP($N23,Capa!$A:$AE,BH$5,0)="",0,VLOOKUP($N23,Capa!$A:$AE,BH$5,0)),0),IF(ISERROR(1/VLOOKUP($N23,Capa!$A:$AE,BH$5,0)),0,1/VLOOKUP($N23,Capa!$A:$AE,BH$5,0))))</f>
        <v/>
      </c>
      <c r="BI23" s="118" t="str">
        <f>IF(BI$6="","",IF(BI$3="Maior",IFERROR(IF(VLOOKUP($N23,Capa!$A:$AE,BI$5,0)="",0,VLOOKUP($N23,Capa!$A:$AE,BI$5,0)),0),IF(ISERROR(1/VLOOKUP($N23,Capa!$A:$AE,BI$5,0)),0,1/VLOOKUP($N23,Capa!$A:$AE,BI$5,0))))</f>
        <v/>
      </c>
      <c r="BJ23" s="118" t="str">
        <f>IF(BJ$6="","",IF(BJ$3="Maior",IFERROR(IF(VLOOKUP($N23,Capa!$A:$AE,BJ$5,0)="",0,VLOOKUP($N23,Capa!$A:$AE,BJ$5,0)),0),IF(ISERROR(1/VLOOKUP($N23,Capa!$A:$AE,BJ$5,0)),0,1/VLOOKUP($N23,Capa!$A:$AE,BJ$5,0))))</f>
        <v/>
      </c>
      <c r="BK23" s="118" t="str">
        <f>IF(BK$6="","",IF(BK$3="Maior",IFERROR(IF(VLOOKUP($N23,Capa!$A:$AE,BK$5,0)="",0,VLOOKUP($N23,Capa!$A:$AE,BK$5,0)),0),IF(ISERROR(1/VLOOKUP($N23,Capa!$A:$AE,BK$5,0)),0,1/VLOOKUP($N23,Capa!$A:$AE,BK$5,0))))</f>
        <v/>
      </c>
      <c r="BL23" s="118" t="str">
        <f>IF(BL$6="","",IF(BL$3="Maior",IFERROR(IF(VLOOKUP($N23,Capa!$A:$AE,BL$5,0)="",0,VLOOKUP($N23,Capa!$A:$AE,BL$5,0)),0),IF(ISERROR(1/VLOOKUP($N23,Capa!$A:$AE,BL$5,0)),0,1/VLOOKUP($N23,Capa!$A:$AE,BL$5,0))))</f>
        <v/>
      </c>
      <c r="BM23" s="118" t="str">
        <f>IF(BM$6="","",IF(BM$3="Maior",IFERROR(IF(VLOOKUP($N23,Capa!$A:$AE,BM$5,0)="",0,VLOOKUP($N23,Capa!$A:$AE,BM$5,0)),0),IF(ISERROR(1/VLOOKUP($N23,Capa!$A:$AE,BM$5,0)),0,1/VLOOKUP($N23,Capa!$A:$AE,BM$5,0))))</f>
        <v/>
      </c>
      <c r="BN23" s="118" t="str">
        <f>IF(BN$6="","",IF(BN$3="Maior",IFERROR(IF(VLOOKUP($N23,Capa!$A:$AE,BN$5,0)="",0,VLOOKUP($N23,Capa!$A:$AE,BN$5,0)),0),IF(ISERROR(1/VLOOKUP($N23,Capa!$A:$AE,BN$5,0)),0,1/VLOOKUP($N23,Capa!$A:$AE,BN$5,0))))</f>
        <v/>
      </c>
      <c r="BO23" s="92"/>
    </row>
    <row r="24">
      <c r="B24" s="123" t="str">
        <f t="shared" si="23"/>
        <v/>
      </c>
      <c r="C24" s="127" t="s">
        <v>33</v>
      </c>
      <c r="D24" s="119" t="b">
        <v>0</v>
      </c>
      <c r="E24" s="128" t="s">
        <v>565</v>
      </c>
      <c r="F24" s="119">
        <f>MATCH(C24,Capa!$6:$6,0)</f>
        <v>12</v>
      </c>
      <c r="G24" s="11"/>
      <c r="H24" s="8">
        <v>18.0</v>
      </c>
      <c r="I24" s="110" t="str">
        <f t="shared" si="6"/>
        <v>TASA4</v>
      </c>
      <c r="J24" s="111" t="str">
        <f>VLOOKUP(left(I24,4),Setor!A:D,3,0)&amp;" | "&amp;VLOOKUP(left(I24,4),Setor!A:D,4,0)</f>
        <v>Bens Industriais | Máquinas e Equipamentos</v>
      </c>
      <c r="K24" s="112">
        <f t="shared" si="7"/>
        <v>32066558.58</v>
      </c>
      <c r="L24" s="11"/>
      <c r="M24" s="11"/>
      <c r="N24" s="10" t="s">
        <v>70</v>
      </c>
      <c r="O24" s="113">
        <f t="shared" si="8"/>
        <v>743.0314</v>
      </c>
      <c r="P24" s="114">
        <f>VLOOKUP(N24,'Dados StatusInvest'!A:Z,26,0)</f>
        <v>304905653.4</v>
      </c>
      <c r="Q24" s="115">
        <f t="shared" si="9"/>
        <v>314.0314</v>
      </c>
      <c r="R24" s="116">
        <f t="shared" ref="R24:AO24" si="27">IF(AQ24="","", RANK(AQ24,AQ$7:AQ$503,0))</f>
        <v>375</v>
      </c>
      <c r="S24" s="115">
        <f t="shared" si="27"/>
        <v>54</v>
      </c>
      <c r="T24" s="115" t="str">
        <f t="shared" si="27"/>
        <v/>
      </c>
      <c r="U24" s="115" t="str">
        <f t="shared" si="27"/>
        <v/>
      </c>
      <c r="V24" s="115" t="str">
        <f t="shared" si="27"/>
        <v/>
      </c>
      <c r="W24" s="115" t="str">
        <f t="shared" si="27"/>
        <v/>
      </c>
      <c r="X24" s="115" t="str">
        <f t="shared" si="27"/>
        <v/>
      </c>
      <c r="Y24" s="115" t="str">
        <f t="shared" si="27"/>
        <v/>
      </c>
      <c r="Z24" s="115" t="str">
        <f t="shared" si="27"/>
        <v/>
      </c>
      <c r="AA24" s="115" t="str">
        <f t="shared" si="27"/>
        <v/>
      </c>
      <c r="AB24" s="115" t="str">
        <f t="shared" si="27"/>
        <v/>
      </c>
      <c r="AC24" s="115" t="str">
        <f t="shared" si="27"/>
        <v/>
      </c>
      <c r="AD24" s="115" t="str">
        <f t="shared" si="27"/>
        <v/>
      </c>
      <c r="AE24" s="115" t="str">
        <f t="shared" si="27"/>
        <v/>
      </c>
      <c r="AF24" s="115" t="str">
        <f t="shared" si="27"/>
        <v/>
      </c>
      <c r="AG24" s="115" t="str">
        <f t="shared" si="27"/>
        <v/>
      </c>
      <c r="AH24" s="115" t="str">
        <f t="shared" si="27"/>
        <v/>
      </c>
      <c r="AI24" s="115" t="str">
        <f t="shared" si="27"/>
        <v/>
      </c>
      <c r="AJ24" s="115" t="str">
        <f t="shared" si="27"/>
        <v/>
      </c>
      <c r="AK24" s="115" t="str">
        <f t="shared" si="27"/>
        <v/>
      </c>
      <c r="AL24" s="115" t="str">
        <f t="shared" si="27"/>
        <v/>
      </c>
      <c r="AM24" s="115" t="str">
        <f t="shared" si="27"/>
        <v/>
      </c>
      <c r="AN24" s="115" t="str">
        <f t="shared" si="27"/>
        <v/>
      </c>
      <c r="AO24" s="115" t="str">
        <f t="shared" si="27"/>
        <v/>
      </c>
      <c r="AP24" s="117">
        <f>IF(AP$6="","",IF(AP$3="Maior",IFERROR(IF(VLOOKUP($N24,Capa!$A:$AE,AP$5,0)="",0,VLOOKUP($N24,Capa!$A:$AE,AP$5,0)),0),IF(ISERROR(1/VLOOKUP($N24,Capa!$A:$AE,AP$5,0)),0,1/VLOOKUP($N24,Capa!$A:$AE,AP$5,0))))</f>
        <v>0.04752980798</v>
      </c>
      <c r="AQ24" s="118">
        <f>IF(AQ$6="","",IF(AQ$3="Maior",IFERROR(IF(VLOOKUP($N24,Capa!$A:$AE,AQ$5,0)="",0,VLOOKUP($N24,Capa!$A:$AE,AQ$5,0)),0),IF(ISERROR(1/VLOOKUP($N24,Capa!$A:$AE,AQ$5,0)),0,1/VLOOKUP($N24,Capa!$A:$AE,AQ$5,0))))</f>
        <v>0</v>
      </c>
      <c r="AR24" s="118">
        <f>IF(AR$6="","",IF(AR$3="Maior",IFERROR(IF(VLOOKUP($N24,Capa!$A:$AE,AR$5,0)="",0,VLOOKUP($N24,Capa!$A:$AE,AR$5,0)),0),IF(ISERROR(1/VLOOKUP($N24,Capa!$A:$AE,AR$5,0)),0,1/VLOOKUP($N24,Capa!$A:$AE,AR$5,0))))</f>
        <v>45.84</v>
      </c>
      <c r="AS24" s="118" t="str">
        <f>IF(AS$6="","",IF(AS$3="Maior",IFERROR(IF(VLOOKUP($N24,Capa!$A:$AE,AS$5,0)="",0,VLOOKUP($N24,Capa!$A:$AE,AS$5,0)),0),IF(ISERROR(1/VLOOKUP($N24,Capa!$A:$AE,AS$5,0)),0,1/VLOOKUP($N24,Capa!$A:$AE,AS$5,0))))</f>
        <v/>
      </c>
      <c r="AT24" s="118" t="str">
        <f>IF(AT$6="","",IF(AT$3="Maior",IFERROR(IF(VLOOKUP($N24,Capa!$A:$AE,AT$5,0)="",0,VLOOKUP($N24,Capa!$A:$AE,AT$5,0)),0),IF(ISERROR(1/VLOOKUP($N24,Capa!$A:$AE,AT$5,0)),0,1/VLOOKUP($N24,Capa!$A:$AE,AT$5,0))))</f>
        <v/>
      </c>
      <c r="AU24" s="118" t="str">
        <f>IF(AU$6="","",IF(AU$3="Maior",IFERROR(IF(VLOOKUP($N24,Capa!$A:$AE,AU$5,0)="",0,VLOOKUP($N24,Capa!$A:$AE,AU$5,0)),0),IF(ISERROR(1/VLOOKUP($N24,Capa!$A:$AE,AU$5,0)),0,1/VLOOKUP($N24,Capa!$A:$AE,AU$5,0))))</f>
        <v/>
      </c>
      <c r="AV24" s="118" t="str">
        <f>IF(AV$6="","",IF(AV$3="Maior",IFERROR(IF(VLOOKUP($N24,Capa!$A:$AE,AV$5,0)="",0,VLOOKUP($N24,Capa!$A:$AE,AV$5,0)),0),IF(ISERROR(1/VLOOKUP($N24,Capa!$A:$AE,AV$5,0)),0,1/VLOOKUP($N24,Capa!$A:$AE,AV$5,0))))</f>
        <v/>
      </c>
      <c r="AW24" s="118" t="str">
        <f>IF(AW$6="","",IF(AW$3="Maior",IFERROR(IF(VLOOKUP($N24,Capa!$A:$AE,AW$5,0)="",0,VLOOKUP($N24,Capa!$A:$AE,AW$5,0)),0),IF(ISERROR(1/VLOOKUP($N24,Capa!$A:$AE,AW$5,0)),0,1/VLOOKUP($N24,Capa!$A:$AE,AW$5,0))))</f>
        <v/>
      </c>
      <c r="AX24" s="118" t="str">
        <f>IF(AX$6="","",IF(AX$3="Maior",IFERROR(IF(VLOOKUP($N24,Capa!$A:$AE,AX$5,0)="",0,VLOOKUP($N24,Capa!$A:$AE,AX$5,0)),0),IF(ISERROR(1/VLOOKUP($N24,Capa!$A:$AE,AX$5,0)),0,1/VLOOKUP($N24,Capa!$A:$AE,AX$5,0))))</f>
        <v/>
      </c>
      <c r="AY24" s="118" t="str">
        <f>IF(AY$6="","",IF(AY$3="Maior",IFERROR(IF(VLOOKUP($N24,Capa!$A:$AE,AY$5,0)="",0,VLOOKUP($N24,Capa!$A:$AE,AY$5,0)),0),IF(ISERROR(1/VLOOKUP($N24,Capa!$A:$AE,AY$5,0)),0,1/VLOOKUP($N24,Capa!$A:$AE,AY$5,0))))</f>
        <v/>
      </c>
      <c r="AZ24" s="118" t="str">
        <f>IF(AZ$6="","",IF(AZ$3="Maior",IFERROR(IF(VLOOKUP($N24,Capa!$A:$AE,AZ$5,0)="",0,VLOOKUP($N24,Capa!$A:$AE,AZ$5,0)),0),IF(ISERROR(1/VLOOKUP($N24,Capa!$A:$AE,AZ$5,0)),0,1/VLOOKUP($N24,Capa!$A:$AE,AZ$5,0))))</f>
        <v/>
      </c>
      <c r="BA24" s="118" t="str">
        <f>IF(BA$6="","",IF(BA$3="Maior",IFERROR(IF(VLOOKUP($N24,Capa!$A:$AE,BA$5,0)="",0,VLOOKUP($N24,Capa!$A:$AE,BA$5,0)),0),IF(ISERROR(1/VLOOKUP($N24,Capa!$A:$AE,BA$5,0)),0,1/VLOOKUP($N24,Capa!$A:$AE,BA$5,0))))</f>
        <v/>
      </c>
      <c r="BB24" s="118" t="str">
        <f>IF(BB$6="","",IF(BB$3="Maior",IFERROR(IF(VLOOKUP($N24,Capa!$A:$AE,BB$5,0)="",0,VLOOKUP($N24,Capa!$A:$AE,BB$5,0)),0),IF(ISERROR(1/VLOOKUP($N24,Capa!$A:$AE,BB$5,0)),0,1/VLOOKUP($N24,Capa!$A:$AE,BB$5,0))))</f>
        <v/>
      </c>
      <c r="BC24" s="118" t="str">
        <f>IF(BC$6="","",IF(BC$3="Maior",IFERROR(IF(VLOOKUP($N24,Capa!$A:$AE,BC$5,0)="",0,VLOOKUP($N24,Capa!$A:$AE,BC$5,0)),0),IF(ISERROR(1/VLOOKUP($N24,Capa!$A:$AE,BC$5,0)),0,1/VLOOKUP($N24,Capa!$A:$AE,BC$5,0))))</f>
        <v/>
      </c>
      <c r="BD24" s="118" t="str">
        <f>IF(BD$6="","",IF(BD$3="Maior",IFERROR(IF(VLOOKUP($N24,Capa!$A:$AE,BD$5,0)="",0,VLOOKUP($N24,Capa!$A:$AE,BD$5,0)),0),IF(ISERROR(1/VLOOKUP($N24,Capa!$A:$AE,BD$5,0)),0,1/VLOOKUP($N24,Capa!$A:$AE,BD$5,0))))</f>
        <v/>
      </c>
      <c r="BE24" s="118" t="str">
        <f>IF(BE$6="","",IF(BE$3="Maior",IFERROR(IF(VLOOKUP($N24,Capa!$A:$AE,BE$5,0)="",0,VLOOKUP($N24,Capa!$A:$AE,BE$5,0)),0),IF(ISERROR(1/VLOOKUP($N24,Capa!$A:$AE,BE$5,0)),0,1/VLOOKUP($N24,Capa!$A:$AE,BE$5,0))))</f>
        <v/>
      </c>
      <c r="BF24" s="118" t="str">
        <f>IF(BF$6="","",IF(BF$3="Maior",IFERROR(IF(VLOOKUP($N24,Capa!$A:$AE,BF$5,0)="",0,VLOOKUP($N24,Capa!$A:$AE,BF$5,0)),0),IF(ISERROR(1/VLOOKUP($N24,Capa!$A:$AE,BF$5,0)),0,1/VLOOKUP($N24,Capa!$A:$AE,BF$5,0))))</f>
        <v/>
      </c>
      <c r="BG24" s="118" t="str">
        <f>IF(BG$6="","",IF(BG$3="Maior",IFERROR(IF(VLOOKUP($N24,Capa!$A:$AE,BG$5,0)="",0,VLOOKUP($N24,Capa!$A:$AE,BG$5,0)),0),IF(ISERROR(1/VLOOKUP($N24,Capa!$A:$AE,BG$5,0)),0,1/VLOOKUP($N24,Capa!$A:$AE,BG$5,0))))</f>
        <v/>
      </c>
      <c r="BH24" s="118" t="str">
        <f>IF(BH$6="","",IF(BH$3="Maior",IFERROR(IF(VLOOKUP($N24,Capa!$A:$AE,BH$5,0)="",0,VLOOKUP($N24,Capa!$A:$AE,BH$5,0)),0),IF(ISERROR(1/VLOOKUP($N24,Capa!$A:$AE,BH$5,0)),0,1/VLOOKUP($N24,Capa!$A:$AE,BH$5,0))))</f>
        <v/>
      </c>
      <c r="BI24" s="118" t="str">
        <f>IF(BI$6="","",IF(BI$3="Maior",IFERROR(IF(VLOOKUP($N24,Capa!$A:$AE,BI$5,0)="",0,VLOOKUP($N24,Capa!$A:$AE,BI$5,0)),0),IF(ISERROR(1/VLOOKUP($N24,Capa!$A:$AE,BI$5,0)),0,1/VLOOKUP($N24,Capa!$A:$AE,BI$5,0))))</f>
        <v/>
      </c>
      <c r="BJ24" s="118" t="str">
        <f>IF(BJ$6="","",IF(BJ$3="Maior",IFERROR(IF(VLOOKUP($N24,Capa!$A:$AE,BJ$5,0)="",0,VLOOKUP($N24,Capa!$A:$AE,BJ$5,0)),0),IF(ISERROR(1/VLOOKUP($N24,Capa!$A:$AE,BJ$5,0)),0,1/VLOOKUP($N24,Capa!$A:$AE,BJ$5,0))))</f>
        <v/>
      </c>
      <c r="BK24" s="118" t="str">
        <f>IF(BK$6="","",IF(BK$3="Maior",IFERROR(IF(VLOOKUP($N24,Capa!$A:$AE,BK$5,0)="",0,VLOOKUP($N24,Capa!$A:$AE,BK$5,0)),0),IF(ISERROR(1/VLOOKUP($N24,Capa!$A:$AE,BK$5,0)),0,1/VLOOKUP($N24,Capa!$A:$AE,BK$5,0))))</f>
        <v/>
      </c>
      <c r="BL24" s="118" t="str">
        <f>IF(BL$6="","",IF(BL$3="Maior",IFERROR(IF(VLOOKUP($N24,Capa!$A:$AE,BL$5,0)="",0,VLOOKUP($N24,Capa!$A:$AE,BL$5,0)),0),IF(ISERROR(1/VLOOKUP($N24,Capa!$A:$AE,BL$5,0)),0,1/VLOOKUP($N24,Capa!$A:$AE,BL$5,0))))</f>
        <v/>
      </c>
      <c r="BM24" s="118" t="str">
        <f>IF(BM$6="","",IF(BM$3="Maior",IFERROR(IF(VLOOKUP($N24,Capa!$A:$AE,BM$5,0)="",0,VLOOKUP($N24,Capa!$A:$AE,BM$5,0)),0),IF(ISERROR(1/VLOOKUP($N24,Capa!$A:$AE,BM$5,0)),0,1/VLOOKUP($N24,Capa!$A:$AE,BM$5,0))))</f>
        <v/>
      </c>
      <c r="BN24" s="118" t="str">
        <f>IF(BN$6="","",IF(BN$3="Maior",IFERROR(IF(VLOOKUP($N24,Capa!$A:$AE,BN$5,0)="",0,VLOOKUP($N24,Capa!$A:$AE,BN$5,0)),0),IF(ISERROR(1/VLOOKUP($N24,Capa!$A:$AE,BN$5,0)),0,1/VLOOKUP($N24,Capa!$A:$AE,BN$5,0))))</f>
        <v/>
      </c>
      <c r="BO24" s="92"/>
    </row>
    <row r="25">
      <c r="B25" s="123" t="str">
        <f t="shared" si="23"/>
        <v/>
      </c>
      <c r="C25" s="127" t="s">
        <v>34</v>
      </c>
      <c r="D25" s="119" t="b">
        <v>0</v>
      </c>
      <c r="E25" s="128" t="s">
        <v>565</v>
      </c>
      <c r="F25" s="119">
        <f>MATCH(C25,Capa!$6:$6,0)</f>
        <v>13</v>
      </c>
      <c r="G25" s="11"/>
      <c r="H25" s="8">
        <v>19.0</v>
      </c>
      <c r="I25" s="110" t="str">
        <f t="shared" si="6"/>
        <v>BRAP4</v>
      </c>
      <c r="J25" s="111" t="str">
        <f>VLOOKUP(left(I25,4),Setor!A:D,3,0)&amp;" | "&amp;VLOOKUP(left(I25,4),Setor!A:D,4,0)</f>
        <v>Materiais Básicos | Mineração</v>
      </c>
      <c r="K25" s="112">
        <f t="shared" si="7"/>
        <v>194336874.2</v>
      </c>
      <c r="L25" s="11"/>
      <c r="M25" s="11"/>
      <c r="N25" s="10" t="s">
        <v>71</v>
      </c>
      <c r="O25" s="113">
        <f t="shared" si="8"/>
        <v>527.0244</v>
      </c>
      <c r="P25" s="114">
        <f>VLOOKUP(N25,'Dados StatusInvest'!A:Z,26,0)</f>
        <v>389417539.8</v>
      </c>
      <c r="Q25" s="115">
        <f t="shared" si="9"/>
        <v>244.0244</v>
      </c>
      <c r="R25" s="116">
        <f t="shared" ref="R25:AO25" si="28">IF(AQ25="","", RANK(AQ25,AQ$7:AQ$503,0))</f>
        <v>84</v>
      </c>
      <c r="S25" s="115">
        <f t="shared" si="28"/>
        <v>199</v>
      </c>
      <c r="T25" s="115" t="str">
        <f t="shared" si="28"/>
        <v/>
      </c>
      <c r="U25" s="115" t="str">
        <f t="shared" si="28"/>
        <v/>
      </c>
      <c r="V25" s="115" t="str">
        <f t="shared" si="28"/>
        <v/>
      </c>
      <c r="W25" s="115" t="str">
        <f t="shared" si="28"/>
        <v/>
      </c>
      <c r="X25" s="115" t="str">
        <f t="shared" si="28"/>
        <v/>
      </c>
      <c r="Y25" s="115" t="str">
        <f t="shared" si="28"/>
        <v/>
      </c>
      <c r="Z25" s="115" t="str">
        <f t="shared" si="28"/>
        <v/>
      </c>
      <c r="AA25" s="115" t="str">
        <f t="shared" si="28"/>
        <v/>
      </c>
      <c r="AB25" s="115" t="str">
        <f t="shared" si="28"/>
        <v/>
      </c>
      <c r="AC25" s="115" t="str">
        <f t="shared" si="28"/>
        <v/>
      </c>
      <c r="AD25" s="115" t="str">
        <f t="shared" si="28"/>
        <v/>
      </c>
      <c r="AE25" s="115" t="str">
        <f t="shared" si="28"/>
        <v/>
      </c>
      <c r="AF25" s="115" t="str">
        <f t="shared" si="28"/>
        <v/>
      </c>
      <c r="AG25" s="115" t="str">
        <f t="shared" si="28"/>
        <v/>
      </c>
      <c r="AH25" s="115" t="str">
        <f t="shared" si="28"/>
        <v/>
      </c>
      <c r="AI25" s="115" t="str">
        <f t="shared" si="28"/>
        <v/>
      </c>
      <c r="AJ25" s="115" t="str">
        <f t="shared" si="28"/>
        <v/>
      </c>
      <c r="AK25" s="115" t="str">
        <f t="shared" si="28"/>
        <v/>
      </c>
      <c r="AL25" s="115" t="str">
        <f t="shared" si="28"/>
        <v/>
      </c>
      <c r="AM25" s="115" t="str">
        <f t="shared" si="28"/>
        <v/>
      </c>
      <c r="AN25" s="115" t="str">
        <f t="shared" si="28"/>
        <v/>
      </c>
      <c r="AO25" s="115" t="str">
        <f t="shared" si="28"/>
        <v/>
      </c>
      <c r="AP25" s="117">
        <f>IF(AP$6="","",IF(AP$3="Maior",IFERROR(IF(VLOOKUP($N25,Capa!$A:$AE,AP$5,0)="",0,VLOOKUP($N25,Capa!$A:$AE,AP$5,0)),0),IF(ISERROR(1/VLOOKUP($N25,Capa!$A:$AE,AP$5,0)),0,1/VLOOKUP($N25,Capa!$A:$AE,AP$5,0))))</f>
        <v>0.08271271445</v>
      </c>
      <c r="AQ25" s="118">
        <f>IF(AQ$6="","",IF(AQ$3="Maior",IFERROR(IF(VLOOKUP($N25,Capa!$A:$AE,AQ$5,0)="",0,VLOOKUP($N25,Capa!$A:$AE,AQ$5,0)),0),IF(ISERROR(1/VLOOKUP($N25,Capa!$A:$AE,AQ$5,0)),0,1/VLOOKUP($N25,Capa!$A:$AE,AQ$5,0))))</f>
        <v>19.69</v>
      </c>
      <c r="AR25" s="118">
        <f>IF(AR$6="","",IF(AR$3="Maior",IFERROR(IF(VLOOKUP($N25,Capa!$A:$AE,AR$5,0)="",0,VLOOKUP($N25,Capa!$A:$AE,AR$5,0)),0),IF(ISERROR(1/VLOOKUP($N25,Capa!$A:$AE,AR$5,0)),0,1/VLOOKUP($N25,Capa!$A:$AE,AR$5,0))))</f>
        <v>3.24</v>
      </c>
      <c r="AS25" s="118" t="str">
        <f>IF(AS$6="","",IF(AS$3="Maior",IFERROR(IF(VLOOKUP($N25,Capa!$A:$AE,AS$5,0)="",0,VLOOKUP($N25,Capa!$A:$AE,AS$5,0)),0),IF(ISERROR(1/VLOOKUP($N25,Capa!$A:$AE,AS$5,0)),0,1/VLOOKUP($N25,Capa!$A:$AE,AS$5,0))))</f>
        <v/>
      </c>
      <c r="AT25" s="118" t="str">
        <f>IF(AT$6="","",IF(AT$3="Maior",IFERROR(IF(VLOOKUP($N25,Capa!$A:$AE,AT$5,0)="",0,VLOOKUP($N25,Capa!$A:$AE,AT$5,0)),0),IF(ISERROR(1/VLOOKUP($N25,Capa!$A:$AE,AT$5,0)),0,1/VLOOKUP($N25,Capa!$A:$AE,AT$5,0))))</f>
        <v/>
      </c>
      <c r="AU25" s="118" t="str">
        <f>IF(AU$6="","",IF(AU$3="Maior",IFERROR(IF(VLOOKUP($N25,Capa!$A:$AE,AU$5,0)="",0,VLOOKUP($N25,Capa!$A:$AE,AU$5,0)),0),IF(ISERROR(1/VLOOKUP($N25,Capa!$A:$AE,AU$5,0)),0,1/VLOOKUP($N25,Capa!$A:$AE,AU$5,0))))</f>
        <v/>
      </c>
      <c r="AV25" s="118" t="str">
        <f>IF(AV$6="","",IF(AV$3="Maior",IFERROR(IF(VLOOKUP($N25,Capa!$A:$AE,AV$5,0)="",0,VLOOKUP($N25,Capa!$A:$AE,AV$5,0)),0),IF(ISERROR(1/VLOOKUP($N25,Capa!$A:$AE,AV$5,0)),0,1/VLOOKUP($N25,Capa!$A:$AE,AV$5,0))))</f>
        <v/>
      </c>
      <c r="AW25" s="118" t="str">
        <f>IF(AW$6="","",IF(AW$3="Maior",IFERROR(IF(VLOOKUP($N25,Capa!$A:$AE,AW$5,0)="",0,VLOOKUP($N25,Capa!$A:$AE,AW$5,0)),0),IF(ISERROR(1/VLOOKUP($N25,Capa!$A:$AE,AW$5,0)),0,1/VLOOKUP($N25,Capa!$A:$AE,AW$5,0))))</f>
        <v/>
      </c>
      <c r="AX25" s="118" t="str">
        <f>IF(AX$6="","",IF(AX$3="Maior",IFERROR(IF(VLOOKUP($N25,Capa!$A:$AE,AX$5,0)="",0,VLOOKUP($N25,Capa!$A:$AE,AX$5,0)),0),IF(ISERROR(1/VLOOKUP($N25,Capa!$A:$AE,AX$5,0)),0,1/VLOOKUP($N25,Capa!$A:$AE,AX$5,0))))</f>
        <v/>
      </c>
      <c r="AY25" s="118" t="str">
        <f>IF(AY$6="","",IF(AY$3="Maior",IFERROR(IF(VLOOKUP($N25,Capa!$A:$AE,AY$5,0)="",0,VLOOKUP($N25,Capa!$A:$AE,AY$5,0)),0),IF(ISERROR(1/VLOOKUP($N25,Capa!$A:$AE,AY$5,0)),0,1/VLOOKUP($N25,Capa!$A:$AE,AY$5,0))))</f>
        <v/>
      </c>
      <c r="AZ25" s="118" t="str">
        <f>IF(AZ$6="","",IF(AZ$3="Maior",IFERROR(IF(VLOOKUP($N25,Capa!$A:$AE,AZ$5,0)="",0,VLOOKUP($N25,Capa!$A:$AE,AZ$5,0)),0),IF(ISERROR(1/VLOOKUP($N25,Capa!$A:$AE,AZ$5,0)),0,1/VLOOKUP($N25,Capa!$A:$AE,AZ$5,0))))</f>
        <v/>
      </c>
      <c r="BA25" s="118" t="str">
        <f>IF(BA$6="","",IF(BA$3="Maior",IFERROR(IF(VLOOKUP($N25,Capa!$A:$AE,BA$5,0)="",0,VLOOKUP($N25,Capa!$A:$AE,BA$5,0)),0),IF(ISERROR(1/VLOOKUP($N25,Capa!$A:$AE,BA$5,0)),0,1/VLOOKUP($N25,Capa!$A:$AE,BA$5,0))))</f>
        <v/>
      </c>
      <c r="BB25" s="118" t="str">
        <f>IF(BB$6="","",IF(BB$3="Maior",IFERROR(IF(VLOOKUP($N25,Capa!$A:$AE,BB$5,0)="",0,VLOOKUP($N25,Capa!$A:$AE,BB$5,0)),0),IF(ISERROR(1/VLOOKUP($N25,Capa!$A:$AE,BB$5,0)),0,1/VLOOKUP($N25,Capa!$A:$AE,BB$5,0))))</f>
        <v/>
      </c>
      <c r="BC25" s="118" t="str">
        <f>IF(BC$6="","",IF(BC$3="Maior",IFERROR(IF(VLOOKUP($N25,Capa!$A:$AE,BC$5,0)="",0,VLOOKUP($N25,Capa!$A:$AE,BC$5,0)),0),IF(ISERROR(1/VLOOKUP($N25,Capa!$A:$AE,BC$5,0)),0,1/VLOOKUP($N25,Capa!$A:$AE,BC$5,0))))</f>
        <v/>
      </c>
      <c r="BD25" s="118" t="str">
        <f>IF(BD$6="","",IF(BD$3="Maior",IFERROR(IF(VLOOKUP($N25,Capa!$A:$AE,BD$5,0)="",0,VLOOKUP($N25,Capa!$A:$AE,BD$5,0)),0),IF(ISERROR(1/VLOOKUP($N25,Capa!$A:$AE,BD$5,0)),0,1/VLOOKUP($N25,Capa!$A:$AE,BD$5,0))))</f>
        <v/>
      </c>
      <c r="BE25" s="118" t="str">
        <f>IF(BE$6="","",IF(BE$3="Maior",IFERROR(IF(VLOOKUP($N25,Capa!$A:$AE,BE$5,0)="",0,VLOOKUP($N25,Capa!$A:$AE,BE$5,0)),0),IF(ISERROR(1/VLOOKUP($N25,Capa!$A:$AE,BE$5,0)),0,1/VLOOKUP($N25,Capa!$A:$AE,BE$5,0))))</f>
        <v/>
      </c>
      <c r="BF25" s="118" t="str">
        <f>IF(BF$6="","",IF(BF$3="Maior",IFERROR(IF(VLOOKUP($N25,Capa!$A:$AE,BF$5,0)="",0,VLOOKUP($N25,Capa!$A:$AE,BF$5,0)),0),IF(ISERROR(1/VLOOKUP($N25,Capa!$A:$AE,BF$5,0)),0,1/VLOOKUP($N25,Capa!$A:$AE,BF$5,0))))</f>
        <v/>
      </c>
      <c r="BG25" s="118" t="str">
        <f>IF(BG$6="","",IF(BG$3="Maior",IFERROR(IF(VLOOKUP($N25,Capa!$A:$AE,BG$5,0)="",0,VLOOKUP($N25,Capa!$A:$AE,BG$5,0)),0),IF(ISERROR(1/VLOOKUP($N25,Capa!$A:$AE,BG$5,0)),0,1/VLOOKUP($N25,Capa!$A:$AE,BG$5,0))))</f>
        <v/>
      </c>
      <c r="BH25" s="118" t="str">
        <f>IF(BH$6="","",IF(BH$3="Maior",IFERROR(IF(VLOOKUP($N25,Capa!$A:$AE,BH$5,0)="",0,VLOOKUP($N25,Capa!$A:$AE,BH$5,0)),0),IF(ISERROR(1/VLOOKUP($N25,Capa!$A:$AE,BH$5,0)),0,1/VLOOKUP($N25,Capa!$A:$AE,BH$5,0))))</f>
        <v/>
      </c>
      <c r="BI25" s="118" t="str">
        <f>IF(BI$6="","",IF(BI$3="Maior",IFERROR(IF(VLOOKUP($N25,Capa!$A:$AE,BI$5,0)="",0,VLOOKUP($N25,Capa!$A:$AE,BI$5,0)),0),IF(ISERROR(1/VLOOKUP($N25,Capa!$A:$AE,BI$5,0)),0,1/VLOOKUP($N25,Capa!$A:$AE,BI$5,0))))</f>
        <v/>
      </c>
      <c r="BJ25" s="118" t="str">
        <f>IF(BJ$6="","",IF(BJ$3="Maior",IFERROR(IF(VLOOKUP($N25,Capa!$A:$AE,BJ$5,0)="",0,VLOOKUP($N25,Capa!$A:$AE,BJ$5,0)),0),IF(ISERROR(1/VLOOKUP($N25,Capa!$A:$AE,BJ$5,0)),0,1/VLOOKUP($N25,Capa!$A:$AE,BJ$5,0))))</f>
        <v/>
      </c>
      <c r="BK25" s="118" t="str">
        <f>IF(BK$6="","",IF(BK$3="Maior",IFERROR(IF(VLOOKUP($N25,Capa!$A:$AE,BK$5,0)="",0,VLOOKUP($N25,Capa!$A:$AE,BK$5,0)),0),IF(ISERROR(1/VLOOKUP($N25,Capa!$A:$AE,BK$5,0)),0,1/VLOOKUP($N25,Capa!$A:$AE,BK$5,0))))</f>
        <v/>
      </c>
      <c r="BL25" s="118" t="str">
        <f>IF(BL$6="","",IF(BL$3="Maior",IFERROR(IF(VLOOKUP($N25,Capa!$A:$AE,BL$5,0)="",0,VLOOKUP($N25,Capa!$A:$AE,BL$5,0)),0),IF(ISERROR(1/VLOOKUP($N25,Capa!$A:$AE,BL$5,0)),0,1/VLOOKUP($N25,Capa!$A:$AE,BL$5,0))))</f>
        <v/>
      </c>
      <c r="BM25" s="118" t="str">
        <f>IF(BM$6="","",IF(BM$3="Maior",IFERROR(IF(VLOOKUP($N25,Capa!$A:$AE,BM$5,0)="",0,VLOOKUP($N25,Capa!$A:$AE,BM$5,0)),0),IF(ISERROR(1/VLOOKUP($N25,Capa!$A:$AE,BM$5,0)),0,1/VLOOKUP($N25,Capa!$A:$AE,BM$5,0))))</f>
        <v/>
      </c>
      <c r="BN25" s="118" t="str">
        <f>IF(BN$6="","",IF(BN$3="Maior",IFERROR(IF(VLOOKUP($N25,Capa!$A:$AE,BN$5,0)="",0,VLOOKUP($N25,Capa!$A:$AE,BN$5,0)),0),IF(ISERROR(1/VLOOKUP($N25,Capa!$A:$AE,BN$5,0)),0,1/VLOOKUP($N25,Capa!$A:$AE,BN$5,0))))</f>
        <v/>
      </c>
      <c r="BO25" s="92"/>
    </row>
    <row r="26">
      <c r="B26" s="123" t="str">
        <f t="shared" si="23"/>
        <v/>
      </c>
      <c r="C26" s="127" t="s">
        <v>35</v>
      </c>
      <c r="D26" s="119" t="b">
        <v>0</v>
      </c>
      <c r="E26" s="128" t="s">
        <v>565</v>
      </c>
      <c r="F26" s="119">
        <f>MATCH(C26,Capa!$6:$6,0)</f>
        <v>14</v>
      </c>
      <c r="G26" s="11"/>
      <c r="H26" s="8">
        <v>20.0</v>
      </c>
      <c r="I26" s="110" t="str">
        <f t="shared" si="6"/>
        <v>FHER3</v>
      </c>
      <c r="J26" s="111" t="str">
        <f>VLOOKUP(left(I26,4),Setor!A:D,3,0)&amp;" | "&amp;VLOOKUP(left(I26,4),Setor!A:D,4,0)</f>
        <v>Materiais Básicos | Químicos</v>
      </c>
      <c r="K26" s="112">
        <f t="shared" si="7"/>
        <v>90573863</v>
      </c>
      <c r="L26" s="11"/>
      <c r="M26" s="11"/>
      <c r="N26" s="10" t="s">
        <v>72</v>
      </c>
      <c r="O26" s="113">
        <f t="shared" si="8"/>
        <v>490.0283</v>
      </c>
      <c r="P26" s="114">
        <f>VLOOKUP(N26,'Dados StatusInvest'!A:Z,26,0)</f>
        <v>517046859.5</v>
      </c>
      <c r="Q26" s="115">
        <f t="shared" si="9"/>
        <v>283.0283</v>
      </c>
      <c r="R26" s="116">
        <f t="shared" ref="R26:AO26" si="29">IF(AQ26="","", RANK(AQ26,AQ$7:AQ$503,0))</f>
        <v>165</v>
      </c>
      <c r="S26" s="115">
        <f t="shared" si="29"/>
        <v>42</v>
      </c>
      <c r="T26" s="115" t="str">
        <f t="shared" si="29"/>
        <v/>
      </c>
      <c r="U26" s="115" t="str">
        <f t="shared" si="29"/>
        <v/>
      </c>
      <c r="V26" s="115" t="str">
        <f t="shared" si="29"/>
        <v/>
      </c>
      <c r="W26" s="115" t="str">
        <f t="shared" si="29"/>
        <v/>
      </c>
      <c r="X26" s="115" t="str">
        <f t="shared" si="29"/>
        <v/>
      </c>
      <c r="Y26" s="115" t="str">
        <f t="shared" si="29"/>
        <v/>
      </c>
      <c r="Z26" s="115" t="str">
        <f t="shared" si="29"/>
        <v/>
      </c>
      <c r="AA26" s="115" t="str">
        <f t="shared" si="29"/>
        <v/>
      </c>
      <c r="AB26" s="115" t="str">
        <f t="shared" si="29"/>
        <v/>
      </c>
      <c r="AC26" s="115" t="str">
        <f t="shared" si="29"/>
        <v/>
      </c>
      <c r="AD26" s="115" t="str">
        <f t="shared" si="29"/>
        <v/>
      </c>
      <c r="AE26" s="115" t="str">
        <f t="shared" si="29"/>
        <v/>
      </c>
      <c r="AF26" s="115" t="str">
        <f t="shared" si="29"/>
        <v/>
      </c>
      <c r="AG26" s="115" t="str">
        <f t="shared" si="29"/>
        <v/>
      </c>
      <c r="AH26" s="115" t="str">
        <f t="shared" si="29"/>
        <v/>
      </c>
      <c r="AI26" s="115" t="str">
        <f t="shared" si="29"/>
        <v/>
      </c>
      <c r="AJ26" s="115" t="str">
        <f t="shared" si="29"/>
        <v/>
      </c>
      <c r="AK26" s="115" t="str">
        <f t="shared" si="29"/>
        <v/>
      </c>
      <c r="AL26" s="115" t="str">
        <f t="shared" si="29"/>
        <v/>
      </c>
      <c r="AM26" s="115" t="str">
        <f t="shared" si="29"/>
        <v/>
      </c>
      <c r="AN26" s="115" t="str">
        <f t="shared" si="29"/>
        <v/>
      </c>
      <c r="AO26" s="115" t="str">
        <f t="shared" si="29"/>
        <v/>
      </c>
      <c r="AP26" s="117">
        <f>IF(AP$6="","",IF(AP$3="Maior",IFERROR(IF(VLOOKUP($N26,Capa!$A:$AE,AP$5,0)="",0,VLOOKUP($N26,Capa!$A:$AE,AP$5,0)),0),IF(ISERROR(1/VLOOKUP($N26,Capa!$A:$AE,AP$5,0)),0,1/VLOOKUP($N26,Capa!$A:$AE,AP$5,0))))</f>
        <v>0.06321758648</v>
      </c>
      <c r="AQ26" s="118">
        <f>IF(AQ$6="","",IF(AQ$3="Maior",IFERROR(IF(VLOOKUP($N26,Capa!$A:$AE,AQ$5,0)="",0,VLOOKUP($N26,Capa!$A:$AE,AQ$5,0)),0),IF(ISERROR(1/VLOOKUP($N26,Capa!$A:$AE,AQ$5,0)),0,1/VLOOKUP($N26,Capa!$A:$AE,AQ$5,0))))</f>
        <v>13.47</v>
      </c>
      <c r="AR26" s="118">
        <f>IF(AR$6="","",IF(AR$3="Maior",IFERROR(IF(VLOOKUP($N26,Capa!$A:$AE,AR$5,0)="",0,VLOOKUP($N26,Capa!$A:$AE,AR$5,0)),0),IF(ISERROR(1/VLOOKUP($N26,Capa!$A:$AE,AR$5,0)),0,1/VLOOKUP($N26,Capa!$A:$AE,AR$5,0))))</f>
        <v>50.87</v>
      </c>
      <c r="AS26" s="118" t="str">
        <f>IF(AS$6="","",IF(AS$3="Maior",IFERROR(IF(VLOOKUP($N26,Capa!$A:$AE,AS$5,0)="",0,VLOOKUP($N26,Capa!$A:$AE,AS$5,0)),0),IF(ISERROR(1/VLOOKUP($N26,Capa!$A:$AE,AS$5,0)),0,1/VLOOKUP($N26,Capa!$A:$AE,AS$5,0))))</f>
        <v/>
      </c>
      <c r="AT26" s="118" t="str">
        <f>IF(AT$6="","",IF(AT$3="Maior",IFERROR(IF(VLOOKUP($N26,Capa!$A:$AE,AT$5,0)="",0,VLOOKUP($N26,Capa!$A:$AE,AT$5,0)),0),IF(ISERROR(1/VLOOKUP($N26,Capa!$A:$AE,AT$5,0)),0,1/VLOOKUP($N26,Capa!$A:$AE,AT$5,0))))</f>
        <v/>
      </c>
      <c r="AU26" s="118" t="str">
        <f>IF(AU$6="","",IF(AU$3="Maior",IFERROR(IF(VLOOKUP($N26,Capa!$A:$AE,AU$5,0)="",0,VLOOKUP($N26,Capa!$A:$AE,AU$5,0)),0),IF(ISERROR(1/VLOOKUP($N26,Capa!$A:$AE,AU$5,0)),0,1/VLOOKUP($N26,Capa!$A:$AE,AU$5,0))))</f>
        <v/>
      </c>
      <c r="AV26" s="118" t="str">
        <f>IF(AV$6="","",IF(AV$3="Maior",IFERROR(IF(VLOOKUP($N26,Capa!$A:$AE,AV$5,0)="",0,VLOOKUP($N26,Capa!$A:$AE,AV$5,0)),0),IF(ISERROR(1/VLOOKUP($N26,Capa!$A:$AE,AV$5,0)),0,1/VLOOKUP($N26,Capa!$A:$AE,AV$5,0))))</f>
        <v/>
      </c>
      <c r="AW26" s="118" t="str">
        <f>IF(AW$6="","",IF(AW$3="Maior",IFERROR(IF(VLOOKUP($N26,Capa!$A:$AE,AW$5,0)="",0,VLOOKUP($N26,Capa!$A:$AE,AW$5,0)),0),IF(ISERROR(1/VLOOKUP($N26,Capa!$A:$AE,AW$5,0)),0,1/VLOOKUP($N26,Capa!$A:$AE,AW$5,0))))</f>
        <v/>
      </c>
      <c r="AX26" s="118" t="str">
        <f>IF(AX$6="","",IF(AX$3="Maior",IFERROR(IF(VLOOKUP($N26,Capa!$A:$AE,AX$5,0)="",0,VLOOKUP($N26,Capa!$A:$AE,AX$5,0)),0),IF(ISERROR(1/VLOOKUP($N26,Capa!$A:$AE,AX$5,0)),0,1/VLOOKUP($N26,Capa!$A:$AE,AX$5,0))))</f>
        <v/>
      </c>
      <c r="AY26" s="118" t="str">
        <f>IF(AY$6="","",IF(AY$3="Maior",IFERROR(IF(VLOOKUP($N26,Capa!$A:$AE,AY$5,0)="",0,VLOOKUP($N26,Capa!$A:$AE,AY$5,0)),0),IF(ISERROR(1/VLOOKUP($N26,Capa!$A:$AE,AY$5,0)),0,1/VLOOKUP($N26,Capa!$A:$AE,AY$5,0))))</f>
        <v/>
      </c>
      <c r="AZ26" s="118" t="str">
        <f>IF(AZ$6="","",IF(AZ$3="Maior",IFERROR(IF(VLOOKUP($N26,Capa!$A:$AE,AZ$5,0)="",0,VLOOKUP($N26,Capa!$A:$AE,AZ$5,0)),0),IF(ISERROR(1/VLOOKUP($N26,Capa!$A:$AE,AZ$5,0)),0,1/VLOOKUP($N26,Capa!$A:$AE,AZ$5,0))))</f>
        <v/>
      </c>
      <c r="BA26" s="118" t="str">
        <f>IF(BA$6="","",IF(BA$3="Maior",IFERROR(IF(VLOOKUP($N26,Capa!$A:$AE,BA$5,0)="",0,VLOOKUP($N26,Capa!$A:$AE,BA$5,0)),0),IF(ISERROR(1/VLOOKUP($N26,Capa!$A:$AE,BA$5,0)),0,1/VLOOKUP($N26,Capa!$A:$AE,BA$5,0))))</f>
        <v/>
      </c>
      <c r="BB26" s="118" t="str">
        <f>IF(BB$6="","",IF(BB$3="Maior",IFERROR(IF(VLOOKUP($N26,Capa!$A:$AE,BB$5,0)="",0,VLOOKUP($N26,Capa!$A:$AE,BB$5,0)),0),IF(ISERROR(1/VLOOKUP($N26,Capa!$A:$AE,BB$5,0)),0,1/VLOOKUP($N26,Capa!$A:$AE,BB$5,0))))</f>
        <v/>
      </c>
      <c r="BC26" s="118" t="str">
        <f>IF(BC$6="","",IF(BC$3="Maior",IFERROR(IF(VLOOKUP($N26,Capa!$A:$AE,BC$5,0)="",0,VLOOKUP($N26,Capa!$A:$AE,BC$5,0)),0),IF(ISERROR(1/VLOOKUP($N26,Capa!$A:$AE,BC$5,0)),0,1/VLOOKUP($N26,Capa!$A:$AE,BC$5,0))))</f>
        <v/>
      </c>
      <c r="BD26" s="118" t="str">
        <f>IF(BD$6="","",IF(BD$3="Maior",IFERROR(IF(VLOOKUP($N26,Capa!$A:$AE,BD$5,0)="",0,VLOOKUP($N26,Capa!$A:$AE,BD$5,0)),0),IF(ISERROR(1/VLOOKUP($N26,Capa!$A:$AE,BD$5,0)),0,1/VLOOKUP($N26,Capa!$A:$AE,BD$5,0))))</f>
        <v/>
      </c>
      <c r="BE26" s="118" t="str">
        <f>IF(BE$6="","",IF(BE$3="Maior",IFERROR(IF(VLOOKUP($N26,Capa!$A:$AE,BE$5,0)="",0,VLOOKUP($N26,Capa!$A:$AE,BE$5,0)),0),IF(ISERROR(1/VLOOKUP($N26,Capa!$A:$AE,BE$5,0)),0,1/VLOOKUP($N26,Capa!$A:$AE,BE$5,0))))</f>
        <v/>
      </c>
      <c r="BF26" s="118" t="str">
        <f>IF(BF$6="","",IF(BF$3="Maior",IFERROR(IF(VLOOKUP($N26,Capa!$A:$AE,BF$5,0)="",0,VLOOKUP($N26,Capa!$A:$AE,BF$5,0)),0),IF(ISERROR(1/VLOOKUP($N26,Capa!$A:$AE,BF$5,0)),0,1/VLOOKUP($N26,Capa!$A:$AE,BF$5,0))))</f>
        <v/>
      </c>
      <c r="BG26" s="118" t="str">
        <f>IF(BG$6="","",IF(BG$3="Maior",IFERROR(IF(VLOOKUP($N26,Capa!$A:$AE,BG$5,0)="",0,VLOOKUP($N26,Capa!$A:$AE,BG$5,0)),0),IF(ISERROR(1/VLOOKUP($N26,Capa!$A:$AE,BG$5,0)),0,1/VLOOKUP($N26,Capa!$A:$AE,BG$5,0))))</f>
        <v/>
      </c>
      <c r="BH26" s="118" t="str">
        <f>IF(BH$6="","",IF(BH$3="Maior",IFERROR(IF(VLOOKUP($N26,Capa!$A:$AE,BH$5,0)="",0,VLOOKUP($N26,Capa!$A:$AE,BH$5,0)),0),IF(ISERROR(1/VLOOKUP($N26,Capa!$A:$AE,BH$5,0)),0,1/VLOOKUP($N26,Capa!$A:$AE,BH$5,0))))</f>
        <v/>
      </c>
      <c r="BI26" s="118" t="str">
        <f>IF(BI$6="","",IF(BI$3="Maior",IFERROR(IF(VLOOKUP($N26,Capa!$A:$AE,BI$5,0)="",0,VLOOKUP($N26,Capa!$A:$AE,BI$5,0)),0),IF(ISERROR(1/VLOOKUP($N26,Capa!$A:$AE,BI$5,0)),0,1/VLOOKUP($N26,Capa!$A:$AE,BI$5,0))))</f>
        <v/>
      </c>
      <c r="BJ26" s="118" t="str">
        <f>IF(BJ$6="","",IF(BJ$3="Maior",IFERROR(IF(VLOOKUP($N26,Capa!$A:$AE,BJ$5,0)="",0,VLOOKUP($N26,Capa!$A:$AE,BJ$5,0)),0),IF(ISERROR(1/VLOOKUP($N26,Capa!$A:$AE,BJ$5,0)),0,1/VLOOKUP($N26,Capa!$A:$AE,BJ$5,0))))</f>
        <v/>
      </c>
      <c r="BK26" s="118" t="str">
        <f>IF(BK$6="","",IF(BK$3="Maior",IFERROR(IF(VLOOKUP($N26,Capa!$A:$AE,BK$5,0)="",0,VLOOKUP($N26,Capa!$A:$AE,BK$5,0)),0),IF(ISERROR(1/VLOOKUP($N26,Capa!$A:$AE,BK$5,0)),0,1/VLOOKUP($N26,Capa!$A:$AE,BK$5,0))))</f>
        <v/>
      </c>
      <c r="BL26" s="118" t="str">
        <f>IF(BL$6="","",IF(BL$3="Maior",IFERROR(IF(VLOOKUP($N26,Capa!$A:$AE,BL$5,0)="",0,VLOOKUP($N26,Capa!$A:$AE,BL$5,0)),0),IF(ISERROR(1/VLOOKUP($N26,Capa!$A:$AE,BL$5,0)),0,1/VLOOKUP($N26,Capa!$A:$AE,BL$5,0))))</f>
        <v/>
      </c>
      <c r="BM26" s="118" t="str">
        <f>IF(BM$6="","",IF(BM$3="Maior",IFERROR(IF(VLOOKUP($N26,Capa!$A:$AE,BM$5,0)="",0,VLOOKUP($N26,Capa!$A:$AE,BM$5,0)),0),IF(ISERROR(1/VLOOKUP($N26,Capa!$A:$AE,BM$5,0)),0,1/VLOOKUP($N26,Capa!$A:$AE,BM$5,0))))</f>
        <v/>
      </c>
      <c r="BN26" s="118" t="str">
        <f>IF(BN$6="","",IF(BN$3="Maior",IFERROR(IF(VLOOKUP($N26,Capa!$A:$AE,BN$5,0)="",0,VLOOKUP($N26,Capa!$A:$AE,BN$5,0)),0),IF(ISERROR(1/VLOOKUP($N26,Capa!$A:$AE,BN$5,0)),0,1/VLOOKUP($N26,Capa!$A:$AE,BN$5,0))))</f>
        <v/>
      </c>
      <c r="BO26" s="92"/>
    </row>
    <row r="27">
      <c r="B27" s="123" t="str">
        <f t="shared" si="23"/>
        <v/>
      </c>
      <c r="C27" s="127" t="s">
        <v>36</v>
      </c>
      <c r="D27" s="119" t="b">
        <v>0</v>
      </c>
      <c r="E27" s="128" t="s">
        <v>564</v>
      </c>
      <c r="F27" s="119">
        <f>MATCH(C27,Capa!$6:$6,0)</f>
        <v>15</v>
      </c>
      <c r="G27" s="11"/>
      <c r="H27" s="8">
        <v>21.0</v>
      </c>
      <c r="I27" s="110" t="str">
        <f t="shared" si="6"/>
        <v>GOAU4</v>
      </c>
      <c r="J27" s="111" t="str">
        <f>VLOOKUP(left(I27,4),Setor!A:D,3,0)&amp;" | "&amp;VLOOKUP(left(I27,4),Setor!A:D,4,0)</f>
        <v>Materiais Básicos | Siderurgia e Metalurgia</v>
      </c>
      <c r="K27" s="112">
        <f t="shared" si="7"/>
        <v>137612205.7</v>
      </c>
      <c r="L27" s="11"/>
      <c r="M27" s="11"/>
      <c r="N27" s="10" t="s">
        <v>73</v>
      </c>
      <c r="O27" s="113">
        <f t="shared" si="8"/>
        <v>542.036</v>
      </c>
      <c r="P27" s="114">
        <f>VLOOKUP(N27,'Dados StatusInvest'!A:Z,26,0)</f>
        <v>339606045.2</v>
      </c>
      <c r="Q27" s="115">
        <f t="shared" si="9"/>
        <v>360.036</v>
      </c>
      <c r="R27" s="116">
        <f t="shared" ref="R27:AO27" si="30">IF(AQ27="","", RANK(AQ27,AQ$7:AQ$503,0))</f>
        <v>63</v>
      </c>
      <c r="S27" s="115">
        <f t="shared" si="30"/>
        <v>119</v>
      </c>
      <c r="T27" s="115" t="str">
        <f t="shared" si="30"/>
        <v/>
      </c>
      <c r="U27" s="115" t="str">
        <f t="shared" si="30"/>
        <v/>
      </c>
      <c r="V27" s="115" t="str">
        <f t="shared" si="30"/>
        <v/>
      </c>
      <c r="W27" s="115" t="str">
        <f t="shared" si="30"/>
        <v/>
      </c>
      <c r="X27" s="115" t="str">
        <f t="shared" si="30"/>
        <v/>
      </c>
      <c r="Y27" s="115" t="str">
        <f t="shared" si="30"/>
        <v/>
      </c>
      <c r="Z27" s="115" t="str">
        <f t="shared" si="30"/>
        <v/>
      </c>
      <c r="AA27" s="115" t="str">
        <f t="shared" si="30"/>
        <v/>
      </c>
      <c r="AB27" s="115" t="str">
        <f t="shared" si="30"/>
        <v/>
      </c>
      <c r="AC27" s="115" t="str">
        <f t="shared" si="30"/>
        <v/>
      </c>
      <c r="AD27" s="115" t="str">
        <f t="shared" si="30"/>
        <v/>
      </c>
      <c r="AE27" s="115" t="str">
        <f t="shared" si="30"/>
        <v/>
      </c>
      <c r="AF27" s="115" t="str">
        <f t="shared" si="30"/>
        <v/>
      </c>
      <c r="AG27" s="115" t="str">
        <f t="shared" si="30"/>
        <v/>
      </c>
      <c r="AH27" s="115" t="str">
        <f t="shared" si="30"/>
        <v/>
      </c>
      <c r="AI27" s="115" t="str">
        <f t="shared" si="30"/>
        <v/>
      </c>
      <c r="AJ27" s="115" t="str">
        <f t="shared" si="30"/>
        <v/>
      </c>
      <c r="AK27" s="115" t="str">
        <f t="shared" si="30"/>
        <v/>
      </c>
      <c r="AL27" s="115" t="str">
        <f t="shared" si="30"/>
        <v/>
      </c>
      <c r="AM27" s="115" t="str">
        <f t="shared" si="30"/>
        <v/>
      </c>
      <c r="AN27" s="115" t="str">
        <f t="shared" si="30"/>
        <v/>
      </c>
      <c r="AO27" s="115" t="str">
        <f t="shared" si="30"/>
        <v/>
      </c>
      <c r="AP27" s="117">
        <f>IF(AP$6="","",IF(AP$3="Maior",IFERROR(IF(VLOOKUP($N27,Capa!$A:$AE,AP$5,0)="",0,VLOOKUP($N27,Capa!$A:$AE,AP$5,0)),0),IF(ISERROR(1/VLOOKUP($N27,Capa!$A:$AE,AP$5,0)),0,1/VLOOKUP($N27,Capa!$A:$AE,AP$5,0))))</f>
        <v>0.02424528913</v>
      </c>
      <c r="AQ27" s="118">
        <f>IF(AQ$6="","",IF(AQ$3="Maior",IFERROR(IF(VLOOKUP($N27,Capa!$A:$AE,AQ$5,0)="",0,VLOOKUP($N27,Capa!$A:$AE,AQ$5,0)),0),IF(ISERROR(1/VLOOKUP($N27,Capa!$A:$AE,AQ$5,0)),0,1/VLOOKUP($N27,Capa!$A:$AE,AQ$5,0))))</f>
        <v>23.29</v>
      </c>
      <c r="AR27" s="118">
        <f>IF(AR$6="","",IF(AR$3="Maior",IFERROR(IF(VLOOKUP($N27,Capa!$A:$AE,AR$5,0)="",0,VLOOKUP($N27,Capa!$A:$AE,AR$5,0)),0),IF(ISERROR(1/VLOOKUP($N27,Capa!$A:$AE,AR$5,0)),0,1/VLOOKUP($N27,Capa!$A:$AE,AR$5,0))))</f>
        <v>23.23</v>
      </c>
      <c r="AS27" s="118" t="str">
        <f>IF(AS$6="","",IF(AS$3="Maior",IFERROR(IF(VLOOKUP($N27,Capa!$A:$AE,AS$5,0)="",0,VLOOKUP($N27,Capa!$A:$AE,AS$5,0)),0),IF(ISERROR(1/VLOOKUP($N27,Capa!$A:$AE,AS$5,0)),0,1/VLOOKUP($N27,Capa!$A:$AE,AS$5,0))))</f>
        <v/>
      </c>
      <c r="AT27" s="118" t="str">
        <f>IF(AT$6="","",IF(AT$3="Maior",IFERROR(IF(VLOOKUP($N27,Capa!$A:$AE,AT$5,0)="",0,VLOOKUP($N27,Capa!$A:$AE,AT$5,0)),0),IF(ISERROR(1/VLOOKUP($N27,Capa!$A:$AE,AT$5,0)),0,1/VLOOKUP($N27,Capa!$A:$AE,AT$5,0))))</f>
        <v/>
      </c>
      <c r="AU27" s="118" t="str">
        <f>IF(AU$6="","",IF(AU$3="Maior",IFERROR(IF(VLOOKUP($N27,Capa!$A:$AE,AU$5,0)="",0,VLOOKUP($N27,Capa!$A:$AE,AU$5,0)),0),IF(ISERROR(1/VLOOKUP($N27,Capa!$A:$AE,AU$5,0)),0,1/VLOOKUP($N27,Capa!$A:$AE,AU$5,0))))</f>
        <v/>
      </c>
      <c r="AV27" s="118" t="str">
        <f>IF(AV$6="","",IF(AV$3="Maior",IFERROR(IF(VLOOKUP($N27,Capa!$A:$AE,AV$5,0)="",0,VLOOKUP($N27,Capa!$A:$AE,AV$5,0)),0),IF(ISERROR(1/VLOOKUP($N27,Capa!$A:$AE,AV$5,0)),0,1/VLOOKUP($N27,Capa!$A:$AE,AV$5,0))))</f>
        <v/>
      </c>
      <c r="AW27" s="118" t="str">
        <f>IF(AW$6="","",IF(AW$3="Maior",IFERROR(IF(VLOOKUP($N27,Capa!$A:$AE,AW$5,0)="",0,VLOOKUP($N27,Capa!$A:$AE,AW$5,0)),0),IF(ISERROR(1/VLOOKUP($N27,Capa!$A:$AE,AW$5,0)),0,1/VLOOKUP($N27,Capa!$A:$AE,AW$5,0))))</f>
        <v/>
      </c>
      <c r="AX27" s="118" t="str">
        <f>IF(AX$6="","",IF(AX$3="Maior",IFERROR(IF(VLOOKUP($N27,Capa!$A:$AE,AX$5,0)="",0,VLOOKUP($N27,Capa!$A:$AE,AX$5,0)),0),IF(ISERROR(1/VLOOKUP($N27,Capa!$A:$AE,AX$5,0)),0,1/VLOOKUP($N27,Capa!$A:$AE,AX$5,0))))</f>
        <v/>
      </c>
      <c r="AY27" s="118" t="str">
        <f>IF(AY$6="","",IF(AY$3="Maior",IFERROR(IF(VLOOKUP($N27,Capa!$A:$AE,AY$5,0)="",0,VLOOKUP($N27,Capa!$A:$AE,AY$5,0)),0),IF(ISERROR(1/VLOOKUP($N27,Capa!$A:$AE,AY$5,0)),0,1/VLOOKUP($N27,Capa!$A:$AE,AY$5,0))))</f>
        <v/>
      </c>
      <c r="AZ27" s="118" t="str">
        <f>IF(AZ$6="","",IF(AZ$3="Maior",IFERROR(IF(VLOOKUP($N27,Capa!$A:$AE,AZ$5,0)="",0,VLOOKUP($N27,Capa!$A:$AE,AZ$5,0)),0),IF(ISERROR(1/VLOOKUP($N27,Capa!$A:$AE,AZ$5,0)),0,1/VLOOKUP($N27,Capa!$A:$AE,AZ$5,0))))</f>
        <v/>
      </c>
      <c r="BA27" s="118" t="str">
        <f>IF(BA$6="","",IF(BA$3="Maior",IFERROR(IF(VLOOKUP($N27,Capa!$A:$AE,BA$5,0)="",0,VLOOKUP($N27,Capa!$A:$AE,BA$5,0)),0),IF(ISERROR(1/VLOOKUP($N27,Capa!$A:$AE,BA$5,0)),0,1/VLOOKUP($N27,Capa!$A:$AE,BA$5,0))))</f>
        <v/>
      </c>
      <c r="BB27" s="118" t="str">
        <f>IF(BB$6="","",IF(BB$3="Maior",IFERROR(IF(VLOOKUP($N27,Capa!$A:$AE,BB$5,0)="",0,VLOOKUP($N27,Capa!$A:$AE,BB$5,0)),0),IF(ISERROR(1/VLOOKUP($N27,Capa!$A:$AE,BB$5,0)),0,1/VLOOKUP($N27,Capa!$A:$AE,BB$5,0))))</f>
        <v/>
      </c>
      <c r="BC27" s="118" t="str">
        <f>IF(BC$6="","",IF(BC$3="Maior",IFERROR(IF(VLOOKUP($N27,Capa!$A:$AE,BC$5,0)="",0,VLOOKUP($N27,Capa!$A:$AE,BC$5,0)),0),IF(ISERROR(1/VLOOKUP($N27,Capa!$A:$AE,BC$5,0)),0,1/VLOOKUP($N27,Capa!$A:$AE,BC$5,0))))</f>
        <v/>
      </c>
      <c r="BD27" s="118" t="str">
        <f>IF(BD$6="","",IF(BD$3="Maior",IFERROR(IF(VLOOKUP($N27,Capa!$A:$AE,BD$5,0)="",0,VLOOKUP($N27,Capa!$A:$AE,BD$5,0)),0),IF(ISERROR(1/VLOOKUP($N27,Capa!$A:$AE,BD$5,0)),0,1/VLOOKUP($N27,Capa!$A:$AE,BD$5,0))))</f>
        <v/>
      </c>
      <c r="BE27" s="118" t="str">
        <f>IF(BE$6="","",IF(BE$3="Maior",IFERROR(IF(VLOOKUP($N27,Capa!$A:$AE,BE$5,0)="",0,VLOOKUP($N27,Capa!$A:$AE,BE$5,0)),0),IF(ISERROR(1/VLOOKUP($N27,Capa!$A:$AE,BE$5,0)),0,1/VLOOKUP($N27,Capa!$A:$AE,BE$5,0))))</f>
        <v/>
      </c>
      <c r="BF27" s="118" t="str">
        <f>IF(BF$6="","",IF(BF$3="Maior",IFERROR(IF(VLOOKUP($N27,Capa!$A:$AE,BF$5,0)="",0,VLOOKUP($N27,Capa!$A:$AE,BF$5,0)),0),IF(ISERROR(1/VLOOKUP($N27,Capa!$A:$AE,BF$5,0)),0,1/VLOOKUP($N27,Capa!$A:$AE,BF$5,0))))</f>
        <v/>
      </c>
      <c r="BG27" s="118" t="str">
        <f>IF(BG$6="","",IF(BG$3="Maior",IFERROR(IF(VLOOKUP($N27,Capa!$A:$AE,BG$5,0)="",0,VLOOKUP($N27,Capa!$A:$AE,BG$5,0)),0),IF(ISERROR(1/VLOOKUP($N27,Capa!$A:$AE,BG$5,0)),0,1/VLOOKUP($N27,Capa!$A:$AE,BG$5,0))))</f>
        <v/>
      </c>
      <c r="BH27" s="118" t="str">
        <f>IF(BH$6="","",IF(BH$3="Maior",IFERROR(IF(VLOOKUP($N27,Capa!$A:$AE,BH$5,0)="",0,VLOOKUP($N27,Capa!$A:$AE,BH$5,0)),0),IF(ISERROR(1/VLOOKUP($N27,Capa!$A:$AE,BH$5,0)),0,1/VLOOKUP($N27,Capa!$A:$AE,BH$5,0))))</f>
        <v/>
      </c>
      <c r="BI27" s="118" t="str">
        <f>IF(BI$6="","",IF(BI$3="Maior",IFERROR(IF(VLOOKUP($N27,Capa!$A:$AE,BI$5,0)="",0,VLOOKUP($N27,Capa!$A:$AE,BI$5,0)),0),IF(ISERROR(1/VLOOKUP($N27,Capa!$A:$AE,BI$5,0)),0,1/VLOOKUP($N27,Capa!$A:$AE,BI$5,0))))</f>
        <v/>
      </c>
      <c r="BJ27" s="118" t="str">
        <f>IF(BJ$6="","",IF(BJ$3="Maior",IFERROR(IF(VLOOKUP($N27,Capa!$A:$AE,BJ$5,0)="",0,VLOOKUP($N27,Capa!$A:$AE,BJ$5,0)),0),IF(ISERROR(1/VLOOKUP($N27,Capa!$A:$AE,BJ$5,0)),0,1/VLOOKUP($N27,Capa!$A:$AE,BJ$5,0))))</f>
        <v/>
      </c>
      <c r="BK27" s="118" t="str">
        <f>IF(BK$6="","",IF(BK$3="Maior",IFERROR(IF(VLOOKUP($N27,Capa!$A:$AE,BK$5,0)="",0,VLOOKUP($N27,Capa!$A:$AE,BK$5,0)),0),IF(ISERROR(1/VLOOKUP($N27,Capa!$A:$AE,BK$5,0)),0,1/VLOOKUP($N27,Capa!$A:$AE,BK$5,0))))</f>
        <v/>
      </c>
      <c r="BL27" s="118" t="str">
        <f>IF(BL$6="","",IF(BL$3="Maior",IFERROR(IF(VLOOKUP($N27,Capa!$A:$AE,BL$5,0)="",0,VLOOKUP($N27,Capa!$A:$AE,BL$5,0)),0),IF(ISERROR(1/VLOOKUP($N27,Capa!$A:$AE,BL$5,0)),0,1/VLOOKUP($N27,Capa!$A:$AE,BL$5,0))))</f>
        <v/>
      </c>
      <c r="BM27" s="118" t="str">
        <f>IF(BM$6="","",IF(BM$3="Maior",IFERROR(IF(VLOOKUP($N27,Capa!$A:$AE,BM$5,0)="",0,VLOOKUP($N27,Capa!$A:$AE,BM$5,0)),0),IF(ISERROR(1/VLOOKUP($N27,Capa!$A:$AE,BM$5,0)),0,1/VLOOKUP($N27,Capa!$A:$AE,BM$5,0))))</f>
        <v/>
      </c>
      <c r="BN27" s="118" t="str">
        <f>IF(BN$6="","",IF(BN$3="Maior",IFERROR(IF(VLOOKUP($N27,Capa!$A:$AE,BN$5,0)="",0,VLOOKUP($N27,Capa!$A:$AE,BN$5,0)),0),IF(ISERROR(1/VLOOKUP($N27,Capa!$A:$AE,BN$5,0)),0,1/VLOOKUP($N27,Capa!$A:$AE,BN$5,0))))</f>
        <v/>
      </c>
      <c r="BO27" s="92"/>
    </row>
    <row r="28">
      <c r="B28" s="123">
        <f t="shared" si="23"/>
        <v>1</v>
      </c>
      <c r="C28" s="127" t="s">
        <v>37</v>
      </c>
      <c r="D28" s="119" t="b">
        <v>1</v>
      </c>
      <c r="E28" s="128" t="s">
        <v>564</v>
      </c>
      <c r="F28" s="119">
        <f>MATCH(C28,Capa!$6:$6,0)</f>
        <v>16</v>
      </c>
      <c r="G28" s="11"/>
      <c r="H28" s="8">
        <v>22.0</v>
      </c>
      <c r="I28" s="110" t="str">
        <f t="shared" si="6"/>
        <v>CPFE3</v>
      </c>
      <c r="J28" s="111" t="str">
        <f>VLOOKUP(left(I28,4),Setor!A:D,3,0)&amp;" | "&amp;VLOOKUP(left(I28,4),Setor!A:D,4,0)</f>
        <v>Utilidade Pública | Energia Elétrica</v>
      </c>
      <c r="K28" s="112">
        <f t="shared" si="7"/>
        <v>54702308</v>
      </c>
      <c r="L28" s="11"/>
      <c r="M28" s="11"/>
      <c r="N28" s="10" t="s">
        <v>74</v>
      </c>
      <c r="O28" s="113">
        <f t="shared" si="8"/>
        <v>989.0404</v>
      </c>
      <c r="P28" s="114">
        <f>VLOOKUP(N28,'Dados StatusInvest'!A:Z,26,0)</f>
        <v>337927346.8</v>
      </c>
      <c r="Q28" s="115">
        <f t="shared" si="9"/>
        <v>404.0404</v>
      </c>
      <c r="R28" s="116">
        <f t="shared" ref="R28:AO28" si="31">IF(AQ28="","", RANK(AQ28,AQ$7:AQ$503,0))</f>
        <v>366</v>
      </c>
      <c r="S28" s="115">
        <f t="shared" si="31"/>
        <v>219</v>
      </c>
      <c r="T28" s="115" t="str">
        <f t="shared" si="31"/>
        <v/>
      </c>
      <c r="U28" s="115" t="str">
        <f t="shared" si="31"/>
        <v/>
      </c>
      <c r="V28" s="115" t="str">
        <f t="shared" si="31"/>
        <v/>
      </c>
      <c r="W28" s="115" t="str">
        <f t="shared" si="31"/>
        <v/>
      </c>
      <c r="X28" s="115" t="str">
        <f t="shared" si="31"/>
        <v/>
      </c>
      <c r="Y28" s="115" t="str">
        <f t="shared" si="31"/>
        <v/>
      </c>
      <c r="Z28" s="115" t="str">
        <f t="shared" si="31"/>
        <v/>
      </c>
      <c r="AA28" s="115" t="str">
        <f t="shared" si="31"/>
        <v/>
      </c>
      <c r="AB28" s="115" t="str">
        <f t="shared" si="31"/>
        <v/>
      </c>
      <c r="AC28" s="115" t="str">
        <f t="shared" si="31"/>
        <v/>
      </c>
      <c r="AD28" s="115" t="str">
        <f t="shared" si="31"/>
        <v/>
      </c>
      <c r="AE28" s="115" t="str">
        <f t="shared" si="31"/>
        <v/>
      </c>
      <c r="AF28" s="115" t="str">
        <f t="shared" si="31"/>
        <v/>
      </c>
      <c r="AG28" s="115" t="str">
        <f t="shared" si="31"/>
        <v/>
      </c>
      <c r="AH28" s="115" t="str">
        <f t="shared" si="31"/>
        <v/>
      </c>
      <c r="AI28" s="115" t="str">
        <f t="shared" si="31"/>
        <v/>
      </c>
      <c r="AJ28" s="115" t="str">
        <f t="shared" si="31"/>
        <v/>
      </c>
      <c r="AK28" s="115" t="str">
        <f t="shared" si="31"/>
        <v/>
      </c>
      <c r="AL28" s="115" t="str">
        <f t="shared" si="31"/>
        <v/>
      </c>
      <c r="AM28" s="115" t="str">
        <f t="shared" si="31"/>
        <v/>
      </c>
      <c r="AN28" s="115" t="str">
        <f t="shared" si="31"/>
        <v/>
      </c>
      <c r="AO28" s="115" t="str">
        <f t="shared" si="31"/>
        <v/>
      </c>
      <c r="AP28" s="117">
        <f>IF(AP$6="","",IF(AP$3="Maior",IFERROR(IF(VLOOKUP($N28,Capa!$A:$AE,AP$5,0)="",0,VLOOKUP($N28,Capa!$A:$AE,AP$5,0)),0),IF(ISERROR(1/VLOOKUP($N28,Capa!$A:$AE,AP$5,0)),0,1/VLOOKUP($N28,Capa!$A:$AE,AP$5,0))))</f>
        <v>0.001470275835</v>
      </c>
      <c r="AQ28" s="118">
        <f>IF(AQ$6="","",IF(AQ$3="Maior",IFERROR(IF(VLOOKUP($N28,Capa!$A:$AE,AQ$5,0)="",0,VLOOKUP($N28,Capa!$A:$AE,AQ$5,0)),0),IF(ISERROR(1/VLOOKUP($N28,Capa!$A:$AE,AQ$5,0)),0,1/VLOOKUP($N28,Capa!$A:$AE,AQ$5,0))))</f>
        <v>1.08</v>
      </c>
      <c r="AR28" s="118">
        <f>IF(AR$6="","",IF(AR$3="Maior",IFERROR(IF(VLOOKUP($N28,Capa!$A:$AE,AR$5,0)="",0,VLOOKUP($N28,Capa!$A:$AE,AR$5,0)),0),IF(ISERROR(1/VLOOKUP($N28,Capa!$A:$AE,AR$5,0)),0,1/VLOOKUP($N28,Capa!$A:$AE,AR$5,0))))</f>
        <v>0</v>
      </c>
      <c r="AS28" s="118" t="str">
        <f>IF(AS$6="","",IF(AS$3="Maior",IFERROR(IF(VLOOKUP($N28,Capa!$A:$AE,AS$5,0)="",0,VLOOKUP($N28,Capa!$A:$AE,AS$5,0)),0),IF(ISERROR(1/VLOOKUP($N28,Capa!$A:$AE,AS$5,0)),0,1/VLOOKUP($N28,Capa!$A:$AE,AS$5,0))))</f>
        <v/>
      </c>
      <c r="AT28" s="118" t="str">
        <f>IF(AT$6="","",IF(AT$3="Maior",IFERROR(IF(VLOOKUP($N28,Capa!$A:$AE,AT$5,0)="",0,VLOOKUP($N28,Capa!$A:$AE,AT$5,0)),0),IF(ISERROR(1/VLOOKUP($N28,Capa!$A:$AE,AT$5,0)),0,1/VLOOKUP($N28,Capa!$A:$AE,AT$5,0))))</f>
        <v/>
      </c>
      <c r="AU28" s="118" t="str">
        <f>IF(AU$6="","",IF(AU$3="Maior",IFERROR(IF(VLOOKUP($N28,Capa!$A:$AE,AU$5,0)="",0,VLOOKUP($N28,Capa!$A:$AE,AU$5,0)),0),IF(ISERROR(1/VLOOKUP($N28,Capa!$A:$AE,AU$5,0)),0,1/VLOOKUP($N28,Capa!$A:$AE,AU$5,0))))</f>
        <v/>
      </c>
      <c r="AV28" s="118" t="str">
        <f>IF(AV$6="","",IF(AV$3="Maior",IFERROR(IF(VLOOKUP($N28,Capa!$A:$AE,AV$5,0)="",0,VLOOKUP($N28,Capa!$A:$AE,AV$5,0)),0),IF(ISERROR(1/VLOOKUP($N28,Capa!$A:$AE,AV$5,0)),0,1/VLOOKUP($N28,Capa!$A:$AE,AV$5,0))))</f>
        <v/>
      </c>
      <c r="AW28" s="118" t="str">
        <f>IF(AW$6="","",IF(AW$3="Maior",IFERROR(IF(VLOOKUP($N28,Capa!$A:$AE,AW$5,0)="",0,VLOOKUP($N28,Capa!$A:$AE,AW$5,0)),0),IF(ISERROR(1/VLOOKUP($N28,Capa!$A:$AE,AW$5,0)),0,1/VLOOKUP($N28,Capa!$A:$AE,AW$5,0))))</f>
        <v/>
      </c>
      <c r="AX28" s="118" t="str">
        <f>IF(AX$6="","",IF(AX$3="Maior",IFERROR(IF(VLOOKUP($N28,Capa!$A:$AE,AX$5,0)="",0,VLOOKUP($N28,Capa!$A:$AE,AX$5,0)),0),IF(ISERROR(1/VLOOKUP($N28,Capa!$A:$AE,AX$5,0)),0,1/VLOOKUP($N28,Capa!$A:$AE,AX$5,0))))</f>
        <v/>
      </c>
      <c r="AY28" s="118" t="str">
        <f>IF(AY$6="","",IF(AY$3="Maior",IFERROR(IF(VLOOKUP($N28,Capa!$A:$AE,AY$5,0)="",0,VLOOKUP($N28,Capa!$A:$AE,AY$5,0)),0),IF(ISERROR(1/VLOOKUP($N28,Capa!$A:$AE,AY$5,0)),0,1/VLOOKUP($N28,Capa!$A:$AE,AY$5,0))))</f>
        <v/>
      </c>
      <c r="AZ28" s="118" t="str">
        <f>IF(AZ$6="","",IF(AZ$3="Maior",IFERROR(IF(VLOOKUP($N28,Capa!$A:$AE,AZ$5,0)="",0,VLOOKUP($N28,Capa!$A:$AE,AZ$5,0)),0),IF(ISERROR(1/VLOOKUP($N28,Capa!$A:$AE,AZ$5,0)),0,1/VLOOKUP($N28,Capa!$A:$AE,AZ$5,0))))</f>
        <v/>
      </c>
      <c r="BA28" s="118" t="str">
        <f>IF(BA$6="","",IF(BA$3="Maior",IFERROR(IF(VLOOKUP($N28,Capa!$A:$AE,BA$5,0)="",0,VLOOKUP($N28,Capa!$A:$AE,BA$5,0)),0),IF(ISERROR(1/VLOOKUP($N28,Capa!$A:$AE,BA$5,0)),0,1/VLOOKUP($N28,Capa!$A:$AE,BA$5,0))))</f>
        <v/>
      </c>
      <c r="BB28" s="118" t="str">
        <f>IF(BB$6="","",IF(BB$3="Maior",IFERROR(IF(VLOOKUP($N28,Capa!$A:$AE,BB$5,0)="",0,VLOOKUP($N28,Capa!$A:$AE,BB$5,0)),0),IF(ISERROR(1/VLOOKUP($N28,Capa!$A:$AE,BB$5,0)),0,1/VLOOKUP($N28,Capa!$A:$AE,BB$5,0))))</f>
        <v/>
      </c>
      <c r="BC28" s="118" t="str">
        <f>IF(BC$6="","",IF(BC$3="Maior",IFERROR(IF(VLOOKUP($N28,Capa!$A:$AE,BC$5,0)="",0,VLOOKUP($N28,Capa!$A:$AE,BC$5,0)),0),IF(ISERROR(1/VLOOKUP($N28,Capa!$A:$AE,BC$5,0)),0,1/VLOOKUP($N28,Capa!$A:$AE,BC$5,0))))</f>
        <v/>
      </c>
      <c r="BD28" s="118" t="str">
        <f>IF(BD$6="","",IF(BD$3="Maior",IFERROR(IF(VLOOKUP($N28,Capa!$A:$AE,BD$5,0)="",0,VLOOKUP($N28,Capa!$A:$AE,BD$5,0)),0),IF(ISERROR(1/VLOOKUP($N28,Capa!$A:$AE,BD$5,0)),0,1/VLOOKUP($N28,Capa!$A:$AE,BD$5,0))))</f>
        <v/>
      </c>
      <c r="BE28" s="118" t="str">
        <f>IF(BE$6="","",IF(BE$3="Maior",IFERROR(IF(VLOOKUP($N28,Capa!$A:$AE,BE$5,0)="",0,VLOOKUP($N28,Capa!$A:$AE,BE$5,0)),0),IF(ISERROR(1/VLOOKUP($N28,Capa!$A:$AE,BE$5,0)),0,1/VLOOKUP($N28,Capa!$A:$AE,BE$5,0))))</f>
        <v/>
      </c>
      <c r="BF28" s="118" t="str">
        <f>IF(BF$6="","",IF(BF$3="Maior",IFERROR(IF(VLOOKUP($N28,Capa!$A:$AE,BF$5,0)="",0,VLOOKUP($N28,Capa!$A:$AE,BF$5,0)),0),IF(ISERROR(1/VLOOKUP($N28,Capa!$A:$AE,BF$5,0)),0,1/VLOOKUP($N28,Capa!$A:$AE,BF$5,0))))</f>
        <v/>
      </c>
      <c r="BG28" s="118" t="str">
        <f>IF(BG$6="","",IF(BG$3="Maior",IFERROR(IF(VLOOKUP($N28,Capa!$A:$AE,BG$5,0)="",0,VLOOKUP($N28,Capa!$A:$AE,BG$5,0)),0),IF(ISERROR(1/VLOOKUP($N28,Capa!$A:$AE,BG$5,0)),0,1/VLOOKUP($N28,Capa!$A:$AE,BG$5,0))))</f>
        <v/>
      </c>
      <c r="BH28" s="118" t="str">
        <f>IF(BH$6="","",IF(BH$3="Maior",IFERROR(IF(VLOOKUP($N28,Capa!$A:$AE,BH$5,0)="",0,VLOOKUP($N28,Capa!$A:$AE,BH$5,0)),0),IF(ISERROR(1/VLOOKUP($N28,Capa!$A:$AE,BH$5,0)),0,1/VLOOKUP($N28,Capa!$A:$AE,BH$5,0))))</f>
        <v/>
      </c>
      <c r="BI28" s="118" t="str">
        <f>IF(BI$6="","",IF(BI$3="Maior",IFERROR(IF(VLOOKUP($N28,Capa!$A:$AE,BI$5,0)="",0,VLOOKUP($N28,Capa!$A:$AE,BI$5,0)),0),IF(ISERROR(1/VLOOKUP($N28,Capa!$A:$AE,BI$5,0)),0,1/VLOOKUP($N28,Capa!$A:$AE,BI$5,0))))</f>
        <v/>
      </c>
      <c r="BJ28" s="118" t="str">
        <f>IF(BJ$6="","",IF(BJ$3="Maior",IFERROR(IF(VLOOKUP($N28,Capa!$A:$AE,BJ$5,0)="",0,VLOOKUP($N28,Capa!$A:$AE,BJ$5,0)),0),IF(ISERROR(1/VLOOKUP($N28,Capa!$A:$AE,BJ$5,0)),0,1/VLOOKUP($N28,Capa!$A:$AE,BJ$5,0))))</f>
        <v/>
      </c>
      <c r="BK28" s="118" t="str">
        <f>IF(BK$6="","",IF(BK$3="Maior",IFERROR(IF(VLOOKUP($N28,Capa!$A:$AE,BK$5,0)="",0,VLOOKUP($N28,Capa!$A:$AE,BK$5,0)),0),IF(ISERROR(1/VLOOKUP($N28,Capa!$A:$AE,BK$5,0)),0,1/VLOOKUP($N28,Capa!$A:$AE,BK$5,0))))</f>
        <v/>
      </c>
      <c r="BL28" s="118" t="str">
        <f>IF(BL$6="","",IF(BL$3="Maior",IFERROR(IF(VLOOKUP($N28,Capa!$A:$AE,BL$5,0)="",0,VLOOKUP($N28,Capa!$A:$AE,BL$5,0)),0),IF(ISERROR(1/VLOOKUP($N28,Capa!$A:$AE,BL$5,0)),0,1/VLOOKUP($N28,Capa!$A:$AE,BL$5,0))))</f>
        <v/>
      </c>
      <c r="BM28" s="118" t="str">
        <f>IF(BM$6="","",IF(BM$3="Maior",IFERROR(IF(VLOOKUP($N28,Capa!$A:$AE,BM$5,0)="",0,VLOOKUP($N28,Capa!$A:$AE,BM$5,0)),0),IF(ISERROR(1/VLOOKUP($N28,Capa!$A:$AE,BM$5,0)),0,1/VLOOKUP($N28,Capa!$A:$AE,BM$5,0))))</f>
        <v/>
      </c>
      <c r="BN28" s="118" t="str">
        <f>IF(BN$6="","",IF(BN$3="Maior",IFERROR(IF(VLOOKUP($N28,Capa!$A:$AE,BN$5,0)="",0,VLOOKUP($N28,Capa!$A:$AE,BN$5,0)),0),IF(ISERROR(1/VLOOKUP($N28,Capa!$A:$AE,BN$5,0)),0,1/VLOOKUP($N28,Capa!$A:$AE,BN$5,0))))</f>
        <v/>
      </c>
      <c r="BO28" s="92"/>
    </row>
    <row r="29">
      <c r="B29" s="123">
        <f t="shared" si="23"/>
        <v>1</v>
      </c>
      <c r="C29" s="127" t="s">
        <v>38</v>
      </c>
      <c r="D29" s="119" t="b">
        <v>0</v>
      </c>
      <c r="E29" s="128" t="s">
        <v>564</v>
      </c>
      <c r="F29" s="119">
        <f>MATCH(C29,Capa!$6:$6,0)</f>
        <v>17</v>
      </c>
      <c r="G29" s="11"/>
      <c r="H29" s="8">
        <v>23.0</v>
      </c>
      <c r="I29" s="110" t="str">
        <f t="shared" si="6"/>
        <v>PETR3</v>
      </c>
      <c r="J29" s="111" t="str">
        <f>VLOOKUP(left(I29,4),Setor!A:D,3,0)&amp;" | "&amp;VLOOKUP(left(I29,4),Setor!A:D,4,0)</f>
        <v>Petróleo, Gás e Biocombustíveis | Petróleo, Gás e Biocombustíveis</v>
      </c>
      <c r="K29" s="112">
        <f t="shared" si="7"/>
        <v>482490808.3</v>
      </c>
      <c r="L29" s="11"/>
      <c r="M29" s="11"/>
      <c r="N29" s="10" t="s">
        <v>75</v>
      </c>
      <c r="O29" s="113">
        <f t="shared" si="8"/>
        <v>1175.0379</v>
      </c>
      <c r="P29" s="114">
        <f>VLOOKUP(N29,'Dados StatusInvest'!A:Z,26,0)</f>
        <v>295285663.2</v>
      </c>
      <c r="Q29" s="115">
        <f t="shared" si="9"/>
        <v>379.0379</v>
      </c>
      <c r="R29" s="116">
        <f t="shared" ref="R29:AO29" si="32">IF(AQ29="","", RANK(AQ29,AQ$7:AQ$503,0))</f>
        <v>320</v>
      </c>
      <c r="S29" s="115">
        <f t="shared" si="32"/>
        <v>476</v>
      </c>
      <c r="T29" s="115" t="str">
        <f t="shared" si="32"/>
        <v/>
      </c>
      <c r="U29" s="115" t="str">
        <f t="shared" si="32"/>
        <v/>
      </c>
      <c r="V29" s="115" t="str">
        <f t="shared" si="32"/>
        <v/>
      </c>
      <c r="W29" s="115" t="str">
        <f t="shared" si="32"/>
        <v/>
      </c>
      <c r="X29" s="115" t="str">
        <f t="shared" si="32"/>
        <v/>
      </c>
      <c r="Y29" s="115" t="str">
        <f t="shared" si="32"/>
        <v/>
      </c>
      <c r="Z29" s="115" t="str">
        <f t="shared" si="32"/>
        <v/>
      </c>
      <c r="AA29" s="115" t="str">
        <f t="shared" si="32"/>
        <v/>
      </c>
      <c r="AB29" s="115" t="str">
        <f t="shared" si="32"/>
        <v/>
      </c>
      <c r="AC29" s="115" t="str">
        <f t="shared" si="32"/>
        <v/>
      </c>
      <c r="AD29" s="115" t="str">
        <f t="shared" si="32"/>
        <v/>
      </c>
      <c r="AE29" s="115" t="str">
        <f t="shared" si="32"/>
        <v/>
      </c>
      <c r="AF29" s="115" t="str">
        <f t="shared" si="32"/>
        <v/>
      </c>
      <c r="AG29" s="115" t="str">
        <f t="shared" si="32"/>
        <v/>
      </c>
      <c r="AH29" s="115" t="str">
        <f t="shared" si="32"/>
        <v/>
      </c>
      <c r="AI29" s="115" t="str">
        <f t="shared" si="32"/>
        <v/>
      </c>
      <c r="AJ29" s="115" t="str">
        <f t="shared" si="32"/>
        <v/>
      </c>
      <c r="AK29" s="115" t="str">
        <f t="shared" si="32"/>
        <v/>
      </c>
      <c r="AL29" s="115" t="str">
        <f t="shared" si="32"/>
        <v/>
      </c>
      <c r="AM29" s="115" t="str">
        <f t="shared" si="32"/>
        <v/>
      </c>
      <c r="AN29" s="115" t="str">
        <f t="shared" si="32"/>
        <v/>
      </c>
      <c r="AO29" s="115" t="str">
        <f t="shared" si="32"/>
        <v/>
      </c>
      <c r="AP29" s="117">
        <f>IF(AP$6="","",IF(AP$3="Maior",IFERROR(IF(VLOOKUP($N29,Capa!$A:$AE,AP$5,0)="",0,VLOOKUP($N29,Capa!$A:$AE,AP$5,0)),0),IF(ISERROR(1/VLOOKUP($N29,Capa!$A:$AE,AP$5,0)),0,1/VLOOKUP($N29,Capa!$A:$AE,AP$5,0))))</f>
        <v>0.01687101889</v>
      </c>
      <c r="AQ29" s="118">
        <f>IF(AQ$6="","",IF(AQ$3="Maior",IFERROR(IF(VLOOKUP($N29,Capa!$A:$AE,AQ$5,0)="",0,VLOOKUP($N29,Capa!$A:$AE,AQ$5,0)),0),IF(ISERROR(1/VLOOKUP($N29,Capa!$A:$AE,AQ$5,0)),0,1/VLOOKUP($N29,Capa!$A:$AE,AQ$5,0))))</f>
        <v>3.49</v>
      </c>
      <c r="AR29" s="118">
        <f>IF(AR$6="","",IF(AR$3="Maior",IFERROR(IF(VLOOKUP($N29,Capa!$A:$AE,AR$5,0)="",0,VLOOKUP($N29,Capa!$A:$AE,AR$5,0)),0),IF(ISERROR(1/VLOOKUP($N29,Capa!$A:$AE,AR$5,0)),0,1/VLOOKUP($N29,Capa!$A:$AE,AR$5,0))))</f>
        <v>-11.56</v>
      </c>
      <c r="AS29" s="118" t="str">
        <f>IF(AS$6="","",IF(AS$3="Maior",IFERROR(IF(VLOOKUP($N29,Capa!$A:$AE,AS$5,0)="",0,VLOOKUP($N29,Capa!$A:$AE,AS$5,0)),0),IF(ISERROR(1/VLOOKUP($N29,Capa!$A:$AE,AS$5,0)),0,1/VLOOKUP($N29,Capa!$A:$AE,AS$5,0))))</f>
        <v/>
      </c>
      <c r="AT29" s="118" t="str">
        <f>IF(AT$6="","",IF(AT$3="Maior",IFERROR(IF(VLOOKUP($N29,Capa!$A:$AE,AT$5,0)="",0,VLOOKUP($N29,Capa!$A:$AE,AT$5,0)),0),IF(ISERROR(1/VLOOKUP($N29,Capa!$A:$AE,AT$5,0)),0,1/VLOOKUP($N29,Capa!$A:$AE,AT$5,0))))</f>
        <v/>
      </c>
      <c r="AU29" s="118" t="str">
        <f>IF(AU$6="","",IF(AU$3="Maior",IFERROR(IF(VLOOKUP($N29,Capa!$A:$AE,AU$5,0)="",0,VLOOKUP($N29,Capa!$A:$AE,AU$5,0)),0),IF(ISERROR(1/VLOOKUP($N29,Capa!$A:$AE,AU$5,0)),0,1/VLOOKUP($N29,Capa!$A:$AE,AU$5,0))))</f>
        <v/>
      </c>
      <c r="AV29" s="118" t="str">
        <f>IF(AV$6="","",IF(AV$3="Maior",IFERROR(IF(VLOOKUP($N29,Capa!$A:$AE,AV$5,0)="",0,VLOOKUP($N29,Capa!$A:$AE,AV$5,0)),0),IF(ISERROR(1/VLOOKUP($N29,Capa!$A:$AE,AV$5,0)),0,1/VLOOKUP($N29,Capa!$A:$AE,AV$5,0))))</f>
        <v/>
      </c>
      <c r="AW29" s="118" t="str">
        <f>IF(AW$6="","",IF(AW$3="Maior",IFERROR(IF(VLOOKUP($N29,Capa!$A:$AE,AW$5,0)="",0,VLOOKUP($N29,Capa!$A:$AE,AW$5,0)),0),IF(ISERROR(1/VLOOKUP($N29,Capa!$A:$AE,AW$5,0)),0,1/VLOOKUP($N29,Capa!$A:$AE,AW$5,0))))</f>
        <v/>
      </c>
      <c r="AX29" s="118" t="str">
        <f>IF(AX$6="","",IF(AX$3="Maior",IFERROR(IF(VLOOKUP($N29,Capa!$A:$AE,AX$5,0)="",0,VLOOKUP($N29,Capa!$A:$AE,AX$5,0)),0),IF(ISERROR(1/VLOOKUP($N29,Capa!$A:$AE,AX$5,0)),0,1/VLOOKUP($N29,Capa!$A:$AE,AX$5,0))))</f>
        <v/>
      </c>
      <c r="AY29" s="118" t="str">
        <f>IF(AY$6="","",IF(AY$3="Maior",IFERROR(IF(VLOOKUP($N29,Capa!$A:$AE,AY$5,0)="",0,VLOOKUP($N29,Capa!$A:$AE,AY$5,0)),0),IF(ISERROR(1/VLOOKUP($N29,Capa!$A:$AE,AY$5,0)),0,1/VLOOKUP($N29,Capa!$A:$AE,AY$5,0))))</f>
        <v/>
      </c>
      <c r="AZ29" s="118" t="str">
        <f>IF(AZ$6="","",IF(AZ$3="Maior",IFERROR(IF(VLOOKUP($N29,Capa!$A:$AE,AZ$5,0)="",0,VLOOKUP($N29,Capa!$A:$AE,AZ$5,0)),0),IF(ISERROR(1/VLOOKUP($N29,Capa!$A:$AE,AZ$5,0)),0,1/VLOOKUP($N29,Capa!$A:$AE,AZ$5,0))))</f>
        <v/>
      </c>
      <c r="BA29" s="118" t="str">
        <f>IF(BA$6="","",IF(BA$3="Maior",IFERROR(IF(VLOOKUP($N29,Capa!$A:$AE,BA$5,0)="",0,VLOOKUP($N29,Capa!$A:$AE,BA$5,0)),0),IF(ISERROR(1/VLOOKUP($N29,Capa!$A:$AE,BA$5,0)),0,1/VLOOKUP($N29,Capa!$A:$AE,BA$5,0))))</f>
        <v/>
      </c>
      <c r="BB29" s="118" t="str">
        <f>IF(BB$6="","",IF(BB$3="Maior",IFERROR(IF(VLOOKUP($N29,Capa!$A:$AE,BB$5,0)="",0,VLOOKUP($N29,Capa!$A:$AE,BB$5,0)),0),IF(ISERROR(1/VLOOKUP($N29,Capa!$A:$AE,BB$5,0)),0,1/VLOOKUP($N29,Capa!$A:$AE,BB$5,0))))</f>
        <v/>
      </c>
      <c r="BC29" s="118" t="str">
        <f>IF(BC$6="","",IF(BC$3="Maior",IFERROR(IF(VLOOKUP($N29,Capa!$A:$AE,BC$5,0)="",0,VLOOKUP($N29,Capa!$A:$AE,BC$5,0)),0),IF(ISERROR(1/VLOOKUP($N29,Capa!$A:$AE,BC$5,0)),0,1/VLOOKUP($N29,Capa!$A:$AE,BC$5,0))))</f>
        <v/>
      </c>
      <c r="BD29" s="118" t="str">
        <f>IF(BD$6="","",IF(BD$3="Maior",IFERROR(IF(VLOOKUP($N29,Capa!$A:$AE,BD$5,0)="",0,VLOOKUP($N29,Capa!$A:$AE,BD$5,0)),0),IF(ISERROR(1/VLOOKUP($N29,Capa!$A:$AE,BD$5,0)),0,1/VLOOKUP($N29,Capa!$A:$AE,BD$5,0))))</f>
        <v/>
      </c>
      <c r="BE29" s="118" t="str">
        <f>IF(BE$6="","",IF(BE$3="Maior",IFERROR(IF(VLOOKUP($N29,Capa!$A:$AE,BE$5,0)="",0,VLOOKUP($N29,Capa!$A:$AE,BE$5,0)),0),IF(ISERROR(1/VLOOKUP($N29,Capa!$A:$AE,BE$5,0)),0,1/VLOOKUP($N29,Capa!$A:$AE,BE$5,0))))</f>
        <v/>
      </c>
      <c r="BF29" s="118" t="str">
        <f>IF(BF$6="","",IF(BF$3="Maior",IFERROR(IF(VLOOKUP($N29,Capa!$A:$AE,BF$5,0)="",0,VLOOKUP($N29,Capa!$A:$AE,BF$5,0)),0),IF(ISERROR(1/VLOOKUP($N29,Capa!$A:$AE,BF$5,0)),0,1/VLOOKUP($N29,Capa!$A:$AE,BF$5,0))))</f>
        <v/>
      </c>
      <c r="BG29" s="118" t="str">
        <f>IF(BG$6="","",IF(BG$3="Maior",IFERROR(IF(VLOOKUP($N29,Capa!$A:$AE,BG$5,0)="",0,VLOOKUP($N29,Capa!$A:$AE,BG$5,0)),0),IF(ISERROR(1/VLOOKUP($N29,Capa!$A:$AE,BG$5,0)),0,1/VLOOKUP($N29,Capa!$A:$AE,BG$5,0))))</f>
        <v/>
      </c>
      <c r="BH29" s="118" t="str">
        <f>IF(BH$6="","",IF(BH$3="Maior",IFERROR(IF(VLOOKUP($N29,Capa!$A:$AE,BH$5,0)="",0,VLOOKUP($N29,Capa!$A:$AE,BH$5,0)),0),IF(ISERROR(1/VLOOKUP($N29,Capa!$A:$AE,BH$5,0)),0,1/VLOOKUP($N29,Capa!$A:$AE,BH$5,0))))</f>
        <v/>
      </c>
      <c r="BI29" s="118" t="str">
        <f>IF(BI$6="","",IF(BI$3="Maior",IFERROR(IF(VLOOKUP($N29,Capa!$A:$AE,BI$5,0)="",0,VLOOKUP($N29,Capa!$A:$AE,BI$5,0)),0),IF(ISERROR(1/VLOOKUP($N29,Capa!$A:$AE,BI$5,0)),0,1/VLOOKUP($N29,Capa!$A:$AE,BI$5,0))))</f>
        <v/>
      </c>
      <c r="BJ29" s="118" t="str">
        <f>IF(BJ$6="","",IF(BJ$3="Maior",IFERROR(IF(VLOOKUP($N29,Capa!$A:$AE,BJ$5,0)="",0,VLOOKUP($N29,Capa!$A:$AE,BJ$5,0)),0),IF(ISERROR(1/VLOOKUP($N29,Capa!$A:$AE,BJ$5,0)),0,1/VLOOKUP($N29,Capa!$A:$AE,BJ$5,0))))</f>
        <v/>
      </c>
      <c r="BK29" s="118" t="str">
        <f>IF(BK$6="","",IF(BK$3="Maior",IFERROR(IF(VLOOKUP($N29,Capa!$A:$AE,BK$5,0)="",0,VLOOKUP($N29,Capa!$A:$AE,BK$5,0)),0),IF(ISERROR(1/VLOOKUP($N29,Capa!$A:$AE,BK$5,0)),0,1/VLOOKUP($N29,Capa!$A:$AE,BK$5,0))))</f>
        <v/>
      </c>
      <c r="BL29" s="118" t="str">
        <f>IF(BL$6="","",IF(BL$3="Maior",IFERROR(IF(VLOOKUP($N29,Capa!$A:$AE,BL$5,0)="",0,VLOOKUP($N29,Capa!$A:$AE,BL$5,0)),0),IF(ISERROR(1/VLOOKUP($N29,Capa!$A:$AE,BL$5,0)),0,1/VLOOKUP($N29,Capa!$A:$AE,BL$5,0))))</f>
        <v/>
      </c>
      <c r="BM29" s="118" t="str">
        <f>IF(BM$6="","",IF(BM$3="Maior",IFERROR(IF(VLOOKUP($N29,Capa!$A:$AE,BM$5,0)="",0,VLOOKUP($N29,Capa!$A:$AE,BM$5,0)),0),IF(ISERROR(1/VLOOKUP($N29,Capa!$A:$AE,BM$5,0)),0,1/VLOOKUP($N29,Capa!$A:$AE,BM$5,0))))</f>
        <v/>
      </c>
      <c r="BN29" s="118" t="str">
        <f>IF(BN$6="","",IF(BN$3="Maior",IFERROR(IF(VLOOKUP($N29,Capa!$A:$AE,BN$5,0)="",0,VLOOKUP($N29,Capa!$A:$AE,BN$5,0)),0),IF(ISERROR(1/VLOOKUP($N29,Capa!$A:$AE,BN$5,0)),0,1/VLOOKUP($N29,Capa!$A:$AE,BN$5,0))))</f>
        <v/>
      </c>
      <c r="BO29" s="92"/>
    </row>
    <row r="30">
      <c r="B30" s="123">
        <f t="shared" si="23"/>
        <v>1</v>
      </c>
      <c r="C30" s="127" t="s">
        <v>39</v>
      </c>
      <c r="D30" s="119" t="b">
        <v>0</v>
      </c>
      <c r="E30" s="128" t="s">
        <v>564</v>
      </c>
      <c r="F30" s="119">
        <f>MATCH(C30,Capa!$6:$6,0)</f>
        <v>18</v>
      </c>
      <c r="G30" s="11"/>
      <c r="H30" s="8">
        <v>24.0</v>
      </c>
      <c r="I30" s="110" t="str">
        <f t="shared" si="6"/>
        <v>PETR4</v>
      </c>
      <c r="J30" s="111" t="str">
        <f>VLOOKUP(left(I30,4),Setor!A:D,3,0)&amp;" | "&amp;VLOOKUP(left(I30,4),Setor!A:D,4,0)</f>
        <v>Petróleo, Gás e Biocombustíveis | Petróleo, Gás e Biocombustíveis</v>
      </c>
      <c r="K30" s="112">
        <f t="shared" si="7"/>
        <v>1987397901</v>
      </c>
      <c r="L30" s="11"/>
      <c r="M30" s="11"/>
      <c r="N30" s="10" t="s">
        <v>76</v>
      </c>
      <c r="O30" s="113">
        <f t="shared" si="8"/>
        <v>420.0125</v>
      </c>
      <c r="P30" s="114">
        <f>VLOOKUP(N30,'Dados StatusInvest'!A:Z,26,0)</f>
        <v>274594337.3</v>
      </c>
      <c r="Q30" s="115">
        <f t="shared" si="9"/>
        <v>125.0125</v>
      </c>
      <c r="R30" s="116">
        <f t="shared" ref="R30:AO30" si="33">IF(AQ30="","", RANK(AQ30,AQ$7:AQ$503,0))</f>
        <v>76</v>
      </c>
      <c r="S30" s="115">
        <f t="shared" si="33"/>
        <v>219</v>
      </c>
      <c r="T30" s="115" t="str">
        <f t="shared" si="33"/>
        <v/>
      </c>
      <c r="U30" s="115" t="str">
        <f t="shared" si="33"/>
        <v/>
      </c>
      <c r="V30" s="115" t="str">
        <f t="shared" si="33"/>
        <v/>
      </c>
      <c r="W30" s="115" t="str">
        <f t="shared" si="33"/>
        <v/>
      </c>
      <c r="X30" s="115" t="str">
        <f t="shared" si="33"/>
        <v/>
      </c>
      <c r="Y30" s="115" t="str">
        <f t="shared" si="33"/>
        <v/>
      </c>
      <c r="Z30" s="115" t="str">
        <f t="shared" si="33"/>
        <v/>
      </c>
      <c r="AA30" s="115" t="str">
        <f t="shared" si="33"/>
        <v/>
      </c>
      <c r="AB30" s="115" t="str">
        <f t="shared" si="33"/>
        <v/>
      </c>
      <c r="AC30" s="115" t="str">
        <f t="shared" si="33"/>
        <v/>
      </c>
      <c r="AD30" s="115" t="str">
        <f t="shared" si="33"/>
        <v/>
      </c>
      <c r="AE30" s="115" t="str">
        <f t="shared" si="33"/>
        <v/>
      </c>
      <c r="AF30" s="115" t="str">
        <f t="shared" si="33"/>
        <v/>
      </c>
      <c r="AG30" s="115" t="str">
        <f t="shared" si="33"/>
        <v/>
      </c>
      <c r="AH30" s="115" t="str">
        <f t="shared" si="33"/>
        <v/>
      </c>
      <c r="AI30" s="115" t="str">
        <f t="shared" si="33"/>
        <v/>
      </c>
      <c r="AJ30" s="115" t="str">
        <f t="shared" si="33"/>
        <v/>
      </c>
      <c r="AK30" s="115" t="str">
        <f t="shared" si="33"/>
        <v/>
      </c>
      <c r="AL30" s="115" t="str">
        <f t="shared" si="33"/>
        <v/>
      </c>
      <c r="AM30" s="115" t="str">
        <f t="shared" si="33"/>
        <v/>
      </c>
      <c r="AN30" s="115" t="str">
        <f t="shared" si="33"/>
        <v/>
      </c>
      <c r="AO30" s="115" t="str">
        <f t="shared" si="33"/>
        <v/>
      </c>
      <c r="AP30" s="117">
        <f>IF(AP$6="","",IF(AP$3="Maior",IFERROR(IF(VLOOKUP($N30,Capa!$A:$AE,AP$5,0)="",0,VLOOKUP($N30,Capa!$A:$AE,AP$5,0)),0),IF(ISERROR(1/VLOOKUP($N30,Capa!$A:$AE,AP$5,0)),0,1/VLOOKUP($N30,Capa!$A:$AE,AP$5,0))))</f>
        <v>0.1502036853</v>
      </c>
      <c r="AQ30" s="118">
        <f>IF(AQ$6="","",IF(AQ$3="Maior",IFERROR(IF(VLOOKUP($N30,Capa!$A:$AE,AQ$5,0)="",0,VLOOKUP($N30,Capa!$A:$AE,AQ$5,0)),0),IF(ISERROR(1/VLOOKUP($N30,Capa!$A:$AE,AQ$5,0)),0,1/VLOOKUP($N30,Capa!$A:$AE,AQ$5,0))))</f>
        <v>20.4</v>
      </c>
      <c r="AR30" s="118">
        <f>IF(AR$6="","",IF(AR$3="Maior",IFERROR(IF(VLOOKUP($N30,Capa!$A:$AE,AR$5,0)="",0,VLOOKUP($N30,Capa!$A:$AE,AR$5,0)),0),IF(ISERROR(1/VLOOKUP($N30,Capa!$A:$AE,AR$5,0)),0,1/VLOOKUP($N30,Capa!$A:$AE,AR$5,0))))</f>
        <v>0</v>
      </c>
      <c r="AS30" s="118" t="str">
        <f>IF(AS$6="","",IF(AS$3="Maior",IFERROR(IF(VLOOKUP($N30,Capa!$A:$AE,AS$5,0)="",0,VLOOKUP($N30,Capa!$A:$AE,AS$5,0)),0),IF(ISERROR(1/VLOOKUP($N30,Capa!$A:$AE,AS$5,0)),0,1/VLOOKUP($N30,Capa!$A:$AE,AS$5,0))))</f>
        <v/>
      </c>
      <c r="AT30" s="118" t="str">
        <f>IF(AT$6="","",IF(AT$3="Maior",IFERROR(IF(VLOOKUP($N30,Capa!$A:$AE,AT$5,0)="",0,VLOOKUP($N30,Capa!$A:$AE,AT$5,0)),0),IF(ISERROR(1/VLOOKUP($N30,Capa!$A:$AE,AT$5,0)),0,1/VLOOKUP($N30,Capa!$A:$AE,AT$5,0))))</f>
        <v/>
      </c>
      <c r="AU30" s="118" t="str">
        <f>IF(AU$6="","",IF(AU$3="Maior",IFERROR(IF(VLOOKUP($N30,Capa!$A:$AE,AU$5,0)="",0,VLOOKUP($N30,Capa!$A:$AE,AU$5,0)),0),IF(ISERROR(1/VLOOKUP($N30,Capa!$A:$AE,AU$5,0)),0,1/VLOOKUP($N30,Capa!$A:$AE,AU$5,0))))</f>
        <v/>
      </c>
      <c r="AV30" s="118" t="str">
        <f>IF(AV$6="","",IF(AV$3="Maior",IFERROR(IF(VLOOKUP($N30,Capa!$A:$AE,AV$5,0)="",0,VLOOKUP($N30,Capa!$A:$AE,AV$5,0)),0),IF(ISERROR(1/VLOOKUP($N30,Capa!$A:$AE,AV$5,0)),0,1/VLOOKUP($N30,Capa!$A:$AE,AV$5,0))))</f>
        <v/>
      </c>
      <c r="AW30" s="118" t="str">
        <f>IF(AW$6="","",IF(AW$3="Maior",IFERROR(IF(VLOOKUP($N30,Capa!$A:$AE,AW$5,0)="",0,VLOOKUP($N30,Capa!$A:$AE,AW$5,0)),0),IF(ISERROR(1/VLOOKUP($N30,Capa!$A:$AE,AW$5,0)),0,1/VLOOKUP($N30,Capa!$A:$AE,AW$5,0))))</f>
        <v/>
      </c>
      <c r="AX30" s="118" t="str">
        <f>IF(AX$6="","",IF(AX$3="Maior",IFERROR(IF(VLOOKUP($N30,Capa!$A:$AE,AX$5,0)="",0,VLOOKUP($N30,Capa!$A:$AE,AX$5,0)),0),IF(ISERROR(1/VLOOKUP($N30,Capa!$A:$AE,AX$5,0)),0,1/VLOOKUP($N30,Capa!$A:$AE,AX$5,0))))</f>
        <v/>
      </c>
      <c r="AY30" s="118" t="str">
        <f>IF(AY$6="","",IF(AY$3="Maior",IFERROR(IF(VLOOKUP($N30,Capa!$A:$AE,AY$5,0)="",0,VLOOKUP($N30,Capa!$A:$AE,AY$5,0)),0),IF(ISERROR(1/VLOOKUP($N30,Capa!$A:$AE,AY$5,0)),0,1/VLOOKUP($N30,Capa!$A:$AE,AY$5,0))))</f>
        <v/>
      </c>
      <c r="AZ30" s="118" t="str">
        <f>IF(AZ$6="","",IF(AZ$3="Maior",IFERROR(IF(VLOOKUP($N30,Capa!$A:$AE,AZ$5,0)="",0,VLOOKUP($N30,Capa!$A:$AE,AZ$5,0)),0),IF(ISERROR(1/VLOOKUP($N30,Capa!$A:$AE,AZ$5,0)),0,1/VLOOKUP($N30,Capa!$A:$AE,AZ$5,0))))</f>
        <v/>
      </c>
      <c r="BA30" s="118" t="str">
        <f>IF(BA$6="","",IF(BA$3="Maior",IFERROR(IF(VLOOKUP($N30,Capa!$A:$AE,BA$5,0)="",0,VLOOKUP($N30,Capa!$A:$AE,BA$5,0)),0),IF(ISERROR(1/VLOOKUP($N30,Capa!$A:$AE,BA$5,0)),0,1/VLOOKUP($N30,Capa!$A:$AE,BA$5,0))))</f>
        <v/>
      </c>
      <c r="BB30" s="118" t="str">
        <f>IF(BB$6="","",IF(BB$3="Maior",IFERROR(IF(VLOOKUP($N30,Capa!$A:$AE,BB$5,0)="",0,VLOOKUP($N30,Capa!$A:$AE,BB$5,0)),0),IF(ISERROR(1/VLOOKUP($N30,Capa!$A:$AE,BB$5,0)),0,1/VLOOKUP($N30,Capa!$A:$AE,BB$5,0))))</f>
        <v/>
      </c>
      <c r="BC30" s="118" t="str">
        <f>IF(BC$6="","",IF(BC$3="Maior",IFERROR(IF(VLOOKUP($N30,Capa!$A:$AE,BC$5,0)="",0,VLOOKUP($N30,Capa!$A:$AE,BC$5,0)),0),IF(ISERROR(1/VLOOKUP($N30,Capa!$A:$AE,BC$5,0)),0,1/VLOOKUP($N30,Capa!$A:$AE,BC$5,0))))</f>
        <v/>
      </c>
      <c r="BD30" s="118" t="str">
        <f>IF(BD$6="","",IF(BD$3="Maior",IFERROR(IF(VLOOKUP($N30,Capa!$A:$AE,BD$5,0)="",0,VLOOKUP($N30,Capa!$A:$AE,BD$5,0)),0),IF(ISERROR(1/VLOOKUP($N30,Capa!$A:$AE,BD$5,0)),0,1/VLOOKUP($N30,Capa!$A:$AE,BD$5,0))))</f>
        <v/>
      </c>
      <c r="BE30" s="118" t="str">
        <f>IF(BE$6="","",IF(BE$3="Maior",IFERROR(IF(VLOOKUP($N30,Capa!$A:$AE,BE$5,0)="",0,VLOOKUP($N30,Capa!$A:$AE,BE$5,0)),0),IF(ISERROR(1/VLOOKUP($N30,Capa!$A:$AE,BE$5,0)),0,1/VLOOKUP($N30,Capa!$A:$AE,BE$5,0))))</f>
        <v/>
      </c>
      <c r="BF30" s="118" t="str">
        <f>IF(BF$6="","",IF(BF$3="Maior",IFERROR(IF(VLOOKUP($N30,Capa!$A:$AE,BF$5,0)="",0,VLOOKUP($N30,Capa!$A:$AE,BF$5,0)),0),IF(ISERROR(1/VLOOKUP($N30,Capa!$A:$AE,BF$5,0)),0,1/VLOOKUP($N30,Capa!$A:$AE,BF$5,0))))</f>
        <v/>
      </c>
      <c r="BG30" s="118" t="str">
        <f>IF(BG$6="","",IF(BG$3="Maior",IFERROR(IF(VLOOKUP($N30,Capa!$A:$AE,BG$5,0)="",0,VLOOKUP($N30,Capa!$A:$AE,BG$5,0)),0),IF(ISERROR(1/VLOOKUP($N30,Capa!$A:$AE,BG$5,0)),0,1/VLOOKUP($N30,Capa!$A:$AE,BG$5,0))))</f>
        <v/>
      </c>
      <c r="BH30" s="118" t="str">
        <f>IF(BH$6="","",IF(BH$3="Maior",IFERROR(IF(VLOOKUP($N30,Capa!$A:$AE,BH$5,0)="",0,VLOOKUP($N30,Capa!$A:$AE,BH$5,0)),0),IF(ISERROR(1/VLOOKUP($N30,Capa!$A:$AE,BH$5,0)),0,1/VLOOKUP($N30,Capa!$A:$AE,BH$5,0))))</f>
        <v/>
      </c>
      <c r="BI30" s="118" t="str">
        <f>IF(BI$6="","",IF(BI$3="Maior",IFERROR(IF(VLOOKUP($N30,Capa!$A:$AE,BI$5,0)="",0,VLOOKUP($N30,Capa!$A:$AE,BI$5,0)),0),IF(ISERROR(1/VLOOKUP($N30,Capa!$A:$AE,BI$5,0)),0,1/VLOOKUP($N30,Capa!$A:$AE,BI$5,0))))</f>
        <v/>
      </c>
      <c r="BJ30" s="118" t="str">
        <f>IF(BJ$6="","",IF(BJ$3="Maior",IFERROR(IF(VLOOKUP($N30,Capa!$A:$AE,BJ$5,0)="",0,VLOOKUP($N30,Capa!$A:$AE,BJ$5,0)),0),IF(ISERROR(1/VLOOKUP($N30,Capa!$A:$AE,BJ$5,0)),0,1/VLOOKUP($N30,Capa!$A:$AE,BJ$5,0))))</f>
        <v/>
      </c>
      <c r="BK30" s="118" t="str">
        <f>IF(BK$6="","",IF(BK$3="Maior",IFERROR(IF(VLOOKUP($N30,Capa!$A:$AE,BK$5,0)="",0,VLOOKUP($N30,Capa!$A:$AE,BK$5,0)),0),IF(ISERROR(1/VLOOKUP($N30,Capa!$A:$AE,BK$5,0)),0,1/VLOOKUP($N30,Capa!$A:$AE,BK$5,0))))</f>
        <v/>
      </c>
      <c r="BL30" s="118" t="str">
        <f>IF(BL$6="","",IF(BL$3="Maior",IFERROR(IF(VLOOKUP($N30,Capa!$A:$AE,BL$5,0)="",0,VLOOKUP($N30,Capa!$A:$AE,BL$5,0)),0),IF(ISERROR(1/VLOOKUP($N30,Capa!$A:$AE,BL$5,0)),0,1/VLOOKUP($N30,Capa!$A:$AE,BL$5,0))))</f>
        <v/>
      </c>
      <c r="BM30" s="118" t="str">
        <f>IF(BM$6="","",IF(BM$3="Maior",IFERROR(IF(VLOOKUP($N30,Capa!$A:$AE,BM$5,0)="",0,VLOOKUP($N30,Capa!$A:$AE,BM$5,0)),0),IF(ISERROR(1/VLOOKUP($N30,Capa!$A:$AE,BM$5,0)),0,1/VLOOKUP($N30,Capa!$A:$AE,BM$5,0))))</f>
        <v/>
      </c>
      <c r="BN30" s="118" t="str">
        <f>IF(BN$6="","",IF(BN$3="Maior",IFERROR(IF(VLOOKUP($N30,Capa!$A:$AE,BN$5,0)="",0,VLOOKUP($N30,Capa!$A:$AE,BN$5,0)),0),IF(ISERROR(1/VLOOKUP($N30,Capa!$A:$AE,BN$5,0)),0,1/VLOOKUP($N30,Capa!$A:$AE,BN$5,0))))</f>
        <v/>
      </c>
      <c r="BO30" s="92"/>
    </row>
    <row r="31">
      <c r="B31" s="123">
        <f t="shared" si="23"/>
        <v>1</v>
      </c>
      <c r="C31" s="127" t="s">
        <v>40</v>
      </c>
      <c r="D31" s="119" t="b">
        <v>0</v>
      </c>
      <c r="E31" s="128" t="s">
        <v>565</v>
      </c>
      <c r="F31" s="119">
        <f>MATCH(C31,Capa!$6:$6,0)</f>
        <v>19</v>
      </c>
      <c r="G31" s="11"/>
      <c r="H31" s="8">
        <v>25.0</v>
      </c>
      <c r="I31" s="110" t="str">
        <f t="shared" si="6"/>
        <v>ALLD3</v>
      </c>
      <c r="J31" s="111" t="str">
        <f>VLOOKUP(left(I31,4),Setor!A:D,3,0)&amp;" | "&amp;VLOOKUP(left(I31,4),Setor!A:D,4,0)</f>
        <v>#N/A</v>
      </c>
      <c r="K31" s="112">
        <f t="shared" si="7"/>
        <v>11596233.96</v>
      </c>
      <c r="L31" s="11"/>
      <c r="M31" s="11"/>
      <c r="N31" s="10" t="s">
        <v>77</v>
      </c>
      <c r="O31" s="113">
        <f t="shared" si="8"/>
        <v>1257.0413</v>
      </c>
      <c r="P31" s="114">
        <f>VLOOKUP(N31,'Dados StatusInvest'!A:Z,26,0)</f>
        <v>398288289.3</v>
      </c>
      <c r="Q31" s="115">
        <f t="shared" si="9"/>
        <v>413.0413</v>
      </c>
      <c r="R31" s="116">
        <f t="shared" ref="R31:AO31" si="34">IF(AQ31="","", RANK(AQ31,AQ$7:AQ$503,0))</f>
        <v>375</v>
      </c>
      <c r="S31" s="115">
        <f t="shared" si="34"/>
        <v>469</v>
      </c>
      <c r="T31" s="115" t="str">
        <f t="shared" si="34"/>
        <v/>
      </c>
      <c r="U31" s="115" t="str">
        <f t="shared" si="34"/>
        <v/>
      </c>
      <c r="V31" s="115" t="str">
        <f t="shared" si="34"/>
        <v/>
      </c>
      <c r="W31" s="115" t="str">
        <f t="shared" si="34"/>
        <v/>
      </c>
      <c r="X31" s="115" t="str">
        <f t="shared" si="34"/>
        <v/>
      </c>
      <c r="Y31" s="115" t="str">
        <f t="shared" si="34"/>
        <v/>
      </c>
      <c r="Z31" s="115" t="str">
        <f t="shared" si="34"/>
        <v/>
      </c>
      <c r="AA31" s="115" t="str">
        <f t="shared" si="34"/>
        <v/>
      </c>
      <c r="AB31" s="115" t="str">
        <f t="shared" si="34"/>
        <v/>
      </c>
      <c r="AC31" s="115" t="str">
        <f t="shared" si="34"/>
        <v/>
      </c>
      <c r="AD31" s="115" t="str">
        <f t="shared" si="34"/>
        <v/>
      </c>
      <c r="AE31" s="115" t="str">
        <f t="shared" si="34"/>
        <v/>
      </c>
      <c r="AF31" s="115" t="str">
        <f t="shared" si="34"/>
        <v/>
      </c>
      <c r="AG31" s="115" t="str">
        <f t="shared" si="34"/>
        <v/>
      </c>
      <c r="AH31" s="115" t="str">
        <f t="shared" si="34"/>
        <v/>
      </c>
      <c r="AI31" s="115" t="str">
        <f t="shared" si="34"/>
        <v/>
      </c>
      <c r="AJ31" s="115" t="str">
        <f t="shared" si="34"/>
        <v/>
      </c>
      <c r="AK31" s="115" t="str">
        <f t="shared" si="34"/>
        <v/>
      </c>
      <c r="AL31" s="115" t="str">
        <f t="shared" si="34"/>
        <v/>
      </c>
      <c r="AM31" s="115" t="str">
        <f t="shared" si="34"/>
        <v/>
      </c>
      <c r="AN31" s="115" t="str">
        <f t="shared" si="34"/>
        <v/>
      </c>
      <c r="AO31" s="115" t="str">
        <f t="shared" si="34"/>
        <v/>
      </c>
      <c r="AP31" s="117">
        <f>IF(AP$6="","",IF(AP$3="Maior",IFERROR(IF(VLOOKUP($N31,Capa!$A:$AE,AP$5,0)="",0,VLOOKUP($N31,Capa!$A:$AE,AP$5,0)),0),IF(ISERROR(1/VLOOKUP($N31,Capa!$A:$AE,AP$5,0)),0,1/VLOOKUP($N31,Capa!$A:$AE,AP$5,0))))</f>
        <v>-0.002401499501</v>
      </c>
      <c r="AQ31" s="118">
        <f>IF(AQ$6="","",IF(AQ$3="Maior",IFERROR(IF(VLOOKUP($N31,Capa!$A:$AE,AQ$5,0)="",0,VLOOKUP($N31,Capa!$A:$AE,AQ$5,0)),0),IF(ISERROR(1/VLOOKUP($N31,Capa!$A:$AE,AQ$5,0)),0,1/VLOOKUP($N31,Capa!$A:$AE,AQ$5,0))))</f>
        <v>0</v>
      </c>
      <c r="AR31" s="118">
        <f>IF(AR$6="","",IF(AR$3="Maior",IFERROR(IF(VLOOKUP($N31,Capa!$A:$AE,AR$5,0)="",0,VLOOKUP($N31,Capa!$A:$AE,AR$5,0)),0),IF(ISERROR(1/VLOOKUP($N31,Capa!$A:$AE,AR$5,0)),0,1/VLOOKUP($N31,Capa!$A:$AE,AR$5,0))))</f>
        <v>-3.95</v>
      </c>
      <c r="AS31" s="118" t="str">
        <f>IF(AS$6="","",IF(AS$3="Maior",IFERROR(IF(VLOOKUP($N31,Capa!$A:$AE,AS$5,0)="",0,VLOOKUP($N31,Capa!$A:$AE,AS$5,0)),0),IF(ISERROR(1/VLOOKUP($N31,Capa!$A:$AE,AS$5,0)),0,1/VLOOKUP($N31,Capa!$A:$AE,AS$5,0))))</f>
        <v/>
      </c>
      <c r="AT31" s="118" t="str">
        <f>IF(AT$6="","",IF(AT$3="Maior",IFERROR(IF(VLOOKUP($N31,Capa!$A:$AE,AT$5,0)="",0,VLOOKUP($N31,Capa!$A:$AE,AT$5,0)),0),IF(ISERROR(1/VLOOKUP($N31,Capa!$A:$AE,AT$5,0)),0,1/VLOOKUP($N31,Capa!$A:$AE,AT$5,0))))</f>
        <v/>
      </c>
      <c r="AU31" s="118" t="str">
        <f>IF(AU$6="","",IF(AU$3="Maior",IFERROR(IF(VLOOKUP($N31,Capa!$A:$AE,AU$5,0)="",0,VLOOKUP($N31,Capa!$A:$AE,AU$5,0)),0),IF(ISERROR(1/VLOOKUP($N31,Capa!$A:$AE,AU$5,0)),0,1/VLOOKUP($N31,Capa!$A:$AE,AU$5,0))))</f>
        <v/>
      </c>
      <c r="AV31" s="118" t="str">
        <f>IF(AV$6="","",IF(AV$3="Maior",IFERROR(IF(VLOOKUP($N31,Capa!$A:$AE,AV$5,0)="",0,VLOOKUP($N31,Capa!$A:$AE,AV$5,0)),0),IF(ISERROR(1/VLOOKUP($N31,Capa!$A:$AE,AV$5,0)),0,1/VLOOKUP($N31,Capa!$A:$AE,AV$5,0))))</f>
        <v/>
      </c>
      <c r="AW31" s="118" t="str">
        <f>IF(AW$6="","",IF(AW$3="Maior",IFERROR(IF(VLOOKUP($N31,Capa!$A:$AE,AW$5,0)="",0,VLOOKUP($N31,Capa!$A:$AE,AW$5,0)),0),IF(ISERROR(1/VLOOKUP($N31,Capa!$A:$AE,AW$5,0)),0,1/VLOOKUP($N31,Capa!$A:$AE,AW$5,0))))</f>
        <v/>
      </c>
      <c r="AX31" s="118" t="str">
        <f>IF(AX$6="","",IF(AX$3="Maior",IFERROR(IF(VLOOKUP($N31,Capa!$A:$AE,AX$5,0)="",0,VLOOKUP($N31,Capa!$A:$AE,AX$5,0)),0),IF(ISERROR(1/VLOOKUP($N31,Capa!$A:$AE,AX$5,0)),0,1/VLOOKUP($N31,Capa!$A:$AE,AX$5,0))))</f>
        <v/>
      </c>
      <c r="AY31" s="118" t="str">
        <f>IF(AY$6="","",IF(AY$3="Maior",IFERROR(IF(VLOOKUP($N31,Capa!$A:$AE,AY$5,0)="",0,VLOOKUP($N31,Capa!$A:$AE,AY$5,0)),0),IF(ISERROR(1/VLOOKUP($N31,Capa!$A:$AE,AY$5,0)),0,1/VLOOKUP($N31,Capa!$A:$AE,AY$5,0))))</f>
        <v/>
      </c>
      <c r="AZ31" s="118" t="str">
        <f>IF(AZ$6="","",IF(AZ$3="Maior",IFERROR(IF(VLOOKUP($N31,Capa!$A:$AE,AZ$5,0)="",0,VLOOKUP($N31,Capa!$A:$AE,AZ$5,0)),0),IF(ISERROR(1/VLOOKUP($N31,Capa!$A:$AE,AZ$5,0)),0,1/VLOOKUP($N31,Capa!$A:$AE,AZ$5,0))))</f>
        <v/>
      </c>
      <c r="BA31" s="118" t="str">
        <f>IF(BA$6="","",IF(BA$3="Maior",IFERROR(IF(VLOOKUP($N31,Capa!$A:$AE,BA$5,0)="",0,VLOOKUP($N31,Capa!$A:$AE,BA$5,0)),0),IF(ISERROR(1/VLOOKUP($N31,Capa!$A:$AE,BA$5,0)),0,1/VLOOKUP($N31,Capa!$A:$AE,BA$5,0))))</f>
        <v/>
      </c>
      <c r="BB31" s="118" t="str">
        <f>IF(BB$6="","",IF(BB$3="Maior",IFERROR(IF(VLOOKUP($N31,Capa!$A:$AE,BB$5,0)="",0,VLOOKUP($N31,Capa!$A:$AE,BB$5,0)),0),IF(ISERROR(1/VLOOKUP($N31,Capa!$A:$AE,BB$5,0)),0,1/VLOOKUP($N31,Capa!$A:$AE,BB$5,0))))</f>
        <v/>
      </c>
      <c r="BC31" s="118" t="str">
        <f>IF(BC$6="","",IF(BC$3="Maior",IFERROR(IF(VLOOKUP($N31,Capa!$A:$AE,BC$5,0)="",0,VLOOKUP($N31,Capa!$A:$AE,BC$5,0)),0),IF(ISERROR(1/VLOOKUP($N31,Capa!$A:$AE,BC$5,0)),0,1/VLOOKUP($N31,Capa!$A:$AE,BC$5,0))))</f>
        <v/>
      </c>
      <c r="BD31" s="118" t="str">
        <f>IF(BD$6="","",IF(BD$3="Maior",IFERROR(IF(VLOOKUP($N31,Capa!$A:$AE,BD$5,0)="",0,VLOOKUP($N31,Capa!$A:$AE,BD$5,0)),0),IF(ISERROR(1/VLOOKUP($N31,Capa!$A:$AE,BD$5,0)),0,1/VLOOKUP($N31,Capa!$A:$AE,BD$5,0))))</f>
        <v/>
      </c>
      <c r="BE31" s="118" t="str">
        <f>IF(BE$6="","",IF(BE$3="Maior",IFERROR(IF(VLOOKUP($N31,Capa!$A:$AE,BE$5,0)="",0,VLOOKUP($N31,Capa!$A:$AE,BE$5,0)),0),IF(ISERROR(1/VLOOKUP($N31,Capa!$A:$AE,BE$5,0)),0,1/VLOOKUP($N31,Capa!$A:$AE,BE$5,0))))</f>
        <v/>
      </c>
      <c r="BF31" s="118" t="str">
        <f>IF(BF$6="","",IF(BF$3="Maior",IFERROR(IF(VLOOKUP($N31,Capa!$A:$AE,BF$5,0)="",0,VLOOKUP($N31,Capa!$A:$AE,BF$5,0)),0),IF(ISERROR(1/VLOOKUP($N31,Capa!$A:$AE,BF$5,0)),0,1/VLOOKUP($N31,Capa!$A:$AE,BF$5,0))))</f>
        <v/>
      </c>
      <c r="BG31" s="118" t="str">
        <f>IF(BG$6="","",IF(BG$3="Maior",IFERROR(IF(VLOOKUP($N31,Capa!$A:$AE,BG$5,0)="",0,VLOOKUP($N31,Capa!$A:$AE,BG$5,0)),0),IF(ISERROR(1/VLOOKUP($N31,Capa!$A:$AE,BG$5,0)),0,1/VLOOKUP($N31,Capa!$A:$AE,BG$5,0))))</f>
        <v/>
      </c>
      <c r="BH31" s="118" t="str">
        <f>IF(BH$6="","",IF(BH$3="Maior",IFERROR(IF(VLOOKUP($N31,Capa!$A:$AE,BH$5,0)="",0,VLOOKUP($N31,Capa!$A:$AE,BH$5,0)),0),IF(ISERROR(1/VLOOKUP($N31,Capa!$A:$AE,BH$5,0)),0,1/VLOOKUP($N31,Capa!$A:$AE,BH$5,0))))</f>
        <v/>
      </c>
      <c r="BI31" s="118" t="str">
        <f>IF(BI$6="","",IF(BI$3="Maior",IFERROR(IF(VLOOKUP($N31,Capa!$A:$AE,BI$5,0)="",0,VLOOKUP($N31,Capa!$A:$AE,BI$5,0)),0),IF(ISERROR(1/VLOOKUP($N31,Capa!$A:$AE,BI$5,0)),0,1/VLOOKUP($N31,Capa!$A:$AE,BI$5,0))))</f>
        <v/>
      </c>
      <c r="BJ31" s="118" t="str">
        <f>IF(BJ$6="","",IF(BJ$3="Maior",IFERROR(IF(VLOOKUP($N31,Capa!$A:$AE,BJ$5,0)="",0,VLOOKUP($N31,Capa!$A:$AE,BJ$5,0)),0),IF(ISERROR(1/VLOOKUP($N31,Capa!$A:$AE,BJ$5,0)),0,1/VLOOKUP($N31,Capa!$A:$AE,BJ$5,0))))</f>
        <v/>
      </c>
      <c r="BK31" s="118" t="str">
        <f>IF(BK$6="","",IF(BK$3="Maior",IFERROR(IF(VLOOKUP($N31,Capa!$A:$AE,BK$5,0)="",0,VLOOKUP($N31,Capa!$A:$AE,BK$5,0)),0),IF(ISERROR(1/VLOOKUP($N31,Capa!$A:$AE,BK$5,0)),0,1/VLOOKUP($N31,Capa!$A:$AE,BK$5,0))))</f>
        <v/>
      </c>
      <c r="BL31" s="118" t="str">
        <f>IF(BL$6="","",IF(BL$3="Maior",IFERROR(IF(VLOOKUP($N31,Capa!$A:$AE,BL$5,0)="",0,VLOOKUP($N31,Capa!$A:$AE,BL$5,0)),0),IF(ISERROR(1/VLOOKUP($N31,Capa!$A:$AE,BL$5,0)),0,1/VLOOKUP($N31,Capa!$A:$AE,BL$5,0))))</f>
        <v/>
      </c>
      <c r="BM31" s="118" t="str">
        <f>IF(BM$6="","",IF(BM$3="Maior",IFERROR(IF(VLOOKUP($N31,Capa!$A:$AE,BM$5,0)="",0,VLOOKUP($N31,Capa!$A:$AE,BM$5,0)),0),IF(ISERROR(1/VLOOKUP($N31,Capa!$A:$AE,BM$5,0)),0,1/VLOOKUP($N31,Capa!$A:$AE,BM$5,0))))</f>
        <v/>
      </c>
      <c r="BN31" s="118" t="str">
        <f>IF(BN$6="","",IF(BN$3="Maior",IFERROR(IF(VLOOKUP($N31,Capa!$A:$AE,BN$5,0)="",0,VLOOKUP($N31,Capa!$A:$AE,BN$5,0)),0),IF(ISERROR(1/VLOOKUP($N31,Capa!$A:$AE,BN$5,0)),0,1/VLOOKUP($N31,Capa!$A:$AE,BN$5,0))))</f>
        <v/>
      </c>
      <c r="BO31" s="92"/>
    </row>
    <row r="32">
      <c r="B32" s="123">
        <f t="shared" si="23"/>
        <v>1</v>
      </c>
      <c r="C32" s="127" t="s">
        <v>41</v>
      </c>
      <c r="D32" s="119" t="b">
        <v>0</v>
      </c>
      <c r="E32" s="128" t="s">
        <v>564</v>
      </c>
      <c r="F32" s="119">
        <f>MATCH(C32,Capa!$6:$6,0)</f>
        <v>20</v>
      </c>
      <c r="G32" s="11"/>
      <c r="H32" s="8">
        <v>26.0</v>
      </c>
      <c r="I32" s="110" t="str">
        <f t="shared" si="6"/>
        <v>AGRO3</v>
      </c>
      <c r="J32" s="111" t="str">
        <f>VLOOKUP(left(I32,4),Setor!A:D,3,0)&amp;" | "&amp;VLOOKUP(left(I32,4),Setor!A:D,4,0)</f>
        <v>Consumo não Cíclico | Agropecuária</v>
      </c>
      <c r="K32" s="112">
        <f t="shared" si="7"/>
        <v>23031667.46</v>
      </c>
      <c r="L32" s="11"/>
      <c r="M32" s="11"/>
      <c r="N32" s="10" t="s">
        <v>78</v>
      </c>
      <c r="O32" s="113">
        <f t="shared" si="8"/>
        <v>898.0369</v>
      </c>
      <c r="P32" s="114">
        <f>VLOOKUP(N32,'Dados StatusInvest'!A:Z,26,0)</f>
        <v>277103777.8</v>
      </c>
      <c r="Q32" s="115">
        <f t="shared" si="9"/>
        <v>369.0369</v>
      </c>
      <c r="R32" s="116">
        <f t="shared" ref="R32:AO32" si="35">IF(AQ32="","", RANK(AQ32,AQ$7:AQ$503,0))</f>
        <v>336</v>
      </c>
      <c r="S32" s="115">
        <f t="shared" si="35"/>
        <v>193</v>
      </c>
      <c r="T32" s="115" t="str">
        <f t="shared" si="35"/>
        <v/>
      </c>
      <c r="U32" s="115" t="str">
        <f t="shared" si="35"/>
        <v/>
      </c>
      <c r="V32" s="115" t="str">
        <f t="shared" si="35"/>
        <v/>
      </c>
      <c r="W32" s="115" t="str">
        <f t="shared" si="35"/>
        <v/>
      </c>
      <c r="X32" s="115" t="str">
        <f t="shared" si="35"/>
        <v/>
      </c>
      <c r="Y32" s="115" t="str">
        <f t="shared" si="35"/>
        <v/>
      </c>
      <c r="Z32" s="115" t="str">
        <f t="shared" si="35"/>
        <v/>
      </c>
      <c r="AA32" s="115" t="str">
        <f t="shared" si="35"/>
        <v/>
      </c>
      <c r="AB32" s="115" t="str">
        <f t="shared" si="35"/>
        <v/>
      </c>
      <c r="AC32" s="115" t="str">
        <f t="shared" si="35"/>
        <v/>
      </c>
      <c r="AD32" s="115" t="str">
        <f t="shared" si="35"/>
        <v/>
      </c>
      <c r="AE32" s="115" t="str">
        <f t="shared" si="35"/>
        <v/>
      </c>
      <c r="AF32" s="115" t="str">
        <f t="shared" si="35"/>
        <v/>
      </c>
      <c r="AG32" s="115" t="str">
        <f t="shared" si="35"/>
        <v/>
      </c>
      <c r="AH32" s="115" t="str">
        <f t="shared" si="35"/>
        <v/>
      </c>
      <c r="AI32" s="115" t="str">
        <f t="shared" si="35"/>
        <v/>
      </c>
      <c r="AJ32" s="115" t="str">
        <f t="shared" si="35"/>
        <v/>
      </c>
      <c r="AK32" s="115" t="str">
        <f t="shared" si="35"/>
        <v/>
      </c>
      <c r="AL32" s="115" t="str">
        <f t="shared" si="35"/>
        <v/>
      </c>
      <c r="AM32" s="115" t="str">
        <f t="shared" si="35"/>
        <v/>
      </c>
      <c r="AN32" s="115" t="str">
        <f t="shared" si="35"/>
        <v/>
      </c>
      <c r="AO32" s="115" t="str">
        <f t="shared" si="35"/>
        <v/>
      </c>
      <c r="AP32" s="117">
        <f>IF(AP$6="","",IF(AP$3="Maior",IFERROR(IF(VLOOKUP($N32,Capa!$A:$AE,AP$5,0)="",0,VLOOKUP($N32,Capa!$A:$AE,AP$5,0)),0),IF(ISERROR(1/VLOOKUP($N32,Capa!$A:$AE,AP$5,0)),0,1/VLOOKUP($N32,Capa!$A:$AE,AP$5,0))))</f>
        <v>0.02046612425</v>
      </c>
      <c r="AQ32" s="118">
        <f>IF(AQ$6="","",IF(AQ$3="Maior",IFERROR(IF(VLOOKUP($N32,Capa!$A:$AE,AQ$5,0)="",0,VLOOKUP($N32,Capa!$A:$AE,AQ$5,0)),0),IF(ISERROR(1/VLOOKUP($N32,Capa!$A:$AE,AQ$5,0)),0,1/VLOOKUP($N32,Capa!$A:$AE,AQ$5,0))))</f>
        <v>2.77</v>
      </c>
      <c r="AR32" s="118">
        <f>IF(AR$6="","",IF(AR$3="Maior",IFERROR(IF(VLOOKUP($N32,Capa!$A:$AE,AR$5,0)="",0,VLOOKUP($N32,Capa!$A:$AE,AR$5,0)),0),IF(ISERROR(1/VLOOKUP($N32,Capa!$A:$AE,AR$5,0)),0,1/VLOOKUP($N32,Capa!$A:$AE,AR$5,0))))</f>
        <v>4.46</v>
      </c>
      <c r="AS32" s="118" t="str">
        <f>IF(AS$6="","",IF(AS$3="Maior",IFERROR(IF(VLOOKUP($N32,Capa!$A:$AE,AS$5,0)="",0,VLOOKUP($N32,Capa!$A:$AE,AS$5,0)),0),IF(ISERROR(1/VLOOKUP($N32,Capa!$A:$AE,AS$5,0)),0,1/VLOOKUP($N32,Capa!$A:$AE,AS$5,0))))</f>
        <v/>
      </c>
      <c r="AT32" s="118" t="str">
        <f>IF(AT$6="","",IF(AT$3="Maior",IFERROR(IF(VLOOKUP($N32,Capa!$A:$AE,AT$5,0)="",0,VLOOKUP($N32,Capa!$A:$AE,AT$5,0)),0),IF(ISERROR(1/VLOOKUP($N32,Capa!$A:$AE,AT$5,0)),0,1/VLOOKUP($N32,Capa!$A:$AE,AT$5,0))))</f>
        <v/>
      </c>
      <c r="AU32" s="118" t="str">
        <f>IF(AU$6="","",IF(AU$3="Maior",IFERROR(IF(VLOOKUP($N32,Capa!$A:$AE,AU$5,0)="",0,VLOOKUP($N32,Capa!$A:$AE,AU$5,0)),0),IF(ISERROR(1/VLOOKUP($N32,Capa!$A:$AE,AU$5,0)),0,1/VLOOKUP($N32,Capa!$A:$AE,AU$5,0))))</f>
        <v/>
      </c>
      <c r="AV32" s="118" t="str">
        <f>IF(AV$6="","",IF(AV$3="Maior",IFERROR(IF(VLOOKUP($N32,Capa!$A:$AE,AV$5,0)="",0,VLOOKUP($N32,Capa!$A:$AE,AV$5,0)),0),IF(ISERROR(1/VLOOKUP($N32,Capa!$A:$AE,AV$5,0)),0,1/VLOOKUP($N32,Capa!$A:$AE,AV$5,0))))</f>
        <v/>
      </c>
      <c r="AW32" s="118" t="str">
        <f>IF(AW$6="","",IF(AW$3="Maior",IFERROR(IF(VLOOKUP($N32,Capa!$A:$AE,AW$5,0)="",0,VLOOKUP($N32,Capa!$A:$AE,AW$5,0)),0),IF(ISERROR(1/VLOOKUP($N32,Capa!$A:$AE,AW$5,0)),0,1/VLOOKUP($N32,Capa!$A:$AE,AW$5,0))))</f>
        <v/>
      </c>
      <c r="AX32" s="118" t="str">
        <f>IF(AX$6="","",IF(AX$3="Maior",IFERROR(IF(VLOOKUP($N32,Capa!$A:$AE,AX$5,0)="",0,VLOOKUP($N32,Capa!$A:$AE,AX$5,0)),0),IF(ISERROR(1/VLOOKUP($N32,Capa!$A:$AE,AX$5,0)),0,1/VLOOKUP($N32,Capa!$A:$AE,AX$5,0))))</f>
        <v/>
      </c>
      <c r="AY32" s="118" t="str">
        <f>IF(AY$6="","",IF(AY$3="Maior",IFERROR(IF(VLOOKUP($N32,Capa!$A:$AE,AY$5,0)="",0,VLOOKUP($N32,Capa!$A:$AE,AY$5,0)),0),IF(ISERROR(1/VLOOKUP($N32,Capa!$A:$AE,AY$5,0)),0,1/VLOOKUP($N32,Capa!$A:$AE,AY$5,0))))</f>
        <v/>
      </c>
      <c r="AZ32" s="118" t="str">
        <f>IF(AZ$6="","",IF(AZ$3="Maior",IFERROR(IF(VLOOKUP($N32,Capa!$A:$AE,AZ$5,0)="",0,VLOOKUP($N32,Capa!$A:$AE,AZ$5,0)),0),IF(ISERROR(1/VLOOKUP($N32,Capa!$A:$AE,AZ$5,0)),0,1/VLOOKUP($N32,Capa!$A:$AE,AZ$5,0))))</f>
        <v/>
      </c>
      <c r="BA32" s="118" t="str">
        <f>IF(BA$6="","",IF(BA$3="Maior",IFERROR(IF(VLOOKUP($N32,Capa!$A:$AE,BA$5,0)="",0,VLOOKUP($N32,Capa!$A:$AE,BA$5,0)),0),IF(ISERROR(1/VLOOKUP($N32,Capa!$A:$AE,BA$5,0)),0,1/VLOOKUP($N32,Capa!$A:$AE,BA$5,0))))</f>
        <v/>
      </c>
      <c r="BB32" s="118" t="str">
        <f>IF(BB$6="","",IF(BB$3="Maior",IFERROR(IF(VLOOKUP($N32,Capa!$A:$AE,BB$5,0)="",0,VLOOKUP($N32,Capa!$A:$AE,BB$5,0)),0),IF(ISERROR(1/VLOOKUP($N32,Capa!$A:$AE,BB$5,0)),0,1/VLOOKUP($N32,Capa!$A:$AE,BB$5,0))))</f>
        <v/>
      </c>
      <c r="BC32" s="118" t="str">
        <f>IF(BC$6="","",IF(BC$3="Maior",IFERROR(IF(VLOOKUP($N32,Capa!$A:$AE,BC$5,0)="",0,VLOOKUP($N32,Capa!$A:$AE,BC$5,0)),0),IF(ISERROR(1/VLOOKUP($N32,Capa!$A:$AE,BC$5,0)),0,1/VLOOKUP($N32,Capa!$A:$AE,BC$5,0))))</f>
        <v/>
      </c>
      <c r="BD32" s="118" t="str">
        <f>IF(BD$6="","",IF(BD$3="Maior",IFERROR(IF(VLOOKUP($N32,Capa!$A:$AE,BD$5,0)="",0,VLOOKUP($N32,Capa!$A:$AE,BD$5,0)),0),IF(ISERROR(1/VLOOKUP($N32,Capa!$A:$AE,BD$5,0)),0,1/VLOOKUP($N32,Capa!$A:$AE,BD$5,0))))</f>
        <v/>
      </c>
      <c r="BE32" s="118" t="str">
        <f>IF(BE$6="","",IF(BE$3="Maior",IFERROR(IF(VLOOKUP($N32,Capa!$A:$AE,BE$5,0)="",0,VLOOKUP($N32,Capa!$A:$AE,BE$5,0)),0),IF(ISERROR(1/VLOOKUP($N32,Capa!$A:$AE,BE$5,0)),0,1/VLOOKUP($N32,Capa!$A:$AE,BE$5,0))))</f>
        <v/>
      </c>
      <c r="BF32" s="118" t="str">
        <f>IF(BF$6="","",IF(BF$3="Maior",IFERROR(IF(VLOOKUP($N32,Capa!$A:$AE,BF$5,0)="",0,VLOOKUP($N32,Capa!$A:$AE,BF$5,0)),0),IF(ISERROR(1/VLOOKUP($N32,Capa!$A:$AE,BF$5,0)),0,1/VLOOKUP($N32,Capa!$A:$AE,BF$5,0))))</f>
        <v/>
      </c>
      <c r="BG32" s="118" t="str">
        <f>IF(BG$6="","",IF(BG$3="Maior",IFERROR(IF(VLOOKUP($N32,Capa!$A:$AE,BG$5,0)="",0,VLOOKUP($N32,Capa!$A:$AE,BG$5,0)),0),IF(ISERROR(1/VLOOKUP($N32,Capa!$A:$AE,BG$5,0)),0,1/VLOOKUP($N32,Capa!$A:$AE,BG$5,0))))</f>
        <v/>
      </c>
      <c r="BH32" s="118" t="str">
        <f>IF(BH$6="","",IF(BH$3="Maior",IFERROR(IF(VLOOKUP($N32,Capa!$A:$AE,BH$5,0)="",0,VLOOKUP($N32,Capa!$A:$AE,BH$5,0)),0),IF(ISERROR(1/VLOOKUP($N32,Capa!$A:$AE,BH$5,0)),0,1/VLOOKUP($N32,Capa!$A:$AE,BH$5,0))))</f>
        <v/>
      </c>
      <c r="BI32" s="118" t="str">
        <f>IF(BI$6="","",IF(BI$3="Maior",IFERROR(IF(VLOOKUP($N32,Capa!$A:$AE,BI$5,0)="",0,VLOOKUP($N32,Capa!$A:$AE,BI$5,0)),0),IF(ISERROR(1/VLOOKUP($N32,Capa!$A:$AE,BI$5,0)),0,1/VLOOKUP($N32,Capa!$A:$AE,BI$5,0))))</f>
        <v/>
      </c>
      <c r="BJ32" s="118" t="str">
        <f>IF(BJ$6="","",IF(BJ$3="Maior",IFERROR(IF(VLOOKUP($N32,Capa!$A:$AE,BJ$5,0)="",0,VLOOKUP($N32,Capa!$A:$AE,BJ$5,0)),0),IF(ISERROR(1/VLOOKUP($N32,Capa!$A:$AE,BJ$5,0)),0,1/VLOOKUP($N32,Capa!$A:$AE,BJ$5,0))))</f>
        <v/>
      </c>
      <c r="BK32" s="118" t="str">
        <f>IF(BK$6="","",IF(BK$3="Maior",IFERROR(IF(VLOOKUP($N32,Capa!$A:$AE,BK$5,0)="",0,VLOOKUP($N32,Capa!$A:$AE,BK$5,0)),0),IF(ISERROR(1/VLOOKUP($N32,Capa!$A:$AE,BK$5,0)),0,1/VLOOKUP($N32,Capa!$A:$AE,BK$5,0))))</f>
        <v/>
      </c>
      <c r="BL32" s="118" t="str">
        <f>IF(BL$6="","",IF(BL$3="Maior",IFERROR(IF(VLOOKUP($N32,Capa!$A:$AE,BL$5,0)="",0,VLOOKUP($N32,Capa!$A:$AE,BL$5,0)),0),IF(ISERROR(1/VLOOKUP($N32,Capa!$A:$AE,BL$5,0)),0,1/VLOOKUP($N32,Capa!$A:$AE,BL$5,0))))</f>
        <v/>
      </c>
      <c r="BM32" s="118" t="str">
        <f>IF(BM$6="","",IF(BM$3="Maior",IFERROR(IF(VLOOKUP($N32,Capa!$A:$AE,BM$5,0)="",0,VLOOKUP($N32,Capa!$A:$AE,BM$5,0)),0),IF(ISERROR(1/VLOOKUP($N32,Capa!$A:$AE,BM$5,0)),0,1/VLOOKUP($N32,Capa!$A:$AE,BM$5,0))))</f>
        <v/>
      </c>
      <c r="BN32" s="118" t="str">
        <f>IF(BN$6="","",IF(BN$3="Maior",IFERROR(IF(VLOOKUP($N32,Capa!$A:$AE,BN$5,0)="",0,VLOOKUP($N32,Capa!$A:$AE,BN$5,0)),0),IF(ISERROR(1/VLOOKUP($N32,Capa!$A:$AE,BN$5,0)),0,1/VLOOKUP($N32,Capa!$A:$AE,BN$5,0))))</f>
        <v/>
      </c>
      <c r="BO32" s="92"/>
    </row>
    <row r="33">
      <c r="B33" s="123">
        <f t="shared" si="23"/>
        <v>1</v>
      </c>
      <c r="C33" s="127" t="s">
        <v>42</v>
      </c>
      <c r="D33" s="119" t="b">
        <v>0</v>
      </c>
      <c r="E33" s="128" t="s">
        <v>565</v>
      </c>
      <c r="F33" s="119">
        <f>MATCH(C33,Capa!$6:$6,0)</f>
        <v>21</v>
      </c>
      <c r="G33" s="11"/>
      <c r="H33" s="8">
        <v>27.0</v>
      </c>
      <c r="I33" s="110" t="str">
        <f t="shared" si="6"/>
        <v>MRFG3</v>
      </c>
      <c r="J33" s="111" t="str">
        <f>VLOOKUP(left(I33,4),Setor!A:D,3,0)&amp;" | "&amp;VLOOKUP(left(I33,4),Setor!A:D,4,0)</f>
        <v>Consumo não Cíclico | Alimentos Processados</v>
      </c>
      <c r="K33" s="112">
        <f t="shared" si="7"/>
        <v>188659704.8</v>
      </c>
      <c r="L33" s="11"/>
      <c r="M33" s="11"/>
      <c r="N33" s="10" t="s">
        <v>79</v>
      </c>
      <c r="O33" s="113">
        <f t="shared" si="8"/>
        <v>764.0381</v>
      </c>
      <c r="P33" s="114">
        <f>VLOOKUP(N33,'Dados StatusInvest'!A:Z,26,0)</f>
        <v>243191886.8</v>
      </c>
      <c r="Q33" s="115">
        <f t="shared" si="9"/>
        <v>381.0381</v>
      </c>
      <c r="R33" s="116">
        <f t="shared" ref="R33:AO33" si="36">IF(AQ33="","", RANK(AQ33,AQ$7:AQ$503,0))</f>
        <v>311</v>
      </c>
      <c r="S33" s="115">
        <f t="shared" si="36"/>
        <v>72</v>
      </c>
      <c r="T33" s="115" t="str">
        <f t="shared" si="36"/>
        <v/>
      </c>
      <c r="U33" s="115" t="str">
        <f t="shared" si="36"/>
        <v/>
      </c>
      <c r="V33" s="115" t="str">
        <f t="shared" si="36"/>
        <v/>
      </c>
      <c r="W33" s="115" t="str">
        <f t="shared" si="36"/>
        <v/>
      </c>
      <c r="X33" s="115" t="str">
        <f t="shared" si="36"/>
        <v/>
      </c>
      <c r="Y33" s="115" t="str">
        <f t="shared" si="36"/>
        <v/>
      </c>
      <c r="Z33" s="115" t="str">
        <f t="shared" si="36"/>
        <v/>
      </c>
      <c r="AA33" s="115" t="str">
        <f t="shared" si="36"/>
        <v/>
      </c>
      <c r="AB33" s="115" t="str">
        <f t="shared" si="36"/>
        <v/>
      </c>
      <c r="AC33" s="115" t="str">
        <f t="shared" si="36"/>
        <v/>
      </c>
      <c r="AD33" s="115" t="str">
        <f t="shared" si="36"/>
        <v/>
      </c>
      <c r="AE33" s="115" t="str">
        <f t="shared" si="36"/>
        <v/>
      </c>
      <c r="AF33" s="115" t="str">
        <f t="shared" si="36"/>
        <v/>
      </c>
      <c r="AG33" s="115" t="str">
        <f t="shared" si="36"/>
        <v/>
      </c>
      <c r="AH33" s="115" t="str">
        <f t="shared" si="36"/>
        <v/>
      </c>
      <c r="AI33" s="115" t="str">
        <f t="shared" si="36"/>
        <v/>
      </c>
      <c r="AJ33" s="115" t="str">
        <f t="shared" si="36"/>
        <v/>
      </c>
      <c r="AK33" s="115" t="str">
        <f t="shared" si="36"/>
        <v/>
      </c>
      <c r="AL33" s="115" t="str">
        <f t="shared" si="36"/>
        <v/>
      </c>
      <c r="AM33" s="115" t="str">
        <f t="shared" si="36"/>
        <v/>
      </c>
      <c r="AN33" s="115" t="str">
        <f t="shared" si="36"/>
        <v/>
      </c>
      <c r="AO33" s="115" t="str">
        <f t="shared" si="36"/>
        <v/>
      </c>
      <c r="AP33" s="117">
        <f>IF(AP$6="","",IF(AP$3="Maior",IFERROR(IF(VLOOKUP($N33,Capa!$A:$AE,AP$5,0)="",0,VLOOKUP($N33,Capa!$A:$AE,AP$5,0)),0),IF(ISERROR(1/VLOOKUP($N33,Capa!$A:$AE,AP$5,0)),0,1/VLOOKUP($N33,Capa!$A:$AE,AP$5,0))))</f>
        <v>0.01575931139</v>
      </c>
      <c r="AQ33" s="118">
        <f>IF(AQ$6="","",IF(AQ$3="Maior",IFERROR(IF(VLOOKUP($N33,Capa!$A:$AE,AQ$5,0)="",0,VLOOKUP($N33,Capa!$A:$AE,AQ$5,0)),0),IF(ISERROR(1/VLOOKUP($N33,Capa!$A:$AE,AQ$5,0)),0,1/VLOOKUP($N33,Capa!$A:$AE,AQ$5,0))))</f>
        <v>4.3</v>
      </c>
      <c r="AR33" s="118">
        <f>IF(AR$6="","",IF(AR$3="Maior",IFERROR(IF(VLOOKUP($N33,Capa!$A:$AE,AR$5,0)="",0,VLOOKUP($N33,Capa!$A:$AE,AR$5,0)),0),IF(ISERROR(1/VLOOKUP($N33,Capa!$A:$AE,AR$5,0)),0,1/VLOOKUP($N33,Capa!$A:$AE,AR$5,0))))</f>
        <v>36.49</v>
      </c>
      <c r="AS33" s="118" t="str">
        <f>IF(AS$6="","",IF(AS$3="Maior",IFERROR(IF(VLOOKUP($N33,Capa!$A:$AE,AS$5,0)="",0,VLOOKUP($N33,Capa!$A:$AE,AS$5,0)),0),IF(ISERROR(1/VLOOKUP($N33,Capa!$A:$AE,AS$5,0)),0,1/VLOOKUP($N33,Capa!$A:$AE,AS$5,0))))</f>
        <v/>
      </c>
      <c r="AT33" s="118" t="str">
        <f>IF(AT$6="","",IF(AT$3="Maior",IFERROR(IF(VLOOKUP($N33,Capa!$A:$AE,AT$5,0)="",0,VLOOKUP($N33,Capa!$A:$AE,AT$5,0)),0),IF(ISERROR(1/VLOOKUP($N33,Capa!$A:$AE,AT$5,0)),0,1/VLOOKUP($N33,Capa!$A:$AE,AT$5,0))))</f>
        <v/>
      </c>
      <c r="AU33" s="118" t="str">
        <f>IF(AU$6="","",IF(AU$3="Maior",IFERROR(IF(VLOOKUP($N33,Capa!$A:$AE,AU$5,0)="",0,VLOOKUP($N33,Capa!$A:$AE,AU$5,0)),0),IF(ISERROR(1/VLOOKUP($N33,Capa!$A:$AE,AU$5,0)),0,1/VLOOKUP($N33,Capa!$A:$AE,AU$5,0))))</f>
        <v/>
      </c>
      <c r="AV33" s="118" t="str">
        <f>IF(AV$6="","",IF(AV$3="Maior",IFERROR(IF(VLOOKUP($N33,Capa!$A:$AE,AV$5,0)="",0,VLOOKUP($N33,Capa!$A:$AE,AV$5,0)),0),IF(ISERROR(1/VLOOKUP($N33,Capa!$A:$AE,AV$5,0)),0,1/VLOOKUP($N33,Capa!$A:$AE,AV$5,0))))</f>
        <v/>
      </c>
      <c r="AW33" s="118" t="str">
        <f>IF(AW$6="","",IF(AW$3="Maior",IFERROR(IF(VLOOKUP($N33,Capa!$A:$AE,AW$5,0)="",0,VLOOKUP($N33,Capa!$A:$AE,AW$5,0)),0),IF(ISERROR(1/VLOOKUP($N33,Capa!$A:$AE,AW$5,0)),0,1/VLOOKUP($N33,Capa!$A:$AE,AW$5,0))))</f>
        <v/>
      </c>
      <c r="AX33" s="118" t="str">
        <f>IF(AX$6="","",IF(AX$3="Maior",IFERROR(IF(VLOOKUP($N33,Capa!$A:$AE,AX$5,0)="",0,VLOOKUP($N33,Capa!$A:$AE,AX$5,0)),0),IF(ISERROR(1/VLOOKUP($N33,Capa!$A:$AE,AX$5,0)),0,1/VLOOKUP($N33,Capa!$A:$AE,AX$5,0))))</f>
        <v/>
      </c>
      <c r="AY33" s="118" t="str">
        <f>IF(AY$6="","",IF(AY$3="Maior",IFERROR(IF(VLOOKUP($N33,Capa!$A:$AE,AY$5,0)="",0,VLOOKUP($N33,Capa!$A:$AE,AY$5,0)),0),IF(ISERROR(1/VLOOKUP($N33,Capa!$A:$AE,AY$5,0)),0,1/VLOOKUP($N33,Capa!$A:$AE,AY$5,0))))</f>
        <v/>
      </c>
      <c r="AZ33" s="118" t="str">
        <f>IF(AZ$6="","",IF(AZ$3="Maior",IFERROR(IF(VLOOKUP($N33,Capa!$A:$AE,AZ$5,0)="",0,VLOOKUP($N33,Capa!$A:$AE,AZ$5,0)),0),IF(ISERROR(1/VLOOKUP($N33,Capa!$A:$AE,AZ$5,0)),0,1/VLOOKUP($N33,Capa!$A:$AE,AZ$5,0))))</f>
        <v/>
      </c>
      <c r="BA33" s="118" t="str">
        <f>IF(BA$6="","",IF(BA$3="Maior",IFERROR(IF(VLOOKUP($N33,Capa!$A:$AE,BA$5,0)="",0,VLOOKUP($N33,Capa!$A:$AE,BA$5,0)),0),IF(ISERROR(1/VLOOKUP($N33,Capa!$A:$AE,BA$5,0)),0,1/VLOOKUP($N33,Capa!$A:$AE,BA$5,0))))</f>
        <v/>
      </c>
      <c r="BB33" s="118" t="str">
        <f>IF(BB$6="","",IF(BB$3="Maior",IFERROR(IF(VLOOKUP($N33,Capa!$A:$AE,BB$5,0)="",0,VLOOKUP($N33,Capa!$A:$AE,BB$5,0)),0),IF(ISERROR(1/VLOOKUP($N33,Capa!$A:$AE,BB$5,0)),0,1/VLOOKUP($N33,Capa!$A:$AE,BB$5,0))))</f>
        <v/>
      </c>
      <c r="BC33" s="118" t="str">
        <f>IF(BC$6="","",IF(BC$3="Maior",IFERROR(IF(VLOOKUP($N33,Capa!$A:$AE,BC$5,0)="",0,VLOOKUP($N33,Capa!$A:$AE,BC$5,0)),0),IF(ISERROR(1/VLOOKUP($N33,Capa!$A:$AE,BC$5,0)),0,1/VLOOKUP($N33,Capa!$A:$AE,BC$5,0))))</f>
        <v/>
      </c>
      <c r="BD33" s="118" t="str">
        <f>IF(BD$6="","",IF(BD$3="Maior",IFERROR(IF(VLOOKUP($N33,Capa!$A:$AE,BD$5,0)="",0,VLOOKUP($N33,Capa!$A:$AE,BD$5,0)),0),IF(ISERROR(1/VLOOKUP($N33,Capa!$A:$AE,BD$5,0)),0,1/VLOOKUP($N33,Capa!$A:$AE,BD$5,0))))</f>
        <v/>
      </c>
      <c r="BE33" s="118" t="str">
        <f>IF(BE$6="","",IF(BE$3="Maior",IFERROR(IF(VLOOKUP($N33,Capa!$A:$AE,BE$5,0)="",0,VLOOKUP($N33,Capa!$A:$AE,BE$5,0)),0),IF(ISERROR(1/VLOOKUP($N33,Capa!$A:$AE,BE$5,0)),0,1/VLOOKUP($N33,Capa!$A:$AE,BE$5,0))))</f>
        <v/>
      </c>
      <c r="BF33" s="118" t="str">
        <f>IF(BF$6="","",IF(BF$3="Maior",IFERROR(IF(VLOOKUP($N33,Capa!$A:$AE,BF$5,0)="",0,VLOOKUP($N33,Capa!$A:$AE,BF$5,0)),0),IF(ISERROR(1/VLOOKUP($N33,Capa!$A:$AE,BF$5,0)),0,1/VLOOKUP($N33,Capa!$A:$AE,BF$5,0))))</f>
        <v/>
      </c>
      <c r="BG33" s="118" t="str">
        <f>IF(BG$6="","",IF(BG$3="Maior",IFERROR(IF(VLOOKUP($N33,Capa!$A:$AE,BG$5,0)="",0,VLOOKUP($N33,Capa!$A:$AE,BG$5,0)),0),IF(ISERROR(1/VLOOKUP($N33,Capa!$A:$AE,BG$5,0)),0,1/VLOOKUP($N33,Capa!$A:$AE,BG$5,0))))</f>
        <v/>
      </c>
      <c r="BH33" s="118" t="str">
        <f>IF(BH$6="","",IF(BH$3="Maior",IFERROR(IF(VLOOKUP($N33,Capa!$A:$AE,BH$5,0)="",0,VLOOKUP($N33,Capa!$A:$AE,BH$5,0)),0),IF(ISERROR(1/VLOOKUP($N33,Capa!$A:$AE,BH$5,0)),0,1/VLOOKUP($N33,Capa!$A:$AE,BH$5,0))))</f>
        <v/>
      </c>
      <c r="BI33" s="118" t="str">
        <f>IF(BI$6="","",IF(BI$3="Maior",IFERROR(IF(VLOOKUP($N33,Capa!$A:$AE,BI$5,0)="",0,VLOOKUP($N33,Capa!$A:$AE,BI$5,0)),0),IF(ISERROR(1/VLOOKUP($N33,Capa!$A:$AE,BI$5,0)),0,1/VLOOKUP($N33,Capa!$A:$AE,BI$5,0))))</f>
        <v/>
      </c>
      <c r="BJ33" s="118" t="str">
        <f>IF(BJ$6="","",IF(BJ$3="Maior",IFERROR(IF(VLOOKUP($N33,Capa!$A:$AE,BJ$5,0)="",0,VLOOKUP($N33,Capa!$A:$AE,BJ$5,0)),0),IF(ISERROR(1/VLOOKUP($N33,Capa!$A:$AE,BJ$5,0)),0,1/VLOOKUP($N33,Capa!$A:$AE,BJ$5,0))))</f>
        <v/>
      </c>
      <c r="BK33" s="118" t="str">
        <f>IF(BK$6="","",IF(BK$3="Maior",IFERROR(IF(VLOOKUP($N33,Capa!$A:$AE,BK$5,0)="",0,VLOOKUP($N33,Capa!$A:$AE,BK$5,0)),0),IF(ISERROR(1/VLOOKUP($N33,Capa!$A:$AE,BK$5,0)),0,1/VLOOKUP($N33,Capa!$A:$AE,BK$5,0))))</f>
        <v/>
      </c>
      <c r="BL33" s="118" t="str">
        <f>IF(BL$6="","",IF(BL$3="Maior",IFERROR(IF(VLOOKUP($N33,Capa!$A:$AE,BL$5,0)="",0,VLOOKUP($N33,Capa!$A:$AE,BL$5,0)),0),IF(ISERROR(1/VLOOKUP($N33,Capa!$A:$AE,BL$5,0)),0,1/VLOOKUP($N33,Capa!$A:$AE,BL$5,0))))</f>
        <v/>
      </c>
      <c r="BM33" s="118" t="str">
        <f>IF(BM$6="","",IF(BM$3="Maior",IFERROR(IF(VLOOKUP($N33,Capa!$A:$AE,BM$5,0)="",0,VLOOKUP($N33,Capa!$A:$AE,BM$5,0)),0),IF(ISERROR(1/VLOOKUP($N33,Capa!$A:$AE,BM$5,0)),0,1/VLOOKUP($N33,Capa!$A:$AE,BM$5,0))))</f>
        <v/>
      </c>
      <c r="BN33" s="118" t="str">
        <f>IF(BN$6="","",IF(BN$3="Maior",IFERROR(IF(VLOOKUP($N33,Capa!$A:$AE,BN$5,0)="",0,VLOOKUP($N33,Capa!$A:$AE,BN$5,0)),0),IF(ISERROR(1/VLOOKUP($N33,Capa!$A:$AE,BN$5,0)),0,1/VLOOKUP($N33,Capa!$A:$AE,BN$5,0))))</f>
        <v/>
      </c>
      <c r="BO33" s="92"/>
    </row>
    <row r="34">
      <c r="B34" s="123">
        <f t="shared" si="23"/>
        <v>1</v>
      </c>
      <c r="C34" s="127" t="s">
        <v>43</v>
      </c>
      <c r="D34" s="119" t="b">
        <v>0</v>
      </c>
      <c r="E34" s="128" t="s">
        <v>565</v>
      </c>
      <c r="F34" s="119">
        <f>MATCH(C34,Capa!$6:$6,0)</f>
        <v>22</v>
      </c>
      <c r="G34" s="11"/>
      <c r="H34" s="8">
        <v>28.0</v>
      </c>
      <c r="I34" s="110" t="str">
        <f t="shared" si="6"/>
        <v>POSI3</v>
      </c>
      <c r="J34" s="111" t="str">
        <f>VLOOKUP(left(I34,4),Setor!A:D,3,0)&amp;" | "&amp;VLOOKUP(left(I34,4),Setor!A:D,4,0)</f>
        <v>Tecnologia da Informação | Computadores e Equipamentos</v>
      </c>
      <c r="K34" s="112">
        <f t="shared" si="7"/>
        <v>82398262.33</v>
      </c>
      <c r="L34" s="11"/>
      <c r="M34" s="11"/>
      <c r="N34" s="10" t="s">
        <v>80</v>
      </c>
      <c r="O34" s="113">
        <f t="shared" si="8"/>
        <v>939.0358</v>
      </c>
      <c r="P34" s="114">
        <f>VLOOKUP(N34,'Dados StatusInvest'!A:Z,26,0)</f>
        <v>251585816</v>
      </c>
      <c r="Q34" s="115">
        <f t="shared" si="9"/>
        <v>358.0358</v>
      </c>
      <c r="R34" s="116">
        <f t="shared" ref="R34:AO34" si="37">IF(AQ34="","", RANK(AQ34,AQ$7:AQ$503,0))</f>
        <v>362</v>
      </c>
      <c r="S34" s="115">
        <f t="shared" si="37"/>
        <v>219</v>
      </c>
      <c r="T34" s="115" t="str">
        <f t="shared" si="37"/>
        <v/>
      </c>
      <c r="U34" s="115" t="str">
        <f t="shared" si="37"/>
        <v/>
      </c>
      <c r="V34" s="115" t="str">
        <f t="shared" si="37"/>
        <v/>
      </c>
      <c r="W34" s="115" t="str">
        <f t="shared" si="37"/>
        <v/>
      </c>
      <c r="X34" s="115" t="str">
        <f t="shared" si="37"/>
        <v/>
      </c>
      <c r="Y34" s="115" t="str">
        <f t="shared" si="37"/>
        <v/>
      </c>
      <c r="Z34" s="115" t="str">
        <f t="shared" si="37"/>
        <v/>
      </c>
      <c r="AA34" s="115" t="str">
        <f t="shared" si="37"/>
        <v/>
      </c>
      <c r="AB34" s="115" t="str">
        <f t="shared" si="37"/>
        <v/>
      </c>
      <c r="AC34" s="115" t="str">
        <f t="shared" si="37"/>
        <v/>
      </c>
      <c r="AD34" s="115" t="str">
        <f t="shared" si="37"/>
        <v/>
      </c>
      <c r="AE34" s="115" t="str">
        <f t="shared" si="37"/>
        <v/>
      </c>
      <c r="AF34" s="115" t="str">
        <f t="shared" si="37"/>
        <v/>
      </c>
      <c r="AG34" s="115" t="str">
        <f t="shared" si="37"/>
        <v/>
      </c>
      <c r="AH34" s="115" t="str">
        <f t="shared" si="37"/>
        <v/>
      </c>
      <c r="AI34" s="115" t="str">
        <f t="shared" si="37"/>
        <v/>
      </c>
      <c r="AJ34" s="115" t="str">
        <f t="shared" si="37"/>
        <v/>
      </c>
      <c r="AK34" s="115" t="str">
        <f t="shared" si="37"/>
        <v/>
      </c>
      <c r="AL34" s="115" t="str">
        <f t="shared" si="37"/>
        <v/>
      </c>
      <c r="AM34" s="115" t="str">
        <f t="shared" si="37"/>
        <v/>
      </c>
      <c r="AN34" s="115" t="str">
        <f t="shared" si="37"/>
        <v/>
      </c>
      <c r="AO34" s="115" t="str">
        <f t="shared" si="37"/>
        <v/>
      </c>
      <c r="AP34" s="117">
        <f>IF(AP$6="","",IF(AP$3="Maior",IFERROR(IF(VLOOKUP($N34,Capa!$A:$AE,AP$5,0)="",0,VLOOKUP($N34,Capa!$A:$AE,AP$5,0)),0),IF(ISERROR(1/VLOOKUP($N34,Capa!$A:$AE,AP$5,0)),0,1/VLOOKUP($N34,Capa!$A:$AE,AP$5,0))))</f>
        <v>0.02478610608</v>
      </c>
      <c r="AQ34" s="118">
        <f>IF(AQ$6="","",IF(AQ$3="Maior",IFERROR(IF(VLOOKUP($N34,Capa!$A:$AE,AQ$5,0)="",0,VLOOKUP($N34,Capa!$A:$AE,AQ$5,0)),0),IF(ISERROR(1/VLOOKUP($N34,Capa!$A:$AE,AQ$5,0)),0,1/VLOOKUP($N34,Capa!$A:$AE,AQ$5,0))))</f>
        <v>1.27</v>
      </c>
      <c r="AR34" s="118">
        <f>IF(AR$6="","",IF(AR$3="Maior",IFERROR(IF(VLOOKUP($N34,Capa!$A:$AE,AR$5,0)="",0,VLOOKUP($N34,Capa!$A:$AE,AR$5,0)),0),IF(ISERROR(1/VLOOKUP($N34,Capa!$A:$AE,AR$5,0)),0,1/VLOOKUP($N34,Capa!$A:$AE,AR$5,0))))</f>
        <v>0</v>
      </c>
      <c r="AS34" s="118" t="str">
        <f>IF(AS$6="","",IF(AS$3="Maior",IFERROR(IF(VLOOKUP($N34,Capa!$A:$AE,AS$5,0)="",0,VLOOKUP($N34,Capa!$A:$AE,AS$5,0)),0),IF(ISERROR(1/VLOOKUP($N34,Capa!$A:$AE,AS$5,0)),0,1/VLOOKUP($N34,Capa!$A:$AE,AS$5,0))))</f>
        <v/>
      </c>
      <c r="AT34" s="118" t="str">
        <f>IF(AT$6="","",IF(AT$3="Maior",IFERROR(IF(VLOOKUP($N34,Capa!$A:$AE,AT$5,0)="",0,VLOOKUP($N34,Capa!$A:$AE,AT$5,0)),0),IF(ISERROR(1/VLOOKUP($N34,Capa!$A:$AE,AT$5,0)),0,1/VLOOKUP($N34,Capa!$A:$AE,AT$5,0))))</f>
        <v/>
      </c>
      <c r="AU34" s="118" t="str">
        <f>IF(AU$6="","",IF(AU$3="Maior",IFERROR(IF(VLOOKUP($N34,Capa!$A:$AE,AU$5,0)="",0,VLOOKUP($N34,Capa!$A:$AE,AU$5,0)),0),IF(ISERROR(1/VLOOKUP($N34,Capa!$A:$AE,AU$5,0)),0,1/VLOOKUP($N34,Capa!$A:$AE,AU$5,0))))</f>
        <v/>
      </c>
      <c r="AV34" s="118" t="str">
        <f>IF(AV$6="","",IF(AV$3="Maior",IFERROR(IF(VLOOKUP($N34,Capa!$A:$AE,AV$5,0)="",0,VLOOKUP($N34,Capa!$A:$AE,AV$5,0)),0),IF(ISERROR(1/VLOOKUP($N34,Capa!$A:$AE,AV$5,0)),0,1/VLOOKUP($N34,Capa!$A:$AE,AV$5,0))))</f>
        <v/>
      </c>
      <c r="AW34" s="118" t="str">
        <f>IF(AW$6="","",IF(AW$3="Maior",IFERROR(IF(VLOOKUP($N34,Capa!$A:$AE,AW$5,0)="",0,VLOOKUP($N34,Capa!$A:$AE,AW$5,0)),0),IF(ISERROR(1/VLOOKUP($N34,Capa!$A:$AE,AW$5,0)),0,1/VLOOKUP($N34,Capa!$A:$AE,AW$5,0))))</f>
        <v/>
      </c>
      <c r="AX34" s="118" t="str">
        <f>IF(AX$6="","",IF(AX$3="Maior",IFERROR(IF(VLOOKUP($N34,Capa!$A:$AE,AX$5,0)="",0,VLOOKUP($N34,Capa!$A:$AE,AX$5,0)),0),IF(ISERROR(1/VLOOKUP($N34,Capa!$A:$AE,AX$5,0)),0,1/VLOOKUP($N34,Capa!$A:$AE,AX$5,0))))</f>
        <v/>
      </c>
      <c r="AY34" s="118" t="str">
        <f>IF(AY$6="","",IF(AY$3="Maior",IFERROR(IF(VLOOKUP($N34,Capa!$A:$AE,AY$5,0)="",0,VLOOKUP($N34,Capa!$A:$AE,AY$5,0)),0),IF(ISERROR(1/VLOOKUP($N34,Capa!$A:$AE,AY$5,0)),0,1/VLOOKUP($N34,Capa!$A:$AE,AY$5,0))))</f>
        <v/>
      </c>
      <c r="AZ34" s="118" t="str">
        <f>IF(AZ$6="","",IF(AZ$3="Maior",IFERROR(IF(VLOOKUP($N34,Capa!$A:$AE,AZ$5,0)="",0,VLOOKUP($N34,Capa!$A:$AE,AZ$5,0)),0),IF(ISERROR(1/VLOOKUP($N34,Capa!$A:$AE,AZ$5,0)),0,1/VLOOKUP($N34,Capa!$A:$AE,AZ$5,0))))</f>
        <v/>
      </c>
      <c r="BA34" s="118" t="str">
        <f>IF(BA$6="","",IF(BA$3="Maior",IFERROR(IF(VLOOKUP($N34,Capa!$A:$AE,BA$5,0)="",0,VLOOKUP($N34,Capa!$A:$AE,BA$5,0)),0),IF(ISERROR(1/VLOOKUP($N34,Capa!$A:$AE,BA$5,0)),0,1/VLOOKUP($N34,Capa!$A:$AE,BA$5,0))))</f>
        <v/>
      </c>
      <c r="BB34" s="118" t="str">
        <f>IF(BB$6="","",IF(BB$3="Maior",IFERROR(IF(VLOOKUP($N34,Capa!$A:$AE,BB$5,0)="",0,VLOOKUP($N34,Capa!$A:$AE,BB$5,0)),0),IF(ISERROR(1/VLOOKUP($N34,Capa!$A:$AE,BB$5,0)),0,1/VLOOKUP($N34,Capa!$A:$AE,BB$5,0))))</f>
        <v/>
      </c>
      <c r="BC34" s="118" t="str">
        <f>IF(BC$6="","",IF(BC$3="Maior",IFERROR(IF(VLOOKUP($N34,Capa!$A:$AE,BC$5,0)="",0,VLOOKUP($N34,Capa!$A:$AE,BC$5,0)),0),IF(ISERROR(1/VLOOKUP($N34,Capa!$A:$AE,BC$5,0)),0,1/VLOOKUP($N34,Capa!$A:$AE,BC$5,0))))</f>
        <v/>
      </c>
      <c r="BD34" s="118" t="str">
        <f>IF(BD$6="","",IF(BD$3="Maior",IFERROR(IF(VLOOKUP($N34,Capa!$A:$AE,BD$5,0)="",0,VLOOKUP($N34,Capa!$A:$AE,BD$5,0)),0),IF(ISERROR(1/VLOOKUP($N34,Capa!$A:$AE,BD$5,0)),0,1/VLOOKUP($N34,Capa!$A:$AE,BD$5,0))))</f>
        <v/>
      </c>
      <c r="BE34" s="118" t="str">
        <f>IF(BE$6="","",IF(BE$3="Maior",IFERROR(IF(VLOOKUP($N34,Capa!$A:$AE,BE$5,0)="",0,VLOOKUP($N34,Capa!$A:$AE,BE$5,0)),0),IF(ISERROR(1/VLOOKUP($N34,Capa!$A:$AE,BE$5,0)),0,1/VLOOKUP($N34,Capa!$A:$AE,BE$5,0))))</f>
        <v/>
      </c>
      <c r="BF34" s="118" t="str">
        <f>IF(BF$6="","",IF(BF$3="Maior",IFERROR(IF(VLOOKUP($N34,Capa!$A:$AE,BF$5,0)="",0,VLOOKUP($N34,Capa!$A:$AE,BF$5,0)),0),IF(ISERROR(1/VLOOKUP($N34,Capa!$A:$AE,BF$5,0)),0,1/VLOOKUP($N34,Capa!$A:$AE,BF$5,0))))</f>
        <v/>
      </c>
      <c r="BG34" s="118" t="str">
        <f>IF(BG$6="","",IF(BG$3="Maior",IFERROR(IF(VLOOKUP($N34,Capa!$A:$AE,BG$5,0)="",0,VLOOKUP($N34,Capa!$A:$AE,BG$5,0)),0),IF(ISERROR(1/VLOOKUP($N34,Capa!$A:$AE,BG$5,0)),0,1/VLOOKUP($N34,Capa!$A:$AE,BG$5,0))))</f>
        <v/>
      </c>
      <c r="BH34" s="118" t="str">
        <f>IF(BH$6="","",IF(BH$3="Maior",IFERROR(IF(VLOOKUP($N34,Capa!$A:$AE,BH$5,0)="",0,VLOOKUP($N34,Capa!$A:$AE,BH$5,0)),0),IF(ISERROR(1/VLOOKUP($N34,Capa!$A:$AE,BH$5,0)),0,1/VLOOKUP($N34,Capa!$A:$AE,BH$5,0))))</f>
        <v/>
      </c>
      <c r="BI34" s="118" t="str">
        <f>IF(BI$6="","",IF(BI$3="Maior",IFERROR(IF(VLOOKUP($N34,Capa!$A:$AE,BI$5,0)="",0,VLOOKUP($N34,Capa!$A:$AE,BI$5,0)),0),IF(ISERROR(1/VLOOKUP($N34,Capa!$A:$AE,BI$5,0)),0,1/VLOOKUP($N34,Capa!$A:$AE,BI$5,0))))</f>
        <v/>
      </c>
      <c r="BJ34" s="118" t="str">
        <f>IF(BJ$6="","",IF(BJ$3="Maior",IFERROR(IF(VLOOKUP($N34,Capa!$A:$AE,BJ$5,0)="",0,VLOOKUP($N34,Capa!$A:$AE,BJ$5,0)),0),IF(ISERROR(1/VLOOKUP($N34,Capa!$A:$AE,BJ$5,0)),0,1/VLOOKUP($N34,Capa!$A:$AE,BJ$5,0))))</f>
        <v/>
      </c>
      <c r="BK34" s="118" t="str">
        <f>IF(BK$6="","",IF(BK$3="Maior",IFERROR(IF(VLOOKUP($N34,Capa!$A:$AE,BK$5,0)="",0,VLOOKUP($N34,Capa!$A:$AE,BK$5,0)),0),IF(ISERROR(1/VLOOKUP($N34,Capa!$A:$AE,BK$5,0)),0,1/VLOOKUP($N34,Capa!$A:$AE,BK$5,0))))</f>
        <v/>
      </c>
      <c r="BL34" s="118" t="str">
        <f>IF(BL$6="","",IF(BL$3="Maior",IFERROR(IF(VLOOKUP($N34,Capa!$A:$AE,BL$5,0)="",0,VLOOKUP($N34,Capa!$A:$AE,BL$5,0)),0),IF(ISERROR(1/VLOOKUP($N34,Capa!$A:$AE,BL$5,0)),0,1/VLOOKUP($N34,Capa!$A:$AE,BL$5,0))))</f>
        <v/>
      </c>
      <c r="BM34" s="118" t="str">
        <f>IF(BM$6="","",IF(BM$3="Maior",IFERROR(IF(VLOOKUP($N34,Capa!$A:$AE,BM$5,0)="",0,VLOOKUP($N34,Capa!$A:$AE,BM$5,0)),0),IF(ISERROR(1/VLOOKUP($N34,Capa!$A:$AE,BM$5,0)),0,1/VLOOKUP($N34,Capa!$A:$AE,BM$5,0))))</f>
        <v/>
      </c>
      <c r="BN34" s="118" t="str">
        <f>IF(BN$6="","",IF(BN$3="Maior",IFERROR(IF(VLOOKUP($N34,Capa!$A:$AE,BN$5,0)="",0,VLOOKUP($N34,Capa!$A:$AE,BN$5,0)),0),IF(ISERROR(1/VLOOKUP($N34,Capa!$A:$AE,BN$5,0)),0,1/VLOOKUP($N34,Capa!$A:$AE,BN$5,0))))</f>
        <v/>
      </c>
      <c r="BO34" s="92"/>
    </row>
    <row r="35">
      <c r="B35" s="123">
        <f t="shared" si="23"/>
        <v>1</v>
      </c>
      <c r="C35" s="127" t="s">
        <v>44</v>
      </c>
      <c r="D35" s="119" t="b">
        <v>0</v>
      </c>
      <c r="E35" s="128" t="s">
        <v>565</v>
      </c>
      <c r="F35" s="119">
        <f>MATCH(C35,Capa!$6:$6,0)</f>
        <v>23</v>
      </c>
      <c r="G35" s="11"/>
      <c r="H35" s="8">
        <v>29.0</v>
      </c>
      <c r="I35" s="110" t="str">
        <f t="shared" si="6"/>
        <v>GGBR4</v>
      </c>
      <c r="J35" s="111" t="str">
        <f>VLOOKUP(left(I35,4),Setor!A:D,3,0)&amp;" | "&amp;VLOOKUP(left(I35,4),Setor!A:D,4,0)</f>
        <v>Materiais Básicos | Siderurgia e Metalurgia</v>
      </c>
      <c r="K35" s="112">
        <f t="shared" si="7"/>
        <v>432659240.2</v>
      </c>
      <c r="L35" s="11"/>
      <c r="M35" s="11"/>
      <c r="N35" s="10" t="s">
        <v>81</v>
      </c>
      <c r="O35" s="113">
        <f t="shared" si="8"/>
        <v>991.0401</v>
      </c>
      <c r="P35" s="114">
        <f>VLOOKUP(N35,'Dados StatusInvest'!A:Z,26,0)</f>
        <v>210764110.9</v>
      </c>
      <c r="Q35" s="115">
        <f t="shared" si="9"/>
        <v>401.0401</v>
      </c>
      <c r="R35" s="116">
        <f t="shared" ref="R35:AO35" si="38">IF(AQ35="","", RANK(AQ35,AQ$7:AQ$503,0))</f>
        <v>371</v>
      </c>
      <c r="S35" s="115">
        <f t="shared" si="38"/>
        <v>219</v>
      </c>
      <c r="T35" s="115" t="str">
        <f t="shared" si="38"/>
        <v/>
      </c>
      <c r="U35" s="115" t="str">
        <f t="shared" si="38"/>
        <v/>
      </c>
      <c r="V35" s="115" t="str">
        <f t="shared" si="38"/>
        <v/>
      </c>
      <c r="W35" s="115" t="str">
        <f t="shared" si="38"/>
        <v/>
      </c>
      <c r="X35" s="115" t="str">
        <f t="shared" si="38"/>
        <v/>
      </c>
      <c r="Y35" s="115" t="str">
        <f t="shared" si="38"/>
        <v/>
      </c>
      <c r="Z35" s="115" t="str">
        <f t="shared" si="38"/>
        <v/>
      </c>
      <c r="AA35" s="115" t="str">
        <f t="shared" si="38"/>
        <v/>
      </c>
      <c r="AB35" s="115" t="str">
        <f t="shared" si="38"/>
        <v/>
      </c>
      <c r="AC35" s="115" t="str">
        <f t="shared" si="38"/>
        <v/>
      </c>
      <c r="AD35" s="115" t="str">
        <f t="shared" si="38"/>
        <v/>
      </c>
      <c r="AE35" s="115" t="str">
        <f t="shared" si="38"/>
        <v/>
      </c>
      <c r="AF35" s="115" t="str">
        <f t="shared" si="38"/>
        <v/>
      </c>
      <c r="AG35" s="115" t="str">
        <f t="shared" si="38"/>
        <v/>
      </c>
      <c r="AH35" s="115" t="str">
        <f t="shared" si="38"/>
        <v/>
      </c>
      <c r="AI35" s="115" t="str">
        <f t="shared" si="38"/>
        <v/>
      </c>
      <c r="AJ35" s="115" t="str">
        <f t="shared" si="38"/>
        <v/>
      </c>
      <c r="AK35" s="115" t="str">
        <f t="shared" si="38"/>
        <v/>
      </c>
      <c r="AL35" s="115" t="str">
        <f t="shared" si="38"/>
        <v/>
      </c>
      <c r="AM35" s="115" t="str">
        <f t="shared" si="38"/>
        <v/>
      </c>
      <c r="AN35" s="115" t="str">
        <f t="shared" si="38"/>
        <v/>
      </c>
      <c r="AO35" s="115" t="str">
        <f t="shared" si="38"/>
        <v/>
      </c>
      <c r="AP35" s="117">
        <f>IF(AP$6="","",IF(AP$3="Maior",IFERROR(IF(VLOOKUP($N35,Capa!$A:$AE,AP$5,0)="",0,VLOOKUP($N35,Capa!$A:$AE,AP$5,0)),0),IF(ISERROR(1/VLOOKUP($N35,Capa!$A:$AE,AP$5,0)),0,1/VLOOKUP($N35,Capa!$A:$AE,AP$5,0))))</f>
        <v>0.005905216451</v>
      </c>
      <c r="AQ35" s="118">
        <f>IF(AQ$6="","",IF(AQ$3="Maior",IFERROR(IF(VLOOKUP($N35,Capa!$A:$AE,AQ$5,0)="",0,VLOOKUP($N35,Capa!$A:$AE,AQ$5,0)),0),IF(ISERROR(1/VLOOKUP($N35,Capa!$A:$AE,AQ$5,0)),0,1/VLOOKUP($N35,Capa!$A:$AE,AQ$5,0))))</f>
        <v>0.61</v>
      </c>
      <c r="AR35" s="118">
        <f>IF(AR$6="","",IF(AR$3="Maior",IFERROR(IF(VLOOKUP($N35,Capa!$A:$AE,AR$5,0)="",0,VLOOKUP($N35,Capa!$A:$AE,AR$5,0)),0),IF(ISERROR(1/VLOOKUP($N35,Capa!$A:$AE,AR$5,0)),0,1/VLOOKUP($N35,Capa!$A:$AE,AR$5,0))))</f>
        <v>0</v>
      </c>
      <c r="AS35" s="118" t="str">
        <f>IF(AS$6="","",IF(AS$3="Maior",IFERROR(IF(VLOOKUP($N35,Capa!$A:$AE,AS$5,0)="",0,VLOOKUP($N35,Capa!$A:$AE,AS$5,0)),0),IF(ISERROR(1/VLOOKUP($N35,Capa!$A:$AE,AS$5,0)),0,1/VLOOKUP($N35,Capa!$A:$AE,AS$5,0))))</f>
        <v/>
      </c>
      <c r="AT35" s="118" t="str">
        <f>IF(AT$6="","",IF(AT$3="Maior",IFERROR(IF(VLOOKUP($N35,Capa!$A:$AE,AT$5,0)="",0,VLOOKUP($N35,Capa!$A:$AE,AT$5,0)),0),IF(ISERROR(1/VLOOKUP($N35,Capa!$A:$AE,AT$5,0)),0,1/VLOOKUP($N35,Capa!$A:$AE,AT$5,0))))</f>
        <v/>
      </c>
      <c r="AU35" s="118" t="str">
        <f>IF(AU$6="","",IF(AU$3="Maior",IFERROR(IF(VLOOKUP($N35,Capa!$A:$AE,AU$5,0)="",0,VLOOKUP($N35,Capa!$A:$AE,AU$5,0)),0),IF(ISERROR(1/VLOOKUP($N35,Capa!$A:$AE,AU$5,0)),0,1/VLOOKUP($N35,Capa!$A:$AE,AU$5,0))))</f>
        <v/>
      </c>
      <c r="AV35" s="118" t="str">
        <f>IF(AV$6="","",IF(AV$3="Maior",IFERROR(IF(VLOOKUP($N35,Capa!$A:$AE,AV$5,0)="",0,VLOOKUP($N35,Capa!$A:$AE,AV$5,0)),0),IF(ISERROR(1/VLOOKUP($N35,Capa!$A:$AE,AV$5,0)),0,1/VLOOKUP($N35,Capa!$A:$AE,AV$5,0))))</f>
        <v/>
      </c>
      <c r="AW35" s="118" t="str">
        <f>IF(AW$6="","",IF(AW$3="Maior",IFERROR(IF(VLOOKUP($N35,Capa!$A:$AE,AW$5,0)="",0,VLOOKUP($N35,Capa!$A:$AE,AW$5,0)),0),IF(ISERROR(1/VLOOKUP($N35,Capa!$A:$AE,AW$5,0)),0,1/VLOOKUP($N35,Capa!$A:$AE,AW$5,0))))</f>
        <v/>
      </c>
      <c r="AX35" s="118" t="str">
        <f>IF(AX$6="","",IF(AX$3="Maior",IFERROR(IF(VLOOKUP($N35,Capa!$A:$AE,AX$5,0)="",0,VLOOKUP($N35,Capa!$A:$AE,AX$5,0)),0),IF(ISERROR(1/VLOOKUP($N35,Capa!$A:$AE,AX$5,0)),0,1/VLOOKUP($N35,Capa!$A:$AE,AX$5,0))))</f>
        <v/>
      </c>
      <c r="AY35" s="118" t="str">
        <f>IF(AY$6="","",IF(AY$3="Maior",IFERROR(IF(VLOOKUP($N35,Capa!$A:$AE,AY$5,0)="",0,VLOOKUP($N35,Capa!$A:$AE,AY$5,0)),0),IF(ISERROR(1/VLOOKUP($N35,Capa!$A:$AE,AY$5,0)),0,1/VLOOKUP($N35,Capa!$A:$AE,AY$5,0))))</f>
        <v/>
      </c>
      <c r="AZ35" s="118" t="str">
        <f>IF(AZ$6="","",IF(AZ$3="Maior",IFERROR(IF(VLOOKUP($N35,Capa!$A:$AE,AZ$5,0)="",0,VLOOKUP($N35,Capa!$A:$AE,AZ$5,0)),0),IF(ISERROR(1/VLOOKUP($N35,Capa!$A:$AE,AZ$5,0)),0,1/VLOOKUP($N35,Capa!$A:$AE,AZ$5,0))))</f>
        <v/>
      </c>
      <c r="BA35" s="118" t="str">
        <f>IF(BA$6="","",IF(BA$3="Maior",IFERROR(IF(VLOOKUP($N35,Capa!$A:$AE,BA$5,0)="",0,VLOOKUP($N35,Capa!$A:$AE,BA$5,0)),0),IF(ISERROR(1/VLOOKUP($N35,Capa!$A:$AE,BA$5,0)),0,1/VLOOKUP($N35,Capa!$A:$AE,BA$5,0))))</f>
        <v/>
      </c>
      <c r="BB35" s="118" t="str">
        <f>IF(BB$6="","",IF(BB$3="Maior",IFERROR(IF(VLOOKUP($N35,Capa!$A:$AE,BB$5,0)="",0,VLOOKUP($N35,Capa!$A:$AE,BB$5,0)),0),IF(ISERROR(1/VLOOKUP($N35,Capa!$A:$AE,BB$5,0)),0,1/VLOOKUP($N35,Capa!$A:$AE,BB$5,0))))</f>
        <v/>
      </c>
      <c r="BC35" s="118" t="str">
        <f>IF(BC$6="","",IF(BC$3="Maior",IFERROR(IF(VLOOKUP($N35,Capa!$A:$AE,BC$5,0)="",0,VLOOKUP($N35,Capa!$A:$AE,BC$5,0)),0),IF(ISERROR(1/VLOOKUP($N35,Capa!$A:$AE,BC$5,0)),0,1/VLOOKUP($N35,Capa!$A:$AE,BC$5,0))))</f>
        <v/>
      </c>
      <c r="BD35" s="118" t="str">
        <f>IF(BD$6="","",IF(BD$3="Maior",IFERROR(IF(VLOOKUP($N35,Capa!$A:$AE,BD$5,0)="",0,VLOOKUP($N35,Capa!$A:$AE,BD$5,0)),0),IF(ISERROR(1/VLOOKUP($N35,Capa!$A:$AE,BD$5,0)),0,1/VLOOKUP($N35,Capa!$A:$AE,BD$5,0))))</f>
        <v/>
      </c>
      <c r="BE35" s="118" t="str">
        <f>IF(BE$6="","",IF(BE$3="Maior",IFERROR(IF(VLOOKUP($N35,Capa!$A:$AE,BE$5,0)="",0,VLOOKUP($N35,Capa!$A:$AE,BE$5,0)),0),IF(ISERROR(1/VLOOKUP($N35,Capa!$A:$AE,BE$5,0)),0,1/VLOOKUP($N35,Capa!$A:$AE,BE$5,0))))</f>
        <v/>
      </c>
      <c r="BF35" s="118" t="str">
        <f>IF(BF$6="","",IF(BF$3="Maior",IFERROR(IF(VLOOKUP($N35,Capa!$A:$AE,BF$5,0)="",0,VLOOKUP($N35,Capa!$A:$AE,BF$5,0)),0),IF(ISERROR(1/VLOOKUP($N35,Capa!$A:$AE,BF$5,0)),0,1/VLOOKUP($N35,Capa!$A:$AE,BF$5,0))))</f>
        <v/>
      </c>
      <c r="BG35" s="118" t="str">
        <f>IF(BG$6="","",IF(BG$3="Maior",IFERROR(IF(VLOOKUP($N35,Capa!$A:$AE,BG$5,0)="",0,VLOOKUP($N35,Capa!$A:$AE,BG$5,0)),0),IF(ISERROR(1/VLOOKUP($N35,Capa!$A:$AE,BG$5,0)),0,1/VLOOKUP($N35,Capa!$A:$AE,BG$5,0))))</f>
        <v/>
      </c>
      <c r="BH35" s="118" t="str">
        <f>IF(BH$6="","",IF(BH$3="Maior",IFERROR(IF(VLOOKUP($N35,Capa!$A:$AE,BH$5,0)="",0,VLOOKUP($N35,Capa!$A:$AE,BH$5,0)),0),IF(ISERROR(1/VLOOKUP($N35,Capa!$A:$AE,BH$5,0)),0,1/VLOOKUP($N35,Capa!$A:$AE,BH$5,0))))</f>
        <v/>
      </c>
      <c r="BI35" s="118" t="str">
        <f>IF(BI$6="","",IF(BI$3="Maior",IFERROR(IF(VLOOKUP($N35,Capa!$A:$AE,BI$5,0)="",0,VLOOKUP($N35,Capa!$A:$AE,BI$5,0)),0),IF(ISERROR(1/VLOOKUP($N35,Capa!$A:$AE,BI$5,0)),0,1/VLOOKUP($N35,Capa!$A:$AE,BI$5,0))))</f>
        <v/>
      </c>
      <c r="BJ35" s="118" t="str">
        <f>IF(BJ$6="","",IF(BJ$3="Maior",IFERROR(IF(VLOOKUP($N35,Capa!$A:$AE,BJ$5,0)="",0,VLOOKUP($N35,Capa!$A:$AE,BJ$5,0)),0),IF(ISERROR(1/VLOOKUP($N35,Capa!$A:$AE,BJ$5,0)),0,1/VLOOKUP($N35,Capa!$A:$AE,BJ$5,0))))</f>
        <v/>
      </c>
      <c r="BK35" s="118" t="str">
        <f>IF(BK$6="","",IF(BK$3="Maior",IFERROR(IF(VLOOKUP($N35,Capa!$A:$AE,BK$5,0)="",0,VLOOKUP($N35,Capa!$A:$AE,BK$5,0)),0),IF(ISERROR(1/VLOOKUP($N35,Capa!$A:$AE,BK$5,0)),0,1/VLOOKUP($N35,Capa!$A:$AE,BK$5,0))))</f>
        <v/>
      </c>
      <c r="BL35" s="118" t="str">
        <f>IF(BL$6="","",IF(BL$3="Maior",IFERROR(IF(VLOOKUP($N35,Capa!$A:$AE,BL$5,0)="",0,VLOOKUP($N35,Capa!$A:$AE,BL$5,0)),0),IF(ISERROR(1/VLOOKUP($N35,Capa!$A:$AE,BL$5,0)),0,1/VLOOKUP($N35,Capa!$A:$AE,BL$5,0))))</f>
        <v/>
      </c>
      <c r="BM35" s="118" t="str">
        <f>IF(BM$6="","",IF(BM$3="Maior",IFERROR(IF(VLOOKUP($N35,Capa!$A:$AE,BM$5,0)="",0,VLOOKUP($N35,Capa!$A:$AE,BM$5,0)),0),IF(ISERROR(1/VLOOKUP($N35,Capa!$A:$AE,BM$5,0)),0,1/VLOOKUP($N35,Capa!$A:$AE,BM$5,0))))</f>
        <v/>
      </c>
      <c r="BN35" s="118" t="str">
        <f>IF(BN$6="","",IF(BN$3="Maior",IFERROR(IF(VLOOKUP($N35,Capa!$A:$AE,BN$5,0)="",0,VLOOKUP($N35,Capa!$A:$AE,BN$5,0)),0),IF(ISERROR(1/VLOOKUP($N35,Capa!$A:$AE,BN$5,0)),0,1/VLOOKUP($N35,Capa!$A:$AE,BN$5,0))))</f>
        <v/>
      </c>
      <c r="BO35" s="92"/>
    </row>
    <row r="36">
      <c r="B36" s="123">
        <f t="shared" si="23"/>
        <v>1</v>
      </c>
      <c r="C36" s="127" t="s">
        <v>45</v>
      </c>
      <c r="D36" s="119" t="b">
        <v>0</v>
      </c>
      <c r="E36" s="128" t="s">
        <v>565</v>
      </c>
      <c r="F36" s="119">
        <f>MATCH(C36,Capa!$6:$6,0)</f>
        <v>24</v>
      </c>
      <c r="G36" s="11"/>
      <c r="H36" s="8">
        <v>30.0</v>
      </c>
      <c r="I36" s="110" t="str">
        <f t="shared" si="6"/>
        <v>LEVE3</v>
      </c>
      <c r="J36" s="111" t="str">
        <f>VLOOKUP(left(I36,4),Setor!A:D,3,0)&amp;" | "&amp;VLOOKUP(left(I36,4),Setor!A:D,4,0)</f>
        <v>Consumo Cíclico | Automóveis e Motocicletas</v>
      </c>
      <c r="K36" s="112">
        <f t="shared" si="7"/>
        <v>26356025.46</v>
      </c>
      <c r="L36" s="11"/>
      <c r="M36" s="11"/>
      <c r="N36" s="10" t="s">
        <v>82</v>
      </c>
      <c r="O36" s="113">
        <f t="shared" si="8"/>
        <v>649.0292</v>
      </c>
      <c r="P36" s="114">
        <f>VLOOKUP(N36,'Dados StatusInvest'!A:Z,26,0)</f>
        <v>198114826</v>
      </c>
      <c r="Q36" s="115">
        <f t="shared" si="9"/>
        <v>292.0292</v>
      </c>
      <c r="R36" s="116">
        <f t="shared" ref="R36:AO36" si="39">IF(AQ36="","", RANK(AQ36,AQ$7:AQ$503,0))</f>
        <v>274</v>
      </c>
      <c r="S36" s="115">
        <f t="shared" si="39"/>
        <v>83</v>
      </c>
      <c r="T36" s="115" t="str">
        <f t="shared" si="39"/>
        <v/>
      </c>
      <c r="U36" s="115" t="str">
        <f t="shared" si="39"/>
        <v/>
      </c>
      <c r="V36" s="115" t="str">
        <f t="shared" si="39"/>
        <v/>
      </c>
      <c r="W36" s="115" t="str">
        <f t="shared" si="39"/>
        <v/>
      </c>
      <c r="X36" s="115" t="str">
        <f t="shared" si="39"/>
        <v/>
      </c>
      <c r="Y36" s="115" t="str">
        <f t="shared" si="39"/>
        <v/>
      </c>
      <c r="Z36" s="115" t="str">
        <f t="shared" si="39"/>
        <v/>
      </c>
      <c r="AA36" s="115" t="str">
        <f t="shared" si="39"/>
        <v/>
      </c>
      <c r="AB36" s="115" t="str">
        <f t="shared" si="39"/>
        <v/>
      </c>
      <c r="AC36" s="115" t="str">
        <f t="shared" si="39"/>
        <v/>
      </c>
      <c r="AD36" s="115" t="str">
        <f t="shared" si="39"/>
        <v/>
      </c>
      <c r="AE36" s="115" t="str">
        <f t="shared" si="39"/>
        <v/>
      </c>
      <c r="AF36" s="115" t="str">
        <f t="shared" si="39"/>
        <v/>
      </c>
      <c r="AG36" s="115" t="str">
        <f t="shared" si="39"/>
        <v/>
      </c>
      <c r="AH36" s="115" t="str">
        <f t="shared" si="39"/>
        <v/>
      </c>
      <c r="AI36" s="115" t="str">
        <f t="shared" si="39"/>
        <v/>
      </c>
      <c r="AJ36" s="115" t="str">
        <f t="shared" si="39"/>
        <v/>
      </c>
      <c r="AK36" s="115" t="str">
        <f t="shared" si="39"/>
        <v/>
      </c>
      <c r="AL36" s="115" t="str">
        <f t="shared" si="39"/>
        <v/>
      </c>
      <c r="AM36" s="115" t="str">
        <f t="shared" si="39"/>
        <v/>
      </c>
      <c r="AN36" s="115" t="str">
        <f t="shared" si="39"/>
        <v/>
      </c>
      <c r="AO36" s="115" t="str">
        <f t="shared" si="39"/>
        <v/>
      </c>
      <c r="AP36" s="117">
        <f>IF(AP$6="","",IF(AP$3="Maior",IFERROR(IF(VLOOKUP($N36,Capa!$A:$AE,AP$5,0)="",0,VLOOKUP($N36,Capa!$A:$AE,AP$5,0)),0),IF(ISERROR(1/VLOOKUP($N36,Capa!$A:$AE,AP$5,0)),0,1/VLOOKUP($N36,Capa!$A:$AE,AP$5,0))))</f>
        <v>0.06000848396</v>
      </c>
      <c r="AQ36" s="118">
        <f>IF(AQ$6="","",IF(AQ$3="Maior",IFERROR(IF(VLOOKUP($N36,Capa!$A:$AE,AQ$5,0)="",0,VLOOKUP($N36,Capa!$A:$AE,AQ$5,0)),0),IF(ISERROR(1/VLOOKUP($N36,Capa!$A:$AE,AQ$5,0)),0,1/VLOOKUP($N36,Capa!$A:$AE,AQ$5,0))))</f>
        <v>6.55</v>
      </c>
      <c r="AR36" s="118">
        <f>IF(AR$6="","",IF(AR$3="Maior",IFERROR(IF(VLOOKUP($N36,Capa!$A:$AE,AR$5,0)="",0,VLOOKUP($N36,Capa!$A:$AE,AR$5,0)),0),IF(ISERROR(1/VLOOKUP($N36,Capa!$A:$AE,AR$5,0)),0,1/VLOOKUP($N36,Capa!$A:$AE,AR$5,0))))</f>
        <v>33.99</v>
      </c>
      <c r="AS36" s="118" t="str">
        <f>IF(AS$6="","",IF(AS$3="Maior",IFERROR(IF(VLOOKUP($N36,Capa!$A:$AE,AS$5,0)="",0,VLOOKUP($N36,Capa!$A:$AE,AS$5,0)),0),IF(ISERROR(1/VLOOKUP($N36,Capa!$A:$AE,AS$5,0)),0,1/VLOOKUP($N36,Capa!$A:$AE,AS$5,0))))</f>
        <v/>
      </c>
      <c r="AT36" s="118" t="str">
        <f>IF(AT$6="","",IF(AT$3="Maior",IFERROR(IF(VLOOKUP($N36,Capa!$A:$AE,AT$5,0)="",0,VLOOKUP($N36,Capa!$A:$AE,AT$5,0)),0),IF(ISERROR(1/VLOOKUP($N36,Capa!$A:$AE,AT$5,0)),0,1/VLOOKUP($N36,Capa!$A:$AE,AT$5,0))))</f>
        <v/>
      </c>
      <c r="AU36" s="118" t="str">
        <f>IF(AU$6="","",IF(AU$3="Maior",IFERROR(IF(VLOOKUP($N36,Capa!$A:$AE,AU$5,0)="",0,VLOOKUP($N36,Capa!$A:$AE,AU$5,0)),0),IF(ISERROR(1/VLOOKUP($N36,Capa!$A:$AE,AU$5,0)),0,1/VLOOKUP($N36,Capa!$A:$AE,AU$5,0))))</f>
        <v/>
      </c>
      <c r="AV36" s="118" t="str">
        <f>IF(AV$6="","",IF(AV$3="Maior",IFERROR(IF(VLOOKUP($N36,Capa!$A:$AE,AV$5,0)="",0,VLOOKUP($N36,Capa!$A:$AE,AV$5,0)),0),IF(ISERROR(1/VLOOKUP($N36,Capa!$A:$AE,AV$5,0)),0,1/VLOOKUP($N36,Capa!$A:$AE,AV$5,0))))</f>
        <v/>
      </c>
      <c r="AW36" s="118" t="str">
        <f>IF(AW$6="","",IF(AW$3="Maior",IFERROR(IF(VLOOKUP($N36,Capa!$A:$AE,AW$5,0)="",0,VLOOKUP($N36,Capa!$A:$AE,AW$5,0)),0),IF(ISERROR(1/VLOOKUP($N36,Capa!$A:$AE,AW$5,0)),0,1/VLOOKUP($N36,Capa!$A:$AE,AW$5,0))))</f>
        <v/>
      </c>
      <c r="AX36" s="118" t="str">
        <f>IF(AX$6="","",IF(AX$3="Maior",IFERROR(IF(VLOOKUP($N36,Capa!$A:$AE,AX$5,0)="",0,VLOOKUP($N36,Capa!$A:$AE,AX$5,0)),0),IF(ISERROR(1/VLOOKUP($N36,Capa!$A:$AE,AX$5,0)),0,1/VLOOKUP($N36,Capa!$A:$AE,AX$5,0))))</f>
        <v/>
      </c>
      <c r="AY36" s="118" t="str">
        <f>IF(AY$6="","",IF(AY$3="Maior",IFERROR(IF(VLOOKUP($N36,Capa!$A:$AE,AY$5,0)="",0,VLOOKUP($N36,Capa!$A:$AE,AY$5,0)),0),IF(ISERROR(1/VLOOKUP($N36,Capa!$A:$AE,AY$5,0)),0,1/VLOOKUP($N36,Capa!$A:$AE,AY$5,0))))</f>
        <v/>
      </c>
      <c r="AZ36" s="118" t="str">
        <f>IF(AZ$6="","",IF(AZ$3="Maior",IFERROR(IF(VLOOKUP($N36,Capa!$A:$AE,AZ$5,0)="",0,VLOOKUP($N36,Capa!$A:$AE,AZ$5,0)),0),IF(ISERROR(1/VLOOKUP($N36,Capa!$A:$AE,AZ$5,0)),0,1/VLOOKUP($N36,Capa!$A:$AE,AZ$5,0))))</f>
        <v/>
      </c>
      <c r="BA36" s="118" t="str">
        <f>IF(BA$6="","",IF(BA$3="Maior",IFERROR(IF(VLOOKUP($N36,Capa!$A:$AE,BA$5,0)="",0,VLOOKUP($N36,Capa!$A:$AE,BA$5,0)),0),IF(ISERROR(1/VLOOKUP($N36,Capa!$A:$AE,BA$5,0)),0,1/VLOOKUP($N36,Capa!$A:$AE,BA$5,0))))</f>
        <v/>
      </c>
      <c r="BB36" s="118" t="str">
        <f>IF(BB$6="","",IF(BB$3="Maior",IFERROR(IF(VLOOKUP($N36,Capa!$A:$AE,BB$5,0)="",0,VLOOKUP($N36,Capa!$A:$AE,BB$5,0)),0),IF(ISERROR(1/VLOOKUP($N36,Capa!$A:$AE,BB$5,0)),0,1/VLOOKUP($N36,Capa!$A:$AE,BB$5,0))))</f>
        <v/>
      </c>
      <c r="BC36" s="118" t="str">
        <f>IF(BC$6="","",IF(BC$3="Maior",IFERROR(IF(VLOOKUP($N36,Capa!$A:$AE,BC$5,0)="",0,VLOOKUP($N36,Capa!$A:$AE,BC$5,0)),0),IF(ISERROR(1/VLOOKUP($N36,Capa!$A:$AE,BC$5,0)),0,1/VLOOKUP($N36,Capa!$A:$AE,BC$5,0))))</f>
        <v/>
      </c>
      <c r="BD36" s="118" t="str">
        <f>IF(BD$6="","",IF(BD$3="Maior",IFERROR(IF(VLOOKUP($N36,Capa!$A:$AE,BD$5,0)="",0,VLOOKUP($N36,Capa!$A:$AE,BD$5,0)),0),IF(ISERROR(1/VLOOKUP($N36,Capa!$A:$AE,BD$5,0)),0,1/VLOOKUP($N36,Capa!$A:$AE,BD$5,0))))</f>
        <v/>
      </c>
      <c r="BE36" s="118" t="str">
        <f>IF(BE$6="","",IF(BE$3="Maior",IFERROR(IF(VLOOKUP($N36,Capa!$A:$AE,BE$5,0)="",0,VLOOKUP($N36,Capa!$A:$AE,BE$5,0)),0),IF(ISERROR(1/VLOOKUP($N36,Capa!$A:$AE,BE$5,0)),0,1/VLOOKUP($N36,Capa!$A:$AE,BE$5,0))))</f>
        <v/>
      </c>
      <c r="BF36" s="118" t="str">
        <f>IF(BF$6="","",IF(BF$3="Maior",IFERROR(IF(VLOOKUP($N36,Capa!$A:$AE,BF$5,0)="",0,VLOOKUP($N36,Capa!$A:$AE,BF$5,0)),0),IF(ISERROR(1/VLOOKUP($N36,Capa!$A:$AE,BF$5,0)),0,1/VLOOKUP($N36,Capa!$A:$AE,BF$5,0))))</f>
        <v/>
      </c>
      <c r="BG36" s="118" t="str">
        <f>IF(BG$6="","",IF(BG$3="Maior",IFERROR(IF(VLOOKUP($N36,Capa!$A:$AE,BG$5,0)="",0,VLOOKUP($N36,Capa!$A:$AE,BG$5,0)),0),IF(ISERROR(1/VLOOKUP($N36,Capa!$A:$AE,BG$5,0)),0,1/VLOOKUP($N36,Capa!$A:$AE,BG$5,0))))</f>
        <v/>
      </c>
      <c r="BH36" s="118" t="str">
        <f>IF(BH$6="","",IF(BH$3="Maior",IFERROR(IF(VLOOKUP($N36,Capa!$A:$AE,BH$5,0)="",0,VLOOKUP($N36,Capa!$A:$AE,BH$5,0)),0),IF(ISERROR(1/VLOOKUP($N36,Capa!$A:$AE,BH$5,0)),0,1/VLOOKUP($N36,Capa!$A:$AE,BH$5,0))))</f>
        <v/>
      </c>
      <c r="BI36" s="118" t="str">
        <f>IF(BI$6="","",IF(BI$3="Maior",IFERROR(IF(VLOOKUP($N36,Capa!$A:$AE,BI$5,0)="",0,VLOOKUP($N36,Capa!$A:$AE,BI$5,0)),0),IF(ISERROR(1/VLOOKUP($N36,Capa!$A:$AE,BI$5,0)),0,1/VLOOKUP($N36,Capa!$A:$AE,BI$5,0))))</f>
        <v/>
      </c>
      <c r="BJ36" s="118" t="str">
        <f>IF(BJ$6="","",IF(BJ$3="Maior",IFERROR(IF(VLOOKUP($N36,Capa!$A:$AE,BJ$5,0)="",0,VLOOKUP($N36,Capa!$A:$AE,BJ$5,0)),0),IF(ISERROR(1/VLOOKUP($N36,Capa!$A:$AE,BJ$5,0)),0,1/VLOOKUP($N36,Capa!$A:$AE,BJ$5,0))))</f>
        <v/>
      </c>
      <c r="BK36" s="118" t="str">
        <f>IF(BK$6="","",IF(BK$3="Maior",IFERROR(IF(VLOOKUP($N36,Capa!$A:$AE,BK$5,0)="",0,VLOOKUP($N36,Capa!$A:$AE,BK$5,0)),0),IF(ISERROR(1/VLOOKUP($N36,Capa!$A:$AE,BK$5,0)),0,1/VLOOKUP($N36,Capa!$A:$AE,BK$5,0))))</f>
        <v/>
      </c>
      <c r="BL36" s="118" t="str">
        <f>IF(BL$6="","",IF(BL$3="Maior",IFERROR(IF(VLOOKUP($N36,Capa!$A:$AE,BL$5,0)="",0,VLOOKUP($N36,Capa!$A:$AE,BL$5,0)),0),IF(ISERROR(1/VLOOKUP($N36,Capa!$A:$AE,BL$5,0)),0,1/VLOOKUP($N36,Capa!$A:$AE,BL$5,0))))</f>
        <v/>
      </c>
      <c r="BM36" s="118" t="str">
        <f>IF(BM$6="","",IF(BM$3="Maior",IFERROR(IF(VLOOKUP($N36,Capa!$A:$AE,BM$5,0)="",0,VLOOKUP($N36,Capa!$A:$AE,BM$5,0)),0),IF(ISERROR(1/VLOOKUP($N36,Capa!$A:$AE,BM$5,0)),0,1/VLOOKUP($N36,Capa!$A:$AE,BM$5,0))))</f>
        <v/>
      </c>
      <c r="BN36" s="118" t="str">
        <f>IF(BN$6="","",IF(BN$3="Maior",IFERROR(IF(VLOOKUP($N36,Capa!$A:$AE,BN$5,0)="",0,VLOOKUP($N36,Capa!$A:$AE,BN$5,0)),0),IF(ISERROR(1/VLOOKUP($N36,Capa!$A:$AE,BN$5,0)),0,1/VLOOKUP($N36,Capa!$A:$AE,BN$5,0))))</f>
        <v/>
      </c>
      <c r="BO36" s="92"/>
    </row>
    <row r="37">
      <c r="B37" s="123">
        <f t="shared" si="23"/>
        <v>2</v>
      </c>
      <c r="C37" s="127" t="s">
        <v>46</v>
      </c>
      <c r="D37" s="119" t="b">
        <v>1</v>
      </c>
      <c r="E37" s="128" t="s">
        <v>565</v>
      </c>
      <c r="F37" s="119">
        <f>MATCH(C37,Capa!$6:$6,0)</f>
        <v>25</v>
      </c>
      <c r="G37" s="11"/>
      <c r="H37" s="8">
        <v>31.0</v>
      </c>
      <c r="I37" s="110" t="str">
        <f t="shared" si="6"/>
        <v>DXCO3</v>
      </c>
      <c r="J37" s="111" t="str">
        <f>VLOOKUP(left(I37,4),Setor!A:D,3,0)&amp;" | "&amp;VLOOKUP(left(I37,4),Setor!A:D,4,0)</f>
        <v>#N/A</v>
      </c>
      <c r="K37" s="112">
        <f t="shared" si="7"/>
        <v>68771496.54</v>
      </c>
      <c r="L37" s="11"/>
      <c r="M37" s="11"/>
      <c r="N37" s="10" t="s">
        <v>83</v>
      </c>
      <c r="O37" s="113">
        <f t="shared" si="8"/>
        <v>188.0047</v>
      </c>
      <c r="P37" s="114">
        <f>VLOOKUP(N37,'Dados StatusInvest'!A:Z,26,0)</f>
        <v>241411211</v>
      </c>
      <c r="Q37" s="115">
        <f t="shared" si="9"/>
        <v>47.0047</v>
      </c>
      <c r="R37" s="116">
        <f t="shared" ref="R37:AO37" si="40">IF(AQ37="","", RANK(AQ37,AQ$7:AQ$503,0))</f>
        <v>40</v>
      </c>
      <c r="S37" s="115">
        <f t="shared" si="40"/>
        <v>101</v>
      </c>
      <c r="T37" s="115" t="str">
        <f t="shared" si="40"/>
        <v/>
      </c>
      <c r="U37" s="115" t="str">
        <f t="shared" si="40"/>
        <v/>
      </c>
      <c r="V37" s="115" t="str">
        <f t="shared" si="40"/>
        <v/>
      </c>
      <c r="W37" s="115" t="str">
        <f t="shared" si="40"/>
        <v/>
      </c>
      <c r="X37" s="115" t="str">
        <f t="shared" si="40"/>
        <v/>
      </c>
      <c r="Y37" s="115" t="str">
        <f t="shared" si="40"/>
        <v/>
      </c>
      <c r="Z37" s="115" t="str">
        <f t="shared" si="40"/>
        <v/>
      </c>
      <c r="AA37" s="115" t="str">
        <f t="shared" si="40"/>
        <v/>
      </c>
      <c r="AB37" s="115" t="str">
        <f t="shared" si="40"/>
        <v/>
      </c>
      <c r="AC37" s="115" t="str">
        <f t="shared" si="40"/>
        <v/>
      </c>
      <c r="AD37" s="115" t="str">
        <f t="shared" si="40"/>
        <v/>
      </c>
      <c r="AE37" s="115" t="str">
        <f t="shared" si="40"/>
        <v/>
      </c>
      <c r="AF37" s="115" t="str">
        <f t="shared" si="40"/>
        <v/>
      </c>
      <c r="AG37" s="115" t="str">
        <f t="shared" si="40"/>
        <v/>
      </c>
      <c r="AH37" s="115" t="str">
        <f t="shared" si="40"/>
        <v/>
      </c>
      <c r="AI37" s="115" t="str">
        <f t="shared" si="40"/>
        <v/>
      </c>
      <c r="AJ37" s="115" t="str">
        <f t="shared" si="40"/>
        <v/>
      </c>
      <c r="AK37" s="115" t="str">
        <f t="shared" si="40"/>
        <v/>
      </c>
      <c r="AL37" s="115" t="str">
        <f t="shared" si="40"/>
        <v/>
      </c>
      <c r="AM37" s="115" t="str">
        <f t="shared" si="40"/>
        <v/>
      </c>
      <c r="AN37" s="115" t="str">
        <f t="shared" si="40"/>
        <v/>
      </c>
      <c r="AO37" s="115" t="str">
        <f t="shared" si="40"/>
        <v/>
      </c>
      <c r="AP37" s="117">
        <f>IF(AP$6="","",IF(AP$3="Maior",IFERROR(IF(VLOOKUP($N37,Capa!$A:$AE,AP$5,0)="",0,VLOOKUP($N37,Capa!$A:$AE,AP$5,0)),0),IF(ISERROR(1/VLOOKUP($N37,Capa!$A:$AE,AP$5,0)),0,1/VLOOKUP($N37,Capa!$A:$AE,AP$5,0))))</f>
        <v>0.2525195806</v>
      </c>
      <c r="AQ37" s="118">
        <f>IF(AQ$6="","",IF(AQ$3="Maior",IFERROR(IF(VLOOKUP($N37,Capa!$A:$AE,AQ$5,0)="",0,VLOOKUP($N37,Capa!$A:$AE,AQ$5,0)),0),IF(ISERROR(1/VLOOKUP($N37,Capa!$A:$AE,AQ$5,0)),0,1/VLOOKUP($N37,Capa!$A:$AE,AQ$5,0))))</f>
        <v>31.39</v>
      </c>
      <c r="AR37" s="118">
        <f>IF(AR$6="","",IF(AR$3="Maior",IFERROR(IF(VLOOKUP($N37,Capa!$A:$AE,AR$5,0)="",0,VLOOKUP($N37,Capa!$A:$AE,AR$5,0)),0),IF(ISERROR(1/VLOOKUP($N37,Capa!$A:$AE,AR$5,0)),0,1/VLOOKUP($N37,Capa!$A:$AE,AR$5,0))))</f>
        <v>25.52</v>
      </c>
      <c r="AS37" s="118" t="str">
        <f>IF(AS$6="","",IF(AS$3="Maior",IFERROR(IF(VLOOKUP($N37,Capa!$A:$AE,AS$5,0)="",0,VLOOKUP($N37,Capa!$A:$AE,AS$5,0)),0),IF(ISERROR(1/VLOOKUP($N37,Capa!$A:$AE,AS$5,0)),0,1/VLOOKUP($N37,Capa!$A:$AE,AS$5,0))))</f>
        <v/>
      </c>
      <c r="AT37" s="118" t="str">
        <f>IF(AT$6="","",IF(AT$3="Maior",IFERROR(IF(VLOOKUP($N37,Capa!$A:$AE,AT$5,0)="",0,VLOOKUP($N37,Capa!$A:$AE,AT$5,0)),0),IF(ISERROR(1/VLOOKUP($N37,Capa!$A:$AE,AT$5,0)),0,1/VLOOKUP($N37,Capa!$A:$AE,AT$5,0))))</f>
        <v/>
      </c>
      <c r="AU37" s="118" t="str">
        <f>IF(AU$6="","",IF(AU$3="Maior",IFERROR(IF(VLOOKUP($N37,Capa!$A:$AE,AU$5,0)="",0,VLOOKUP($N37,Capa!$A:$AE,AU$5,0)),0),IF(ISERROR(1/VLOOKUP($N37,Capa!$A:$AE,AU$5,0)),0,1/VLOOKUP($N37,Capa!$A:$AE,AU$5,0))))</f>
        <v/>
      </c>
      <c r="AV37" s="118" t="str">
        <f>IF(AV$6="","",IF(AV$3="Maior",IFERROR(IF(VLOOKUP($N37,Capa!$A:$AE,AV$5,0)="",0,VLOOKUP($N37,Capa!$A:$AE,AV$5,0)),0),IF(ISERROR(1/VLOOKUP($N37,Capa!$A:$AE,AV$5,0)),0,1/VLOOKUP($N37,Capa!$A:$AE,AV$5,0))))</f>
        <v/>
      </c>
      <c r="AW37" s="118" t="str">
        <f>IF(AW$6="","",IF(AW$3="Maior",IFERROR(IF(VLOOKUP($N37,Capa!$A:$AE,AW$5,0)="",0,VLOOKUP($N37,Capa!$A:$AE,AW$5,0)),0),IF(ISERROR(1/VLOOKUP($N37,Capa!$A:$AE,AW$5,0)),0,1/VLOOKUP($N37,Capa!$A:$AE,AW$5,0))))</f>
        <v/>
      </c>
      <c r="AX37" s="118" t="str">
        <f>IF(AX$6="","",IF(AX$3="Maior",IFERROR(IF(VLOOKUP($N37,Capa!$A:$AE,AX$5,0)="",0,VLOOKUP($N37,Capa!$A:$AE,AX$5,0)),0),IF(ISERROR(1/VLOOKUP($N37,Capa!$A:$AE,AX$5,0)),0,1/VLOOKUP($N37,Capa!$A:$AE,AX$5,0))))</f>
        <v/>
      </c>
      <c r="AY37" s="118" t="str">
        <f>IF(AY$6="","",IF(AY$3="Maior",IFERROR(IF(VLOOKUP($N37,Capa!$A:$AE,AY$5,0)="",0,VLOOKUP($N37,Capa!$A:$AE,AY$5,0)),0),IF(ISERROR(1/VLOOKUP($N37,Capa!$A:$AE,AY$5,0)),0,1/VLOOKUP($N37,Capa!$A:$AE,AY$5,0))))</f>
        <v/>
      </c>
      <c r="AZ37" s="118" t="str">
        <f>IF(AZ$6="","",IF(AZ$3="Maior",IFERROR(IF(VLOOKUP($N37,Capa!$A:$AE,AZ$5,0)="",0,VLOOKUP($N37,Capa!$A:$AE,AZ$5,0)),0),IF(ISERROR(1/VLOOKUP($N37,Capa!$A:$AE,AZ$5,0)),0,1/VLOOKUP($N37,Capa!$A:$AE,AZ$5,0))))</f>
        <v/>
      </c>
      <c r="BA37" s="118" t="str">
        <f>IF(BA$6="","",IF(BA$3="Maior",IFERROR(IF(VLOOKUP($N37,Capa!$A:$AE,BA$5,0)="",0,VLOOKUP($N37,Capa!$A:$AE,BA$5,0)),0),IF(ISERROR(1/VLOOKUP($N37,Capa!$A:$AE,BA$5,0)),0,1/VLOOKUP($N37,Capa!$A:$AE,BA$5,0))))</f>
        <v/>
      </c>
      <c r="BB37" s="118" t="str">
        <f>IF(BB$6="","",IF(BB$3="Maior",IFERROR(IF(VLOOKUP($N37,Capa!$A:$AE,BB$5,0)="",0,VLOOKUP($N37,Capa!$A:$AE,BB$5,0)),0),IF(ISERROR(1/VLOOKUP($N37,Capa!$A:$AE,BB$5,0)),0,1/VLOOKUP($N37,Capa!$A:$AE,BB$5,0))))</f>
        <v/>
      </c>
      <c r="BC37" s="118" t="str">
        <f>IF(BC$6="","",IF(BC$3="Maior",IFERROR(IF(VLOOKUP($N37,Capa!$A:$AE,BC$5,0)="",0,VLOOKUP($N37,Capa!$A:$AE,BC$5,0)),0),IF(ISERROR(1/VLOOKUP($N37,Capa!$A:$AE,BC$5,0)),0,1/VLOOKUP($N37,Capa!$A:$AE,BC$5,0))))</f>
        <v/>
      </c>
      <c r="BD37" s="118" t="str">
        <f>IF(BD$6="","",IF(BD$3="Maior",IFERROR(IF(VLOOKUP($N37,Capa!$A:$AE,BD$5,0)="",0,VLOOKUP($N37,Capa!$A:$AE,BD$5,0)),0),IF(ISERROR(1/VLOOKUP($N37,Capa!$A:$AE,BD$5,0)),0,1/VLOOKUP($N37,Capa!$A:$AE,BD$5,0))))</f>
        <v/>
      </c>
      <c r="BE37" s="118" t="str">
        <f>IF(BE$6="","",IF(BE$3="Maior",IFERROR(IF(VLOOKUP($N37,Capa!$A:$AE,BE$5,0)="",0,VLOOKUP($N37,Capa!$A:$AE,BE$5,0)),0),IF(ISERROR(1/VLOOKUP($N37,Capa!$A:$AE,BE$5,0)),0,1/VLOOKUP($N37,Capa!$A:$AE,BE$5,0))))</f>
        <v/>
      </c>
      <c r="BF37" s="118" t="str">
        <f>IF(BF$6="","",IF(BF$3="Maior",IFERROR(IF(VLOOKUP($N37,Capa!$A:$AE,BF$5,0)="",0,VLOOKUP($N37,Capa!$A:$AE,BF$5,0)),0),IF(ISERROR(1/VLOOKUP($N37,Capa!$A:$AE,BF$5,0)),0,1/VLOOKUP($N37,Capa!$A:$AE,BF$5,0))))</f>
        <v/>
      </c>
      <c r="BG37" s="118" t="str">
        <f>IF(BG$6="","",IF(BG$3="Maior",IFERROR(IF(VLOOKUP($N37,Capa!$A:$AE,BG$5,0)="",0,VLOOKUP($N37,Capa!$A:$AE,BG$5,0)),0),IF(ISERROR(1/VLOOKUP($N37,Capa!$A:$AE,BG$5,0)),0,1/VLOOKUP($N37,Capa!$A:$AE,BG$5,0))))</f>
        <v/>
      </c>
      <c r="BH37" s="118" t="str">
        <f>IF(BH$6="","",IF(BH$3="Maior",IFERROR(IF(VLOOKUP($N37,Capa!$A:$AE,BH$5,0)="",0,VLOOKUP($N37,Capa!$A:$AE,BH$5,0)),0),IF(ISERROR(1/VLOOKUP($N37,Capa!$A:$AE,BH$5,0)),0,1/VLOOKUP($N37,Capa!$A:$AE,BH$5,0))))</f>
        <v/>
      </c>
      <c r="BI37" s="118" t="str">
        <f>IF(BI$6="","",IF(BI$3="Maior",IFERROR(IF(VLOOKUP($N37,Capa!$A:$AE,BI$5,0)="",0,VLOOKUP($N37,Capa!$A:$AE,BI$5,0)),0),IF(ISERROR(1/VLOOKUP($N37,Capa!$A:$AE,BI$5,0)),0,1/VLOOKUP($N37,Capa!$A:$AE,BI$5,0))))</f>
        <v/>
      </c>
      <c r="BJ37" s="118" t="str">
        <f>IF(BJ$6="","",IF(BJ$3="Maior",IFERROR(IF(VLOOKUP($N37,Capa!$A:$AE,BJ$5,0)="",0,VLOOKUP($N37,Capa!$A:$AE,BJ$5,0)),0),IF(ISERROR(1/VLOOKUP($N37,Capa!$A:$AE,BJ$5,0)),0,1/VLOOKUP($N37,Capa!$A:$AE,BJ$5,0))))</f>
        <v/>
      </c>
      <c r="BK37" s="118" t="str">
        <f>IF(BK$6="","",IF(BK$3="Maior",IFERROR(IF(VLOOKUP($N37,Capa!$A:$AE,BK$5,0)="",0,VLOOKUP($N37,Capa!$A:$AE,BK$5,0)),0),IF(ISERROR(1/VLOOKUP($N37,Capa!$A:$AE,BK$5,0)),0,1/VLOOKUP($N37,Capa!$A:$AE,BK$5,0))))</f>
        <v/>
      </c>
      <c r="BL37" s="118" t="str">
        <f>IF(BL$6="","",IF(BL$3="Maior",IFERROR(IF(VLOOKUP($N37,Capa!$A:$AE,BL$5,0)="",0,VLOOKUP($N37,Capa!$A:$AE,BL$5,0)),0),IF(ISERROR(1/VLOOKUP($N37,Capa!$A:$AE,BL$5,0)),0,1/VLOOKUP($N37,Capa!$A:$AE,BL$5,0))))</f>
        <v/>
      </c>
      <c r="BM37" s="118" t="str">
        <f>IF(BM$6="","",IF(BM$3="Maior",IFERROR(IF(VLOOKUP($N37,Capa!$A:$AE,BM$5,0)="",0,VLOOKUP($N37,Capa!$A:$AE,BM$5,0)),0),IF(ISERROR(1/VLOOKUP($N37,Capa!$A:$AE,BM$5,0)),0,1/VLOOKUP($N37,Capa!$A:$AE,BM$5,0))))</f>
        <v/>
      </c>
      <c r="BN37" s="118" t="str">
        <f>IF(BN$6="","",IF(BN$3="Maior",IFERROR(IF(VLOOKUP($N37,Capa!$A:$AE,BN$5,0)="",0,VLOOKUP($N37,Capa!$A:$AE,BN$5,0)),0),IF(ISERROR(1/VLOOKUP($N37,Capa!$A:$AE,BN$5,0)),0,1/VLOOKUP($N37,Capa!$A:$AE,BN$5,0))))</f>
        <v/>
      </c>
      <c r="BO37" s="92"/>
    </row>
    <row r="38">
      <c r="B38" s="123">
        <f t="shared" si="23"/>
        <v>2</v>
      </c>
      <c r="C38" s="127" t="s">
        <v>47</v>
      </c>
      <c r="D38" s="119" t="b">
        <v>0</v>
      </c>
      <c r="E38" s="128" t="s">
        <v>565</v>
      </c>
      <c r="F38" s="119">
        <f>MATCH(C38,Capa!$6:$6,0)</f>
        <v>26</v>
      </c>
      <c r="G38" s="11"/>
      <c r="H38" s="8">
        <v>32.0</v>
      </c>
      <c r="I38" s="110" t="str">
        <f t="shared" si="6"/>
        <v>CMIG4</v>
      </c>
      <c r="J38" s="111" t="str">
        <f>VLOOKUP(left(I38,4),Setor!A:D,3,0)&amp;" | "&amp;VLOOKUP(left(I38,4),Setor!A:D,4,0)</f>
        <v>Utilidade Pública | Energia Elétrica</v>
      </c>
      <c r="K38" s="112">
        <f t="shared" si="7"/>
        <v>130259247.8</v>
      </c>
      <c r="L38" s="11"/>
      <c r="M38" s="11"/>
      <c r="N38" s="10" t="s">
        <v>84</v>
      </c>
      <c r="O38" s="113">
        <f t="shared" si="8"/>
        <v>613.0259</v>
      </c>
      <c r="P38" s="114">
        <f>VLOOKUP(N38,'Dados StatusInvest'!A:Z,26,0)</f>
        <v>238021866.2</v>
      </c>
      <c r="Q38" s="115">
        <f t="shared" si="9"/>
        <v>259.0259</v>
      </c>
      <c r="R38" s="116">
        <f t="shared" ref="R38:AO38" si="41">IF(AQ38="","", RANK(AQ38,AQ$7:AQ$503,0))</f>
        <v>135</v>
      </c>
      <c r="S38" s="115">
        <f t="shared" si="41"/>
        <v>219</v>
      </c>
      <c r="T38" s="115" t="str">
        <f t="shared" si="41"/>
        <v/>
      </c>
      <c r="U38" s="115" t="str">
        <f t="shared" si="41"/>
        <v/>
      </c>
      <c r="V38" s="115" t="str">
        <f t="shared" si="41"/>
        <v/>
      </c>
      <c r="W38" s="115" t="str">
        <f t="shared" si="41"/>
        <v/>
      </c>
      <c r="X38" s="115" t="str">
        <f t="shared" si="41"/>
        <v/>
      </c>
      <c r="Y38" s="115" t="str">
        <f t="shared" si="41"/>
        <v/>
      </c>
      <c r="Z38" s="115" t="str">
        <f t="shared" si="41"/>
        <v/>
      </c>
      <c r="AA38" s="115" t="str">
        <f t="shared" si="41"/>
        <v/>
      </c>
      <c r="AB38" s="115" t="str">
        <f t="shared" si="41"/>
        <v/>
      </c>
      <c r="AC38" s="115" t="str">
        <f t="shared" si="41"/>
        <v/>
      </c>
      <c r="AD38" s="115" t="str">
        <f t="shared" si="41"/>
        <v/>
      </c>
      <c r="AE38" s="115" t="str">
        <f t="shared" si="41"/>
        <v/>
      </c>
      <c r="AF38" s="115" t="str">
        <f t="shared" si="41"/>
        <v/>
      </c>
      <c r="AG38" s="115" t="str">
        <f t="shared" si="41"/>
        <v/>
      </c>
      <c r="AH38" s="115" t="str">
        <f t="shared" si="41"/>
        <v/>
      </c>
      <c r="AI38" s="115" t="str">
        <f t="shared" si="41"/>
        <v/>
      </c>
      <c r="AJ38" s="115" t="str">
        <f t="shared" si="41"/>
        <v/>
      </c>
      <c r="AK38" s="115" t="str">
        <f t="shared" si="41"/>
        <v/>
      </c>
      <c r="AL38" s="115" t="str">
        <f t="shared" si="41"/>
        <v/>
      </c>
      <c r="AM38" s="115" t="str">
        <f t="shared" si="41"/>
        <v/>
      </c>
      <c r="AN38" s="115" t="str">
        <f t="shared" si="41"/>
        <v/>
      </c>
      <c r="AO38" s="115" t="str">
        <f t="shared" si="41"/>
        <v/>
      </c>
      <c r="AP38" s="117">
        <f>IF(AP$6="","",IF(AP$3="Maior",IFERROR(IF(VLOOKUP($N38,Capa!$A:$AE,AP$5,0)="",0,VLOOKUP($N38,Capa!$A:$AE,AP$5,0)),0),IF(ISERROR(1/VLOOKUP($N38,Capa!$A:$AE,AP$5,0)),0,1/VLOOKUP($N38,Capa!$A:$AE,AP$5,0))))</f>
        <v>0.07503472104</v>
      </c>
      <c r="AQ38" s="118">
        <f>IF(AQ$6="","",IF(AQ$3="Maior",IFERROR(IF(VLOOKUP($N38,Capa!$A:$AE,AQ$5,0)="",0,VLOOKUP($N38,Capa!$A:$AE,AQ$5,0)),0),IF(ISERROR(1/VLOOKUP($N38,Capa!$A:$AE,AQ$5,0)),0,1/VLOOKUP($N38,Capa!$A:$AE,AQ$5,0))))</f>
        <v>14.94</v>
      </c>
      <c r="AR38" s="118">
        <f>IF(AR$6="","",IF(AR$3="Maior",IFERROR(IF(VLOOKUP($N38,Capa!$A:$AE,AR$5,0)="",0,VLOOKUP($N38,Capa!$A:$AE,AR$5,0)),0),IF(ISERROR(1/VLOOKUP($N38,Capa!$A:$AE,AR$5,0)),0,1/VLOOKUP($N38,Capa!$A:$AE,AR$5,0))))</f>
        <v>0</v>
      </c>
      <c r="AS38" s="118" t="str">
        <f>IF(AS$6="","",IF(AS$3="Maior",IFERROR(IF(VLOOKUP($N38,Capa!$A:$AE,AS$5,0)="",0,VLOOKUP($N38,Capa!$A:$AE,AS$5,0)),0),IF(ISERROR(1/VLOOKUP($N38,Capa!$A:$AE,AS$5,0)),0,1/VLOOKUP($N38,Capa!$A:$AE,AS$5,0))))</f>
        <v/>
      </c>
      <c r="AT38" s="118" t="str">
        <f>IF(AT$6="","",IF(AT$3="Maior",IFERROR(IF(VLOOKUP($N38,Capa!$A:$AE,AT$5,0)="",0,VLOOKUP($N38,Capa!$A:$AE,AT$5,0)),0),IF(ISERROR(1/VLOOKUP($N38,Capa!$A:$AE,AT$5,0)),0,1/VLOOKUP($N38,Capa!$A:$AE,AT$5,0))))</f>
        <v/>
      </c>
      <c r="AU38" s="118" t="str">
        <f>IF(AU$6="","",IF(AU$3="Maior",IFERROR(IF(VLOOKUP($N38,Capa!$A:$AE,AU$5,0)="",0,VLOOKUP($N38,Capa!$A:$AE,AU$5,0)),0),IF(ISERROR(1/VLOOKUP($N38,Capa!$A:$AE,AU$5,0)),0,1/VLOOKUP($N38,Capa!$A:$AE,AU$5,0))))</f>
        <v/>
      </c>
      <c r="AV38" s="118" t="str">
        <f>IF(AV$6="","",IF(AV$3="Maior",IFERROR(IF(VLOOKUP($N38,Capa!$A:$AE,AV$5,0)="",0,VLOOKUP($N38,Capa!$A:$AE,AV$5,0)),0),IF(ISERROR(1/VLOOKUP($N38,Capa!$A:$AE,AV$5,0)),0,1/VLOOKUP($N38,Capa!$A:$AE,AV$5,0))))</f>
        <v/>
      </c>
      <c r="AW38" s="118" t="str">
        <f>IF(AW$6="","",IF(AW$3="Maior",IFERROR(IF(VLOOKUP($N38,Capa!$A:$AE,AW$5,0)="",0,VLOOKUP($N38,Capa!$A:$AE,AW$5,0)),0),IF(ISERROR(1/VLOOKUP($N38,Capa!$A:$AE,AW$5,0)),0,1/VLOOKUP($N38,Capa!$A:$AE,AW$5,0))))</f>
        <v/>
      </c>
      <c r="AX38" s="118" t="str">
        <f>IF(AX$6="","",IF(AX$3="Maior",IFERROR(IF(VLOOKUP($N38,Capa!$A:$AE,AX$5,0)="",0,VLOOKUP($N38,Capa!$A:$AE,AX$5,0)),0),IF(ISERROR(1/VLOOKUP($N38,Capa!$A:$AE,AX$5,0)),0,1/VLOOKUP($N38,Capa!$A:$AE,AX$5,0))))</f>
        <v/>
      </c>
      <c r="AY38" s="118" t="str">
        <f>IF(AY$6="","",IF(AY$3="Maior",IFERROR(IF(VLOOKUP($N38,Capa!$A:$AE,AY$5,0)="",0,VLOOKUP($N38,Capa!$A:$AE,AY$5,0)),0),IF(ISERROR(1/VLOOKUP($N38,Capa!$A:$AE,AY$5,0)),0,1/VLOOKUP($N38,Capa!$A:$AE,AY$5,0))))</f>
        <v/>
      </c>
      <c r="AZ38" s="118" t="str">
        <f>IF(AZ$6="","",IF(AZ$3="Maior",IFERROR(IF(VLOOKUP($N38,Capa!$A:$AE,AZ$5,0)="",0,VLOOKUP($N38,Capa!$A:$AE,AZ$5,0)),0),IF(ISERROR(1/VLOOKUP($N38,Capa!$A:$AE,AZ$5,0)),0,1/VLOOKUP($N38,Capa!$A:$AE,AZ$5,0))))</f>
        <v/>
      </c>
      <c r="BA38" s="118" t="str">
        <f>IF(BA$6="","",IF(BA$3="Maior",IFERROR(IF(VLOOKUP($N38,Capa!$A:$AE,BA$5,0)="",0,VLOOKUP($N38,Capa!$A:$AE,BA$5,0)),0),IF(ISERROR(1/VLOOKUP($N38,Capa!$A:$AE,BA$5,0)),0,1/VLOOKUP($N38,Capa!$A:$AE,BA$5,0))))</f>
        <v/>
      </c>
      <c r="BB38" s="118" t="str">
        <f>IF(BB$6="","",IF(BB$3="Maior",IFERROR(IF(VLOOKUP($N38,Capa!$A:$AE,BB$5,0)="",0,VLOOKUP($N38,Capa!$A:$AE,BB$5,0)),0),IF(ISERROR(1/VLOOKUP($N38,Capa!$A:$AE,BB$5,0)),0,1/VLOOKUP($N38,Capa!$A:$AE,BB$5,0))))</f>
        <v/>
      </c>
      <c r="BC38" s="118" t="str">
        <f>IF(BC$6="","",IF(BC$3="Maior",IFERROR(IF(VLOOKUP($N38,Capa!$A:$AE,BC$5,0)="",0,VLOOKUP($N38,Capa!$A:$AE,BC$5,0)),0),IF(ISERROR(1/VLOOKUP($N38,Capa!$A:$AE,BC$5,0)),0,1/VLOOKUP($N38,Capa!$A:$AE,BC$5,0))))</f>
        <v/>
      </c>
      <c r="BD38" s="118" t="str">
        <f>IF(BD$6="","",IF(BD$3="Maior",IFERROR(IF(VLOOKUP($N38,Capa!$A:$AE,BD$5,0)="",0,VLOOKUP($N38,Capa!$A:$AE,BD$5,0)),0),IF(ISERROR(1/VLOOKUP($N38,Capa!$A:$AE,BD$5,0)),0,1/VLOOKUP($N38,Capa!$A:$AE,BD$5,0))))</f>
        <v/>
      </c>
      <c r="BE38" s="118" t="str">
        <f>IF(BE$6="","",IF(BE$3="Maior",IFERROR(IF(VLOOKUP($N38,Capa!$A:$AE,BE$5,0)="",0,VLOOKUP($N38,Capa!$A:$AE,BE$5,0)),0),IF(ISERROR(1/VLOOKUP($N38,Capa!$A:$AE,BE$5,0)),0,1/VLOOKUP($N38,Capa!$A:$AE,BE$5,0))))</f>
        <v/>
      </c>
      <c r="BF38" s="118" t="str">
        <f>IF(BF$6="","",IF(BF$3="Maior",IFERROR(IF(VLOOKUP($N38,Capa!$A:$AE,BF$5,0)="",0,VLOOKUP($N38,Capa!$A:$AE,BF$5,0)),0),IF(ISERROR(1/VLOOKUP($N38,Capa!$A:$AE,BF$5,0)),0,1/VLOOKUP($N38,Capa!$A:$AE,BF$5,0))))</f>
        <v/>
      </c>
      <c r="BG38" s="118" t="str">
        <f>IF(BG$6="","",IF(BG$3="Maior",IFERROR(IF(VLOOKUP($N38,Capa!$A:$AE,BG$5,0)="",0,VLOOKUP($N38,Capa!$A:$AE,BG$5,0)),0),IF(ISERROR(1/VLOOKUP($N38,Capa!$A:$AE,BG$5,0)),0,1/VLOOKUP($N38,Capa!$A:$AE,BG$5,0))))</f>
        <v/>
      </c>
      <c r="BH38" s="118" t="str">
        <f>IF(BH$6="","",IF(BH$3="Maior",IFERROR(IF(VLOOKUP($N38,Capa!$A:$AE,BH$5,0)="",0,VLOOKUP($N38,Capa!$A:$AE,BH$5,0)),0),IF(ISERROR(1/VLOOKUP($N38,Capa!$A:$AE,BH$5,0)),0,1/VLOOKUP($N38,Capa!$A:$AE,BH$5,0))))</f>
        <v/>
      </c>
      <c r="BI38" s="118" t="str">
        <f>IF(BI$6="","",IF(BI$3="Maior",IFERROR(IF(VLOOKUP($N38,Capa!$A:$AE,BI$5,0)="",0,VLOOKUP($N38,Capa!$A:$AE,BI$5,0)),0),IF(ISERROR(1/VLOOKUP($N38,Capa!$A:$AE,BI$5,0)),0,1/VLOOKUP($N38,Capa!$A:$AE,BI$5,0))))</f>
        <v/>
      </c>
      <c r="BJ38" s="118" t="str">
        <f>IF(BJ$6="","",IF(BJ$3="Maior",IFERROR(IF(VLOOKUP($N38,Capa!$A:$AE,BJ$5,0)="",0,VLOOKUP($N38,Capa!$A:$AE,BJ$5,0)),0),IF(ISERROR(1/VLOOKUP($N38,Capa!$A:$AE,BJ$5,0)),0,1/VLOOKUP($N38,Capa!$A:$AE,BJ$5,0))))</f>
        <v/>
      </c>
      <c r="BK38" s="118" t="str">
        <f>IF(BK$6="","",IF(BK$3="Maior",IFERROR(IF(VLOOKUP($N38,Capa!$A:$AE,BK$5,0)="",0,VLOOKUP($N38,Capa!$A:$AE,BK$5,0)),0),IF(ISERROR(1/VLOOKUP($N38,Capa!$A:$AE,BK$5,0)),0,1/VLOOKUP($N38,Capa!$A:$AE,BK$5,0))))</f>
        <v/>
      </c>
      <c r="BL38" s="118" t="str">
        <f>IF(BL$6="","",IF(BL$3="Maior",IFERROR(IF(VLOOKUP($N38,Capa!$A:$AE,BL$5,0)="",0,VLOOKUP($N38,Capa!$A:$AE,BL$5,0)),0),IF(ISERROR(1/VLOOKUP($N38,Capa!$A:$AE,BL$5,0)),0,1/VLOOKUP($N38,Capa!$A:$AE,BL$5,0))))</f>
        <v/>
      </c>
      <c r="BM38" s="118" t="str">
        <f>IF(BM$6="","",IF(BM$3="Maior",IFERROR(IF(VLOOKUP($N38,Capa!$A:$AE,BM$5,0)="",0,VLOOKUP($N38,Capa!$A:$AE,BM$5,0)),0),IF(ISERROR(1/VLOOKUP($N38,Capa!$A:$AE,BM$5,0)),0,1/VLOOKUP($N38,Capa!$A:$AE,BM$5,0))))</f>
        <v/>
      </c>
      <c r="BN38" s="118" t="str">
        <f>IF(BN$6="","",IF(BN$3="Maior",IFERROR(IF(VLOOKUP($N38,Capa!$A:$AE,BN$5,0)="",0,VLOOKUP($N38,Capa!$A:$AE,BN$5,0)),0),IF(ISERROR(1/VLOOKUP($N38,Capa!$A:$AE,BN$5,0)),0,1/VLOOKUP($N38,Capa!$A:$AE,BN$5,0))))</f>
        <v/>
      </c>
      <c r="BO38" s="92"/>
    </row>
    <row r="39">
      <c r="B39" s="123">
        <f t="shared" si="23"/>
        <v>2</v>
      </c>
      <c r="C39" s="127" t="s">
        <v>48</v>
      </c>
      <c r="D39" s="119" t="b">
        <v>0</v>
      </c>
      <c r="E39" s="128" t="s">
        <v>564</v>
      </c>
      <c r="F39" s="119">
        <f>MATCH(C39,Capa!$6:$6,0)</f>
        <v>27</v>
      </c>
      <c r="G39" s="11"/>
      <c r="H39" s="8">
        <v>33.0</v>
      </c>
      <c r="I39" s="110" t="str">
        <f t="shared" si="6"/>
        <v>EQTL3</v>
      </c>
      <c r="J39" s="111" t="str">
        <f>VLOOKUP(left(I39,4),Setor!A:D,3,0)&amp;" | "&amp;VLOOKUP(left(I39,4),Setor!A:D,4,0)</f>
        <v>Utilidade Pública | Energia Elétrica</v>
      </c>
      <c r="K39" s="112">
        <f t="shared" si="7"/>
        <v>165350084.5</v>
      </c>
      <c r="L39" s="11"/>
      <c r="M39" s="11"/>
      <c r="N39" s="10" t="s">
        <v>85</v>
      </c>
      <c r="O39" s="113">
        <f t="shared" si="8"/>
        <v>822.0378</v>
      </c>
      <c r="P39" s="114">
        <f>VLOOKUP(N39,'Dados StatusInvest'!A:Z,26,0)</f>
        <v>195739742.5</v>
      </c>
      <c r="Q39" s="115">
        <f t="shared" si="9"/>
        <v>378.0378</v>
      </c>
      <c r="R39" s="116">
        <f t="shared" ref="R39:AO39" si="42">IF(AQ39="","", RANK(AQ39,AQ$7:AQ$503,0))</f>
        <v>291</v>
      </c>
      <c r="S39" s="115">
        <f t="shared" si="42"/>
        <v>153</v>
      </c>
      <c r="T39" s="115" t="str">
        <f t="shared" si="42"/>
        <v/>
      </c>
      <c r="U39" s="115" t="str">
        <f t="shared" si="42"/>
        <v/>
      </c>
      <c r="V39" s="115" t="str">
        <f t="shared" si="42"/>
        <v/>
      </c>
      <c r="W39" s="115" t="str">
        <f t="shared" si="42"/>
        <v/>
      </c>
      <c r="X39" s="115" t="str">
        <f t="shared" si="42"/>
        <v/>
      </c>
      <c r="Y39" s="115" t="str">
        <f t="shared" si="42"/>
        <v/>
      </c>
      <c r="Z39" s="115" t="str">
        <f t="shared" si="42"/>
        <v/>
      </c>
      <c r="AA39" s="115" t="str">
        <f t="shared" si="42"/>
        <v/>
      </c>
      <c r="AB39" s="115" t="str">
        <f t="shared" si="42"/>
        <v/>
      </c>
      <c r="AC39" s="115" t="str">
        <f t="shared" si="42"/>
        <v/>
      </c>
      <c r="AD39" s="115" t="str">
        <f t="shared" si="42"/>
        <v/>
      </c>
      <c r="AE39" s="115" t="str">
        <f t="shared" si="42"/>
        <v/>
      </c>
      <c r="AF39" s="115" t="str">
        <f t="shared" si="42"/>
        <v/>
      </c>
      <c r="AG39" s="115" t="str">
        <f t="shared" si="42"/>
        <v/>
      </c>
      <c r="AH39" s="115" t="str">
        <f t="shared" si="42"/>
        <v/>
      </c>
      <c r="AI39" s="115" t="str">
        <f t="shared" si="42"/>
        <v/>
      </c>
      <c r="AJ39" s="115" t="str">
        <f t="shared" si="42"/>
        <v/>
      </c>
      <c r="AK39" s="115" t="str">
        <f t="shared" si="42"/>
        <v/>
      </c>
      <c r="AL39" s="115" t="str">
        <f t="shared" si="42"/>
        <v/>
      </c>
      <c r="AM39" s="115" t="str">
        <f t="shared" si="42"/>
        <v/>
      </c>
      <c r="AN39" s="115" t="str">
        <f t="shared" si="42"/>
        <v/>
      </c>
      <c r="AO39" s="115" t="str">
        <f t="shared" si="42"/>
        <v/>
      </c>
      <c r="AP39" s="117">
        <f>IF(AP$6="","",IF(AP$3="Maior",IFERROR(IF(VLOOKUP($N39,Capa!$A:$AE,AP$5,0)="",0,VLOOKUP($N39,Capa!$A:$AE,AP$5,0)),0),IF(ISERROR(1/VLOOKUP($N39,Capa!$A:$AE,AP$5,0)),0,1/VLOOKUP($N39,Capa!$A:$AE,AP$5,0))))</f>
        <v>0.01693910723</v>
      </c>
      <c r="AQ39" s="118">
        <f>IF(AQ$6="","",IF(AQ$3="Maior",IFERROR(IF(VLOOKUP($N39,Capa!$A:$AE,AQ$5,0)="",0,VLOOKUP($N39,Capa!$A:$AE,AQ$5,0)),0),IF(ISERROR(1/VLOOKUP($N39,Capa!$A:$AE,AQ$5,0)),0,1/VLOOKUP($N39,Capa!$A:$AE,AQ$5,0))))</f>
        <v>5.36</v>
      </c>
      <c r="AR39" s="118">
        <f>IF(AR$6="","",IF(AR$3="Maior",IFERROR(IF(VLOOKUP($N39,Capa!$A:$AE,AR$5,0)="",0,VLOOKUP($N39,Capa!$A:$AE,AR$5,0)),0),IF(ISERROR(1/VLOOKUP($N39,Capa!$A:$AE,AR$5,0)),0,1/VLOOKUP($N39,Capa!$A:$AE,AR$5,0))))</f>
        <v>14.58</v>
      </c>
      <c r="AS39" s="118" t="str">
        <f>IF(AS$6="","",IF(AS$3="Maior",IFERROR(IF(VLOOKUP($N39,Capa!$A:$AE,AS$5,0)="",0,VLOOKUP($N39,Capa!$A:$AE,AS$5,0)),0),IF(ISERROR(1/VLOOKUP($N39,Capa!$A:$AE,AS$5,0)),0,1/VLOOKUP($N39,Capa!$A:$AE,AS$5,0))))</f>
        <v/>
      </c>
      <c r="AT39" s="118" t="str">
        <f>IF(AT$6="","",IF(AT$3="Maior",IFERROR(IF(VLOOKUP($N39,Capa!$A:$AE,AT$5,0)="",0,VLOOKUP($N39,Capa!$A:$AE,AT$5,0)),0),IF(ISERROR(1/VLOOKUP($N39,Capa!$A:$AE,AT$5,0)),0,1/VLOOKUP($N39,Capa!$A:$AE,AT$5,0))))</f>
        <v/>
      </c>
      <c r="AU39" s="118" t="str">
        <f>IF(AU$6="","",IF(AU$3="Maior",IFERROR(IF(VLOOKUP($N39,Capa!$A:$AE,AU$5,0)="",0,VLOOKUP($N39,Capa!$A:$AE,AU$5,0)),0),IF(ISERROR(1/VLOOKUP($N39,Capa!$A:$AE,AU$5,0)),0,1/VLOOKUP($N39,Capa!$A:$AE,AU$5,0))))</f>
        <v/>
      </c>
      <c r="AV39" s="118" t="str">
        <f>IF(AV$6="","",IF(AV$3="Maior",IFERROR(IF(VLOOKUP($N39,Capa!$A:$AE,AV$5,0)="",0,VLOOKUP($N39,Capa!$A:$AE,AV$5,0)),0),IF(ISERROR(1/VLOOKUP($N39,Capa!$A:$AE,AV$5,0)),0,1/VLOOKUP($N39,Capa!$A:$AE,AV$5,0))))</f>
        <v/>
      </c>
      <c r="AW39" s="118" t="str">
        <f>IF(AW$6="","",IF(AW$3="Maior",IFERROR(IF(VLOOKUP($N39,Capa!$A:$AE,AW$5,0)="",0,VLOOKUP($N39,Capa!$A:$AE,AW$5,0)),0),IF(ISERROR(1/VLOOKUP($N39,Capa!$A:$AE,AW$5,0)),0,1/VLOOKUP($N39,Capa!$A:$AE,AW$5,0))))</f>
        <v/>
      </c>
      <c r="AX39" s="118" t="str">
        <f>IF(AX$6="","",IF(AX$3="Maior",IFERROR(IF(VLOOKUP($N39,Capa!$A:$AE,AX$5,0)="",0,VLOOKUP($N39,Capa!$A:$AE,AX$5,0)),0),IF(ISERROR(1/VLOOKUP($N39,Capa!$A:$AE,AX$5,0)),0,1/VLOOKUP($N39,Capa!$A:$AE,AX$5,0))))</f>
        <v/>
      </c>
      <c r="AY39" s="118" t="str">
        <f>IF(AY$6="","",IF(AY$3="Maior",IFERROR(IF(VLOOKUP($N39,Capa!$A:$AE,AY$5,0)="",0,VLOOKUP($N39,Capa!$A:$AE,AY$5,0)),0),IF(ISERROR(1/VLOOKUP($N39,Capa!$A:$AE,AY$5,0)),0,1/VLOOKUP($N39,Capa!$A:$AE,AY$5,0))))</f>
        <v/>
      </c>
      <c r="AZ39" s="118" t="str">
        <f>IF(AZ$6="","",IF(AZ$3="Maior",IFERROR(IF(VLOOKUP($N39,Capa!$A:$AE,AZ$5,0)="",0,VLOOKUP($N39,Capa!$A:$AE,AZ$5,0)),0),IF(ISERROR(1/VLOOKUP($N39,Capa!$A:$AE,AZ$5,0)),0,1/VLOOKUP($N39,Capa!$A:$AE,AZ$5,0))))</f>
        <v/>
      </c>
      <c r="BA39" s="118" t="str">
        <f>IF(BA$6="","",IF(BA$3="Maior",IFERROR(IF(VLOOKUP($N39,Capa!$A:$AE,BA$5,0)="",0,VLOOKUP($N39,Capa!$A:$AE,BA$5,0)),0),IF(ISERROR(1/VLOOKUP($N39,Capa!$A:$AE,BA$5,0)),0,1/VLOOKUP($N39,Capa!$A:$AE,BA$5,0))))</f>
        <v/>
      </c>
      <c r="BB39" s="118" t="str">
        <f>IF(BB$6="","",IF(BB$3="Maior",IFERROR(IF(VLOOKUP($N39,Capa!$A:$AE,BB$5,0)="",0,VLOOKUP($N39,Capa!$A:$AE,BB$5,0)),0),IF(ISERROR(1/VLOOKUP($N39,Capa!$A:$AE,BB$5,0)),0,1/VLOOKUP($N39,Capa!$A:$AE,BB$5,0))))</f>
        <v/>
      </c>
      <c r="BC39" s="118" t="str">
        <f>IF(BC$6="","",IF(BC$3="Maior",IFERROR(IF(VLOOKUP($N39,Capa!$A:$AE,BC$5,0)="",0,VLOOKUP($N39,Capa!$A:$AE,BC$5,0)),0),IF(ISERROR(1/VLOOKUP($N39,Capa!$A:$AE,BC$5,0)),0,1/VLOOKUP($N39,Capa!$A:$AE,BC$5,0))))</f>
        <v/>
      </c>
      <c r="BD39" s="118" t="str">
        <f>IF(BD$6="","",IF(BD$3="Maior",IFERROR(IF(VLOOKUP($N39,Capa!$A:$AE,BD$5,0)="",0,VLOOKUP($N39,Capa!$A:$AE,BD$5,0)),0),IF(ISERROR(1/VLOOKUP($N39,Capa!$A:$AE,BD$5,0)),0,1/VLOOKUP($N39,Capa!$A:$AE,BD$5,0))))</f>
        <v/>
      </c>
      <c r="BE39" s="118" t="str">
        <f>IF(BE$6="","",IF(BE$3="Maior",IFERROR(IF(VLOOKUP($N39,Capa!$A:$AE,BE$5,0)="",0,VLOOKUP($N39,Capa!$A:$AE,BE$5,0)),0),IF(ISERROR(1/VLOOKUP($N39,Capa!$A:$AE,BE$5,0)),0,1/VLOOKUP($N39,Capa!$A:$AE,BE$5,0))))</f>
        <v/>
      </c>
      <c r="BF39" s="118" t="str">
        <f>IF(BF$6="","",IF(BF$3="Maior",IFERROR(IF(VLOOKUP($N39,Capa!$A:$AE,BF$5,0)="",0,VLOOKUP($N39,Capa!$A:$AE,BF$5,0)),0),IF(ISERROR(1/VLOOKUP($N39,Capa!$A:$AE,BF$5,0)),0,1/VLOOKUP($N39,Capa!$A:$AE,BF$5,0))))</f>
        <v/>
      </c>
      <c r="BG39" s="118" t="str">
        <f>IF(BG$6="","",IF(BG$3="Maior",IFERROR(IF(VLOOKUP($N39,Capa!$A:$AE,BG$5,0)="",0,VLOOKUP($N39,Capa!$A:$AE,BG$5,0)),0),IF(ISERROR(1/VLOOKUP($N39,Capa!$A:$AE,BG$5,0)),0,1/VLOOKUP($N39,Capa!$A:$AE,BG$5,0))))</f>
        <v/>
      </c>
      <c r="BH39" s="118" t="str">
        <f>IF(BH$6="","",IF(BH$3="Maior",IFERROR(IF(VLOOKUP($N39,Capa!$A:$AE,BH$5,0)="",0,VLOOKUP($N39,Capa!$A:$AE,BH$5,0)),0),IF(ISERROR(1/VLOOKUP($N39,Capa!$A:$AE,BH$5,0)),0,1/VLOOKUP($N39,Capa!$A:$AE,BH$5,0))))</f>
        <v/>
      </c>
      <c r="BI39" s="118" t="str">
        <f>IF(BI$6="","",IF(BI$3="Maior",IFERROR(IF(VLOOKUP($N39,Capa!$A:$AE,BI$5,0)="",0,VLOOKUP($N39,Capa!$A:$AE,BI$5,0)),0),IF(ISERROR(1/VLOOKUP($N39,Capa!$A:$AE,BI$5,0)),0,1/VLOOKUP($N39,Capa!$A:$AE,BI$5,0))))</f>
        <v/>
      </c>
      <c r="BJ39" s="118" t="str">
        <f>IF(BJ$6="","",IF(BJ$3="Maior",IFERROR(IF(VLOOKUP($N39,Capa!$A:$AE,BJ$5,0)="",0,VLOOKUP($N39,Capa!$A:$AE,BJ$5,0)),0),IF(ISERROR(1/VLOOKUP($N39,Capa!$A:$AE,BJ$5,0)),0,1/VLOOKUP($N39,Capa!$A:$AE,BJ$5,0))))</f>
        <v/>
      </c>
      <c r="BK39" s="118" t="str">
        <f>IF(BK$6="","",IF(BK$3="Maior",IFERROR(IF(VLOOKUP($N39,Capa!$A:$AE,BK$5,0)="",0,VLOOKUP($N39,Capa!$A:$AE,BK$5,0)),0),IF(ISERROR(1/VLOOKUP($N39,Capa!$A:$AE,BK$5,0)),0,1/VLOOKUP($N39,Capa!$A:$AE,BK$5,0))))</f>
        <v/>
      </c>
      <c r="BL39" s="118" t="str">
        <f>IF(BL$6="","",IF(BL$3="Maior",IFERROR(IF(VLOOKUP($N39,Capa!$A:$AE,BL$5,0)="",0,VLOOKUP($N39,Capa!$A:$AE,BL$5,0)),0),IF(ISERROR(1/VLOOKUP($N39,Capa!$A:$AE,BL$5,0)),0,1/VLOOKUP($N39,Capa!$A:$AE,BL$5,0))))</f>
        <v/>
      </c>
      <c r="BM39" s="118" t="str">
        <f>IF(BM$6="","",IF(BM$3="Maior",IFERROR(IF(VLOOKUP($N39,Capa!$A:$AE,BM$5,0)="",0,VLOOKUP($N39,Capa!$A:$AE,BM$5,0)),0),IF(ISERROR(1/VLOOKUP($N39,Capa!$A:$AE,BM$5,0)),0,1/VLOOKUP($N39,Capa!$A:$AE,BM$5,0))))</f>
        <v/>
      </c>
      <c r="BN39" s="118" t="str">
        <f>IF(BN$6="","",IF(BN$3="Maior",IFERROR(IF(VLOOKUP($N39,Capa!$A:$AE,BN$5,0)="",0,VLOOKUP($N39,Capa!$A:$AE,BN$5,0)),0),IF(ISERROR(1/VLOOKUP($N39,Capa!$A:$AE,BN$5,0)),0,1/VLOOKUP($N39,Capa!$A:$AE,BN$5,0))))</f>
        <v/>
      </c>
      <c r="BO39" s="92"/>
    </row>
    <row r="40">
      <c r="B40" s="123">
        <f t="shared" si="23"/>
        <v>2</v>
      </c>
      <c r="C40" s="127" t="s">
        <v>49</v>
      </c>
      <c r="D40" s="119" t="b">
        <v>0</v>
      </c>
      <c r="E40" s="128" t="s">
        <v>565</v>
      </c>
      <c r="F40" s="119">
        <f>MATCH(C40,Capa!$6:$6,0)</f>
        <v>28</v>
      </c>
      <c r="G40" s="11"/>
      <c r="H40" s="8">
        <v>34.0</v>
      </c>
      <c r="I40" s="110" t="str">
        <f t="shared" si="6"/>
        <v>TRIS3</v>
      </c>
      <c r="J40" s="111" t="str">
        <f>VLOOKUP(left(I40,4),Setor!A:D,3,0)&amp;" | "&amp;VLOOKUP(left(I40,4),Setor!A:D,4,0)</f>
        <v>Consumo Cíclico | Construção Civil</v>
      </c>
      <c r="K40" s="112">
        <f t="shared" si="7"/>
        <v>12930315.79</v>
      </c>
      <c r="L40" s="11"/>
      <c r="M40" s="11"/>
      <c r="N40" s="10" t="s">
        <v>86</v>
      </c>
      <c r="O40" s="113">
        <f t="shared" si="8"/>
        <v>816.0316</v>
      </c>
      <c r="P40" s="114">
        <f>VLOOKUP(N40,'Dados StatusInvest'!A:Z,26,0)</f>
        <v>202139543.8</v>
      </c>
      <c r="Q40" s="115">
        <f t="shared" si="9"/>
        <v>316.0316</v>
      </c>
      <c r="R40" s="116">
        <f t="shared" ref="R40:AO40" si="43">IF(AQ40="","", RANK(AQ40,AQ$7:AQ$503,0))</f>
        <v>281</v>
      </c>
      <c r="S40" s="115">
        <f t="shared" si="43"/>
        <v>219</v>
      </c>
      <c r="T40" s="115" t="str">
        <f t="shared" si="43"/>
        <v/>
      </c>
      <c r="U40" s="115" t="str">
        <f t="shared" si="43"/>
        <v/>
      </c>
      <c r="V40" s="115" t="str">
        <f t="shared" si="43"/>
        <v/>
      </c>
      <c r="W40" s="115" t="str">
        <f t="shared" si="43"/>
        <v/>
      </c>
      <c r="X40" s="115" t="str">
        <f t="shared" si="43"/>
        <v/>
      </c>
      <c r="Y40" s="115" t="str">
        <f t="shared" si="43"/>
        <v/>
      </c>
      <c r="Z40" s="115" t="str">
        <f t="shared" si="43"/>
        <v/>
      </c>
      <c r="AA40" s="115" t="str">
        <f t="shared" si="43"/>
        <v/>
      </c>
      <c r="AB40" s="115" t="str">
        <f t="shared" si="43"/>
        <v/>
      </c>
      <c r="AC40" s="115" t="str">
        <f t="shared" si="43"/>
        <v/>
      </c>
      <c r="AD40" s="115" t="str">
        <f t="shared" si="43"/>
        <v/>
      </c>
      <c r="AE40" s="115" t="str">
        <f t="shared" si="43"/>
        <v/>
      </c>
      <c r="AF40" s="115" t="str">
        <f t="shared" si="43"/>
        <v/>
      </c>
      <c r="AG40" s="115" t="str">
        <f t="shared" si="43"/>
        <v/>
      </c>
      <c r="AH40" s="115" t="str">
        <f t="shared" si="43"/>
        <v/>
      </c>
      <c r="AI40" s="115" t="str">
        <f t="shared" si="43"/>
        <v/>
      </c>
      <c r="AJ40" s="115" t="str">
        <f t="shared" si="43"/>
        <v/>
      </c>
      <c r="AK40" s="115" t="str">
        <f t="shared" si="43"/>
        <v/>
      </c>
      <c r="AL40" s="115" t="str">
        <f t="shared" si="43"/>
        <v/>
      </c>
      <c r="AM40" s="115" t="str">
        <f t="shared" si="43"/>
        <v/>
      </c>
      <c r="AN40" s="115" t="str">
        <f t="shared" si="43"/>
        <v/>
      </c>
      <c r="AO40" s="115" t="str">
        <f t="shared" si="43"/>
        <v/>
      </c>
      <c r="AP40" s="117">
        <f>IF(AP$6="","",IF(AP$3="Maior",IFERROR(IF(VLOOKUP($N40,Capa!$A:$AE,AP$5,0)="",0,VLOOKUP($N40,Capa!$A:$AE,AP$5,0)),0),IF(ISERROR(1/VLOOKUP($N40,Capa!$A:$AE,AP$5,0)),0,1/VLOOKUP($N40,Capa!$A:$AE,AP$5,0))))</f>
        <v>0.04722537707</v>
      </c>
      <c r="AQ40" s="118">
        <f>IF(AQ$6="","",IF(AQ$3="Maior",IFERROR(IF(VLOOKUP($N40,Capa!$A:$AE,AQ$5,0)="",0,VLOOKUP($N40,Capa!$A:$AE,AQ$5,0)),0),IF(ISERROR(1/VLOOKUP($N40,Capa!$A:$AE,AQ$5,0)),0,1/VLOOKUP($N40,Capa!$A:$AE,AQ$5,0))))</f>
        <v>6.14</v>
      </c>
      <c r="AR40" s="118">
        <f>IF(AR$6="","",IF(AR$3="Maior",IFERROR(IF(VLOOKUP($N40,Capa!$A:$AE,AR$5,0)="",0,VLOOKUP($N40,Capa!$A:$AE,AR$5,0)),0),IF(ISERROR(1/VLOOKUP($N40,Capa!$A:$AE,AR$5,0)),0,1/VLOOKUP($N40,Capa!$A:$AE,AR$5,0))))</f>
        <v>0</v>
      </c>
      <c r="AS40" s="118" t="str">
        <f>IF(AS$6="","",IF(AS$3="Maior",IFERROR(IF(VLOOKUP($N40,Capa!$A:$AE,AS$5,0)="",0,VLOOKUP($N40,Capa!$A:$AE,AS$5,0)),0),IF(ISERROR(1/VLOOKUP($N40,Capa!$A:$AE,AS$5,0)),0,1/VLOOKUP($N40,Capa!$A:$AE,AS$5,0))))</f>
        <v/>
      </c>
      <c r="AT40" s="118" t="str">
        <f>IF(AT$6="","",IF(AT$3="Maior",IFERROR(IF(VLOOKUP($N40,Capa!$A:$AE,AT$5,0)="",0,VLOOKUP($N40,Capa!$A:$AE,AT$5,0)),0),IF(ISERROR(1/VLOOKUP($N40,Capa!$A:$AE,AT$5,0)),0,1/VLOOKUP($N40,Capa!$A:$AE,AT$5,0))))</f>
        <v/>
      </c>
      <c r="AU40" s="118" t="str">
        <f>IF(AU$6="","",IF(AU$3="Maior",IFERROR(IF(VLOOKUP($N40,Capa!$A:$AE,AU$5,0)="",0,VLOOKUP($N40,Capa!$A:$AE,AU$5,0)),0),IF(ISERROR(1/VLOOKUP($N40,Capa!$A:$AE,AU$5,0)),0,1/VLOOKUP($N40,Capa!$A:$AE,AU$5,0))))</f>
        <v/>
      </c>
      <c r="AV40" s="118" t="str">
        <f>IF(AV$6="","",IF(AV$3="Maior",IFERROR(IF(VLOOKUP($N40,Capa!$A:$AE,AV$5,0)="",0,VLOOKUP($N40,Capa!$A:$AE,AV$5,0)),0),IF(ISERROR(1/VLOOKUP($N40,Capa!$A:$AE,AV$5,0)),0,1/VLOOKUP($N40,Capa!$A:$AE,AV$5,0))))</f>
        <v/>
      </c>
      <c r="AW40" s="118" t="str">
        <f>IF(AW$6="","",IF(AW$3="Maior",IFERROR(IF(VLOOKUP($N40,Capa!$A:$AE,AW$5,0)="",0,VLOOKUP($N40,Capa!$A:$AE,AW$5,0)),0),IF(ISERROR(1/VLOOKUP($N40,Capa!$A:$AE,AW$5,0)),0,1/VLOOKUP($N40,Capa!$A:$AE,AW$5,0))))</f>
        <v/>
      </c>
      <c r="AX40" s="118" t="str">
        <f>IF(AX$6="","",IF(AX$3="Maior",IFERROR(IF(VLOOKUP($N40,Capa!$A:$AE,AX$5,0)="",0,VLOOKUP($N40,Capa!$A:$AE,AX$5,0)),0),IF(ISERROR(1/VLOOKUP($N40,Capa!$A:$AE,AX$5,0)),0,1/VLOOKUP($N40,Capa!$A:$AE,AX$5,0))))</f>
        <v/>
      </c>
      <c r="AY40" s="118" t="str">
        <f>IF(AY$6="","",IF(AY$3="Maior",IFERROR(IF(VLOOKUP($N40,Capa!$A:$AE,AY$5,0)="",0,VLOOKUP($N40,Capa!$A:$AE,AY$5,0)),0),IF(ISERROR(1/VLOOKUP($N40,Capa!$A:$AE,AY$5,0)),0,1/VLOOKUP($N40,Capa!$A:$AE,AY$5,0))))</f>
        <v/>
      </c>
      <c r="AZ40" s="118" t="str">
        <f>IF(AZ$6="","",IF(AZ$3="Maior",IFERROR(IF(VLOOKUP($N40,Capa!$A:$AE,AZ$5,0)="",0,VLOOKUP($N40,Capa!$A:$AE,AZ$5,0)),0),IF(ISERROR(1/VLOOKUP($N40,Capa!$A:$AE,AZ$5,0)),0,1/VLOOKUP($N40,Capa!$A:$AE,AZ$5,0))))</f>
        <v/>
      </c>
      <c r="BA40" s="118" t="str">
        <f>IF(BA$6="","",IF(BA$3="Maior",IFERROR(IF(VLOOKUP($N40,Capa!$A:$AE,BA$5,0)="",0,VLOOKUP($N40,Capa!$A:$AE,BA$5,0)),0),IF(ISERROR(1/VLOOKUP($N40,Capa!$A:$AE,BA$5,0)),0,1/VLOOKUP($N40,Capa!$A:$AE,BA$5,0))))</f>
        <v/>
      </c>
      <c r="BB40" s="118" t="str">
        <f>IF(BB$6="","",IF(BB$3="Maior",IFERROR(IF(VLOOKUP($N40,Capa!$A:$AE,BB$5,0)="",0,VLOOKUP($N40,Capa!$A:$AE,BB$5,0)),0),IF(ISERROR(1/VLOOKUP($N40,Capa!$A:$AE,BB$5,0)),0,1/VLOOKUP($N40,Capa!$A:$AE,BB$5,0))))</f>
        <v/>
      </c>
      <c r="BC40" s="118" t="str">
        <f>IF(BC$6="","",IF(BC$3="Maior",IFERROR(IF(VLOOKUP($N40,Capa!$A:$AE,BC$5,0)="",0,VLOOKUP($N40,Capa!$A:$AE,BC$5,0)),0),IF(ISERROR(1/VLOOKUP($N40,Capa!$A:$AE,BC$5,0)),0,1/VLOOKUP($N40,Capa!$A:$AE,BC$5,0))))</f>
        <v/>
      </c>
      <c r="BD40" s="118" t="str">
        <f>IF(BD$6="","",IF(BD$3="Maior",IFERROR(IF(VLOOKUP($N40,Capa!$A:$AE,BD$5,0)="",0,VLOOKUP($N40,Capa!$A:$AE,BD$5,0)),0),IF(ISERROR(1/VLOOKUP($N40,Capa!$A:$AE,BD$5,0)),0,1/VLOOKUP($N40,Capa!$A:$AE,BD$5,0))))</f>
        <v/>
      </c>
      <c r="BE40" s="118" t="str">
        <f>IF(BE$6="","",IF(BE$3="Maior",IFERROR(IF(VLOOKUP($N40,Capa!$A:$AE,BE$5,0)="",0,VLOOKUP($N40,Capa!$A:$AE,BE$5,0)),0),IF(ISERROR(1/VLOOKUP($N40,Capa!$A:$AE,BE$5,0)),0,1/VLOOKUP($N40,Capa!$A:$AE,BE$5,0))))</f>
        <v/>
      </c>
      <c r="BF40" s="118" t="str">
        <f>IF(BF$6="","",IF(BF$3="Maior",IFERROR(IF(VLOOKUP($N40,Capa!$A:$AE,BF$5,0)="",0,VLOOKUP($N40,Capa!$A:$AE,BF$5,0)),0),IF(ISERROR(1/VLOOKUP($N40,Capa!$A:$AE,BF$5,0)),0,1/VLOOKUP($N40,Capa!$A:$AE,BF$5,0))))</f>
        <v/>
      </c>
      <c r="BG40" s="118" t="str">
        <f>IF(BG$6="","",IF(BG$3="Maior",IFERROR(IF(VLOOKUP($N40,Capa!$A:$AE,BG$5,0)="",0,VLOOKUP($N40,Capa!$A:$AE,BG$5,0)),0),IF(ISERROR(1/VLOOKUP($N40,Capa!$A:$AE,BG$5,0)),0,1/VLOOKUP($N40,Capa!$A:$AE,BG$5,0))))</f>
        <v/>
      </c>
      <c r="BH40" s="118" t="str">
        <f>IF(BH$6="","",IF(BH$3="Maior",IFERROR(IF(VLOOKUP($N40,Capa!$A:$AE,BH$5,0)="",0,VLOOKUP($N40,Capa!$A:$AE,BH$5,0)),0),IF(ISERROR(1/VLOOKUP($N40,Capa!$A:$AE,BH$5,0)),0,1/VLOOKUP($N40,Capa!$A:$AE,BH$5,0))))</f>
        <v/>
      </c>
      <c r="BI40" s="118" t="str">
        <f>IF(BI$6="","",IF(BI$3="Maior",IFERROR(IF(VLOOKUP($N40,Capa!$A:$AE,BI$5,0)="",0,VLOOKUP($N40,Capa!$A:$AE,BI$5,0)),0),IF(ISERROR(1/VLOOKUP($N40,Capa!$A:$AE,BI$5,0)),0,1/VLOOKUP($N40,Capa!$A:$AE,BI$5,0))))</f>
        <v/>
      </c>
      <c r="BJ40" s="118" t="str">
        <f>IF(BJ$6="","",IF(BJ$3="Maior",IFERROR(IF(VLOOKUP($N40,Capa!$A:$AE,BJ$5,0)="",0,VLOOKUP($N40,Capa!$A:$AE,BJ$5,0)),0),IF(ISERROR(1/VLOOKUP($N40,Capa!$A:$AE,BJ$5,0)),0,1/VLOOKUP($N40,Capa!$A:$AE,BJ$5,0))))</f>
        <v/>
      </c>
      <c r="BK40" s="118" t="str">
        <f>IF(BK$6="","",IF(BK$3="Maior",IFERROR(IF(VLOOKUP($N40,Capa!$A:$AE,BK$5,0)="",0,VLOOKUP($N40,Capa!$A:$AE,BK$5,0)),0),IF(ISERROR(1/VLOOKUP($N40,Capa!$A:$AE,BK$5,0)),0,1/VLOOKUP($N40,Capa!$A:$AE,BK$5,0))))</f>
        <v/>
      </c>
      <c r="BL40" s="118" t="str">
        <f>IF(BL$6="","",IF(BL$3="Maior",IFERROR(IF(VLOOKUP($N40,Capa!$A:$AE,BL$5,0)="",0,VLOOKUP($N40,Capa!$A:$AE,BL$5,0)),0),IF(ISERROR(1/VLOOKUP($N40,Capa!$A:$AE,BL$5,0)),0,1/VLOOKUP($N40,Capa!$A:$AE,BL$5,0))))</f>
        <v/>
      </c>
      <c r="BM40" s="118" t="str">
        <f>IF(BM$6="","",IF(BM$3="Maior",IFERROR(IF(VLOOKUP($N40,Capa!$A:$AE,BM$5,0)="",0,VLOOKUP($N40,Capa!$A:$AE,BM$5,0)),0),IF(ISERROR(1/VLOOKUP($N40,Capa!$A:$AE,BM$5,0)),0,1/VLOOKUP($N40,Capa!$A:$AE,BM$5,0))))</f>
        <v/>
      </c>
      <c r="BN40" s="118" t="str">
        <f>IF(BN$6="","",IF(BN$3="Maior",IFERROR(IF(VLOOKUP($N40,Capa!$A:$AE,BN$5,0)="",0,VLOOKUP($N40,Capa!$A:$AE,BN$5,0)),0),IF(ISERROR(1/VLOOKUP($N40,Capa!$A:$AE,BN$5,0)),0,1/VLOOKUP($N40,Capa!$A:$AE,BN$5,0))))</f>
        <v/>
      </c>
      <c r="BO40" s="92"/>
    </row>
    <row r="41">
      <c r="B41" s="123">
        <f t="shared" si="23"/>
        <v>2</v>
      </c>
      <c r="C41" s="127" t="s">
        <v>50</v>
      </c>
      <c r="D41" s="119" t="b">
        <v>0</v>
      </c>
      <c r="E41" s="128" t="s">
        <v>565</v>
      </c>
      <c r="F41" s="119">
        <f>MATCH(C41,Capa!$6:$6,0)</f>
        <v>29</v>
      </c>
      <c r="G41" s="11"/>
      <c r="H41" s="8">
        <v>35.0</v>
      </c>
      <c r="I41" s="110" t="str">
        <f t="shared" si="6"/>
        <v>LIGT3</v>
      </c>
      <c r="J41" s="111" t="str">
        <f>VLOOKUP(left(I41,4),Setor!A:D,3,0)&amp;" | "&amp;VLOOKUP(left(I41,4),Setor!A:D,4,0)</f>
        <v>Utilidade Pública | Energia Elétrica</v>
      </c>
      <c r="K41" s="112">
        <f t="shared" si="7"/>
        <v>36615214.42</v>
      </c>
      <c r="L41" s="11"/>
      <c r="M41" s="11"/>
      <c r="N41" s="10" t="s">
        <v>87</v>
      </c>
      <c r="O41" s="113">
        <f t="shared" si="8"/>
        <v>375.0132</v>
      </c>
      <c r="P41" s="114">
        <f>VLOOKUP(N41,'Dados StatusInvest'!A:Z,26,0)</f>
        <v>165350084.5</v>
      </c>
      <c r="Q41" s="115">
        <f t="shared" si="9"/>
        <v>132.0132</v>
      </c>
      <c r="R41" s="116">
        <f t="shared" ref="R41:AO41" si="44">IF(AQ41="","", RANK(AQ41,AQ$7:AQ$503,0))</f>
        <v>152</v>
      </c>
      <c r="S41" s="115">
        <f t="shared" si="44"/>
        <v>91</v>
      </c>
      <c r="T41" s="115" t="str">
        <f t="shared" si="44"/>
        <v/>
      </c>
      <c r="U41" s="115" t="str">
        <f t="shared" si="44"/>
        <v/>
      </c>
      <c r="V41" s="115" t="str">
        <f t="shared" si="44"/>
        <v/>
      </c>
      <c r="W41" s="115" t="str">
        <f t="shared" si="44"/>
        <v/>
      </c>
      <c r="X41" s="115" t="str">
        <f t="shared" si="44"/>
        <v/>
      </c>
      <c r="Y41" s="115" t="str">
        <f t="shared" si="44"/>
        <v/>
      </c>
      <c r="Z41" s="115" t="str">
        <f t="shared" si="44"/>
        <v/>
      </c>
      <c r="AA41" s="115" t="str">
        <f t="shared" si="44"/>
        <v/>
      </c>
      <c r="AB41" s="115" t="str">
        <f t="shared" si="44"/>
        <v/>
      </c>
      <c r="AC41" s="115" t="str">
        <f t="shared" si="44"/>
        <v/>
      </c>
      <c r="AD41" s="115" t="str">
        <f t="shared" si="44"/>
        <v/>
      </c>
      <c r="AE41" s="115" t="str">
        <f t="shared" si="44"/>
        <v/>
      </c>
      <c r="AF41" s="115" t="str">
        <f t="shared" si="44"/>
        <v/>
      </c>
      <c r="AG41" s="115" t="str">
        <f t="shared" si="44"/>
        <v/>
      </c>
      <c r="AH41" s="115" t="str">
        <f t="shared" si="44"/>
        <v/>
      </c>
      <c r="AI41" s="115" t="str">
        <f t="shared" si="44"/>
        <v/>
      </c>
      <c r="AJ41" s="115" t="str">
        <f t="shared" si="44"/>
        <v/>
      </c>
      <c r="AK41" s="115" t="str">
        <f t="shared" si="44"/>
        <v/>
      </c>
      <c r="AL41" s="115" t="str">
        <f t="shared" si="44"/>
        <v/>
      </c>
      <c r="AM41" s="115" t="str">
        <f t="shared" si="44"/>
        <v/>
      </c>
      <c r="AN41" s="115" t="str">
        <f t="shared" si="44"/>
        <v/>
      </c>
      <c r="AO41" s="115" t="str">
        <f t="shared" si="44"/>
        <v/>
      </c>
      <c r="AP41" s="117">
        <f>IF(AP$6="","",IF(AP$3="Maior",IFERROR(IF(VLOOKUP($N41,Capa!$A:$AE,AP$5,0)="",0,VLOOKUP($N41,Capa!$A:$AE,AP$5,0)),0),IF(ISERROR(1/VLOOKUP($N41,Capa!$A:$AE,AP$5,0)),0,1/VLOOKUP($N41,Capa!$A:$AE,AP$5,0))))</f>
        <v>0.1445869697</v>
      </c>
      <c r="AQ41" s="118">
        <f>IF(AQ$6="","",IF(AQ$3="Maior",IFERROR(IF(VLOOKUP($N41,Capa!$A:$AE,AQ$5,0)="",0,VLOOKUP($N41,Capa!$A:$AE,AQ$5,0)),0),IF(ISERROR(1/VLOOKUP($N41,Capa!$A:$AE,AQ$5,0)),0,1/VLOOKUP($N41,Capa!$A:$AE,AQ$5,0))))</f>
        <v>14.16</v>
      </c>
      <c r="AR41" s="118">
        <f>IF(AR$6="","",IF(AR$3="Maior",IFERROR(IF(VLOOKUP($N41,Capa!$A:$AE,AR$5,0)="",0,VLOOKUP($N41,Capa!$A:$AE,AR$5,0)),0),IF(ISERROR(1/VLOOKUP($N41,Capa!$A:$AE,AR$5,0)),0,1/VLOOKUP($N41,Capa!$A:$AE,AR$5,0))))</f>
        <v>29.92</v>
      </c>
      <c r="AS41" s="118" t="str">
        <f>IF(AS$6="","",IF(AS$3="Maior",IFERROR(IF(VLOOKUP($N41,Capa!$A:$AE,AS$5,0)="",0,VLOOKUP($N41,Capa!$A:$AE,AS$5,0)),0),IF(ISERROR(1/VLOOKUP($N41,Capa!$A:$AE,AS$5,0)),0,1/VLOOKUP($N41,Capa!$A:$AE,AS$5,0))))</f>
        <v/>
      </c>
      <c r="AT41" s="118" t="str">
        <f>IF(AT$6="","",IF(AT$3="Maior",IFERROR(IF(VLOOKUP($N41,Capa!$A:$AE,AT$5,0)="",0,VLOOKUP($N41,Capa!$A:$AE,AT$5,0)),0),IF(ISERROR(1/VLOOKUP($N41,Capa!$A:$AE,AT$5,0)),0,1/VLOOKUP($N41,Capa!$A:$AE,AT$5,0))))</f>
        <v/>
      </c>
      <c r="AU41" s="118" t="str">
        <f>IF(AU$6="","",IF(AU$3="Maior",IFERROR(IF(VLOOKUP($N41,Capa!$A:$AE,AU$5,0)="",0,VLOOKUP($N41,Capa!$A:$AE,AU$5,0)),0),IF(ISERROR(1/VLOOKUP($N41,Capa!$A:$AE,AU$5,0)),0,1/VLOOKUP($N41,Capa!$A:$AE,AU$5,0))))</f>
        <v/>
      </c>
      <c r="AV41" s="118" t="str">
        <f>IF(AV$6="","",IF(AV$3="Maior",IFERROR(IF(VLOOKUP($N41,Capa!$A:$AE,AV$5,0)="",0,VLOOKUP($N41,Capa!$A:$AE,AV$5,0)),0),IF(ISERROR(1/VLOOKUP($N41,Capa!$A:$AE,AV$5,0)),0,1/VLOOKUP($N41,Capa!$A:$AE,AV$5,0))))</f>
        <v/>
      </c>
      <c r="AW41" s="118" t="str">
        <f>IF(AW$6="","",IF(AW$3="Maior",IFERROR(IF(VLOOKUP($N41,Capa!$A:$AE,AW$5,0)="",0,VLOOKUP($N41,Capa!$A:$AE,AW$5,0)),0),IF(ISERROR(1/VLOOKUP($N41,Capa!$A:$AE,AW$5,0)),0,1/VLOOKUP($N41,Capa!$A:$AE,AW$5,0))))</f>
        <v/>
      </c>
      <c r="AX41" s="118" t="str">
        <f>IF(AX$6="","",IF(AX$3="Maior",IFERROR(IF(VLOOKUP($N41,Capa!$A:$AE,AX$5,0)="",0,VLOOKUP($N41,Capa!$A:$AE,AX$5,0)),0),IF(ISERROR(1/VLOOKUP($N41,Capa!$A:$AE,AX$5,0)),0,1/VLOOKUP($N41,Capa!$A:$AE,AX$5,0))))</f>
        <v/>
      </c>
      <c r="AY41" s="118" t="str">
        <f>IF(AY$6="","",IF(AY$3="Maior",IFERROR(IF(VLOOKUP($N41,Capa!$A:$AE,AY$5,0)="",0,VLOOKUP($N41,Capa!$A:$AE,AY$5,0)),0),IF(ISERROR(1/VLOOKUP($N41,Capa!$A:$AE,AY$5,0)),0,1/VLOOKUP($N41,Capa!$A:$AE,AY$5,0))))</f>
        <v/>
      </c>
      <c r="AZ41" s="118" t="str">
        <f>IF(AZ$6="","",IF(AZ$3="Maior",IFERROR(IF(VLOOKUP($N41,Capa!$A:$AE,AZ$5,0)="",0,VLOOKUP($N41,Capa!$A:$AE,AZ$5,0)),0),IF(ISERROR(1/VLOOKUP($N41,Capa!$A:$AE,AZ$5,0)),0,1/VLOOKUP($N41,Capa!$A:$AE,AZ$5,0))))</f>
        <v/>
      </c>
      <c r="BA41" s="118" t="str">
        <f>IF(BA$6="","",IF(BA$3="Maior",IFERROR(IF(VLOOKUP($N41,Capa!$A:$AE,BA$5,0)="",0,VLOOKUP($N41,Capa!$A:$AE,BA$5,0)),0),IF(ISERROR(1/VLOOKUP($N41,Capa!$A:$AE,BA$5,0)),0,1/VLOOKUP($N41,Capa!$A:$AE,BA$5,0))))</f>
        <v/>
      </c>
      <c r="BB41" s="118" t="str">
        <f>IF(BB$6="","",IF(BB$3="Maior",IFERROR(IF(VLOOKUP($N41,Capa!$A:$AE,BB$5,0)="",0,VLOOKUP($N41,Capa!$A:$AE,BB$5,0)),0),IF(ISERROR(1/VLOOKUP($N41,Capa!$A:$AE,BB$5,0)),0,1/VLOOKUP($N41,Capa!$A:$AE,BB$5,0))))</f>
        <v/>
      </c>
      <c r="BC41" s="118" t="str">
        <f>IF(BC$6="","",IF(BC$3="Maior",IFERROR(IF(VLOOKUP($N41,Capa!$A:$AE,BC$5,0)="",0,VLOOKUP($N41,Capa!$A:$AE,BC$5,0)),0),IF(ISERROR(1/VLOOKUP($N41,Capa!$A:$AE,BC$5,0)),0,1/VLOOKUP($N41,Capa!$A:$AE,BC$5,0))))</f>
        <v/>
      </c>
      <c r="BD41" s="118" t="str">
        <f>IF(BD$6="","",IF(BD$3="Maior",IFERROR(IF(VLOOKUP($N41,Capa!$A:$AE,BD$5,0)="",0,VLOOKUP($N41,Capa!$A:$AE,BD$5,0)),0),IF(ISERROR(1/VLOOKUP($N41,Capa!$A:$AE,BD$5,0)),0,1/VLOOKUP($N41,Capa!$A:$AE,BD$5,0))))</f>
        <v/>
      </c>
      <c r="BE41" s="118" t="str">
        <f>IF(BE$6="","",IF(BE$3="Maior",IFERROR(IF(VLOOKUP($N41,Capa!$A:$AE,BE$5,0)="",0,VLOOKUP($N41,Capa!$A:$AE,BE$5,0)),0),IF(ISERROR(1/VLOOKUP($N41,Capa!$A:$AE,BE$5,0)),0,1/VLOOKUP($N41,Capa!$A:$AE,BE$5,0))))</f>
        <v/>
      </c>
      <c r="BF41" s="118" t="str">
        <f>IF(BF$6="","",IF(BF$3="Maior",IFERROR(IF(VLOOKUP($N41,Capa!$A:$AE,BF$5,0)="",0,VLOOKUP($N41,Capa!$A:$AE,BF$5,0)),0),IF(ISERROR(1/VLOOKUP($N41,Capa!$A:$AE,BF$5,0)),0,1/VLOOKUP($N41,Capa!$A:$AE,BF$5,0))))</f>
        <v/>
      </c>
      <c r="BG41" s="118" t="str">
        <f>IF(BG$6="","",IF(BG$3="Maior",IFERROR(IF(VLOOKUP($N41,Capa!$A:$AE,BG$5,0)="",0,VLOOKUP($N41,Capa!$A:$AE,BG$5,0)),0),IF(ISERROR(1/VLOOKUP($N41,Capa!$A:$AE,BG$5,0)),0,1/VLOOKUP($N41,Capa!$A:$AE,BG$5,0))))</f>
        <v/>
      </c>
      <c r="BH41" s="118" t="str">
        <f>IF(BH$6="","",IF(BH$3="Maior",IFERROR(IF(VLOOKUP($N41,Capa!$A:$AE,BH$5,0)="",0,VLOOKUP($N41,Capa!$A:$AE,BH$5,0)),0),IF(ISERROR(1/VLOOKUP($N41,Capa!$A:$AE,BH$5,0)),0,1/VLOOKUP($N41,Capa!$A:$AE,BH$5,0))))</f>
        <v/>
      </c>
      <c r="BI41" s="118" t="str">
        <f>IF(BI$6="","",IF(BI$3="Maior",IFERROR(IF(VLOOKUP($N41,Capa!$A:$AE,BI$5,0)="",0,VLOOKUP($N41,Capa!$A:$AE,BI$5,0)),0),IF(ISERROR(1/VLOOKUP($N41,Capa!$A:$AE,BI$5,0)),0,1/VLOOKUP($N41,Capa!$A:$AE,BI$5,0))))</f>
        <v/>
      </c>
      <c r="BJ41" s="118" t="str">
        <f>IF(BJ$6="","",IF(BJ$3="Maior",IFERROR(IF(VLOOKUP($N41,Capa!$A:$AE,BJ$5,0)="",0,VLOOKUP($N41,Capa!$A:$AE,BJ$5,0)),0),IF(ISERROR(1/VLOOKUP($N41,Capa!$A:$AE,BJ$5,0)),0,1/VLOOKUP($N41,Capa!$A:$AE,BJ$5,0))))</f>
        <v/>
      </c>
      <c r="BK41" s="118" t="str">
        <f>IF(BK$6="","",IF(BK$3="Maior",IFERROR(IF(VLOOKUP($N41,Capa!$A:$AE,BK$5,0)="",0,VLOOKUP($N41,Capa!$A:$AE,BK$5,0)),0),IF(ISERROR(1/VLOOKUP($N41,Capa!$A:$AE,BK$5,0)),0,1/VLOOKUP($N41,Capa!$A:$AE,BK$5,0))))</f>
        <v/>
      </c>
      <c r="BL41" s="118" t="str">
        <f>IF(BL$6="","",IF(BL$3="Maior",IFERROR(IF(VLOOKUP($N41,Capa!$A:$AE,BL$5,0)="",0,VLOOKUP($N41,Capa!$A:$AE,BL$5,0)),0),IF(ISERROR(1/VLOOKUP($N41,Capa!$A:$AE,BL$5,0)),0,1/VLOOKUP($N41,Capa!$A:$AE,BL$5,0))))</f>
        <v/>
      </c>
      <c r="BM41" s="118" t="str">
        <f>IF(BM$6="","",IF(BM$3="Maior",IFERROR(IF(VLOOKUP($N41,Capa!$A:$AE,BM$5,0)="",0,VLOOKUP($N41,Capa!$A:$AE,BM$5,0)),0),IF(ISERROR(1/VLOOKUP($N41,Capa!$A:$AE,BM$5,0)),0,1/VLOOKUP($N41,Capa!$A:$AE,BM$5,0))))</f>
        <v/>
      </c>
      <c r="BN41" s="118" t="str">
        <f>IF(BN$6="","",IF(BN$3="Maior",IFERROR(IF(VLOOKUP($N41,Capa!$A:$AE,BN$5,0)="",0,VLOOKUP($N41,Capa!$A:$AE,BN$5,0)),0),IF(ISERROR(1/VLOOKUP($N41,Capa!$A:$AE,BN$5,0)),0,1/VLOOKUP($N41,Capa!$A:$AE,BN$5,0))))</f>
        <v/>
      </c>
      <c r="BO41" s="92"/>
    </row>
    <row r="42">
      <c r="B42" s="123">
        <f t="shared" si="23"/>
        <v>3</v>
      </c>
      <c r="C42" s="129" t="s">
        <v>51</v>
      </c>
      <c r="D42" s="130" t="b">
        <v>1</v>
      </c>
      <c r="E42" s="131" t="s">
        <v>565</v>
      </c>
      <c r="F42" s="119">
        <f>MATCH(C42,Capa!$6:$6,0)</f>
        <v>30</v>
      </c>
      <c r="G42" s="11"/>
      <c r="H42" s="8">
        <v>36.0</v>
      </c>
      <c r="I42" s="110" t="str">
        <f t="shared" si="6"/>
        <v>NEOE3</v>
      </c>
      <c r="J42" s="111" t="str">
        <f>VLOOKUP(left(I42,4),Setor!A:D,3,0)&amp;" | "&amp;VLOOKUP(left(I42,4),Setor!A:D,4,0)</f>
        <v>Utilidade Pública | Energia Elétrica</v>
      </c>
      <c r="K42" s="112">
        <f t="shared" si="7"/>
        <v>45115928.08</v>
      </c>
      <c r="L42" s="11"/>
      <c r="M42" s="11"/>
      <c r="N42" s="10" t="s">
        <v>88</v>
      </c>
      <c r="O42" s="113">
        <f t="shared" si="8"/>
        <v>294.0046</v>
      </c>
      <c r="P42" s="114">
        <f>VLOOKUP(N42,'Dados StatusInvest'!A:Z,26,0)</f>
        <v>194336874.2</v>
      </c>
      <c r="Q42" s="115">
        <f t="shared" si="9"/>
        <v>46.0046</v>
      </c>
      <c r="R42" s="116">
        <f t="shared" ref="R42:AO42" si="45">IF(AQ42="","", RANK(AQ42,AQ$7:AQ$503,0))</f>
        <v>29</v>
      </c>
      <c r="S42" s="115">
        <f t="shared" si="45"/>
        <v>219</v>
      </c>
      <c r="T42" s="115" t="str">
        <f t="shared" si="45"/>
        <v/>
      </c>
      <c r="U42" s="115" t="str">
        <f t="shared" si="45"/>
        <v/>
      </c>
      <c r="V42" s="115" t="str">
        <f t="shared" si="45"/>
        <v/>
      </c>
      <c r="W42" s="115" t="str">
        <f t="shared" si="45"/>
        <v/>
      </c>
      <c r="X42" s="115" t="str">
        <f t="shared" si="45"/>
        <v/>
      </c>
      <c r="Y42" s="115" t="str">
        <f t="shared" si="45"/>
        <v/>
      </c>
      <c r="Z42" s="115" t="str">
        <f t="shared" si="45"/>
        <v/>
      </c>
      <c r="AA42" s="115" t="str">
        <f t="shared" si="45"/>
        <v/>
      </c>
      <c r="AB42" s="115" t="str">
        <f t="shared" si="45"/>
        <v/>
      </c>
      <c r="AC42" s="115" t="str">
        <f t="shared" si="45"/>
        <v/>
      </c>
      <c r="AD42" s="115" t="str">
        <f t="shared" si="45"/>
        <v/>
      </c>
      <c r="AE42" s="115" t="str">
        <f t="shared" si="45"/>
        <v/>
      </c>
      <c r="AF42" s="115" t="str">
        <f t="shared" si="45"/>
        <v/>
      </c>
      <c r="AG42" s="115" t="str">
        <f t="shared" si="45"/>
        <v/>
      </c>
      <c r="AH42" s="115" t="str">
        <f t="shared" si="45"/>
        <v/>
      </c>
      <c r="AI42" s="115" t="str">
        <f t="shared" si="45"/>
        <v/>
      </c>
      <c r="AJ42" s="115" t="str">
        <f t="shared" si="45"/>
        <v/>
      </c>
      <c r="AK42" s="115" t="str">
        <f t="shared" si="45"/>
        <v/>
      </c>
      <c r="AL42" s="115" t="str">
        <f t="shared" si="45"/>
        <v/>
      </c>
      <c r="AM42" s="115" t="str">
        <f t="shared" si="45"/>
        <v/>
      </c>
      <c r="AN42" s="115" t="str">
        <f t="shared" si="45"/>
        <v/>
      </c>
      <c r="AO42" s="115" t="str">
        <f t="shared" si="45"/>
        <v/>
      </c>
      <c r="AP42" s="117">
        <f>IF(AP$6="","",IF(AP$3="Maior",IFERROR(IF(VLOOKUP($N42,Capa!$A:$AE,AP$5,0)="",0,VLOOKUP($N42,Capa!$A:$AE,AP$5,0)),0),IF(ISERROR(1/VLOOKUP($N42,Capa!$A:$AE,AP$5,0)),0,1/VLOOKUP($N42,Capa!$A:$AE,AP$5,0))))</f>
        <v>0.2570725445</v>
      </c>
      <c r="AQ42" s="118">
        <f>IF(AQ$6="","",IF(AQ$3="Maior",IFERROR(IF(VLOOKUP($N42,Capa!$A:$AE,AQ$5,0)="",0,VLOOKUP($N42,Capa!$A:$AE,AQ$5,0)),0),IF(ISERROR(1/VLOOKUP($N42,Capa!$A:$AE,AQ$5,0)),0,1/VLOOKUP($N42,Capa!$A:$AE,AQ$5,0))))</f>
        <v>37.65</v>
      </c>
      <c r="AR42" s="118">
        <f>IF(AR$6="","",IF(AR$3="Maior",IFERROR(IF(VLOOKUP($N42,Capa!$A:$AE,AR$5,0)="",0,VLOOKUP($N42,Capa!$A:$AE,AR$5,0)),0),IF(ISERROR(1/VLOOKUP($N42,Capa!$A:$AE,AR$5,0)),0,1/VLOOKUP($N42,Capa!$A:$AE,AR$5,0))))</f>
        <v>0</v>
      </c>
      <c r="AS42" s="118" t="str">
        <f>IF(AS$6="","",IF(AS$3="Maior",IFERROR(IF(VLOOKUP($N42,Capa!$A:$AE,AS$5,0)="",0,VLOOKUP($N42,Capa!$A:$AE,AS$5,0)),0),IF(ISERROR(1/VLOOKUP($N42,Capa!$A:$AE,AS$5,0)),0,1/VLOOKUP($N42,Capa!$A:$AE,AS$5,0))))</f>
        <v/>
      </c>
      <c r="AT42" s="118" t="str">
        <f>IF(AT$6="","",IF(AT$3="Maior",IFERROR(IF(VLOOKUP($N42,Capa!$A:$AE,AT$5,0)="",0,VLOOKUP($N42,Capa!$A:$AE,AT$5,0)),0),IF(ISERROR(1/VLOOKUP($N42,Capa!$A:$AE,AT$5,0)),0,1/VLOOKUP($N42,Capa!$A:$AE,AT$5,0))))</f>
        <v/>
      </c>
      <c r="AU42" s="118" t="str">
        <f>IF(AU$6="","",IF(AU$3="Maior",IFERROR(IF(VLOOKUP($N42,Capa!$A:$AE,AU$5,0)="",0,VLOOKUP($N42,Capa!$A:$AE,AU$5,0)),0),IF(ISERROR(1/VLOOKUP($N42,Capa!$A:$AE,AU$5,0)),0,1/VLOOKUP($N42,Capa!$A:$AE,AU$5,0))))</f>
        <v/>
      </c>
      <c r="AV42" s="118" t="str">
        <f>IF(AV$6="","",IF(AV$3="Maior",IFERROR(IF(VLOOKUP($N42,Capa!$A:$AE,AV$5,0)="",0,VLOOKUP($N42,Capa!$A:$AE,AV$5,0)),0),IF(ISERROR(1/VLOOKUP($N42,Capa!$A:$AE,AV$5,0)),0,1/VLOOKUP($N42,Capa!$A:$AE,AV$5,0))))</f>
        <v/>
      </c>
      <c r="AW42" s="118" t="str">
        <f>IF(AW$6="","",IF(AW$3="Maior",IFERROR(IF(VLOOKUP($N42,Capa!$A:$AE,AW$5,0)="",0,VLOOKUP($N42,Capa!$A:$AE,AW$5,0)),0),IF(ISERROR(1/VLOOKUP($N42,Capa!$A:$AE,AW$5,0)),0,1/VLOOKUP($N42,Capa!$A:$AE,AW$5,0))))</f>
        <v/>
      </c>
      <c r="AX42" s="118" t="str">
        <f>IF(AX$6="","",IF(AX$3="Maior",IFERROR(IF(VLOOKUP($N42,Capa!$A:$AE,AX$5,0)="",0,VLOOKUP($N42,Capa!$A:$AE,AX$5,0)),0),IF(ISERROR(1/VLOOKUP($N42,Capa!$A:$AE,AX$5,0)),0,1/VLOOKUP($N42,Capa!$A:$AE,AX$5,0))))</f>
        <v/>
      </c>
      <c r="AY42" s="118" t="str">
        <f>IF(AY$6="","",IF(AY$3="Maior",IFERROR(IF(VLOOKUP($N42,Capa!$A:$AE,AY$5,0)="",0,VLOOKUP($N42,Capa!$A:$AE,AY$5,0)),0),IF(ISERROR(1/VLOOKUP($N42,Capa!$A:$AE,AY$5,0)),0,1/VLOOKUP($N42,Capa!$A:$AE,AY$5,0))))</f>
        <v/>
      </c>
      <c r="AZ42" s="118" t="str">
        <f>IF(AZ$6="","",IF(AZ$3="Maior",IFERROR(IF(VLOOKUP($N42,Capa!$A:$AE,AZ$5,0)="",0,VLOOKUP($N42,Capa!$A:$AE,AZ$5,0)),0),IF(ISERROR(1/VLOOKUP($N42,Capa!$A:$AE,AZ$5,0)),0,1/VLOOKUP($N42,Capa!$A:$AE,AZ$5,0))))</f>
        <v/>
      </c>
      <c r="BA42" s="118" t="str">
        <f>IF(BA$6="","",IF(BA$3="Maior",IFERROR(IF(VLOOKUP($N42,Capa!$A:$AE,BA$5,0)="",0,VLOOKUP($N42,Capa!$A:$AE,BA$5,0)),0),IF(ISERROR(1/VLOOKUP($N42,Capa!$A:$AE,BA$5,0)),0,1/VLOOKUP($N42,Capa!$A:$AE,BA$5,0))))</f>
        <v/>
      </c>
      <c r="BB42" s="118" t="str">
        <f>IF(BB$6="","",IF(BB$3="Maior",IFERROR(IF(VLOOKUP($N42,Capa!$A:$AE,BB$5,0)="",0,VLOOKUP($N42,Capa!$A:$AE,BB$5,0)),0),IF(ISERROR(1/VLOOKUP($N42,Capa!$A:$AE,BB$5,0)),0,1/VLOOKUP($N42,Capa!$A:$AE,BB$5,0))))</f>
        <v/>
      </c>
      <c r="BC42" s="118" t="str">
        <f>IF(BC$6="","",IF(BC$3="Maior",IFERROR(IF(VLOOKUP($N42,Capa!$A:$AE,BC$5,0)="",0,VLOOKUP($N42,Capa!$A:$AE,BC$5,0)),0),IF(ISERROR(1/VLOOKUP($N42,Capa!$A:$AE,BC$5,0)),0,1/VLOOKUP($N42,Capa!$A:$AE,BC$5,0))))</f>
        <v/>
      </c>
      <c r="BD42" s="118" t="str">
        <f>IF(BD$6="","",IF(BD$3="Maior",IFERROR(IF(VLOOKUP($N42,Capa!$A:$AE,BD$5,0)="",0,VLOOKUP($N42,Capa!$A:$AE,BD$5,0)),0),IF(ISERROR(1/VLOOKUP($N42,Capa!$A:$AE,BD$5,0)),0,1/VLOOKUP($N42,Capa!$A:$AE,BD$5,0))))</f>
        <v/>
      </c>
      <c r="BE42" s="118" t="str">
        <f>IF(BE$6="","",IF(BE$3="Maior",IFERROR(IF(VLOOKUP($N42,Capa!$A:$AE,BE$5,0)="",0,VLOOKUP($N42,Capa!$A:$AE,BE$5,0)),0),IF(ISERROR(1/VLOOKUP($N42,Capa!$A:$AE,BE$5,0)),0,1/VLOOKUP($N42,Capa!$A:$AE,BE$5,0))))</f>
        <v/>
      </c>
      <c r="BF42" s="118" t="str">
        <f>IF(BF$6="","",IF(BF$3="Maior",IFERROR(IF(VLOOKUP($N42,Capa!$A:$AE,BF$5,0)="",0,VLOOKUP($N42,Capa!$A:$AE,BF$5,0)),0),IF(ISERROR(1/VLOOKUP($N42,Capa!$A:$AE,BF$5,0)),0,1/VLOOKUP($N42,Capa!$A:$AE,BF$5,0))))</f>
        <v/>
      </c>
      <c r="BG42" s="118" t="str">
        <f>IF(BG$6="","",IF(BG$3="Maior",IFERROR(IF(VLOOKUP($N42,Capa!$A:$AE,BG$5,0)="",0,VLOOKUP($N42,Capa!$A:$AE,BG$5,0)),0),IF(ISERROR(1/VLOOKUP($N42,Capa!$A:$AE,BG$5,0)),0,1/VLOOKUP($N42,Capa!$A:$AE,BG$5,0))))</f>
        <v/>
      </c>
      <c r="BH42" s="118" t="str">
        <f>IF(BH$6="","",IF(BH$3="Maior",IFERROR(IF(VLOOKUP($N42,Capa!$A:$AE,BH$5,0)="",0,VLOOKUP($N42,Capa!$A:$AE,BH$5,0)),0),IF(ISERROR(1/VLOOKUP($N42,Capa!$A:$AE,BH$5,0)),0,1/VLOOKUP($N42,Capa!$A:$AE,BH$5,0))))</f>
        <v/>
      </c>
      <c r="BI42" s="118" t="str">
        <f>IF(BI$6="","",IF(BI$3="Maior",IFERROR(IF(VLOOKUP($N42,Capa!$A:$AE,BI$5,0)="",0,VLOOKUP($N42,Capa!$A:$AE,BI$5,0)),0),IF(ISERROR(1/VLOOKUP($N42,Capa!$A:$AE,BI$5,0)),0,1/VLOOKUP($N42,Capa!$A:$AE,BI$5,0))))</f>
        <v/>
      </c>
      <c r="BJ42" s="118" t="str">
        <f>IF(BJ$6="","",IF(BJ$3="Maior",IFERROR(IF(VLOOKUP($N42,Capa!$A:$AE,BJ$5,0)="",0,VLOOKUP($N42,Capa!$A:$AE,BJ$5,0)),0),IF(ISERROR(1/VLOOKUP($N42,Capa!$A:$AE,BJ$5,0)),0,1/VLOOKUP($N42,Capa!$A:$AE,BJ$5,0))))</f>
        <v/>
      </c>
      <c r="BK42" s="118" t="str">
        <f>IF(BK$6="","",IF(BK$3="Maior",IFERROR(IF(VLOOKUP($N42,Capa!$A:$AE,BK$5,0)="",0,VLOOKUP($N42,Capa!$A:$AE,BK$5,0)),0),IF(ISERROR(1/VLOOKUP($N42,Capa!$A:$AE,BK$5,0)),0,1/VLOOKUP($N42,Capa!$A:$AE,BK$5,0))))</f>
        <v/>
      </c>
      <c r="BL42" s="118" t="str">
        <f>IF(BL$6="","",IF(BL$3="Maior",IFERROR(IF(VLOOKUP($N42,Capa!$A:$AE,BL$5,0)="",0,VLOOKUP($N42,Capa!$A:$AE,BL$5,0)),0),IF(ISERROR(1/VLOOKUP($N42,Capa!$A:$AE,BL$5,0)),0,1/VLOOKUP($N42,Capa!$A:$AE,BL$5,0))))</f>
        <v/>
      </c>
      <c r="BM42" s="118" t="str">
        <f>IF(BM$6="","",IF(BM$3="Maior",IFERROR(IF(VLOOKUP($N42,Capa!$A:$AE,BM$5,0)="",0,VLOOKUP($N42,Capa!$A:$AE,BM$5,0)),0),IF(ISERROR(1/VLOOKUP($N42,Capa!$A:$AE,BM$5,0)),0,1/VLOOKUP($N42,Capa!$A:$AE,BM$5,0))))</f>
        <v/>
      </c>
      <c r="BN42" s="118" t="str">
        <f>IF(BN$6="","",IF(BN$3="Maior",IFERROR(IF(VLOOKUP($N42,Capa!$A:$AE,BN$5,0)="",0,VLOOKUP($N42,Capa!$A:$AE,BN$5,0)),0),IF(ISERROR(1/VLOOKUP($N42,Capa!$A:$AE,BN$5,0)),0,1/VLOOKUP($N42,Capa!$A:$AE,BN$5,0))))</f>
        <v/>
      </c>
      <c r="BO42" s="92"/>
    </row>
    <row r="43">
      <c r="G43" s="11"/>
      <c r="H43" s="8">
        <v>37.0</v>
      </c>
      <c r="I43" s="110" t="str">
        <f t="shared" si="6"/>
        <v>EGIE3</v>
      </c>
      <c r="J43" s="111" t="str">
        <f>VLOOKUP(left(I43,4),Setor!A:D,3,0)&amp;" | "&amp;VLOOKUP(left(I43,4),Setor!A:D,4,0)</f>
        <v>Utilidade Pública | Energia Elétrica</v>
      </c>
      <c r="K43" s="112">
        <f t="shared" si="7"/>
        <v>58890338.46</v>
      </c>
      <c r="L43" s="11"/>
      <c r="M43" s="11"/>
      <c r="N43" s="10" t="s">
        <v>89</v>
      </c>
      <c r="O43" s="113">
        <f t="shared" si="8"/>
        <v>694.0234</v>
      </c>
      <c r="P43" s="114">
        <f>VLOOKUP(N43,'Dados StatusInvest'!A:Z,26,0)</f>
        <v>161072667</v>
      </c>
      <c r="Q43" s="115">
        <f t="shared" si="9"/>
        <v>234.0234</v>
      </c>
      <c r="R43" s="116">
        <f t="shared" ref="R43:AO43" si="46">IF(AQ43="","", RANK(AQ43,AQ$7:AQ$503,0))</f>
        <v>241</v>
      </c>
      <c r="S43" s="115">
        <f t="shared" si="46"/>
        <v>219</v>
      </c>
      <c r="T43" s="115" t="str">
        <f t="shared" si="46"/>
        <v/>
      </c>
      <c r="U43" s="115" t="str">
        <f t="shared" si="46"/>
        <v/>
      </c>
      <c r="V43" s="115" t="str">
        <f t="shared" si="46"/>
        <v/>
      </c>
      <c r="W43" s="115" t="str">
        <f t="shared" si="46"/>
        <v/>
      </c>
      <c r="X43" s="115" t="str">
        <f t="shared" si="46"/>
        <v/>
      </c>
      <c r="Y43" s="115" t="str">
        <f t="shared" si="46"/>
        <v/>
      </c>
      <c r="Z43" s="115" t="str">
        <f t="shared" si="46"/>
        <v/>
      </c>
      <c r="AA43" s="115" t="str">
        <f t="shared" si="46"/>
        <v/>
      </c>
      <c r="AB43" s="115" t="str">
        <f t="shared" si="46"/>
        <v/>
      </c>
      <c r="AC43" s="115" t="str">
        <f t="shared" si="46"/>
        <v/>
      </c>
      <c r="AD43" s="115" t="str">
        <f t="shared" si="46"/>
        <v/>
      </c>
      <c r="AE43" s="115" t="str">
        <f t="shared" si="46"/>
        <v/>
      </c>
      <c r="AF43" s="115" t="str">
        <f t="shared" si="46"/>
        <v/>
      </c>
      <c r="AG43" s="115" t="str">
        <f t="shared" si="46"/>
        <v/>
      </c>
      <c r="AH43" s="115" t="str">
        <f t="shared" si="46"/>
        <v/>
      </c>
      <c r="AI43" s="115" t="str">
        <f t="shared" si="46"/>
        <v/>
      </c>
      <c r="AJ43" s="115" t="str">
        <f t="shared" si="46"/>
        <v/>
      </c>
      <c r="AK43" s="115" t="str">
        <f t="shared" si="46"/>
        <v/>
      </c>
      <c r="AL43" s="115" t="str">
        <f t="shared" si="46"/>
        <v/>
      </c>
      <c r="AM43" s="115" t="str">
        <f t="shared" si="46"/>
        <v/>
      </c>
      <c r="AN43" s="115" t="str">
        <f t="shared" si="46"/>
        <v/>
      </c>
      <c r="AO43" s="115" t="str">
        <f t="shared" si="46"/>
        <v/>
      </c>
      <c r="AP43" s="117">
        <f>IF(AP$6="","",IF(AP$3="Maior",IFERROR(IF(VLOOKUP($N43,Capa!$A:$AE,AP$5,0)="",0,VLOOKUP($N43,Capa!$A:$AE,AP$5,0)),0),IF(ISERROR(1/VLOOKUP($N43,Capa!$A:$AE,AP$5,0)),0,1/VLOOKUP($N43,Capa!$A:$AE,AP$5,0))))</f>
        <v>0.08629807392</v>
      </c>
      <c r="AQ43" s="118">
        <f>IF(AQ$6="","",IF(AQ$3="Maior",IFERROR(IF(VLOOKUP($N43,Capa!$A:$AE,AQ$5,0)="",0,VLOOKUP($N43,Capa!$A:$AE,AQ$5,0)),0),IF(ISERROR(1/VLOOKUP($N43,Capa!$A:$AE,AQ$5,0)),0,1/VLOOKUP($N43,Capa!$A:$AE,AQ$5,0))))</f>
        <v>8.48</v>
      </c>
      <c r="AR43" s="118">
        <f>IF(AR$6="","",IF(AR$3="Maior",IFERROR(IF(VLOOKUP($N43,Capa!$A:$AE,AR$5,0)="",0,VLOOKUP($N43,Capa!$A:$AE,AR$5,0)),0),IF(ISERROR(1/VLOOKUP($N43,Capa!$A:$AE,AR$5,0)),0,1/VLOOKUP($N43,Capa!$A:$AE,AR$5,0))))</f>
        <v>0</v>
      </c>
      <c r="AS43" s="118" t="str">
        <f>IF(AS$6="","",IF(AS$3="Maior",IFERROR(IF(VLOOKUP($N43,Capa!$A:$AE,AS$5,0)="",0,VLOOKUP($N43,Capa!$A:$AE,AS$5,0)),0),IF(ISERROR(1/VLOOKUP($N43,Capa!$A:$AE,AS$5,0)),0,1/VLOOKUP($N43,Capa!$A:$AE,AS$5,0))))</f>
        <v/>
      </c>
      <c r="AT43" s="118" t="str">
        <f>IF(AT$6="","",IF(AT$3="Maior",IFERROR(IF(VLOOKUP($N43,Capa!$A:$AE,AT$5,0)="",0,VLOOKUP($N43,Capa!$A:$AE,AT$5,0)),0),IF(ISERROR(1/VLOOKUP($N43,Capa!$A:$AE,AT$5,0)),0,1/VLOOKUP($N43,Capa!$A:$AE,AT$5,0))))</f>
        <v/>
      </c>
      <c r="AU43" s="118" t="str">
        <f>IF(AU$6="","",IF(AU$3="Maior",IFERROR(IF(VLOOKUP($N43,Capa!$A:$AE,AU$5,0)="",0,VLOOKUP($N43,Capa!$A:$AE,AU$5,0)),0),IF(ISERROR(1/VLOOKUP($N43,Capa!$A:$AE,AU$5,0)),0,1/VLOOKUP($N43,Capa!$A:$AE,AU$5,0))))</f>
        <v/>
      </c>
      <c r="AV43" s="118" t="str">
        <f>IF(AV$6="","",IF(AV$3="Maior",IFERROR(IF(VLOOKUP($N43,Capa!$A:$AE,AV$5,0)="",0,VLOOKUP($N43,Capa!$A:$AE,AV$5,0)),0),IF(ISERROR(1/VLOOKUP($N43,Capa!$A:$AE,AV$5,0)),0,1/VLOOKUP($N43,Capa!$A:$AE,AV$5,0))))</f>
        <v/>
      </c>
      <c r="AW43" s="118" t="str">
        <f>IF(AW$6="","",IF(AW$3="Maior",IFERROR(IF(VLOOKUP($N43,Capa!$A:$AE,AW$5,0)="",0,VLOOKUP($N43,Capa!$A:$AE,AW$5,0)),0),IF(ISERROR(1/VLOOKUP($N43,Capa!$A:$AE,AW$5,0)),0,1/VLOOKUP($N43,Capa!$A:$AE,AW$5,0))))</f>
        <v/>
      </c>
      <c r="AX43" s="118" t="str">
        <f>IF(AX$6="","",IF(AX$3="Maior",IFERROR(IF(VLOOKUP($N43,Capa!$A:$AE,AX$5,0)="",0,VLOOKUP($N43,Capa!$A:$AE,AX$5,0)),0),IF(ISERROR(1/VLOOKUP($N43,Capa!$A:$AE,AX$5,0)),0,1/VLOOKUP($N43,Capa!$A:$AE,AX$5,0))))</f>
        <v/>
      </c>
      <c r="AY43" s="118" t="str">
        <f>IF(AY$6="","",IF(AY$3="Maior",IFERROR(IF(VLOOKUP($N43,Capa!$A:$AE,AY$5,0)="",0,VLOOKUP($N43,Capa!$A:$AE,AY$5,0)),0),IF(ISERROR(1/VLOOKUP($N43,Capa!$A:$AE,AY$5,0)),0,1/VLOOKUP($N43,Capa!$A:$AE,AY$5,0))))</f>
        <v/>
      </c>
      <c r="AZ43" s="118" t="str">
        <f>IF(AZ$6="","",IF(AZ$3="Maior",IFERROR(IF(VLOOKUP($N43,Capa!$A:$AE,AZ$5,0)="",0,VLOOKUP($N43,Capa!$A:$AE,AZ$5,0)),0),IF(ISERROR(1/VLOOKUP($N43,Capa!$A:$AE,AZ$5,0)),0,1/VLOOKUP($N43,Capa!$A:$AE,AZ$5,0))))</f>
        <v/>
      </c>
      <c r="BA43" s="118" t="str">
        <f>IF(BA$6="","",IF(BA$3="Maior",IFERROR(IF(VLOOKUP($N43,Capa!$A:$AE,BA$5,0)="",0,VLOOKUP($N43,Capa!$A:$AE,BA$5,0)),0),IF(ISERROR(1/VLOOKUP($N43,Capa!$A:$AE,BA$5,0)),0,1/VLOOKUP($N43,Capa!$A:$AE,BA$5,0))))</f>
        <v/>
      </c>
      <c r="BB43" s="118" t="str">
        <f>IF(BB$6="","",IF(BB$3="Maior",IFERROR(IF(VLOOKUP($N43,Capa!$A:$AE,BB$5,0)="",0,VLOOKUP($N43,Capa!$A:$AE,BB$5,0)),0),IF(ISERROR(1/VLOOKUP($N43,Capa!$A:$AE,BB$5,0)),0,1/VLOOKUP($N43,Capa!$A:$AE,BB$5,0))))</f>
        <v/>
      </c>
      <c r="BC43" s="118" t="str">
        <f>IF(BC$6="","",IF(BC$3="Maior",IFERROR(IF(VLOOKUP($N43,Capa!$A:$AE,BC$5,0)="",0,VLOOKUP($N43,Capa!$A:$AE,BC$5,0)),0),IF(ISERROR(1/VLOOKUP($N43,Capa!$A:$AE,BC$5,0)),0,1/VLOOKUP($N43,Capa!$A:$AE,BC$5,0))))</f>
        <v/>
      </c>
      <c r="BD43" s="118" t="str">
        <f>IF(BD$6="","",IF(BD$3="Maior",IFERROR(IF(VLOOKUP($N43,Capa!$A:$AE,BD$5,0)="",0,VLOOKUP($N43,Capa!$A:$AE,BD$5,0)),0),IF(ISERROR(1/VLOOKUP($N43,Capa!$A:$AE,BD$5,0)),0,1/VLOOKUP($N43,Capa!$A:$AE,BD$5,0))))</f>
        <v/>
      </c>
      <c r="BE43" s="118" t="str">
        <f>IF(BE$6="","",IF(BE$3="Maior",IFERROR(IF(VLOOKUP($N43,Capa!$A:$AE,BE$5,0)="",0,VLOOKUP($N43,Capa!$A:$AE,BE$5,0)),0),IF(ISERROR(1/VLOOKUP($N43,Capa!$A:$AE,BE$5,0)),0,1/VLOOKUP($N43,Capa!$A:$AE,BE$5,0))))</f>
        <v/>
      </c>
      <c r="BF43" s="118" t="str">
        <f>IF(BF$6="","",IF(BF$3="Maior",IFERROR(IF(VLOOKUP($N43,Capa!$A:$AE,BF$5,0)="",0,VLOOKUP($N43,Capa!$A:$AE,BF$5,0)),0),IF(ISERROR(1/VLOOKUP($N43,Capa!$A:$AE,BF$5,0)),0,1/VLOOKUP($N43,Capa!$A:$AE,BF$5,0))))</f>
        <v/>
      </c>
      <c r="BG43" s="118" t="str">
        <f>IF(BG$6="","",IF(BG$3="Maior",IFERROR(IF(VLOOKUP($N43,Capa!$A:$AE,BG$5,0)="",0,VLOOKUP($N43,Capa!$A:$AE,BG$5,0)),0),IF(ISERROR(1/VLOOKUP($N43,Capa!$A:$AE,BG$5,0)),0,1/VLOOKUP($N43,Capa!$A:$AE,BG$5,0))))</f>
        <v/>
      </c>
      <c r="BH43" s="118" t="str">
        <f>IF(BH$6="","",IF(BH$3="Maior",IFERROR(IF(VLOOKUP($N43,Capa!$A:$AE,BH$5,0)="",0,VLOOKUP($N43,Capa!$A:$AE,BH$5,0)),0),IF(ISERROR(1/VLOOKUP($N43,Capa!$A:$AE,BH$5,0)),0,1/VLOOKUP($N43,Capa!$A:$AE,BH$5,0))))</f>
        <v/>
      </c>
      <c r="BI43" s="118" t="str">
        <f>IF(BI$6="","",IF(BI$3="Maior",IFERROR(IF(VLOOKUP($N43,Capa!$A:$AE,BI$5,0)="",0,VLOOKUP($N43,Capa!$A:$AE,BI$5,0)),0),IF(ISERROR(1/VLOOKUP($N43,Capa!$A:$AE,BI$5,0)),0,1/VLOOKUP($N43,Capa!$A:$AE,BI$5,0))))</f>
        <v/>
      </c>
      <c r="BJ43" s="118" t="str">
        <f>IF(BJ$6="","",IF(BJ$3="Maior",IFERROR(IF(VLOOKUP($N43,Capa!$A:$AE,BJ$5,0)="",0,VLOOKUP($N43,Capa!$A:$AE,BJ$5,0)),0),IF(ISERROR(1/VLOOKUP($N43,Capa!$A:$AE,BJ$5,0)),0,1/VLOOKUP($N43,Capa!$A:$AE,BJ$5,0))))</f>
        <v/>
      </c>
      <c r="BK43" s="118" t="str">
        <f>IF(BK$6="","",IF(BK$3="Maior",IFERROR(IF(VLOOKUP($N43,Capa!$A:$AE,BK$5,0)="",0,VLOOKUP($N43,Capa!$A:$AE,BK$5,0)),0),IF(ISERROR(1/VLOOKUP($N43,Capa!$A:$AE,BK$5,0)),0,1/VLOOKUP($N43,Capa!$A:$AE,BK$5,0))))</f>
        <v/>
      </c>
      <c r="BL43" s="118" t="str">
        <f>IF(BL$6="","",IF(BL$3="Maior",IFERROR(IF(VLOOKUP($N43,Capa!$A:$AE,BL$5,0)="",0,VLOOKUP($N43,Capa!$A:$AE,BL$5,0)),0),IF(ISERROR(1/VLOOKUP($N43,Capa!$A:$AE,BL$5,0)),0,1/VLOOKUP($N43,Capa!$A:$AE,BL$5,0))))</f>
        <v/>
      </c>
      <c r="BM43" s="118" t="str">
        <f>IF(BM$6="","",IF(BM$3="Maior",IFERROR(IF(VLOOKUP($N43,Capa!$A:$AE,BM$5,0)="",0,VLOOKUP($N43,Capa!$A:$AE,BM$5,0)),0),IF(ISERROR(1/VLOOKUP($N43,Capa!$A:$AE,BM$5,0)),0,1/VLOOKUP($N43,Capa!$A:$AE,BM$5,0))))</f>
        <v/>
      </c>
      <c r="BN43" s="118" t="str">
        <f>IF(BN$6="","",IF(BN$3="Maior",IFERROR(IF(VLOOKUP($N43,Capa!$A:$AE,BN$5,0)="",0,VLOOKUP($N43,Capa!$A:$AE,BN$5,0)),0),IF(ISERROR(1/VLOOKUP($N43,Capa!$A:$AE,BN$5,0)),0,1/VLOOKUP($N43,Capa!$A:$AE,BN$5,0))))</f>
        <v/>
      </c>
      <c r="BO43" s="92"/>
    </row>
    <row r="44">
      <c r="G44" s="11"/>
      <c r="H44" s="8">
        <v>38.0</v>
      </c>
      <c r="I44" s="110" t="str">
        <f t="shared" si="6"/>
        <v>PSSA3</v>
      </c>
      <c r="J44" s="111" t="str">
        <f>VLOOKUP(left(I44,4),Setor!A:D,3,0)&amp;" | "&amp;VLOOKUP(left(I44,4),Setor!A:D,4,0)</f>
        <v>Financeiro | Previdência e Seguros</v>
      </c>
      <c r="K44" s="112">
        <f t="shared" si="7"/>
        <v>73591376.71</v>
      </c>
      <c r="L44" s="11"/>
      <c r="M44" s="11"/>
      <c r="N44" s="10" t="s">
        <v>90</v>
      </c>
      <c r="O44" s="113">
        <f t="shared" si="8"/>
        <v>1161.0453</v>
      </c>
      <c r="P44" s="114">
        <f>VLOOKUP(N44,'Dados StatusInvest'!A:Z,26,0)</f>
        <v>165504534.5</v>
      </c>
      <c r="Q44" s="115">
        <f t="shared" si="9"/>
        <v>453.0453</v>
      </c>
      <c r="R44" s="116">
        <f t="shared" ref="R44:AO44" si="47">IF(AQ44="","", RANK(AQ44,AQ$7:AQ$503,0))</f>
        <v>489</v>
      </c>
      <c r="S44" s="115">
        <f t="shared" si="47"/>
        <v>219</v>
      </c>
      <c r="T44" s="115" t="str">
        <f t="shared" si="47"/>
        <v/>
      </c>
      <c r="U44" s="115" t="str">
        <f t="shared" si="47"/>
        <v/>
      </c>
      <c r="V44" s="115" t="str">
        <f t="shared" si="47"/>
        <v/>
      </c>
      <c r="W44" s="115" t="str">
        <f t="shared" si="47"/>
        <v/>
      </c>
      <c r="X44" s="115" t="str">
        <f t="shared" si="47"/>
        <v/>
      </c>
      <c r="Y44" s="115" t="str">
        <f t="shared" si="47"/>
        <v/>
      </c>
      <c r="Z44" s="115" t="str">
        <f t="shared" si="47"/>
        <v/>
      </c>
      <c r="AA44" s="115" t="str">
        <f t="shared" si="47"/>
        <v/>
      </c>
      <c r="AB44" s="115" t="str">
        <f t="shared" si="47"/>
        <v/>
      </c>
      <c r="AC44" s="115" t="str">
        <f t="shared" si="47"/>
        <v/>
      </c>
      <c r="AD44" s="115" t="str">
        <f t="shared" si="47"/>
        <v/>
      </c>
      <c r="AE44" s="115" t="str">
        <f t="shared" si="47"/>
        <v/>
      </c>
      <c r="AF44" s="115" t="str">
        <f t="shared" si="47"/>
        <v/>
      </c>
      <c r="AG44" s="115" t="str">
        <f t="shared" si="47"/>
        <v/>
      </c>
      <c r="AH44" s="115" t="str">
        <f t="shared" si="47"/>
        <v/>
      </c>
      <c r="AI44" s="115" t="str">
        <f t="shared" si="47"/>
        <v/>
      </c>
      <c r="AJ44" s="115" t="str">
        <f t="shared" si="47"/>
        <v/>
      </c>
      <c r="AK44" s="115" t="str">
        <f t="shared" si="47"/>
        <v/>
      </c>
      <c r="AL44" s="115" t="str">
        <f t="shared" si="47"/>
        <v/>
      </c>
      <c r="AM44" s="115" t="str">
        <f t="shared" si="47"/>
        <v/>
      </c>
      <c r="AN44" s="115" t="str">
        <f t="shared" si="47"/>
        <v/>
      </c>
      <c r="AO44" s="115" t="str">
        <f t="shared" si="47"/>
        <v/>
      </c>
      <c r="AP44" s="117">
        <f>IF(AP$6="","",IF(AP$3="Maior",IFERROR(IF(VLOOKUP($N44,Capa!$A:$AE,AP$5,0)="",0,VLOOKUP($N44,Capa!$A:$AE,AP$5,0)),0),IF(ISERROR(1/VLOOKUP($N44,Capa!$A:$AE,AP$5,0)),0,1/VLOOKUP($N44,Capa!$A:$AE,AP$5,0))))</f>
        <v>-0.1216940229</v>
      </c>
      <c r="AQ44" s="118">
        <f>IF(AQ$6="","",IF(AQ$3="Maior",IFERROR(IF(VLOOKUP($N44,Capa!$A:$AE,AQ$5,0)="",0,VLOOKUP($N44,Capa!$A:$AE,AQ$5,0)),0),IF(ISERROR(1/VLOOKUP($N44,Capa!$A:$AE,AQ$5,0)),0,1/VLOOKUP($N44,Capa!$A:$AE,AQ$5,0))))</f>
        <v>-98.64</v>
      </c>
      <c r="AR44" s="118">
        <f>IF(AR$6="","",IF(AR$3="Maior",IFERROR(IF(VLOOKUP($N44,Capa!$A:$AE,AR$5,0)="",0,VLOOKUP($N44,Capa!$A:$AE,AR$5,0)),0),IF(ISERROR(1/VLOOKUP($N44,Capa!$A:$AE,AR$5,0)),0,1/VLOOKUP($N44,Capa!$A:$AE,AR$5,0))))</f>
        <v>0</v>
      </c>
      <c r="AS44" s="118" t="str">
        <f>IF(AS$6="","",IF(AS$3="Maior",IFERROR(IF(VLOOKUP($N44,Capa!$A:$AE,AS$5,0)="",0,VLOOKUP($N44,Capa!$A:$AE,AS$5,0)),0),IF(ISERROR(1/VLOOKUP($N44,Capa!$A:$AE,AS$5,0)),0,1/VLOOKUP($N44,Capa!$A:$AE,AS$5,0))))</f>
        <v/>
      </c>
      <c r="AT44" s="118" t="str">
        <f>IF(AT$6="","",IF(AT$3="Maior",IFERROR(IF(VLOOKUP($N44,Capa!$A:$AE,AT$5,0)="",0,VLOOKUP($N44,Capa!$A:$AE,AT$5,0)),0),IF(ISERROR(1/VLOOKUP($N44,Capa!$A:$AE,AT$5,0)),0,1/VLOOKUP($N44,Capa!$A:$AE,AT$5,0))))</f>
        <v/>
      </c>
      <c r="AU44" s="118" t="str">
        <f>IF(AU$6="","",IF(AU$3="Maior",IFERROR(IF(VLOOKUP($N44,Capa!$A:$AE,AU$5,0)="",0,VLOOKUP($N44,Capa!$A:$AE,AU$5,0)),0),IF(ISERROR(1/VLOOKUP($N44,Capa!$A:$AE,AU$5,0)),0,1/VLOOKUP($N44,Capa!$A:$AE,AU$5,0))))</f>
        <v/>
      </c>
      <c r="AV44" s="118" t="str">
        <f>IF(AV$6="","",IF(AV$3="Maior",IFERROR(IF(VLOOKUP($N44,Capa!$A:$AE,AV$5,0)="",0,VLOOKUP($N44,Capa!$A:$AE,AV$5,0)),0),IF(ISERROR(1/VLOOKUP($N44,Capa!$A:$AE,AV$5,0)),0,1/VLOOKUP($N44,Capa!$A:$AE,AV$5,0))))</f>
        <v/>
      </c>
      <c r="AW44" s="118" t="str">
        <f>IF(AW$6="","",IF(AW$3="Maior",IFERROR(IF(VLOOKUP($N44,Capa!$A:$AE,AW$5,0)="",0,VLOOKUP($N44,Capa!$A:$AE,AW$5,0)),0),IF(ISERROR(1/VLOOKUP($N44,Capa!$A:$AE,AW$5,0)),0,1/VLOOKUP($N44,Capa!$A:$AE,AW$5,0))))</f>
        <v/>
      </c>
      <c r="AX44" s="118" t="str">
        <f>IF(AX$6="","",IF(AX$3="Maior",IFERROR(IF(VLOOKUP($N44,Capa!$A:$AE,AX$5,0)="",0,VLOOKUP($N44,Capa!$A:$AE,AX$5,0)),0),IF(ISERROR(1/VLOOKUP($N44,Capa!$A:$AE,AX$5,0)),0,1/VLOOKUP($N44,Capa!$A:$AE,AX$5,0))))</f>
        <v/>
      </c>
      <c r="AY44" s="118" t="str">
        <f>IF(AY$6="","",IF(AY$3="Maior",IFERROR(IF(VLOOKUP($N44,Capa!$A:$AE,AY$5,0)="",0,VLOOKUP($N44,Capa!$A:$AE,AY$5,0)),0),IF(ISERROR(1/VLOOKUP($N44,Capa!$A:$AE,AY$5,0)),0,1/VLOOKUP($N44,Capa!$A:$AE,AY$5,0))))</f>
        <v/>
      </c>
      <c r="AZ44" s="118" t="str">
        <f>IF(AZ$6="","",IF(AZ$3="Maior",IFERROR(IF(VLOOKUP($N44,Capa!$A:$AE,AZ$5,0)="",0,VLOOKUP($N44,Capa!$A:$AE,AZ$5,0)),0),IF(ISERROR(1/VLOOKUP($N44,Capa!$A:$AE,AZ$5,0)),0,1/VLOOKUP($N44,Capa!$A:$AE,AZ$5,0))))</f>
        <v/>
      </c>
      <c r="BA44" s="118" t="str">
        <f>IF(BA$6="","",IF(BA$3="Maior",IFERROR(IF(VLOOKUP($N44,Capa!$A:$AE,BA$5,0)="",0,VLOOKUP($N44,Capa!$A:$AE,BA$5,0)),0),IF(ISERROR(1/VLOOKUP($N44,Capa!$A:$AE,BA$5,0)),0,1/VLOOKUP($N44,Capa!$A:$AE,BA$5,0))))</f>
        <v/>
      </c>
      <c r="BB44" s="118" t="str">
        <f>IF(BB$6="","",IF(BB$3="Maior",IFERROR(IF(VLOOKUP($N44,Capa!$A:$AE,BB$5,0)="",0,VLOOKUP($N44,Capa!$A:$AE,BB$5,0)),0),IF(ISERROR(1/VLOOKUP($N44,Capa!$A:$AE,BB$5,0)),0,1/VLOOKUP($N44,Capa!$A:$AE,BB$5,0))))</f>
        <v/>
      </c>
      <c r="BC44" s="118" t="str">
        <f>IF(BC$6="","",IF(BC$3="Maior",IFERROR(IF(VLOOKUP($N44,Capa!$A:$AE,BC$5,0)="",0,VLOOKUP($N44,Capa!$A:$AE,BC$5,0)),0),IF(ISERROR(1/VLOOKUP($N44,Capa!$A:$AE,BC$5,0)),0,1/VLOOKUP($N44,Capa!$A:$AE,BC$5,0))))</f>
        <v/>
      </c>
      <c r="BD44" s="118" t="str">
        <f>IF(BD$6="","",IF(BD$3="Maior",IFERROR(IF(VLOOKUP($N44,Capa!$A:$AE,BD$5,0)="",0,VLOOKUP($N44,Capa!$A:$AE,BD$5,0)),0),IF(ISERROR(1/VLOOKUP($N44,Capa!$A:$AE,BD$5,0)),0,1/VLOOKUP($N44,Capa!$A:$AE,BD$5,0))))</f>
        <v/>
      </c>
      <c r="BE44" s="118" t="str">
        <f>IF(BE$6="","",IF(BE$3="Maior",IFERROR(IF(VLOOKUP($N44,Capa!$A:$AE,BE$5,0)="",0,VLOOKUP($N44,Capa!$A:$AE,BE$5,0)),0),IF(ISERROR(1/VLOOKUP($N44,Capa!$A:$AE,BE$5,0)),0,1/VLOOKUP($N44,Capa!$A:$AE,BE$5,0))))</f>
        <v/>
      </c>
      <c r="BF44" s="118" t="str">
        <f>IF(BF$6="","",IF(BF$3="Maior",IFERROR(IF(VLOOKUP($N44,Capa!$A:$AE,BF$5,0)="",0,VLOOKUP($N44,Capa!$A:$AE,BF$5,0)),0),IF(ISERROR(1/VLOOKUP($N44,Capa!$A:$AE,BF$5,0)),0,1/VLOOKUP($N44,Capa!$A:$AE,BF$5,0))))</f>
        <v/>
      </c>
      <c r="BG44" s="118" t="str">
        <f>IF(BG$6="","",IF(BG$3="Maior",IFERROR(IF(VLOOKUP($N44,Capa!$A:$AE,BG$5,0)="",0,VLOOKUP($N44,Capa!$A:$AE,BG$5,0)),0),IF(ISERROR(1/VLOOKUP($N44,Capa!$A:$AE,BG$5,0)),0,1/VLOOKUP($N44,Capa!$A:$AE,BG$5,0))))</f>
        <v/>
      </c>
      <c r="BH44" s="118" t="str">
        <f>IF(BH$6="","",IF(BH$3="Maior",IFERROR(IF(VLOOKUP($N44,Capa!$A:$AE,BH$5,0)="",0,VLOOKUP($N44,Capa!$A:$AE,BH$5,0)),0),IF(ISERROR(1/VLOOKUP($N44,Capa!$A:$AE,BH$5,0)),0,1/VLOOKUP($N44,Capa!$A:$AE,BH$5,0))))</f>
        <v/>
      </c>
      <c r="BI44" s="118" t="str">
        <f>IF(BI$6="","",IF(BI$3="Maior",IFERROR(IF(VLOOKUP($N44,Capa!$A:$AE,BI$5,0)="",0,VLOOKUP($N44,Capa!$A:$AE,BI$5,0)),0),IF(ISERROR(1/VLOOKUP($N44,Capa!$A:$AE,BI$5,0)),0,1/VLOOKUP($N44,Capa!$A:$AE,BI$5,0))))</f>
        <v/>
      </c>
      <c r="BJ44" s="118" t="str">
        <f>IF(BJ$6="","",IF(BJ$3="Maior",IFERROR(IF(VLOOKUP($N44,Capa!$A:$AE,BJ$5,0)="",0,VLOOKUP($N44,Capa!$A:$AE,BJ$5,0)),0),IF(ISERROR(1/VLOOKUP($N44,Capa!$A:$AE,BJ$5,0)),0,1/VLOOKUP($N44,Capa!$A:$AE,BJ$5,0))))</f>
        <v/>
      </c>
      <c r="BK44" s="118" t="str">
        <f>IF(BK$6="","",IF(BK$3="Maior",IFERROR(IF(VLOOKUP($N44,Capa!$A:$AE,BK$5,0)="",0,VLOOKUP($N44,Capa!$A:$AE,BK$5,0)),0),IF(ISERROR(1/VLOOKUP($N44,Capa!$A:$AE,BK$5,0)),0,1/VLOOKUP($N44,Capa!$A:$AE,BK$5,0))))</f>
        <v/>
      </c>
      <c r="BL44" s="118" t="str">
        <f>IF(BL$6="","",IF(BL$3="Maior",IFERROR(IF(VLOOKUP($N44,Capa!$A:$AE,BL$5,0)="",0,VLOOKUP($N44,Capa!$A:$AE,BL$5,0)),0),IF(ISERROR(1/VLOOKUP($N44,Capa!$A:$AE,BL$5,0)),0,1/VLOOKUP($N44,Capa!$A:$AE,BL$5,0))))</f>
        <v/>
      </c>
      <c r="BM44" s="118" t="str">
        <f>IF(BM$6="","",IF(BM$3="Maior",IFERROR(IF(VLOOKUP($N44,Capa!$A:$AE,BM$5,0)="",0,VLOOKUP($N44,Capa!$A:$AE,BM$5,0)),0),IF(ISERROR(1/VLOOKUP($N44,Capa!$A:$AE,BM$5,0)),0,1/VLOOKUP($N44,Capa!$A:$AE,BM$5,0))))</f>
        <v/>
      </c>
      <c r="BN44" s="118" t="str">
        <f>IF(BN$6="","",IF(BN$3="Maior",IFERROR(IF(VLOOKUP($N44,Capa!$A:$AE,BN$5,0)="",0,VLOOKUP($N44,Capa!$A:$AE,BN$5,0)),0),IF(ISERROR(1/VLOOKUP($N44,Capa!$A:$AE,BN$5,0)),0,1/VLOOKUP($N44,Capa!$A:$AE,BN$5,0))))</f>
        <v/>
      </c>
      <c r="BO44" s="92"/>
    </row>
    <row r="45">
      <c r="G45" s="11"/>
      <c r="H45" s="8">
        <v>39.0</v>
      </c>
      <c r="I45" s="110" t="str">
        <f t="shared" si="6"/>
        <v>JBSS3</v>
      </c>
      <c r="J45" s="111" t="str">
        <f>VLOOKUP(left(I45,4),Setor!A:D,3,0)&amp;" | "&amp;VLOOKUP(left(I45,4),Setor!A:D,4,0)</f>
        <v>Consumo não Cíclico | Alimentos Processados</v>
      </c>
      <c r="K45" s="112">
        <f t="shared" si="7"/>
        <v>434280045.9</v>
      </c>
      <c r="L45" s="11"/>
      <c r="M45" s="11"/>
      <c r="N45" s="10" t="s">
        <v>91</v>
      </c>
      <c r="O45" s="113">
        <f t="shared" si="8"/>
        <v>354.005</v>
      </c>
      <c r="P45" s="114">
        <f>VLOOKUP(N45,'Dados StatusInvest'!A:Z,26,0)</f>
        <v>188659704.8</v>
      </c>
      <c r="Q45" s="115">
        <f t="shared" si="9"/>
        <v>50.005</v>
      </c>
      <c r="R45" s="116">
        <f t="shared" ref="R45:AO45" si="48">IF(AQ45="","", RANK(AQ45,AQ$7:AQ$503,0))</f>
        <v>85</v>
      </c>
      <c r="S45" s="115">
        <f t="shared" si="48"/>
        <v>219</v>
      </c>
      <c r="T45" s="115" t="str">
        <f t="shared" si="48"/>
        <v/>
      </c>
      <c r="U45" s="115" t="str">
        <f t="shared" si="48"/>
        <v/>
      </c>
      <c r="V45" s="115" t="str">
        <f t="shared" si="48"/>
        <v/>
      </c>
      <c r="W45" s="115" t="str">
        <f t="shared" si="48"/>
        <v/>
      </c>
      <c r="X45" s="115" t="str">
        <f t="shared" si="48"/>
        <v/>
      </c>
      <c r="Y45" s="115" t="str">
        <f t="shared" si="48"/>
        <v/>
      </c>
      <c r="Z45" s="115" t="str">
        <f t="shared" si="48"/>
        <v/>
      </c>
      <c r="AA45" s="115" t="str">
        <f t="shared" si="48"/>
        <v/>
      </c>
      <c r="AB45" s="115" t="str">
        <f t="shared" si="48"/>
        <v/>
      </c>
      <c r="AC45" s="115" t="str">
        <f t="shared" si="48"/>
        <v/>
      </c>
      <c r="AD45" s="115" t="str">
        <f t="shared" si="48"/>
        <v/>
      </c>
      <c r="AE45" s="115" t="str">
        <f t="shared" si="48"/>
        <v/>
      </c>
      <c r="AF45" s="115" t="str">
        <f t="shared" si="48"/>
        <v/>
      </c>
      <c r="AG45" s="115" t="str">
        <f t="shared" si="48"/>
        <v/>
      </c>
      <c r="AH45" s="115" t="str">
        <f t="shared" si="48"/>
        <v/>
      </c>
      <c r="AI45" s="115" t="str">
        <f t="shared" si="48"/>
        <v/>
      </c>
      <c r="AJ45" s="115" t="str">
        <f t="shared" si="48"/>
        <v/>
      </c>
      <c r="AK45" s="115" t="str">
        <f t="shared" si="48"/>
        <v/>
      </c>
      <c r="AL45" s="115" t="str">
        <f t="shared" si="48"/>
        <v/>
      </c>
      <c r="AM45" s="115" t="str">
        <f t="shared" si="48"/>
        <v/>
      </c>
      <c r="AN45" s="115" t="str">
        <f t="shared" si="48"/>
        <v/>
      </c>
      <c r="AO45" s="115" t="str">
        <f t="shared" si="48"/>
        <v/>
      </c>
      <c r="AP45" s="117">
        <f>IF(AP$6="","",IF(AP$3="Maior",IFERROR(IF(VLOOKUP($N45,Capa!$A:$AE,AP$5,0)="",0,VLOOKUP($N45,Capa!$A:$AE,AP$5,0)),0),IF(ISERROR(1/VLOOKUP($N45,Capa!$A:$AE,AP$5,0)),0,1/VLOOKUP($N45,Capa!$A:$AE,AP$5,0))))</f>
        <v>0.2463814479</v>
      </c>
      <c r="AQ45" s="118">
        <f>IF(AQ$6="","",IF(AQ$3="Maior",IFERROR(IF(VLOOKUP($N45,Capa!$A:$AE,AQ$5,0)="",0,VLOOKUP($N45,Capa!$A:$AE,AQ$5,0)),0),IF(ISERROR(1/VLOOKUP($N45,Capa!$A:$AE,AQ$5,0)),0,1/VLOOKUP($N45,Capa!$A:$AE,AQ$5,0))))</f>
        <v>19.48</v>
      </c>
      <c r="AR45" s="118">
        <f>IF(AR$6="","",IF(AR$3="Maior",IFERROR(IF(VLOOKUP($N45,Capa!$A:$AE,AR$5,0)="",0,VLOOKUP($N45,Capa!$A:$AE,AR$5,0)),0),IF(ISERROR(1/VLOOKUP($N45,Capa!$A:$AE,AR$5,0)),0,1/VLOOKUP($N45,Capa!$A:$AE,AR$5,0))))</f>
        <v>0</v>
      </c>
      <c r="AS45" s="118" t="str">
        <f>IF(AS$6="","",IF(AS$3="Maior",IFERROR(IF(VLOOKUP($N45,Capa!$A:$AE,AS$5,0)="",0,VLOOKUP($N45,Capa!$A:$AE,AS$5,0)),0),IF(ISERROR(1/VLOOKUP($N45,Capa!$A:$AE,AS$5,0)),0,1/VLOOKUP($N45,Capa!$A:$AE,AS$5,0))))</f>
        <v/>
      </c>
      <c r="AT45" s="118" t="str">
        <f>IF(AT$6="","",IF(AT$3="Maior",IFERROR(IF(VLOOKUP($N45,Capa!$A:$AE,AT$5,0)="",0,VLOOKUP($N45,Capa!$A:$AE,AT$5,0)),0),IF(ISERROR(1/VLOOKUP($N45,Capa!$A:$AE,AT$5,0)),0,1/VLOOKUP($N45,Capa!$A:$AE,AT$5,0))))</f>
        <v/>
      </c>
      <c r="AU45" s="118" t="str">
        <f>IF(AU$6="","",IF(AU$3="Maior",IFERROR(IF(VLOOKUP($N45,Capa!$A:$AE,AU$5,0)="",0,VLOOKUP($N45,Capa!$A:$AE,AU$5,0)),0),IF(ISERROR(1/VLOOKUP($N45,Capa!$A:$AE,AU$5,0)),0,1/VLOOKUP($N45,Capa!$A:$AE,AU$5,0))))</f>
        <v/>
      </c>
      <c r="AV45" s="118" t="str">
        <f>IF(AV$6="","",IF(AV$3="Maior",IFERROR(IF(VLOOKUP($N45,Capa!$A:$AE,AV$5,0)="",0,VLOOKUP($N45,Capa!$A:$AE,AV$5,0)),0),IF(ISERROR(1/VLOOKUP($N45,Capa!$A:$AE,AV$5,0)),0,1/VLOOKUP($N45,Capa!$A:$AE,AV$5,0))))</f>
        <v/>
      </c>
      <c r="AW45" s="118" t="str">
        <f>IF(AW$6="","",IF(AW$3="Maior",IFERROR(IF(VLOOKUP($N45,Capa!$A:$AE,AW$5,0)="",0,VLOOKUP($N45,Capa!$A:$AE,AW$5,0)),0),IF(ISERROR(1/VLOOKUP($N45,Capa!$A:$AE,AW$5,0)),0,1/VLOOKUP($N45,Capa!$A:$AE,AW$5,0))))</f>
        <v/>
      </c>
      <c r="AX45" s="118" t="str">
        <f>IF(AX$6="","",IF(AX$3="Maior",IFERROR(IF(VLOOKUP($N45,Capa!$A:$AE,AX$5,0)="",0,VLOOKUP($N45,Capa!$A:$AE,AX$5,0)),0),IF(ISERROR(1/VLOOKUP($N45,Capa!$A:$AE,AX$5,0)),0,1/VLOOKUP($N45,Capa!$A:$AE,AX$5,0))))</f>
        <v/>
      </c>
      <c r="AY45" s="118" t="str">
        <f>IF(AY$6="","",IF(AY$3="Maior",IFERROR(IF(VLOOKUP($N45,Capa!$A:$AE,AY$5,0)="",0,VLOOKUP($N45,Capa!$A:$AE,AY$5,0)),0),IF(ISERROR(1/VLOOKUP($N45,Capa!$A:$AE,AY$5,0)),0,1/VLOOKUP($N45,Capa!$A:$AE,AY$5,0))))</f>
        <v/>
      </c>
      <c r="AZ45" s="118" t="str">
        <f>IF(AZ$6="","",IF(AZ$3="Maior",IFERROR(IF(VLOOKUP($N45,Capa!$A:$AE,AZ$5,0)="",0,VLOOKUP($N45,Capa!$A:$AE,AZ$5,0)),0),IF(ISERROR(1/VLOOKUP($N45,Capa!$A:$AE,AZ$5,0)),0,1/VLOOKUP($N45,Capa!$A:$AE,AZ$5,0))))</f>
        <v/>
      </c>
      <c r="BA45" s="118" t="str">
        <f>IF(BA$6="","",IF(BA$3="Maior",IFERROR(IF(VLOOKUP($N45,Capa!$A:$AE,BA$5,0)="",0,VLOOKUP($N45,Capa!$A:$AE,BA$5,0)),0),IF(ISERROR(1/VLOOKUP($N45,Capa!$A:$AE,BA$5,0)),0,1/VLOOKUP($N45,Capa!$A:$AE,BA$5,0))))</f>
        <v/>
      </c>
      <c r="BB45" s="118" t="str">
        <f>IF(BB$6="","",IF(BB$3="Maior",IFERROR(IF(VLOOKUP($N45,Capa!$A:$AE,BB$5,0)="",0,VLOOKUP($N45,Capa!$A:$AE,BB$5,0)),0),IF(ISERROR(1/VLOOKUP($N45,Capa!$A:$AE,BB$5,0)),0,1/VLOOKUP($N45,Capa!$A:$AE,BB$5,0))))</f>
        <v/>
      </c>
      <c r="BC45" s="118" t="str">
        <f>IF(BC$6="","",IF(BC$3="Maior",IFERROR(IF(VLOOKUP($N45,Capa!$A:$AE,BC$5,0)="",0,VLOOKUP($N45,Capa!$A:$AE,BC$5,0)),0),IF(ISERROR(1/VLOOKUP($N45,Capa!$A:$AE,BC$5,0)),0,1/VLOOKUP($N45,Capa!$A:$AE,BC$5,0))))</f>
        <v/>
      </c>
      <c r="BD45" s="118" t="str">
        <f>IF(BD$6="","",IF(BD$3="Maior",IFERROR(IF(VLOOKUP($N45,Capa!$A:$AE,BD$5,0)="",0,VLOOKUP($N45,Capa!$A:$AE,BD$5,0)),0),IF(ISERROR(1/VLOOKUP($N45,Capa!$A:$AE,BD$5,0)),0,1/VLOOKUP($N45,Capa!$A:$AE,BD$5,0))))</f>
        <v/>
      </c>
      <c r="BE45" s="118" t="str">
        <f>IF(BE$6="","",IF(BE$3="Maior",IFERROR(IF(VLOOKUP($N45,Capa!$A:$AE,BE$5,0)="",0,VLOOKUP($N45,Capa!$A:$AE,BE$5,0)),0),IF(ISERROR(1/VLOOKUP($N45,Capa!$A:$AE,BE$5,0)),0,1/VLOOKUP($N45,Capa!$A:$AE,BE$5,0))))</f>
        <v/>
      </c>
      <c r="BF45" s="118" t="str">
        <f>IF(BF$6="","",IF(BF$3="Maior",IFERROR(IF(VLOOKUP($N45,Capa!$A:$AE,BF$5,0)="",0,VLOOKUP($N45,Capa!$A:$AE,BF$5,0)),0),IF(ISERROR(1/VLOOKUP($N45,Capa!$A:$AE,BF$5,0)),0,1/VLOOKUP($N45,Capa!$A:$AE,BF$5,0))))</f>
        <v/>
      </c>
      <c r="BG45" s="118" t="str">
        <f>IF(BG$6="","",IF(BG$3="Maior",IFERROR(IF(VLOOKUP($N45,Capa!$A:$AE,BG$5,0)="",0,VLOOKUP($N45,Capa!$A:$AE,BG$5,0)),0),IF(ISERROR(1/VLOOKUP($N45,Capa!$A:$AE,BG$5,0)),0,1/VLOOKUP($N45,Capa!$A:$AE,BG$5,0))))</f>
        <v/>
      </c>
      <c r="BH45" s="118" t="str">
        <f>IF(BH$6="","",IF(BH$3="Maior",IFERROR(IF(VLOOKUP($N45,Capa!$A:$AE,BH$5,0)="",0,VLOOKUP($N45,Capa!$A:$AE,BH$5,0)),0),IF(ISERROR(1/VLOOKUP($N45,Capa!$A:$AE,BH$5,0)),0,1/VLOOKUP($N45,Capa!$A:$AE,BH$5,0))))</f>
        <v/>
      </c>
      <c r="BI45" s="118" t="str">
        <f>IF(BI$6="","",IF(BI$3="Maior",IFERROR(IF(VLOOKUP($N45,Capa!$A:$AE,BI$5,0)="",0,VLOOKUP($N45,Capa!$A:$AE,BI$5,0)),0),IF(ISERROR(1/VLOOKUP($N45,Capa!$A:$AE,BI$5,0)),0,1/VLOOKUP($N45,Capa!$A:$AE,BI$5,0))))</f>
        <v/>
      </c>
      <c r="BJ45" s="118" t="str">
        <f>IF(BJ$6="","",IF(BJ$3="Maior",IFERROR(IF(VLOOKUP($N45,Capa!$A:$AE,BJ$5,0)="",0,VLOOKUP($N45,Capa!$A:$AE,BJ$5,0)),0),IF(ISERROR(1/VLOOKUP($N45,Capa!$A:$AE,BJ$5,0)),0,1/VLOOKUP($N45,Capa!$A:$AE,BJ$5,0))))</f>
        <v/>
      </c>
      <c r="BK45" s="118" t="str">
        <f>IF(BK$6="","",IF(BK$3="Maior",IFERROR(IF(VLOOKUP($N45,Capa!$A:$AE,BK$5,0)="",0,VLOOKUP($N45,Capa!$A:$AE,BK$5,0)),0),IF(ISERROR(1/VLOOKUP($N45,Capa!$A:$AE,BK$5,0)),0,1/VLOOKUP($N45,Capa!$A:$AE,BK$5,0))))</f>
        <v/>
      </c>
      <c r="BL45" s="118" t="str">
        <f>IF(BL$6="","",IF(BL$3="Maior",IFERROR(IF(VLOOKUP($N45,Capa!$A:$AE,BL$5,0)="",0,VLOOKUP($N45,Capa!$A:$AE,BL$5,0)),0),IF(ISERROR(1/VLOOKUP($N45,Capa!$A:$AE,BL$5,0)),0,1/VLOOKUP($N45,Capa!$A:$AE,BL$5,0))))</f>
        <v/>
      </c>
      <c r="BM45" s="118" t="str">
        <f>IF(BM$6="","",IF(BM$3="Maior",IFERROR(IF(VLOOKUP($N45,Capa!$A:$AE,BM$5,0)="",0,VLOOKUP($N45,Capa!$A:$AE,BM$5,0)),0),IF(ISERROR(1/VLOOKUP($N45,Capa!$A:$AE,BM$5,0)),0,1/VLOOKUP($N45,Capa!$A:$AE,BM$5,0))))</f>
        <v/>
      </c>
      <c r="BN45" s="118" t="str">
        <f>IF(BN$6="","",IF(BN$3="Maior",IFERROR(IF(VLOOKUP($N45,Capa!$A:$AE,BN$5,0)="",0,VLOOKUP($N45,Capa!$A:$AE,BN$5,0)),0),IF(ISERROR(1/VLOOKUP($N45,Capa!$A:$AE,BN$5,0)),0,1/VLOOKUP($N45,Capa!$A:$AE,BN$5,0))))</f>
        <v/>
      </c>
      <c r="BO45" s="92"/>
    </row>
    <row r="46">
      <c r="G46" s="11"/>
      <c r="H46" s="8">
        <v>40.0</v>
      </c>
      <c r="I46" s="110" t="str">
        <f t="shared" si="6"/>
        <v>PTBL3</v>
      </c>
      <c r="J46" s="111" t="str">
        <f>VLOOKUP(left(I46,4),Setor!A:D,3,0)&amp;" | "&amp;VLOOKUP(left(I46,4),Setor!A:D,4,0)</f>
        <v>Bens Industriais | Construção e Engenharia</v>
      </c>
      <c r="K46" s="112">
        <f t="shared" si="7"/>
        <v>26437656</v>
      </c>
      <c r="L46" s="11"/>
      <c r="M46" s="11"/>
      <c r="N46" s="10" t="s">
        <v>92</v>
      </c>
      <c r="O46" s="113">
        <f t="shared" si="8"/>
        <v>821.0287</v>
      </c>
      <c r="P46" s="114">
        <f>VLOOKUP(N46,'Dados StatusInvest'!A:Z,26,0)</f>
        <v>180039390.3</v>
      </c>
      <c r="Q46" s="115">
        <f t="shared" si="9"/>
        <v>287.0287</v>
      </c>
      <c r="R46" s="116">
        <f t="shared" ref="R46:AO46" si="49">IF(AQ46="","", RANK(AQ46,AQ$7:AQ$503,0))</f>
        <v>315</v>
      </c>
      <c r="S46" s="115">
        <f t="shared" si="49"/>
        <v>219</v>
      </c>
      <c r="T46" s="115" t="str">
        <f t="shared" si="49"/>
        <v/>
      </c>
      <c r="U46" s="115" t="str">
        <f t="shared" si="49"/>
        <v/>
      </c>
      <c r="V46" s="115" t="str">
        <f t="shared" si="49"/>
        <v/>
      </c>
      <c r="W46" s="115" t="str">
        <f t="shared" si="49"/>
        <v/>
      </c>
      <c r="X46" s="115" t="str">
        <f t="shared" si="49"/>
        <v/>
      </c>
      <c r="Y46" s="115" t="str">
        <f t="shared" si="49"/>
        <v/>
      </c>
      <c r="Z46" s="115" t="str">
        <f t="shared" si="49"/>
        <v/>
      </c>
      <c r="AA46" s="115" t="str">
        <f t="shared" si="49"/>
        <v/>
      </c>
      <c r="AB46" s="115" t="str">
        <f t="shared" si="49"/>
        <v/>
      </c>
      <c r="AC46" s="115" t="str">
        <f t="shared" si="49"/>
        <v/>
      </c>
      <c r="AD46" s="115" t="str">
        <f t="shared" si="49"/>
        <v/>
      </c>
      <c r="AE46" s="115" t="str">
        <f t="shared" si="49"/>
        <v/>
      </c>
      <c r="AF46" s="115" t="str">
        <f t="shared" si="49"/>
        <v/>
      </c>
      <c r="AG46" s="115" t="str">
        <f t="shared" si="49"/>
        <v/>
      </c>
      <c r="AH46" s="115" t="str">
        <f t="shared" si="49"/>
        <v/>
      </c>
      <c r="AI46" s="115" t="str">
        <f t="shared" si="49"/>
        <v/>
      </c>
      <c r="AJ46" s="115" t="str">
        <f t="shared" si="49"/>
        <v/>
      </c>
      <c r="AK46" s="115" t="str">
        <f t="shared" si="49"/>
        <v/>
      </c>
      <c r="AL46" s="115" t="str">
        <f t="shared" si="49"/>
        <v/>
      </c>
      <c r="AM46" s="115" t="str">
        <f t="shared" si="49"/>
        <v/>
      </c>
      <c r="AN46" s="115" t="str">
        <f t="shared" si="49"/>
        <v/>
      </c>
      <c r="AO46" s="115" t="str">
        <f t="shared" si="49"/>
        <v/>
      </c>
      <c r="AP46" s="117">
        <f>IF(AP$6="","",IF(AP$3="Maior",IFERROR(IF(VLOOKUP($N46,Capa!$A:$AE,AP$5,0)="",0,VLOOKUP($N46,Capa!$A:$AE,AP$5,0)),0),IF(ISERROR(1/VLOOKUP($N46,Capa!$A:$AE,AP$5,0)),0,1/VLOOKUP($N46,Capa!$A:$AE,AP$5,0))))</f>
        <v>0.0628375849</v>
      </c>
      <c r="AQ46" s="118">
        <f>IF(AQ$6="","",IF(AQ$3="Maior",IFERROR(IF(VLOOKUP($N46,Capa!$A:$AE,AQ$5,0)="",0,VLOOKUP($N46,Capa!$A:$AE,AQ$5,0)),0),IF(ISERROR(1/VLOOKUP($N46,Capa!$A:$AE,AQ$5,0)),0,1/VLOOKUP($N46,Capa!$A:$AE,AQ$5,0))))</f>
        <v>3.68</v>
      </c>
      <c r="AR46" s="118">
        <f>IF(AR$6="","",IF(AR$3="Maior",IFERROR(IF(VLOOKUP($N46,Capa!$A:$AE,AR$5,0)="",0,VLOOKUP($N46,Capa!$A:$AE,AR$5,0)),0),IF(ISERROR(1/VLOOKUP($N46,Capa!$A:$AE,AR$5,0)),0,1/VLOOKUP($N46,Capa!$A:$AE,AR$5,0))))</f>
        <v>0</v>
      </c>
      <c r="AS46" s="118" t="str">
        <f>IF(AS$6="","",IF(AS$3="Maior",IFERROR(IF(VLOOKUP($N46,Capa!$A:$AE,AS$5,0)="",0,VLOOKUP($N46,Capa!$A:$AE,AS$5,0)),0),IF(ISERROR(1/VLOOKUP($N46,Capa!$A:$AE,AS$5,0)),0,1/VLOOKUP($N46,Capa!$A:$AE,AS$5,0))))</f>
        <v/>
      </c>
      <c r="AT46" s="118" t="str">
        <f>IF(AT$6="","",IF(AT$3="Maior",IFERROR(IF(VLOOKUP($N46,Capa!$A:$AE,AT$5,0)="",0,VLOOKUP($N46,Capa!$A:$AE,AT$5,0)),0),IF(ISERROR(1/VLOOKUP($N46,Capa!$A:$AE,AT$5,0)),0,1/VLOOKUP($N46,Capa!$A:$AE,AT$5,0))))</f>
        <v/>
      </c>
      <c r="AU46" s="118" t="str">
        <f>IF(AU$6="","",IF(AU$3="Maior",IFERROR(IF(VLOOKUP($N46,Capa!$A:$AE,AU$5,0)="",0,VLOOKUP($N46,Capa!$A:$AE,AU$5,0)),0),IF(ISERROR(1/VLOOKUP($N46,Capa!$A:$AE,AU$5,0)),0,1/VLOOKUP($N46,Capa!$A:$AE,AU$5,0))))</f>
        <v/>
      </c>
      <c r="AV46" s="118" t="str">
        <f>IF(AV$6="","",IF(AV$3="Maior",IFERROR(IF(VLOOKUP($N46,Capa!$A:$AE,AV$5,0)="",0,VLOOKUP($N46,Capa!$A:$AE,AV$5,0)),0),IF(ISERROR(1/VLOOKUP($N46,Capa!$A:$AE,AV$5,0)),0,1/VLOOKUP($N46,Capa!$A:$AE,AV$5,0))))</f>
        <v/>
      </c>
      <c r="AW46" s="118" t="str">
        <f>IF(AW$6="","",IF(AW$3="Maior",IFERROR(IF(VLOOKUP($N46,Capa!$A:$AE,AW$5,0)="",0,VLOOKUP($N46,Capa!$A:$AE,AW$5,0)),0),IF(ISERROR(1/VLOOKUP($N46,Capa!$A:$AE,AW$5,0)),0,1/VLOOKUP($N46,Capa!$A:$AE,AW$5,0))))</f>
        <v/>
      </c>
      <c r="AX46" s="118" t="str">
        <f>IF(AX$6="","",IF(AX$3="Maior",IFERROR(IF(VLOOKUP($N46,Capa!$A:$AE,AX$5,0)="",0,VLOOKUP($N46,Capa!$A:$AE,AX$5,0)),0),IF(ISERROR(1/VLOOKUP($N46,Capa!$A:$AE,AX$5,0)),0,1/VLOOKUP($N46,Capa!$A:$AE,AX$5,0))))</f>
        <v/>
      </c>
      <c r="AY46" s="118" t="str">
        <f>IF(AY$6="","",IF(AY$3="Maior",IFERROR(IF(VLOOKUP($N46,Capa!$A:$AE,AY$5,0)="",0,VLOOKUP($N46,Capa!$A:$AE,AY$5,0)),0),IF(ISERROR(1/VLOOKUP($N46,Capa!$A:$AE,AY$5,0)),0,1/VLOOKUP($N46,Capa!$A:$AE,AY$5,0))))</f>
        <v/>
      </c>
      <c r="AZ46" s="118" t="str">
        <f>IF(AZ$6="","",IF(AZ$3="Maior",IFERROR(IF(VLOOKUP($N46,Capa!$A:$AE,AZ$5,0)="",0,VLOOKUP($N46,Capa!$A:$AE,AZ$5,0)),0),IF(ISERROR(1/VLOOKUP($N46,Capa!$A:$AE,AZ$5,0)),0,1/VLOOKUP($N46,Capa!$A:$AE,AZ$5,0))))</f>
        <v/>
      </c>
      <c r="BA46" s="118" t="str">
        <f>IF(BA$6="","",IF(BA$3="Maior",IFERROR(IF(VLOOKUP($N46,Capa!$A:$AE,BA$5,0)="",0,VLOOKUP($N46,Capa!$A:$AE,BA$5,0)),0),IF(ISERROR(1/VLOOKUP($N46,Capa!$A:$AE,BA$5,0)),0,1/VLOOKUP($N46,Capa!$A:$AE,BA$5,0))))</f>
        <v/>
      </c>
      <c r="BB46" s="118" t="str">
        <f>IF(BB$6="","",IF(BB$3="Maior",IFERROR(IF(VLOOKUP($N46,Capa!$A:$AE,BB$5,0)="",0,VLOOKUP($N46,Capa!$A:$AE,BB$5,0)),0),IF(ISERROR(1/VLOOKUP($N46,Capa!$A:$AE,BB$5,0)),0,1/VLOOKUP($N46,Capa!$A:$AE,BB$5,0))))</f>
        <v/>
      </c>
      <c r="BC46" s="118" t="str">
        <f>IF(BC$6="","",IF(BC$3="Maior",IFERROR(IF(VLOOKUP($N46,Capa!$A:$AE,BC$5,0)="",0,VLOOKUP($N46,Capa!$A:$AE,BC$5,0)),0),IF(ISERROR(1/VLOOKUP($N46,Capa!$A:$AE,BC$5,0)),0,1/VLOOKUP($N46,Capa!$A:$AE,BC$5,0))))</f>
        <v/>
      </c>
      <c r="BD46" s="118" t="str">
        <f>IF(BD$6="","",IF(BD$3="Maior",IFERROR(IF(VLOOKUP($N46,Capa!$A:$AE,BD$5,0)="",0,VLOOKUP($N46,Capa!$A:$AE,BD$5,0)),0),IF(ISERROR(1/VLOOKUP($N46,Capa!$A:$AE,BD$5,0)),0,1/VLOOKUP($N46,Capa!$A:$AE,BD$5,0))))</f>
        <v/>
      </c>
      <c r="BE46" s="118" t="str">
        <f>IF(BE$6="","",IF(BE$3="Maior",IFERROR(IF(VLOOKUP($N46,Capa!$A:$AE,BE$5,0)="",0,VLOOKUP($N46,Capa!$A:$AE,BE$5,0)),0),IF(ISERROR(1/VLOOKUP($N46,Capa!$A:$AE,BE$5,0)),0,1/VLOOKUP($N46,Capa!$A:$AE,BE$5,0))))</f>
        <v/>
      </c>
      <c r="BF46" s="118" t="str">
        <f>IF(BF$6="","",IF(BF$3="Maior",IFERROR(IF(VLOOKUP($N46,Capa!$A:$AE,BF$5,0)="",0,VLOOKUP($N46,Capa!$A:$AE,BF$5,0)),0),IF(ISERROR(1/VLOOKUP($N46,Capa!$A:$AE,BF$5,0)),0,1/VLOOKUP($N46,Capa!$A:$AE,BF$5,0))))</f>
        <v/>
      </c>
      <c r="BG46" s="118" t="str">
        <f>IF(BG$6="","",IF(BG$3="Maior",IFERROR(IF(VLOOKUP($N46,Capa!$A:$AE,BG$5,0)="",0,VLOOKUP($N46,Capa!$A:$AE,BG$5,0)),0),IF(ISERROR(1/VLOOKUP($N46,Capa!$A:$AE,BG$5,0)),0,1/VLOOKUP($N46,Capa!$A:$AE,BG$5,0))))</f>
        <v/>
      </c>
      <c r="BH46" s="118" t="str">
        <f>IF(BH$6="","",IF(BH$3="Maior",IFERROR(IF(VLOOKUP($N46,Capa!$A:$AE,BH$5,0)="",0,VLOOKUP($N46,Capa!$A:$AE,BH$5,0)),0),IF(ISERROR(1/VLOOKUP($N46,Capa!$A:$AE,BH$5,0)),0,1/VLOOKUP($N46,Capa!$A:$AE,BH$5,0))))</f>
        <v/>
      </c>
      <c r="BI46" s="118" t="str">
        <f>IF(BI$6="","",IF(BI$3="Maior",IFERROR(IF(VLOOKUP($N46,Capa!$A:$AE,BI$5,0)="",0,VLOOKUP($N46,Capa!$A:$AE,BI$5,0)),0),IF(ISERROR(1/VLOOKUP($N46,Capa!$A:$AE,BI$5,0)),0,1/VLOOKUP($N46,Capa!$A:$AE,BI$5,0))))</f>
        <v/>
      </c>
      <c r="BJ46" s="118" t="str">
        <f>IF(BJ$6="","",IF(BJ$3="Maior",IFERROR(IF(VLOOKUP($N46,Capa!$A:$AE,BJ$5,0)="",0,VLOOKUP($N46,Capa!$A:$AE,BJ$5,0)),0),IF(ISERROR(1/VLOOKUP($N46,Capa!$A:$AE,BJ$5,0)),0,1/VLOOKUP($N46,Capa!$A:$AE,BJ$5,0))))</f>
        <v/>
      </c>
      <c r="BK46" s="118" t="str">
        <f>IF(BK$6="","",IF(BK$3="Maior",IFERROR(IF(VLOOKUP($N46,Capa!$A:$AE,BK$5,0)="",0,VLOOKUP($N46,Capa!$A:$AE,BK$5,0)),0),IF(ISERROR(1/VLOOKUP($N46,Capa!$A:$AE,BK$5,0)),0,1/VLOOKUP($N46,Capa!$A:$AE,BK$5,0))))</f>
        <v/>
      </c>
      <c r="BL46" s="118" t="str">
        <f>IF(BL$6="","",IF(BL$3="Maior",IFERROR(IF(VLOOKUP($N46,Capa!$A:$AE,BL$5,0)="",0,VLOOKUP($N46,Capa!$A:$AE,BL$5,0)),0),IF(ISERROR(1/VLOOKUP($N46,Capa!$A:$AE,BL$5,0)),0,1/VLOOKUP($N46,Capa!$A:$AE,BL$5,0))))</f>
        <v/>
      </c>
      <c r="BM46" s="118" t="str">
        <f>IF(BM$6="","",IF(BM$3="Maior",IFERROR(IF(VLOOKUP($N46,Capa!$A:$AE,BM$5,0)="",0,VLOOKUP($N46,Capa!$A:$AE,BM$5,0)),0),IF(ISERROR(1/VLOOKUP($N46,Capa!$A:$AE,BM$5,0)),0,1/VLOOKUP($N46,Capa!$A:$AE,BM$5,0))))</f>
        <v/>
      </c>
      <c r="BN46" s="118" t="str">
        <f>IF(BN$6="","",IF(BN$3="Maior",IFERROR(IF(VLOOKUP($N46,Capa!$A:$AE,BN$5,0)="",0,VLOOKUP($N46,Capa!$A:$AE,BN$5,0)),0),IF(ISERROR(1/VLOOKUP($N46,Capa!$A:$AE,BN$5,0)),0,1/VLOOKUP($N46,Capa!$A:$AE,BN$5,0))))</f>
        <v/>
      </c>
      <c r="BO46" s="92"/>
    </row>
    <row r="47">
      <c r="G47" s="11"/>
      <c r="H47" s="8">
        <v>41.0</v>
      </c>
      <c r="I47" s="110" t="str">
        <f t="shared" si="6"/>
        <v>TEND3</v>
      </c>
      <c r="J47" s="111" t="str">
        <f>VLOOKUP(left(I47,4),Setor!A:D,3,0)&amp;" | "&amp;VLOOKUP(left(I47,4),Setor!A:D,4,0)</f>
        <v>Consumo Cíclico | Construção Civil</v>
      </c>
      <c r="K47" s="112">
        <f t="shared" si="7"/>
        <v>27995745.67</v>
      </c>
      <c r="L47" s="11"/>
      <c r="M47" s="11"/>
      <c r="N47" s="10" t="s">
        <v>93</v>
      </c>
      <c r="O47" s="113">
        <f t="shared" si="8"/>
        <v>730.0438</v>
      </c>
      <c r="P47" s="114">
        <f>VLOOKUP(N47,'Dados StatusInvest'!A:Z,26,0)</f>
        <v>166924963.7</v>
      </c>
      <c r="Q47" s="115">
        <f t="shared" si="9"/>
        <v>438.0438</v>
      </c>
      <c r="R47" s="116">
        <f t="shared" ref="R47:AO47" si="50">IF(AQ47="","", RANK(AQ47,AQ$7:AQ$503,0))</f>
        <v>73</v>
      </c>
      <c r="S47" s="115">
        <f t="shared" si="50"/>
        <v>219</v>
      </c>
      <c r="T47" s="115" t="str">
        <f t="shared" si="50"/>
        <v/>
      </c>
      <c r="U47" s="115" t="str">
        <f t="shared" si="50"/>
        <v/>
      </c>
      <c r="V47" s="115" t="str">
        <f t="shared" si="50"/>
        <v/>
      </c>
      <c r="W47" s="115" t="str">
        <f t="shared" si="50"/>
        <v/>
      </c>
      <c r="X47" s="115" t="str">
        <f t="shared" si="50"/>
        <v/>
      </c>
      <c r="Y47" s="115" t="str">
        <f t="shared" si="50"/>
        <v/>
      </c>
      <c r="Z47" s="115" t="str">
        <f t="shared" si="50"/>
        <v/>
      </c>
      <c r="AA47" s="115" t="str">
        <f t="shared" si="50"/>
        <v/>
      </c>
      <c r="AB47" s="115" t="str">
        <f t="shared" si="50"/>
        <v/>
      </c>
      <c r="AC47" s="115" t="str">
        <f t="shared" si="50"/>
        <v/>
      </c>
      <c r="AD47" s="115" t="str">
        <f t="shared" si="50"/>
        <v/>
      </c>
      <c r="AE47" s="115" t="str">
        <f t="shared" si="50"/>
        <v/>
      </c>
      <c r="AF47" s="115" t="str">
        <f t="shared" si="50"/>
        <v/>
      </c>
      <c r="AG47" s="115" t="str">
        <f t="shared" si="50"/>
        <v/>
      </c>
      <c r="AH47" s="115" t="str">
        <f t="shared" si="50"/>
        <v/>
      </c>
      <c r="AI47" s="115" t="str">
        <f t="shared" si="50"/>
        <v/>
      </c>
      <c r="AJ47" s="115" t="str">
        <f t="shared" si="50"/>
        <v/>
      </c>
      <c r="AK47" s="115" t="str">
        <f t="shared" si="50"/>
        <v/>
      </c>
      <c r="AL47" s="115" t="str">
        <f t="shared" si="50"/>
        <v/>
      </c>
      <c r="AM47" s="115" t="str">
        <f t="shared" si="50"/>
        <v/>
      </c>
      <c r="AN47" s="115" t="str">
        <f t="shared" si="50"/>
        <v/>
      </c>
      <c r="AO47" s="115" t="str">
        <f t="shared" si="50"/>
        <v/>
      </c>
      <c r="AP47" s="117">
        <f>IF(AP$6="","",IF(AP$3="Maior",IFERROR(IF(VLOOKUP($N47,Capa!$A:$AE,AP$5,0)="",0,VLOOKUP($N47,Capa!$A:$AE,AP$5,0)),0),IF(ISERROR(1/VLOOKUP($N47,Capa!$A:$AE,AP$5,0)),0,1/VLOOKUP($N47,Capa!$A:$AE,AP$5,0))))</f>
        <v>-0.06647103116</v>
      </c>
      <c r="AQ47" s="118">
        <f>IF(AQ$6="","",IF(AQ$3="Maior",IFERROR(IF(VLOOKUP($N47,Capa!$A:$AE,AQ$5,0)="",0,VLOOKUP($N47,Capa!$A:$AE,AQ$5,0)),0),IF(ISERROR(1/VLOOKUP($N47,Capa!$A:$AE,AQ$5,0)),0,1/VLOOKUP($N47,Capa!$A:$AE,AQ$5,0))))</f>
        <v>20.51</v>
      </c>
      <c r="AR47" s="118">
        <f>IF(AR$6="","",IF(AR$3="Maior",IFERROR(IF(VLOOKUP($N47,Capa!$A:$AE,AR$5,0)="",0,VLOOKUP($N47,Capa!$A:$AE,AR$5,0)),0),IF(ISERROR(1/VLOOKUP($N47,Capa!$A:$AE,AR$5,0)),0,1/VLOOKUP($N47,Capa!$A:$AE,AR$5,0))))</f>
        <v>0</v>
      </c>
      <c r="AS47" s="118" t="str">
        <f>IF(AS$6="","",IF(AS$3="Maior",IFERROR(IF(VLOOKUP($N47,Capa!$A:$AE,AS$5,0)="",0,VLOOKUP($N47,Capa!$A:$AE,AS$5,0)),0),IF(ISERROR(1/VLOOKUP($N47,Capa!$A:$AE,AS$5,0)),0,1/VLOOKUP($N47,Capa!$A:$AE,AS$5,0))))</f>
        <v/>
      </c>
      <c r="AT47" s="118" t="str">
        <f>IF(AT$6="","",IF(AT$3="Maior",IFERROR(IF(VLOOKUP($N47,Capa!$A:$AE,AT$5,0)="",0,VLOOKUP($N47,Capa!$A:$AE,AT$5,0)),0),IF(ISERROR(1/VLOOKUP($N47,Capa!$A:$AE,AT$5,0)),0,1/VLOOKUP($N47,Capa!$A:$AE,AT$5,0))))</f>
        <v/>
      </c>
      <c r="AU47" s="118" t="str">
        <f>IF(AU$6="","",IF(AU$3="Maior",IFERROR(IF(VLOOKUP($N47,Capa!$A:$AE,AU$5,0)="",0,VLOOKUP($N47,Capa!$A:$AE,AU$5,0)),0),IF(ISERROR(1/VLOOKUP($N47,Capa!$A:$AE,AU$5,0)),0,1/VLOOKUP($N47,Capa!$A:$AE,AU$5,0))))</f>
        <v/>
      </c>
      <c r="AV47" s="118" t="str">
        <f>IF(AV$6="","",IF(AV$3="Maior",IFERROR(IF(VLOOKUP($N47,Capa!$A:$AE,AV$5,0)="",0,VLOOKUP($N47,Capa!$A:$AE,AV$5,0)),0),IF(ISERROR(1/VLOOKUP($N47,Capa!$A:$AE,AV$5,0)),0,1/VLOOKUP($N47,Capa!$A:$AE,AV$5,0))))</f>
        <v/>
      </c>
      <c r="AW47" s="118" t="str">
        <f>IF(AW$6="","",IF(AW$3="Maior",IFERROR(IF(VLOOKUP($N47,Capa!$A:$AE,AW$5,0)="",0,VLOOKUP($N47,Capa!$A:$AE,AW$5,0)),0),IF(ISERROR(1/VLOOKUP($N47,Capa!$A:$AE,AW$5,0)),0,1/VLOOKUP($N47,Capa!$A:$AE,AW$5,0))))</f>
        <v/>
      </c>
      <c r="AX47" s="118" t="str">
        <f>IF(AX$6="","",IF(AX$3="Maior",IFERROR(IF(VLOOKUP($N47,Capa!$A:$AE,AX$5,0)="",0,VLOOKUP($N47,Capa!$A:$AE,AX$5,0)),0),IF(ISERROR(1/VLOOKUP($N47,Capa!$A:$AE,AX$5,0)),0,1/VLOOKUP($N47,Capa!$A:$AE,AX$5,0))))</f>
        <v/>
      </c>
      <c r="AY47" s="118" t="str">
        <f>IF(AY$6="","",IF(AY$3="Maior",IFERROR(IF(VLOOKUP($N47,Capa!$A:$AE,AY$5,0)="",0,VLOOKUP($N47,Capa!$A:$AE,AY$5,0)),0),IF(ISERROR(1/VLOOKUP($N47,Capa!$A:$AE,AY$5,0)),0,1/VLOOKUP($N47,Capa!$A:$AE,AY$5,0))))</f>
        <v/>
      </c>
      <c r="AZ47" s="118" t="str">
        <f>IF(AZ$6="","",IF(AZ$3="Maior",IFERROR(IF(VLOOKUP($N47,Capa!$A:$AE,AZ$5,0)="",0,VLOOKUP($N47,Capa!$A:$AE,AZ$5,0)),0),IF(ISERROR(1/VLOOKUP($N47,Capa!$A:$AE,AZ$5,0)),0,1/VLOOKUP($N47,Capa!$A:$AE,AZ$5,0))))</f>
        <v/>
      </c>
      <c r="BA47" s="118" t="str">
        <f>IF(BA$6="","",IF(BA$3="Maior",IFERROR(IF(VLOOKUP($N47,Capa!$A:$AE,BA$5,0)="",0,VLOOKUP($N47,Capa!$A:$AE,BA$5,0)),0),IF(ISERROR(1/VLOOKUP($N47,Capa!$A:$AE,BA$5,0)),0,1/VLOOKUP($N47,Capa!$A:$AE,BA$5,0))))</f>
        <v/>
      </c>
      <c r="BB47" s="118" t="str">
        <f>IF(BB$6="","",IF(BB$3="Maior",IFERROR(IF(VLOOKUP($N47,Capa!$A:$AE,BB$5,0)="",0,VLOOKUP($N47,Capa!$A:$AE,BB$5,0)),0),IF(ISERROR(1/VLOOKUP($N47,Capa!$A:$AE,BB$5,0)),0,1/VLOOKUP($N47,Capa!$A:$AE,BB$5,0))))</f>
        <v/>
      </c>
      <c r="BC47" s="118" t="str">
        <f>IF(BC$6="","",IF(BC$3="Maior",IFERROR(IF(VLOOKUP($N47,Capa!$A:$AE,BC$5,0)="",0,VLOOKUP($N47,Capa!$A:$AE,BC$5,0)),0),IF(ISERROR(1/VLOOKUP($N47,Capa!$A:$AE,BC$5,0)),0,1/VLOOKUP($N47,Capa!$A:$AE,BC$5,0))))</f>
        <v/>
      </c>
      <c r="BD47" s="118" t="str">
        <f>IF(BD$6="","",IF(BD$3="Maior",IFERROR(IF(VLOOKUP($N47,Capa!$A:$AE,BD$5,0)="",0,VLOOKUP($N47,Capa!$A:$AE,BD$5,0)),0),IF(ISERROR(1/VLOOKUP($N47,Capa!$A:$AE,BD$5,0)),0,1/VLOOKUP($N47,Capa!$A:$AE,BD$5,0))))</f>
        <v/>
      </c>
      <c r="BE47" s="118" t="str">
        <f>IF(BE$6="","",IF(BE$3="Maior",IFERROR(IF(VLOOKUP($N47,Capa!$A:$AE,BE$5,0)="",0,VLOOKUP($N47,Capa!$A:$AE,BE$5,0)),0),IF(ISERROR(1/VLOOKUP($N47,Capa!$A:$AE,BE$5,0)),0,1/VLOOKUP($N47,Capa!$A:$AE,BE$5,0))))</f>
        <v/>
      </c>
      <c r="BF47" s="118" t="str">
        <f>IF(BF$6="","",IF(BF$3="Maior",IFERROR(IF(VLOOKUP($N47,Capa!$A:$AE,BF$5,0)="",0,VLOOKUP($N47,Capa!$A:$AE,BF$5,0)),0),IF(ISERROR(1/VLOOKUP($N47,Capa!$A:$AE,BF$5,0)),0,1/VLOOKUP($N47,Capa!$A:$AE,BF$5,0))))</f>
        <v/>
      </c>
      <c r="BG47" s="118" t="str">
        <f>IF(BG$6="","",IF(BG$3="Maior",IFERROR(IF(VLOOKUP($N47,Capa!$A:$AE,BG$5,0)="",0,VLOOKUP($N47,Capa!$A:$AE,BG$5,0)),0),IF(ISERROR(1/VLOOKUP($N47,Capa!$A:$AE,BG$5,0)),0,1/VLOOKUP($N47,Capa!$A:$AE,BG$5,0))))</f>
        <v/>
      </c>
      <c r="BH47" s="118" t="str">
        <f>IF(BH$6="","",IF(BH$3="Maior",IFERROR(IF(VLOOKUP($N47,Capa!$A:$AE,BH$5,0)="",0,VLOOKUP($N47,Capa!$A:$AE,BH$5,0)),0),IF(ISERROR(1/VLOOKUP($N47,Capa!$A:$AE,BH$5,0)),0,1/VLOOKUP($N47,Capa!$A:$AE,BH$5,0))))</f>
        <v/>
      </c>
      <c r="BI47" s="118" t="str">
        <f>IF(BI$6="","",IF(BI$3="Maior",IFERROR(IF(VLOOKUP($N47,Capa!$A:$AE,BI$5,0)="",0,VLOOKUP($N47,Capa!$A:$AE,BI$5,0)),0),IF(ISERROR(1/VLOOKUP($N47,Capa!$A:$AE,BI$5,0)),0,1/VLOOKUP($N47,Capa!$A:$AE,BI$5,0))))</f>
        <v/>
      </c>
      <c r="BJ47" s="118" t="str">
        <f>IF(BJ$6="","",IF(BJ$3="Maior",IFERROR(IF(VLOOKUP($N47,Capa!$A:$AE,BJ$5,0)="",0,VLOOKUP($N47,Capa!$A:$AE,BJ$5,0)),0),IF(ISERROR(1/VLOOKUP($N47,Capa!$A:$AE,BJ$5,0)),0,1/VLOOKUP($N47,Capa!$A:$AE,BJ$5,0))))</f>
        <v/>
      </c>
      <c r="BK47" s="118" t="str">
        <f>IF(BK$6="","",IF(BK$3="Maior",IFERROR(IF(VLOOKUP($N47,Capa!$A:$AE,BK$5,0)="",0,VLOOKUP($N47,Capa!$A:$AE,BK$5,0)),0),IF(ISERROR(1/VLOOKUP($N47,Capa!$A:$AE,BK$5,0)),0,1/VLOOKUP($N47,Capa!$A:$AE,BK$5,0))))</f>
        <v/>
      </c>
      <c r="BL47" s="118" t="str">
        <f>IF(BL$6="","",IF(BL$3="Maior",IFERROR(IF(VLOOKUP($N47,Capa!$A:$AE,BL$5,0)="",0,VLOOKUP($N47,Capa!$A:$AE,BL$5,0)),0),IF(ISERROR(1/VLOOKUP($N47,Capa!$A:$AE,BL$5,0)),0,1/VLOOKUP($N47,Capa!$A:$AE,BL$5,0))))</f>
        <v/>
      </c>
      <c r="BM47" s="118" t="str">
        <f>IF(BM$6="","",IF(BM$3="Maior",IFERROR(IF(VLOOKUP($N47,Capa!$A:$AE,BM$5,0)="",0,VLOOKUP($N47,Capa!$A:$AE,BM$5,0)),0),IF(ISERROR(1/VLOOKUP($N47,Capa!$A:$AE,BM$5,0)),0,1/VLOOKUP($N47,Capa!$A:$AE,BM$5,0))))</f>
        <v/>
      </c>
      <c r="BN47" s="118" t="str">
        <f>IF(BN$6="","",IF(BN$3="Maior",IFERROR(IF(VLOOKUP($N47,Capa!$A:$AE,BN$5,0)="",0,VLOOKUP($N47,Capa!$A:$AE,BN$5,0)),0),IF(ISERROR(1/VLOOKUP($N47,Capa!$A:$AE,BN$5,0)),0,1/VLOOKUP($N47,Capa!$A:$AE,BN$5,0))))</f>
        <v/>
      </c>
      <c r="BO47" s="92"/>
    </row>
    <row r="48">
      <c r="G48" s="11"/>
      <c r="H48" s="8">
        <v>42.0</v>
      </c>
      <c r="I48" s="110" t="str">
        <f t="shared" si="6"/>
        <v>CPLE3</v>
      </c>
      <c r="J48" s="111" t="str">
        <f>VLOOKUP(left(I48,4),Setor!A:D,3,0)&amp;" | "&amp;VLOOKUP(left(I48,4),Setor!A:D,4,0)</f>
        <v>Utilidade Pública | Energia Elétrica</v>
      </c>
      <c r="K48" s="112">
        <f t="shared" si="7"/>
        <v>21611539.46</v>
      </c>
      <c r="L48" s="11"/>
      <c r="M48" s="11"/>
      <c r="N48" s="10" t="s">
        <v>94</v>
      </c>
      <c r="O48" s="113">
        <f t="shared" si="8"/>
        <v>785.0366</v>
      </c>
      <c r="P48" s="114">
        <f>VLOOKUP(N48,'Dados StatusInvest'!A:Z,26,0)</f>
        <v>160657210</v>
      </c>
      <c r="Q48" s="115">
        <f t="shared" si="9"/>
        <v>366.0366</v>
      </c>
      <c r="R48" s="116">
        <f t="shared" ref="R48:AO48" si="51">IF(AQ48="","", RANK(AQ48,AQ$7:AQ$503,0))</f>
        <v>254</v>
      </c>
      <c r="S48" s="115">
        <f t="shared" si="51"/>
        <v>165</v>
      </c>
      <c r="T48" s="115" t="str">
        <f t="shared" si="51"/>
        <v/>
      </c>
      <c r="U48" s="115" t="str">
        <f t="shared" si="51"/>
        <v/>
      </c>
      <c r="V48" s="115" t="str">
        <f t="shared" si="51"/>
        <v/>
      </c>
      <c r="W48" s="115" t="str">
        <f t="shared" si="51"/>
        <v/>
      </c>
      <c r="X48" s="115" t="str">
        <f t="shared" si="51"/>
        <v/>
      </c>
      <c r="Y48" s="115" t="str">
        <f t="shared" si="51"/>
        <v/>
      </c>
      <c r="Z48" s="115" t="str">
        <f t="shared" si="51"/>
        <v/>
      </c>
      <c r="AA48" s="115" t="str">
        <f t="shared" si="51"/>
        <v/>
      </c>
      <c r="AB48" s="115" t="str">
        <f t="shared" si="51"/>
        <v/>
      </c>
      <c r="AC48" s="115" t="str">
        <f t="shared" si="51"/>
        <v/>
      </c>
      <c r="AD48" s="115" t="str">
        <f t="shared" si="51"/>
        <v/>
      </c>
      <c r="AE48" s="115" t="str">
        <f t="shared" si="51"/>
        <v/>
      </c>
      <c r="AF48" s="115" t="str">
        <f t="shared" si="51"/>
        <v/>
      </c>
      <c r="AG48" s="115" t="str">
        <f t="shared" si="51"/>
        <v/>
      </c>
      <c r="AH48" s="115" t="str">
        <f t="shared" si="51"/>
        <v/>
      </c>
      <c r="AI48" s="115" t="str">
        <f t="shared" si="51"/>
        <v/>
      </c>
      <c r="AJ48" s="115" t="str">
        <f t="shared" si="51"/>
        <v/>
      </c>
      <c r="AK48" s="115" t="str">
        <f t="shared" si="51"/>
        <v/>
      </c>
      <c r="AL48" s="115" t="str">
        <f t="shared" si="51"/>
        <v/>
      </c>
      <c r="AM48" s="115" t="str">
        <f t="shared" si="51"/>
        <v/>
      </c>
      <c r="AN48" s="115" t="str">
        <f t="shared" si="51"/>
        <v/>
      </c>
      <c r="AO48" s="115" t="str">
        <f t="shared" si="51"/>
        <v/>
      </c>
      <c r="AP48" s="117">
        <f>IF(AP$6="","",IF(AP$3="Maior",IFERROR(IF(VLOOKUP($N48,Capa!$A:$AE,AP$5,0)="",0,VLOOKUP($N48,Capa!$A:$AE,AP$5,0)),0),IF(ISERROR(1/VLOOKUP($N48,Capa!$A:$AE,AP$5,0)),0,1/VLOOKUP($N48,Capa!$A:$AE,AP$5,0))))</f>
        <v>0.02129538864</v>
      </c>
      <c r="AQ48" s="118">
        <f>IF(AQ$6="","",IF(AQ$3="Maior",IFERROR(IF(VLOOKUP($N48,Capa!$A:$AE,AQ$5,0)="",0,VLOOKUP($N48,Capa!$A:$AE,AQ$5,0)),0),IF(ISERROR(1/VLOOKUP($N48,Capa!$A:$AE,AQ$5,0)),0,1/VLOOKUP($N48,Capa!$A:$AE,AQ$5,0))))</f>
        <v>8.14</v>
      </c>
      <c r="AR48" s="118">
        <f>IF(AR$6="","",IF(AR$3="Maior",IFERROR(IF(VLOOKUP($N48,Capa!$A:$AE,AR$5,0)="",0,VLOOKUP($N48,Capa!$A:$AE,AR$5,0)),0),IF(ISERROR(1/VLOOKUP($N48,Capa!$A:$AE,AR$5,0)),0,1/VLOOKUP($N48,Capa!$A:$AE,AR$5,0))))</f>
        <v>11.35</v>
      </c>
      <c r="AS48" s="118" t="str">
        <f>IF(AS$6="","",IF(AS$3="Maior",IFERROR(IF(VLOOKUP($N48,Capa!$A:$AE,AS$5,0)="",0,VLOOKUP($N48,Capa!$A:$AE,AS$5,0)),0),IF(ISERROR(1/VLOOKUP($N48,Capa!$A:$AE,AS$5,0)),0,1/VLOOKUP($N48,Capa!$A:$AE,AS$5,0))))</f>
        <v/>
      </c>
      <c r="AT48" s="118" t="str">
        <f>IF(AT$6="","",IF(AT$3="Maior",IFERROR(IF(VLOOKUP($N48,Capa!$A:$AE,AT$5,0)="",0,VLOOKUP($N48,Capa!$A:$AE,AT$5,0)),0),IF(ISERROR(1/VLOOKUP($N48,Capa!$A:$AE,AT$5,0)),0,1/VLOOKUP($N48,Capa!$A:$AE,AT$5,0))))</f>
        <v/>
      </c>
      <c r="AU48" s="118" t="str">
        <f>IF(AU$6="","",IF(AU$3="Maior",IFERROR(IF(VLOOKUP($N48,Capa!$A:$AE,AU$5,0)="",0,VLOOKUP($N48,Capa!$A:$AE,AU$5,0)),0),IF(ISERROR(1/VLOOKUP($N48,Capa!$A:$AE,AU$5,0)),0,1/VLOOKUP($N48,Capa!$A:$AE,AU$5,0))))</f>
        <v/>
      </c>
      <c r="AV48" s="118" t="str">
        <f>IF(AV$6="","",IF(AV$3="Maior",IFERROR(IF(VLOOKUP($N48,Capa!$A:$AE,AV$5,0)="",0,VLOOKUP($N48,Capa!$A:$AE,AV$5,0)),0),IF(ISERROR(1/VLOOKUP($N48,Capa!$A:$AE,AV$5,0)),0,1/VLOOKUP($N48,Capa!$A:$AE,AV$5,0))))</f>
        <v/>
      </c>
      <c r="AW48" s="118" t="str">
        <f>IF(AW$6="","",IF(AW$3="Maior",IFERROR(IF(VLOOKUP($N48,Capa!$A:$AE,AW$5,0)="",0,VLOOKUP($N48,Capa!$A:$AE,AW$5,0)),0),IF(ISERROR(1/VLOOKUP($N48,Capa!$A:$AE,AW$5,0)),0,1/VLOOKUP($N48,Capa!$A:$AE,AW$5,0))))</f>
        <v/>
      </c>
      <c r="AX48" s="118" t="str">
        <f>IF(AX$6="","",IF(AX$3="Maior",IFERROR(IF(VLOOKUP($N48,Capa!$A:$AE,AX$5,0)="",0,VLOOKUP($N48,Capa!$A:$AE,AX$5,0)),0),IF(ISERROR(1/VLOOKUP($N48,Capa!$A:$AE,AX$5,0)),0,1/VLOOKUP($N48,Capa!$A:$AE,AX$5,0))))</f>
        <v/>
      </c>
      <c r="AY48" s="118" t="str">
        <f>IF(AY$6="","",IF(AY$3="Maior",IFERROR(IF(VLOOKUP($N48,Capa!$A:$AE,AY$5,0)="",0,VLOOKUP($N48,Capa!$A:$AE,AY$5,0)),0),IF(ISERROR(1/VLOOKUP($N48,Capa!$A:$AE,AY$5,0)),0,1/VLOOKUP($N48,Capa!$A:$AE,AY$5,0))))</f>
        <v/>
      </c>
      <c r="AZ48" s="118" t="str">
        <f>IF(AZ$6="","",IF(AZ$3="Maior",IFERROR(IF(VLOOKUP($N48,Capa!$A:$AE,AZ$5,0)="",0,VLOOKUP($N48,Capa!$A:$AE,AZ$5,0)),0),IF(ISERROR(1/VLOOKUP($N48,Capa!$A:$AE,AZ$5,0)),0,1/VLOOKUP($N48,Capa!$A:$AE,AZ$5,0))))</f>
        <v/>
      </c>
      <c r="BA48" s="118" t="str">
        <f>IF(BA$6="","",IF(BA$3="Maior",IFERROR(IF(VLOOKUP($N48,Capa!$A:$AE,BA$5,0)="",0,VLOOKUP($N48,Capa!$A:$AE,BA$5,0)),0),IF(ISERROR(1/VLOOKUP($N48,Capa!$A:$AE,BA$5,0)),0,1/VLOOKUP($N48,Capa!$A:$AE,BA$5,0))))</f>
        <v/>
      </c>
      <c r="BB48" s="118" t="str">
        <f>IF(BB$6="","",IF(BB$3="Maior",IFERROR(IF(VLOOKUP($N48,Capa!$A:$AE,BB$5,0)="",0,VLOOKUP($N48,Capa!$A:$AE,BB$5,0)),0),IF(ISERROR(1/VLOOKUP($N48,Capa!$A:$AE,BB$5,0)),0,1/VLOOKUP($N48,Capa!$A:$AE,BB$5,0))))</f>
        <v/>
      </c>
      <c r="BC48" s="118" t="str">
        <f>IF(BC$6="","",IF(BC$3="Maior",IFERROR(IF(VLOOKUP($N48,Capa!$A:$AE,BC$5,0)="",0,VLOOKUP($N48,Capa!$A:$AE,BC$5,0)),0),IF(ISERROR(1/VLOOKUP($N48,Capa!$A:$AE,BC$5,0)),0,1/VLOOKUP($N48,Capa!$A:$AE,BC$5,0))))</f>
        <v/>
      </c>
      <c r="BD48" s="118" t="str">
        <f>IF(BD$6="","",IF(BD$3="Maior",IFERROR(IF(VLOOKUP($N48,Capa!$A:$AE,BD$5,0)="",0,VLOOKUP($N48,Capa!$A:$AE,BD$5,0)),0),IF(ISERROR(1/VLOOKUP($N48,Capa!$A:$AE,BD$5,0)),0,1/VLOOKUP($N48,Capa!$A:$AE,BD$5,0))))</f>
        <v/>
      </c>
      <c r="BE48" s="118" t="str">
        <f>IF(BE$6="","",IF(BE$3="Maior",IFERROR(IF(VLOOKUP($N48,Capa!$A:$AE,BE$5,0)="",0,VLOOKUP($N48,Capa!$A:$AE,BE$5,0)),0),IF(ISERROR(1/VLOOKUP($N48,Capa!$A:$AE,BE$5,0)),0,1/VLOOKUP($N48,Capa!$A:$AE,BE$5,0))))</f>
        <v/>
      </c>
      <c r="BF48" s="118" t="str">
        <f>IF(BF$6="","",IF(BF$3="Maior",IFERROR(IF(VLOOKUP($N48,Capa!$A:$AE,BF$5,0)="",0,VLOOKUP($N48,Capa!$A:$AE,BF$5,0)),0),IF(ISERROR(1/VLOOKUP($N48,Capa!$A:$AE,BF$5,0)),0,1/VLOOKUP($N48,Capa!$A:$AE,BF$5,0))))</f>
        <v/>
      </c>
      <c r="BG48" s="118" t="str">
        <f>IF(BG$6="","",IF(BG$3="Maior",IFERROR(IF(VLOOKUP($N48,Capa!$A:$AE,BG$5,0)="",0,VLOOKUP($N48,Capa!$A:$AE,BG$5,0)),0),IF(ISERROR(1/VLOOKUP($N48,Capa!$A:$AE,BG$5,0)),0,1/VLOOKUP($N48,Capa!$A:$AE,BG$5,0))))</f>
        <v/>
      </c>
      <c r="BH48" s="118" t="str">
        <f>IF(BH$6="","",IF(BH$3="Maior",IFERROR(IF(VLOOKUP($N48,Capa!$A:$AE,BH$5,0)="",0,VLOOKUP($N48,Capa!$A:$AE,BH$5,0)),0),IF(ISERROR(1/VLOOKUP($N48,Capa!$A:$AE,BH$5,0)),0,1/VLOOKUP($N48,Capa!$A:$AE,BH$5,0))))</f>
        <v/>
      </c>
      <c r="BI48" s="118" t="str">
        <f>IF(BI$6="","",IF(BI$3="Maior",IFERROR(IF(VLOOKUP($N48,Capa!$A:$AE,BI$5,0)="",0,VLOOKUP($N48,Capa!$A:$AE,BI$5,0)),0),IF(ISERROR(1/VLOOKUP($N48,Capa!$A:$AE,BI$5,0)),0,1/VLOOKUP($N48,Capa!$A:$AE,BI$5,0))))</f>
        <v/>
      </c>
      <c r="BJ48" s="118" t="str">
        <f>IF(BJ$6="","",IF(BJ$3="Maior",IFERROR(IF(VLOOKUP($N48,Capa!$A:$AE,BJ$5,0)="",0,VLOOKUP($N48,Capa!$A:$AE,BJ$5,0)),0),IF(ISERROR(1/VLOOKUP($N48,Capa!$A:$AE,BJ$5,0)),0,1/VLOOKUP($N48,Capa!$A:$AE,BJ$5,0))))</f>
        <v/>
      </c>
      <c r="BK48" s="118" t="str">
        <f>IF(BK$6="","",IF(BK$3="Maior",IFERROR(IF(VLOOKUP($N48,Capa!$A:$AE,BK$5,0)="",0,VLOOKUP($N48,Capa!$A:$AE,BK$5,0)),0),IF(ISERROR(1/VLOOKUP($N48,Capa!$A:$AE,BK$5,0)),0,1/VLOOKUP($N48,Capa!$A:$AE,BK$5,0))))</f>
        <v/>
      </c>
      <c r="BL48" s="118" t="str">
        <f>IF(BL$6="","",IF(BL$3="Maior",IFERROR(IF(VLOOKUP($N48,Capa!$A:$AE,BL$5,0)="",0,VLOOKUP($N48,Capa!$A:$AE,BL$5,0)),0),IF(ISERROR(1/VLOOKUP($N48,Capa!$A:$AE,BL$5,0)),0,1/VLOOKUP($N48,Capa!$A:$AE,BL$5,0))))</f>
        <v/>
      </c>
      <c r="BM48" s="118" t="str">
        <f>IF(BM$6="","",IF(BM$3="Maior",IFERROR(IF(VLOOKUP($N48,Capa!$A:$AE,BM$5,0)="",0,VLOOKUP($N48,Capa!$A:$AE,BM$5,0)),0),IF(ISERROR(1/VLOOKUP($N48,Capa!$A:$AE,BM$5,0)),0,1/VLOOKUP($N48,Capa!$A:$AE,BM$5,0))))</f>
        <v/>
      </c>
      <c r="BN48" s="118" t="str">
        <f>IF(BN$6="","",IF(BN$3="Maior",IFERROR(IF(VLOOKUP($N48,Capa!$A:$AE,BN$5,0)="",0,VLOOKUP($N48,Capa!$A:$AE,BN$5,0)),0),IF(ISERROR(1/VLOOKUP($N48,Capa!$A:$AE,BN$5,0)),0,1/VLOOKUP($N48,Capa!$A:$AE,BN$5,0))))</f>
        <v/>
      </c>
      <c r="BO48" s="92"/>
    </row>
    <row r="49">
      <c r="G49" s="11"/>
      <c r="H49" s="8">
        <v>43.0</v>
      </c>
      <c r="I49" s="110" t="str">
        <f t="shared" si="6"/>
        <v>CPLE11</v>
      </c>
      <c r="J49" s="111" t="str">
        <f>VLOOKUP(left(I49,4),Setor!A:D,3,0)&amp;" | "&amp;VLOOKUP(left(I49,4),Setor!A:D,4,0)</f>
        <v>Utilidade Pública | Energia Elétrica</v>
      </c>
      <c r="K49" s="112">
        <f t="shared" si="7"/>
        <v>19625830.25</v>
      </c>
      <c r="L49" s="11"/>
      <c r="M49" s="11"/>
      <c r="N49" s="10" t="s">
        <v>95</v>
      </c>
      <c r="O49" s="113">
        <f t="shared" si="8"/>
        <v>171.0032</v>
      </c>
      <c r="P49" s="114">
        <f>VLOOKUP(N49,'Dados StatusInvest'!A:Z,26,0)</f>
        <v>136742258.7</v>
      </c>
      <c r="Q49" s="115">
        <f t="shared" si="9"/>
        <v>32.0032</v>
      </c>
      <c r="R49" s="116">
        <f t="shared" ref="R49:AO49" si="52">IF(AQ49="","", RANK(AQ49,AQ$7:AQ$503,0))</f>
        <v>68</v>
      </c>
      <c r="S49" s="115">
        <f t="shared" si="52"/>
        <v>71</v>
      </c>
      <c r="T49" s="115" t="str">
        <f t="shared" si="52"/>
        <v/>
      </c>
      <c r="U49" s="115" t="str">
        <f t="shared" si="52"/>
        <v/>
      </c>
      <c r="V49" s="115" t="str">
        <f t="shared" si="52"/>
        <v/>
      </c>
      <c r="W49" s="115" t="str">
        <f t="shared" si="52"/>
        <v/>
      </c>
      <c r="X49" s="115" t="str">
        <f t="shared" si="52"/>
        <v/>
      </c>
      <c r="Y49" s="115" t="str">
        <f t="shared" si="52"/>
        <v/>
      </c>
      <c r="Z49" s="115" t="str">
        <f t="shared" si="52"/>
        <v/>
      </c>
      <c r="AA49" s="115" t="str">
        <f t="shared" si="52"/>
        <v/>
      </c>
      <c r="AB49" s="115" t="str">
        <f t="shared" si="52"/>
        <v/>
      </c>
      <c r="AC49" s="115" t="str">
        <f t="shared" si="52"/>
        <v/>
      </c>
      <c r="AD49" s="115" t="str">
        <f t="shared" si="52"/>
        <v/>
      </c>
      <c r="AE49" s="115" t="str">
        <f t="shared" si="52"/>
        <v/>
      </c>
      <c r="AF49" s="115" t="str">
        <f t="shared" si="52"/>
        <v/>
      </c>
      <c r="AG49" s="115" t="str">
        <f t="shared" si="52"/>
        <v/>
      </c>
      <c r="AH49" s="115" t="str">
        <f t="shared" si="52"/>
        <v/>
      </c>
      <c r="AI49" s="115" t="str">
        <f t="shared" si="52"/>
        <v/>
      </c>
      <c r="AJ49" s="115" t="str">
        <f t="shared" si="52"/>
        <v/>
      </c>
      <c r="AK49" s="115" t="str">
        <f t="shared" si="52"/>
        <v/>
      </c>
      <c r="AL49" s="115" t="str">
        <f t="shared" si="52"/>
        <v/>
      </c>
      <c r="AM49" s="115" t="str">
        <f t="shared" si="52"/>
        <v/>
      </c>
      <c r="AN49" s="115" t="str">
        <f t="shared" si="52"/>
        <v/>
      </c>
      <c r="AO49" s="115" t="str">
        <f t="shared" si="52"/>
        <v/>
      </c>
      <c r="AP49" s="117">
        <f>IF(AP$6="","",IF(AP$3="Maior",IFERROR(IF(VLOOKUP($N49,Capa!$A:$AE,AP$5,0)="",0,VLOOKUP($N49,Capa!$A:$AE,AP$5,0)),0),IF(ISERROR(1/VLOOKUP($N49,Capa!$A:$AE,AP$5,0)),0,1/VLOOKUP($N49,Capa!$A:$AE,AP$5,0))))</f>
        <v>0.3035180501</v>
      </c>
      <c r="AQ49" s="118">
        <f>IF(AQ$6="","",IF(AQ$3="Maior",IFERROR(IF(VLOOKUP($N49,Capa!$A:$AE,AQ$5,0)="",0,VLOOKUP($N49,Capa!$A:$AE,AQ$5,0)),0),IF(ISERROR(1/VLOOKUP($N49,Capa!$A:$AE,AQ$5,0)),0,1/VLOOKUP($N49,Capa!$A:$AE,AQ$5,0))))</f>
        <v>21.69</v>
      </c>
      <c r="AR49" s="118">
        <f>IF(AR$6="","",IF(AR$3="Maior",IFERROR(IF(VLOOKUP($N49,Capa!$A:$AE,AR$5,0)="",0,VLOOKUP($N49,Capa!$A:$AE,AR$5,0)),0),IF(ISERROR(1/VLOOKUP($N49,Capa!$A:$AE,AR$5,0)),0,1/VLOOKUP($N49,Capa!$A:$AE,AR$5,0))))</f>
        <v>36.52</v>
      </c>
      <c r="AS49" s="118" t="str">
        <f>IF(AS$6="","",IF(AS$3="Maior",IFERROR(IF(VLOOKUP($N49,Capa!$A:$AE,AS$5,0)="",0,VLOOKUP($N49,Capa!$A:$AE,AS$5,0)),0),IF(ISERROR(1/VLOOKUP($N49,Capa!$A:$AE,AS$5,0)),0,1/VLOOKUP($N49,Capa!$A:$AE,AS$5,0))))</f>
        <v/>
      </c>
      <c r="AT49" s="118" t="str">
        <f>IF(AT$6="","",IF(AT$3="Maior",IFERROR(IF(VLOOKUP($N49,Capa!$A:$AE,AT$5,0)="",0,VLOOKUP($N49,Capa!$A:$AE,AT$5,0)),0),IF(ISERROR(1/VLOOKUP($N49,Capa!$A:$AE,AT$5,0)),0,1/VLOOKUP($N49,Capa!$A:$AE,AT$5,0))))</f>
        <v/>
      </c>
      <c r="AU49" s="118" t="str">
        <f>IF(AU$6="","",IF(AU$3="Maior",IFERROR(IF(VLOOKUP($N49,Capa!$A:$AE,AU$5,0)="",0,VLOOKUP($N49,Capa!$A:$AE,AU$5,0)),0),IF(ISERROR(1/VLOOKUP($N49,Capa!$A:$AE,AU$5,0)),0,1/VLOOKUP($N49,Capa!$A:$AE,AU$5,0))))</f>
        <v/>
      </c>
      <c r="AV49" s="118" t="str">
        <f>IF(AV$6="","",IF(AV$3="Maior",IFERROR(IF(VLOOKUP($N49,Capa!$A:$AE,AV$5,0)="",0,VLOOKUP($N49,Capa!$A:$AE,AV$5,0)),0),IF(ISERROR(1/VLOOKUP($N49,Capa!$A:$AE,AV$5,0)),0,1/VLOOKUP($N49,Capa!$A:$AE,AV$5,0))))</f>
        <v/>
      </c>
      <c r="AW49" s="118" t="str">
        <f>IF(AW$6="","",IF(AW$3="Maior",IFERROR(IF(VLOOKUP($N49,Capa!$A:$AE,AW$5,0)="",0,VLOOKUP($N49,Capa!$A:$AE,AW$5,0)),0),IF(ISERROR(1/VLOOKUP($N49,Capa!$A:$AE,AW$5,0)),0,1/VLOOKUP($N49,Capa!$A:$AE,AW$5,0))))</f>
        <v/>
      </c>
      <c r="AX49" s="118" t="str">
        <f>IF(AX$6="","",IF(AX$3="Maior",IFERROR(IF(VLOOKUP($N49,Capa!$A:$AE,AX$5,0)="",0,VLOOKUP($N49,Capa!$A:$AE,AX$5,0)),0),IF(ISERROR(1/VLOOKUP($N49,Capa!$A:$AE,AX$5,0)),0,1/VLOOKUP($N49,Capa!$A:$AE,AX$5,0))))</f>
        <v/>
      </c>
      <c r="AY49" s="118" t="str">
        <f>IF(AY$6="","",IF(AY$3="Maior",IFERROR(IF(VLOOKUP($N49,Capa!$A:$AE,AY$5,0)="",0,VLOOKUP($N49,Capa!$A:$AE,AY$5,0)),0),IF(ISERROR(1/VLOOKUP($N49,Capa!$A:$AE,AY$5,0)),0,1/VLOOKUP($N49,Capa!$A:$AE,AY$5,0))))</f>
        <v/>
      </c>
      <c r="AZ49" s="118" t="str">
        <f>IF(AZ$6="","",IF(AZ$3="Maior",IFERROR(IF(VLOOKUP($N49,Capa!$A:$AE,AZ$5,0)="",0,VLOOKUP($N49,Capa!$A:$AE,AZ$5,0)),0),IF(ISERROR(1/VLOOKUP($N49,Capa!$A:$AE,AZ$5,0)),0,1/VLOOKUP($N49,Capa!$A:$AE,AZ$5,0))))</f>
        <v/>
      </c>
      <c r="BA49" s="118" t="str">
        <f>IF(BA$6="","",IF(BA$3="Maior",IFERROR(IF(VLOOKUP($N49,Capa!$A:$AE,BA$5,0)="",0,VLOOKUP($N49,Capa!$A:$AE,BA$5,0)),0),IF(ISERROR(1/VLOOKUP($N49,Capa!$A:$AE,BA$5,0)),0,1/VLOOKUP($N49,Capa!$A:$AE,BA$5,0))))</f>
        <v/>
      </c>
      <c r="BB49" s="118" t="str">
        <f>IF(BB$6="","",IF(BB$3="Maior",IFERROR(IF(VLOOKUP($N49,Capa!$A:$AE,BB$5,0)="",0,VLOOKUP($N49,Capa!$A:$AE,BB$5,0)),0),IF(ISERROR(1/VLOOKUP($N49,Capa!$A:$AE,BB$5,0)),0,1/VLOOKUP($N49,Capa!$A:$AE,BB$5,0))))</f>
        <v/>
      </c>
      <c r="BC49" s="118" t="str">
        <f>IF(BC$6="","",IF(BC$3="Maior",IFERROR(IF(VLOOKUP($N49,Capa!$A:$AE,BC$5,0)="",0,VLOOKUP($N49,Capa!$A:$AE,BC$5,0)),0),IF(ISERROR(1/VLOOKUP($N49,Capa!$A:$AE,BC$5,0)),0,1/VLOOKUP($N49,Capa!$A:$AE,BC$5,0))))</f>
        <v/>
      </c>
      <c r="BD49" s="118" t="str">
        <f>IF(BD$6="","",IF(BD$3="Maior",IFERROR(IF(VLOOKUP($N49,Capa!$A:$AE,BD$5,0)="",0,VLOOKUP($N49,Capa!$A:$AE,BD$5,0)),0),IF(ISERROR(1/VLOOKUP($N49,Capa!$A:$AE,BD$5,0)),0,1/VLOOKUP($N49,Capa!$A:$AE,BD$5,0))))</f>
        <v/>
      </c>
      <c r="BE49" s="118" t="str">
        <f>IF(BE$6="","",IF(BE$3="Maior",IFERROR(IF(VLOOKUP($N49,Capa!$A:$AE,BE$5,0)="",0,VLOOKUP($N49,Capa!$A:$AE,BE$5,0)),0),IF(ISERROR(1/VLOOKUP($N49,Capa!$A:$AE,BE$5,0)),0,1/VLOOKUP($N49,Capa!$A:$AE,BE$5,0))))</f>
        <v/>
      </c>
      <c r="BF49" s="118" t="str">
        <f>IF(BF$6="","",IF(BF$3="Maior",IFERROR(IF(VLOOKUP($N49,Capa!$A:$AE,BF$5,0)="",0,VLOOKUP($N49,Capa!$A:$AE,BF$5,0)),0),IF(ISERROR(1/VLOOKUP($N49,Capa!$A:$AE,BF$5,0)),0,1/VLOOKUP($N49,Capa!$A:$AE,BF$5,0))))</f>
        <v/>
      </c>
      <c r="BG49" s="118" t="str">
        <f>IF(BG$6="","",IF(BG$3="Maior",IFERROR(IF(VLOOKUP($N49,Capa!$A:$AE,BG$5,0)="",0,VLOOKUP($N49,Capa!$A:$AE,BG$5,0)),0),IF(ISERROR(1/VLOOKUP($N49,Capa!$A:$AE,BG$5,0)),0,1/VLOOKUP($N49,Capa!$A:$AE,BG$5,0))))</f>
        <v/>
      </c>
      <c r="BH49" s="118" t="str">
        <f>IF(BH$6="","",IF(BH$3="Maior",IFERROR(IF(VLOOKUP($N49,Capa!$A:$AE,BH$5,0)="",0,VLOOKUP($N49,Capa!$A:$AE,BH$5,0)),0),IF(ISERROR(1/VLOOKUP($N49,Capa!$A:$AE,BH$5,0)),0,1/VLOOKUP($N49,Capa!$A:$AE,BH$5,0))))</f>
        <v/>
      </c>
      <c r="BI49" s="118" t="str">
        <f>IF(BI$6="","",IF(BI$3="Maior",IFERROR(IF(VLOOKUP($N49,Capa!$A:$AE,BI$5,0)="",0,VLOOKUP($N49,Capa!$A:$AE,BI$5,0)),0),IF(ISERROR(1/VLOOKUP($N49,Capa!$A:$AE,BI$5,0)),0,1/VLOOKUP($N49,Capa!$A:$AE,BI$5,0))))</f>
        <v/>
      </c>
      <c r="BJ49" s="118" t="str">
        <f>IF(BJ$6="","",IF(BJ$3="Maior",IFERROR(IF(VLOOKUP($N49,Capa!$A:$AE,BJ$5,0)="",0,VLOOKUP($N49,Capa!$A:$AE,BJ$5,0)),0),IF(ISERROR(1/VLOOKUP($N49,Capa!$A:$AE,BJ$5,0)),0,1/VLOOKUP($N49,Capa!$A:$AE,BJ$5,0))))</f>
        <v/>
      </c>
      <c r="BK49" s="118" t="str">
        <f>IF(BK$6="","",IF(BK$3="Maior",IFERROR(IF(VLOOKUP($N49,Capa!$A:$AE,BK$5,0)="",0,VLOOKUP($N49,Capa!$A:$AE,BK$5,0)),0),IF(ISERROR(1/VLOOKUP($N49,Capa!$A:$AE,BK$5,0)),0,1/VLOOKUP($N49,Capa!$A:$AE,BK$5,0))))</f>
        <v/>
      </c>
      <c r="BL49" s="118" t="str">
        <f>IF(BL$6="","",IF(BL$3="Maior",IFERROR(IF(VLOOKUP($N49,Capa!$A:$AE,BL$5,0)="",0,VLOOKUP($N49,Capa!$A:$AE,BL$5,0)),0),IF(ISERROR(1/VLOOKUP($N49,Capa!$A:$AE,BL$5,0)),0,1/VLOOKUP($N49,Capa!$A:$AE,BL$5,0))))</f>
        <v/>
      </c>
      <c r="BM49" s="118" t="str">
        <f>IF(BM$6="","",IF(BM$3="Maior",IFERROR(IF(VLOOKUP($N49,Capa!$A:$AE,BM$5,0)="",0,VLOOKUP($N49,Capa!$A:$AE,BM$5,0)),0),IF(ISERROR(1/VLOOKUP($N49,Capa!$A:$AE,BM$5,0)),0,1/VLOOKUP($N49,Capa!$A:$AE,BM$5,0))))</f>
        <v/>
      </c>
      <c r="BN49" s="118" t="str">
        <f>IF(BN$6="","",IF(BN$3="Maior",IFERROR(IF(VLOOKUP($N49,Capa!$A:$AE,BN$5,0)="",0,VLOOKUP($N49,Capa!$A:$AE,BN$5,0)),0),IF(ISERROR(1/VLOOKUP($N49,Capa!$A:$AE,BN$5,0)),0,1/VLOOKUP($N49,Capa!$A:$AE,BN$5,0))))</f>
        <v/>
      </c>
      <c r="BO49" s="92"/>
    </row>
    <row r="50">
      <c r="G50" s="11"/>
      <c r="H50" s="8">
        <v>44.0</v>
      </c>
      <c r="I50" s="110" t="str">
        <f t="shared" si="6"/>
        <v>CPLE6</v>
      </c>
      <c r="J50" s="111" t="str">
        <f>VLOOKUP(left(I50,4),Setor!A:D,3,0)&amp;" | "&amp;VLOOKUP(left(I50,4),Setor!A:D,4,0)</f>
        <v>Utilidade Pública | Energia Elétrica</v>
      </c>
      <c r="K50" s="112">
        <f t="shared" si="7"/>
        <v>119832823.9</v>
      </c>
      <c r="L50" s="11"/>
      <c r="M50" s="11"/>
      <c r="N50" s="10" t="s">
        <v>96</v>
      </c>
      <c r="O50" s="113">
        <f t="shared" si="8"/>
        <v>716.0243</v>
      </c>
      <c r="P50" s="114">
        <f>VLOOKUP(N50,'Dados StatusInvest'!A:Z,26,0)</f>
        <v>142745791.9</v>
      </c>
      <c r="Q50" s="115">
        <f t="shared" si="9"/>
        <v>243.0243</v>
      </c>
      <c r="R50" s="116">
        <f t="shared" ref="R50:AO50" si="53">IF(AQ50="","", RANK(AQ50,AQ$7:AQ$503,0))</f>
        <v>327</v>
      </c>
      <c r="S50" s="115">
        <f t="shared" si="53"/>
        <v>146</v>
      </c>
      <c r="T50" s="115" t="str">
        <f t="shared" si="53"/>
        <v/>
      </c>
      <c r="U50" s="115" t="str">
        <f t="shared" si="53"/>
        <v/>
      </c>
      <c r="V50" s="115" t="str">
        <f t="shared" si="53"/>
        <v/>
      </c>
      <c r="W50" s="115" t="str">
        <f t="shared" si="53"/>
        <v/>
      </c>
      <c r="X50" s="115" t="str">
        <f t="shared" si="53"/>
        <v/>
      </c>
      <c r="Y50" s="115" t="str">
        <f t="shared" si="53"/>
        <v/>
      </c>
      <c r="Z50" s="115" t="str">
        <f t="shared" si="53"/>
        <v/>
      </c>
      <c r="AA50" s="115" t="str">
        <f t="shared" si="53"/>
        <v/>
      </c>
      <c r="AB50" s="115" t="str">
        <f t="shared" si="53"/>
        <v/>
      </c>
      <c r="AC50" s="115" t="str">
        <f t="shared" si="53"/>
        <v/>
      </c>
      <c r="AD50" s="115" t="str">
        <f t="shared" si="53"/>
        <v/>
      </c>
      <c r="AE50" s="115" t="str">
        <f t="shared" si="53"/>
        <v/>
      </c>
      <c r="AF50" s="115" t="str">
        <f t="shared" si="53"/>
        <v/>
      </c>
      <c r="AG50" s="115" t="str">
        <f t="shared" si="53"/>
        <v/>
      </c>
      <c r="AH50" s="115" t="str">
        <f t="shared" si="53"/>
        <v/>
      </c>
      <c r="AI50" s="115" t="str">
        <f t="shared" si="53"/>
        <v/>
      </c>
      <c r="AJ50" s="115" t="str">
        <f t="shared" si="53"/>
        <v/>
      </c>
      <c r="AK50" s="115" t="str">
        <f t="shared" si="53"/>
        <v/>
      </c>
      <c r="AL50" s="115" t="str">
        <f t="shared" si="53"/>
        <v/>
      </c>
      <c r="AM50" s="115" t="str">
        <f t="shared" si="53"/>
        <v/>
      </c>
      <c r="AN50" s="115" t="str">
        <f t="shared" si="53"/>
        <v/>
      </c>
      <c r="AO50" s="115" t="str">
        <f t="shared" si="53"/>
        <v/>
      </c>
      <c r="AP50" s="117">
        <f>IF(AP$6="","",IF(AP$3="Maior",IFERROR(IF(VLOOKUP($N50,Capa!$A:$AE,AP$5,0)="",0,VLOOKUP($N50,Capa!$A:$AE,AP$5,0)),0),IF(ISERROR(1/VLOOKUP($N50,Capa!$A:$AE,AP$5,0)),0,1/VLOOKUP($N50,Capa!$A:$AE,AP$5,0))))</f>
        <v>0.08290799803</v>
      </c>
      <c r="AQ50" s="118">
        <f>IF(AQ$6="","",IF(AQ$3="Maior",IFERROR(IF(VLOOKUP($N50,Capa!$A:$AE,AQ$5,0)="",0,VLOOKUP($N50,Capa!$A:$AE,AQ$5,0)),0),IF(ISERROR(1/VLOOKUP($N50,Capa!$A:$AE,AQ$5,0)),0,1/VLOOKUP($N50,Capa!$A:$AE,AQ$5,0))))</f>
        <v>3.19</v>
      </c>
      <c r="AR50" s="118">
        <f>IF(AR$6="","",IF(AR$3="Maior",IFERROR(IF(VLOOKUP($N50,Capa!$A:$AE,AR$5,0)="",0,VLOOKUP($N50,Capa!$A:$AE,AR$5,0)),0),IF(ISERROR(1/VLOOKUP($N50,Capa!$A:$AE,AR$5,0)),0,1/VLOOKUP($N50,Capa!$A:$AE,AR$5,0))))</f>
        <v>16.72</v>
      </c>
      <c r="AS50" s="118" t="str">
        <f>IF(AS$6="","",IF(AS$3="Maior",IFERROR(IF(VLOOKUP($N50,Capa!$A:$AE,AS$5,0)="",0,VLOOKUP($N50,Capa!$A:$AE,AS$5,0)),0),IF(ISERROR(1/VLOOKUP($N50,Capa!$A:$AE,AS$5,0)),0,1/VLOOKUP($N50,Capa!$A:$AE,AS$5,0))))</f>
        <v/>
      </c>
      <c r="AT50" s="118" t="str">
        <f>IF(AT$6="","",IF(AT$3="Maior",IFERROR(IF(VLOOKUP($N50,Capa!$A:$AE,AT$5,0)="",0,VLOOKUP($N50,Capa!$A:$AE,AT$5,0)),0),IF(ISERROR(1/VLOOKUP($N50,Capa!$A:$AE,AT$5,0)),0,1/VLOOKUP($N50,Capa!$A:$AE,AT$5,0))))</f>
        <v/>
      </c>
      <c r="AU50" s="118" t="str">
        <f>IF(AU$6="","",IF(AU$3="Maior",IFERROR(IF(VLOOKUP($N50,Capa!$A:$AE,AU$5,0)="",0,VLOOKUP($N50,Capa!$A:$AE,AU$5,0)),0),IF(ISERROR(1/VLOOKUP($N50,Capa!$A:$AE,AU$5,0)),0,1/VLOOKUP($N50,Capa!$A:$AE,AU$5,0))))</f>
        <v/>
      </c>
      <c r="AV50" s="118" t="str">
        <f>IF(AV$6="","",IF(AV$3="Maior",IFERROR(IF(VLOOKUP($N50,Capa!$A:$AE,AV$5,0)="",0,VLOOKUP($N50,Capa!$A:$AE,AV$5,0)),0),IF(ISERROR(1/VLOOKUP($N50,Capa!$A:$AE,AV$5,0)),0,1/VLOOKUP($N50,Capa!$A:$AE,AV$5,0))))</f>
        <v/>
      </c>
      <c r="AW50" s="118" t="str">
        <f>IF(AW$6="","",IF(AW$3="Maior",IFERROR(IF(VLOOKUP($N50,Capa!$A:$AE,AW$5,0)="",0,VLOOKUP($N50,Capa!$A:$AE,AW$5,0)),0),IF(ISERROR(1/VLOOKUP($N50,Capa!$A:$AE,AW$5,0)),0,1/VLOOKUP($N50,Capa!$A:$AE,AW$5,0))))</f>
        <v/>
      </c>
      <c r="AX50" s="118" t="str">
        <f>IF(AX$6="","",IF(AX$3="Maior",IFERROR(IF(VLOOKUP($N50,Capa!$A:$AE,AX$5,0)="",0,VLOOKUP($N50,Capa!$A:$AE,AX$5,0)),0),IF(ISERROR(1/VLOOKUP($N50,Capa!$A:$AE,AX$5,0)),0,1/VLOOKUP($N50,Capa!$A:$AE,AX$5,0))))</f>
        <v/>
      </c>
      <c r="AY50" s="118" t="str">
        <f>IF(AY$6="","",IF(AY$3="Maior",IFERROR(IF(VLOOKUP($N50,Capa!$A:$AE,AY$5,0)="",0,VLOOKUP($N50,Capa!$A:$AE,AY$5,0)),0),IF(ISERROR(1/VLOOKUP($N50,Capa!$A:$AE,AY$5,0)),0,1/VLOOKUP($N50,Capa!$A:$AE,AY$5,0))))</f>
        <v/>
      </c>
      <c r="AZ50" s="118" t="str">
        <f>IF(AZ$6="","",IF(AZ$3="Maior",IFERROR(IF(VLOOKUP($N50,Capa!$A:$AE,AZ$5,0)="",0,VLOOKUP($N50,Capa!$A:$AE,AZ$5,0)),0),IF(ISERROR(1/VLOOKUP($N50,Capa!$A:$AE,AZ$5,0)),0,1/VLOOKUP($N50,Capa!$A:$AE,AZ$5,0))))</f>
        <v/>
      </c>
      <c r="BA50" s="118" t="str">
        <f>IF(BA$6="","",IF(BA$3="Maior",IFERROR(IF(VLOOKUP($N50,Capa!$A:$AE,BA$5,0)="",0,VLOOKUP($N50,Capa!$A:$AE,BA$5,0)),0),IF(ISERROR(1/VLOOKUP($N50,Capa!$A:$AE,BA$5,0)),0,1/VLOOKUP($N50,Capa!$A:$AE,BA$5,0))))</f>
        <v/>
      </c>
      <c r="BB50" s="118" t="str">
        <f>IF(BB$6="","",IF(BB$3="Maior",IFERROR(IF(VLOOKUP($N50,Capa!$A:$AE,BB$5,0)="",0,VLOOKUP($N50,Capa!$A:$AE,BB$5,0)),0),IF(ISERROR(1/VLOOKUP($N50,Capa!$A:$AE,BB$5,0)),0,1/VLOOKUP($N50,Capa!$A:$AE,BB$5,0))))</f>
        <v/>
      </c>
      <c r="BC50" s="118" t="str">
        <f>IF(BC$6="","",IF(BC$3="Maior",IFERROR(IF(VLOOKUP($N50,Capa!$A:$AE,BC$5,0)="",0,VLOOKUP($N50,Capa!$A:$AE,BC$5,0)),0),IF(ISERROR(1/VLOOKUP($N50,Capa!$A:$AE,BC$5,0)),0,1/VLOOKUP($N50,Capa!$A:$AE,BC$5,0))))</f>
        <v/>
      </c>
      <c r="BD50" s="118" t="str">
        <f>IF(BD$6="","",IF(BD$3="Maior",IFERROR(IF(VLOOKUP($N50,Capa!$A:$AE,BD$5,0)="",0,VLOOKUP($N50,Capa!$A:$AE,BD$5,0)),0),IF(ISERROR(1/VLOOKUP($N50,Capa!$A:$AE,BD$5,0)),0,1/VLOOKUP($N50,Capa!$A:$AE,BD$5,0))))</f>
        <v/>
      </c>
      <c r="BE50" s="118" t="str">
        <f>IF(BE$6="","",IF(BE$3="Maior",IFERROR(IF(VLOOKUP($N50,Capa!$A:$AE,BE$5,0)="",0,VLOOKUP($N50,Capa!$A:$AE,BE$5,0)),0),IF(ISERROR(1/VLOOKUP($N50,Capa!$A:$AE,BE$5,0)),0,1/VLOOKUP($N50,Capa!$A:$AE,BE$5,0))))</f>
        <v/>
      </c>
      <c r="BF50" s="118" t="str">
        <f>IF(BF$6="","",IF(BF$3="Maior",IFERROR(IF(VLOOKUP($N50,Capa!$A:$AE,BF$5,0)="",0,VLOOKUP($N50,Capa!$A:$AE,BF$5,0)),0),IF(ISERROR(1/VLOOKUP($N50,Capa!$A:$AE,BF$5,0)),0,1/VLOOKUP($N50,Capa!$A:$AE,BF$5,0))))</f>
        <v/>
      </c>
      <c r="BG50" s="118" t="str">
        <f>IF(BG$6="","",IF(BG$3="Maior",IFERROR(IF(VLOOKUP($N50,Capa!$A:$AE,BG$5,0)="",0,VLOOKUP($N50,Capa!$A:$AE,BG$5,0)),0),IF(ISERROR(1/VLOOKUP($N50,Capa!$A:$AE,BG$5,0)),0,1/VLOOKUP($N50,Capa!$A:$AE,BG$5,0))))</f>
        <v/>
      </c>
      <c r="BH50" s="118" t="str">
        <f>IF(BH$6="","",IF(BH$3="Maior",IFERROR(IF(VLOOKUP($N50,Capa!$A:$AE,BH$5,0)="",0,VLOOKUP($N50,Capa!$A:$AE,BH$5,0)),0),IF(ISERROR(1/VLOOKUP($N50,Capa!$A:$AE,BH$5,0)),0,1/VLOOKUP($N50,Capa!$A:$AE,BH$5,0))))</f>
        <v/>
      </c>
      <c r="BI50" s="118" t="str">
        <f>IF(BI$6="","",IF(BI$3="Maior",IFERROR(IF(VLOOKUP($N50,Capa!$A:$AE,BI$5,0)="",0,VLOOKUP($N50,Capa!$A:$AE,BI$5,0)),0),IF(ISERROR(1/VLOOKUP($N50,Capa!$A:$AE,BI$5,0)),0,1/VLOOKUP($N50,Capa!$A:$AE,BI$5,0))))</f>
        <v/>
      </c>
      <c r="BJ50" s="118" t="str">
        <f>IF(BJ$6="","",IF(BJ$3="Maior",IFERROR(IF(VLOOKUP($N50,Capa!$A:$AE,BJ$5,0)="",0,VLOOKUP($N50,Capa!$A:$AE,BJ$5,0)),0),IF(ISERROR(1/VLOOKUP($N50,Capa!$A:$AE,BJ$5,0)),0,1/VLOOKUP($N50,Capa!$A:$AE,BJ$5,0))))</f>
        <v/>
      </c>
      <c r="BK50" s="118" t="str">
        <f>IF(BK$6="","",IF(BK$3="Maior",IFERROR(IF(VLOOKUP($N50,Capa!$A:$AE,BK$5,0)="",0,VLOOKUP($N50,Capa!$A:$AE,BK$5,0)),0),IF(ISERROR(1/VLOOKUP($N50,Capa!$A:$AE,BK$5,0)),0,1/VLOOKUP($N50,Capa!$A:$AE,BK$5,0))))</f>
        <v/>
      </c>
      <c r="BL50" s="118" t="str">
        <f>IF(BL$6="","",IF(BL$3="Maior",IFERROR(IF(VLOOKUP($N50,Capa!$A:$AE,BL$5,0)="",0,VLOOKUP($N50,Capa!$A:$AE,BL$5,0)),0),IF(ISERROR(1/VLOOKUP($N50,Capa!$A:$AE,BL$5,0)),0,1/VLOOKUP($N50,Capa!$A:$AE,BL$5,0))))</f>
        <v/>
      </c>
      <c r="BM50" s="118" t="str">
        <f>IF(BM$6="","",IF(BM$3="Maior",IFERROR(IF(VLOOKUP($N50,Capa!$A:$AE,BM$5,0)="",0,VLOOKUP($N50,Capa!$A:$AE,BM$5,0)),0),IF(ISERROR(1/VLOOKUP($N50,Capa!$A:$AE,BM$5,0)),0,1/VLOOKUP($N50,Capa!$A:$AE,BM$5,0))))</f>
        <v/>
      </c>
      <c r="BN50" s="118" t="str">
        <f>IF(BN$6="","",IF(BN$3="Maior",IFERROR(IF(VLOOKUP($N50,Capa!$A:$AE,BN$5,0)="",0,VLOOKUP($N50,Capa!$A:$AE,BN$5,0)),0),IF(ISERROR(1/VLOOKUP($N50,Capa!$A:$AE,BN$5,0)),0,1/VLOOKUP($N50,Capa!$A:$AE,BN$5,0))))</f>
        <v/>
      </c>
      <c r="BO50" s="92"/>
    </row>
    <row r="51">
      <c r="G51" s="11"/>
      <c r="H51" s="8">
        <v>45.0</v>
      </c>
      <c r="I51" s="110" t="str">
        <f t="shared" si="6"/>
        <v>BRDT3</v>
      </c>
      <c r="J51" s="111" t="str">
        <f>VLOOKUP(left(I51,4),Setor!A:D,3,0)&amp;" | "&amp;VLOOKUP(left(I51,4),Setor!A:D,4,0)</f>
        <v>Petróleo, Gás e Biocombustíveis | Petróleo, Gás e Biocombustíveis</v>
      </c>
      <c r="K51" s="112">
        <f t="shared" si="7"/>
        <v>274594337.3</v>
      </c>
      <c r="L51" s="11"/>
      <c r="M51" s="11"/>
      <c r="N51" s="10" t="s">
        <v>97</v>
      </c>
      <c r="O51" s="113">
        <f t="shared" si="8"/>
        <v>765.0382</v>
      </c>
      <c r="P51" s="114">
        <f>VLOOKUP(N51,'Dados StatusInvest'!A:Z,26,0)</f>
        <v>131178780.8</v>
      </c>
      <c r="Q51" s="115">
        <f t="shared" si="9"/>
        <v>382.0382</v>
      </c>
      <c r="R51" s="116">
        <f t="shared" ref="R51:AO51" si="54">IF(AQ51="","", RANK(AQ51,AQ$7:AQ$503,0))</f>
        <v>164</v>
      </c>
      <c r="S51" s="115">
        <f t="shared" si="54"/>
        <v>219</v>
      </c>
      <c r="T51" s="115" t="str">
        <f t="shared" si="54"/>
        <v/>
      </c>
      <c r="U51" s="115" t="str">
        <f t="shared" si="54"/>
        <v/>
      </c>
      <c r="V51" s="115" t="str">
        <f t="shared" si="54"/>
        <v/>
      </c>
      <c r="W51" s="115" t="str">
        <f t="shared" si="54"/>
        <v/>
      </c>
      <c r="X51" s="115" t="str">
        <f t="shared" si="54"/>
        <v/>
      </c>
      <c r="Y51" s="115" t="str">
        <f t="shared" si="54"/>
        <v/>
      </c>
      <c r="Z51" s="115" t="str">
        <f t="shared" si="54"/>
        <v/>
      </c>
      <c r="AA51" s="115" t="str">
        <f t="shared" si="54"/>
        <v/>
      </c>
      <c r="AB51" s="115" t="str">
        <f t="shared" si="54"/>
        <v/>
      </c>
      <c r="AC51" s="115" t="str">
        <f t="shared" si="54"/>
        <v/>
      </c>
      <c r="AD51" s="115" t="str">
        <f t="shared" si="54"/>
        <v/>
      </c>
      <c r="AE51" s="115" t="str">
        <f t="shared" si="54"/>
        <v/>
      </c>
      <c r="AF51" s="115" t="str">
        <f t="shared" si="54"/>
        <v/>
      </c>
      <c r="AG51" s="115" t="str">
        <f t="shared" si="54"/>
        <v/>
      </c>
      <c r="AH51" s="115" t="str">
        <f t="shared" si="54"/>
        <v/>
      </c>
      <c r="AI51" s="115" t="str">
        <f t="shared" si="54"/>
        <v/>
      </c>
      <c r="AJ51" s="115" t="str">
        <f t="shared" si="54"/>
        <v/>
      </c>
      <c r="AK51" s="115" t="str">
        <f t="shared" si="54"/>
        <v/>
      </c>
      <c r="AL51" s="115" t="str">
        <f t="shared" si="54"/>
        <v/>
      </c>
      <c r="AM51" s="115" t="str">
        <f t="shared" si="54"/>
        <v/>
      </c>
      <c r="AN51" s="115" t="str">
        <f t="shared" si="54"/>
        <v/>
      </c>
      <c r="AO51" s="115" t="str">
        <f t="shared" si="54"/>
        <v/>
      </c>
      <c r="AP51" s="117">
        <f>IF(AP$6="","",IF(AP$3="Maior",IFERROR(IF(VLOOKUP($N51,Capa!$A:$AE,AP$5,0)="",0,VLOOKUP($N51,Capa!$A:$AE,AP$5,0)),0),IF(ISERROR(1/VLOOKUP($N51,Capa!$A:$AE,AP$5,0)),0,1/VLOOKUP($N51,Capa!$A:$AE,AP$5,0))))</f>
        <v>0.01457825556</v>
      </c>
      <c r="AQ51" s="118">
        <f>IF(AQ$6="","",IF(AQ$3="Maior",IFERROR(IF(VLOOKUP($N51,Capa!$A:$AE,AQ$5,0)="",0,VLOOKUP($N51,Capa!$A:$AE,AQ$5,0)),0),IF(ISERROR(1/VLOOKUP($N51,Capa!$A:$AE,AQ$5,0)),0,1/VLOOKUP($N51,Capa!$A:$AE,AQ$5,0))))</f>
        <v>13.57</v>
      </c>
      <c r="AR51" s="118">
        <f>IF(AR$6="","",IF(AR$3="Maior",IFERROR(IF(VLOOKUP($N51,Capa!$A:$AE,AR$5,0)="",0,VLOOKUP($N51,Capa!$A:$AE,AR$5,0)),0),IF(ISERROR(1/VLOOKUP($N51,Capa!$A:$AE,AR$5,0)),0,1/VLOOKUP($N51,Capa!$A:$AE,AR$5,0))))</f>
        <v>0</v>
      </c>
      <c r="AS51" s="118" t="str">
        <f>IF(AS$6="","",IF(AS$3="Maior",IFERROR(IF(VLOOKUP($N51,Capa!$A:$AE,AS$5,0)="",0,VLOOKUP($N51,Capa!$A:$AE,AS$5,0)),0),IF(ISERROR(1/VLOOKUP($N51,Capa!$A:$AE,AS$5,0)),0,1/VLOOKUP($N51,Capa!$A:$AE,AS$5,0))))</f>
        <v/>
      </c>
      <c r="AT51" s="118" t="str">
        <f>IF(AT$6="","",IF(AT$3="Maior",IFERROR(IF(VLOOKUP($N51,Capa!$A:$AE,AT$5,0)="",0,VLOOKUP($N51,Capa!$A:$AE,AT$5,0)),0),IF(ISERROR(1/VLOOKUP($N51,Capa!$A:$AE,AT$5,0)),0,1/VLOOKUP($N51,Capa!$A:$AE,AT$5,0))))</f>
        <v/>
      </c>
      <c r="AU51" s="118" t="str">
        <f>IF(AU$6="","",IF(AU$3="Maior",IFERROR(IF(VLOOKUP($N51,Capa!$A:$AE,AU$5,0)="",0,VLOOKUP($N51,Capa!$A:$AE,AU$5,0)),0),IF(ISERROR(1/VLOOKUP($N51,Capa!$A:$AE,AU$5,0)),0,1/VLOOKUP($N51,Capa!$A:$AE,AU$5,0))))</f>
        <v/>
      </c>
      <c r="AV51" s="118" t="str">
        <f>IF(AV$6="","",IF(AV$3="Maior",IFERROR(IF(VLOOKUP($N51,Capa!$A:$AE,AV$5,0)="",0,VLOOKUP($N51,Capa!$A:$AE,AV$5,0)),0),IF(ISERROR(1/VLOOKUP($N51,Capa!$A:$AE,AV$5,0)),0,1/VLOOKUP($N51,Capa!$A:$AE,AV$5,0))))</f>
        <v/>
      </c>
      <c r="AW51" s="118" t="str">
        <f>IF(AW$6="","",IF(AW$3="Maior",IFERROR(IF(VLOOKUP($N51,Capa!$A:$AE,AW$5,0)="",0,VLOOKUP($N51,Capa!$A:$AE,AW$5,0)),0),IF(ISERROR(1/VLOOKUP($N51,Capa!$A:$AE,AW$5,0)),0,1/VLOOKUP($N51,Capa!$A:$AE,AW$5,0))))</f>
        <v/>
      </c>
      <c r="AX51" s="118" t="str">
        <f>IF(AX$6="","",IF(AX$3="Maior",IFERROR(IF(VLOOKUP($N51,Capa!$A:$AE,AX$5,0)="",0,VLOOKUP($N51,Capa!$A:$AE,AX$5,0)),0),IF(ISERROR(1/VLOOKUP($N51,Capa!$A:$AE,AX$5,0)),0,1/VLOOKUP($N51,Capa!$A:$AE,AX$5,0))))</f>
        <v/>
      </c>
      <c r="AY51" s="118" t="str">
        <f>IF(AY$6="","",IF(AY$3="Maior",IFERROR(IF(VLOOKUP($N51,Capa!$A:$AE,AY$5,0)="",0,VLOOKUP($N51,Capa!$A:$AE,AY$5,0)),0),IF(ISERROR(1/VLOOKUP($N51,Capa!$A:$AE,AY$5,0)),0,1/VLOOKUP($N51,Capa!$A:$AE,AY$5,0))))</f>
        <v/>
      </c>
      <c r="AZ51" s="118" t="str">
        <f>IF(AZ$6="","",IF(AZ$3="Maior",IFERROR(IF(VLOOKUP($N51,Capa!$A:$AE,AZ$5,0)="",0,VLOOKUP($N51,Capa!$A:$AE,AZ$5,0)),0),IF(ISERROR(1/VLOOKUP($N51,Capa!$A:$AE,AZ$5,0)),0,1/VLOOKUP($N51,Capa!$A:$AE,AZ$5,0))))</f>
        <v/>
      </c>
      <c r="BA51" s="118" t="str">
        <f>IF(BA$6="","",IF(BA$3="Maior",IFERROR(IF(VLOOKUP($N51,Capa!$A:$AE,BA$5,0)="",0,VLOOKUP($N51,Capa!$A:$AE,BA$5,0)),0),IF(ISERROR(1/VLOOKUP($N51,Capa!$A:$AE,BA$5,0)),0,1/VLOOKUP($N51,Capa!$A:$AE,BA$5,0))))</f>
        <v/>
      </c>
      <c r="BB51" s="118" t="str">
        <f>IF(BB$6="","",IF(BB$3="Maior",IFERROR(IF(VLOOKUP($N51,Capa!$A:$AE,BB$5,0)="",0,VLOOKUP($N51,Capa!$A:$AE,BB$5,0)),0),IF(ISERROR(1/VLOOKUP($N51,Capa!$A:$AE,BB$5,0)),0,1/VLOOKUP($N51,Capa!$A:$AE,BB$5,0))))</f>
        <v/>
      </c>
      <c r="BC51" s="118" t="str">
        <f>IF(BC$6="","",IF(BC$3="Maior",IFERROR(IF(VLOOKUP($N51,Capa!$A:$AE,BC$5,0)="",0,VLOOKUP($N51,Capa!$A:$AE,BC$5,0)),0),IF(ISERROR(1/VLOOKUP($N51,Capa!$A:$AE,BC$5,0)),0,1/VLOOKUP($N51,Capa!$A:$AE,BC$5,0))))</f>
        <v/>
      </c>
      <c r="BD51" s="118" t="str">
        <f>IF(BD$6="","",IF(BD$3="Maior",IFERROR(IF(VLOOKUP($N51,Capa!$A:$AE,BD$5,0)="",0,VLOOKUP($N51,Capa!$A:$AE,BD$5,0)),0),IF(ISERROR(1/VLOOKUP($N51,Capa!$A:$AE,BD$5,0)),0,1/VLOOKUP($N51,Capa!$A:$AE,BD$5,0))))</f>
        <v/>
      </c>
      <c r="BE51" s="118" t="str">
        <f>IF(BE$6="","",IF(BE$3="Maior",IFERROR(IF(VLOOKUP($N51,Capa!$A:$AE,BE$5,0)="",0,VLOOKUP($N51,Capa!$A:$AE,BE$5,0)),0),IF(ISERROR(1/VLOOKUP($N51,Capa!$A:$AE,BE$5,0)),0,1/VLOOKUP($N51,Capa!$A:$AE,BE$5,0))))</f>
        <v/>
      </c>
      <c r="BF51" s="118" t="str">
        <f>IF(BF$6="","",IF(BF$3="Maior",IFERROR(IF(VLOOKUP($N51,Capa!$A:$AE,BF$5,0)="",0,VLOOKUP($N51,Capa!$A:$AE,BF$5,0)),0),IF(ISERROR(1/VLOOKUP($N51,Capa!$A:$AE,BF$5,0)),0,1/VLOOKUP($N51,Capa!$A:$AE,BF$5,0))))</f>
        <v/>
      </c>
      <c r="BG51" s="118" t="str">
        <f>IF(BG$6="","",IF(BG$3="Maior",IFERROR(IF(VLOOKUP($N51,Capa!$A:$AE,BG$5,0)="",0,VLOOKUP($N51,Capa!$A:$AE,BG$5,0)),0),IF(ISERROR(1/VLOOKUP($N51,Capa!$A:$AE,BG$5,0)),0,1/VLOOKUP($N51,Capa!$A:$AE,BG$5,0))))</f>
        <v/>
      </c>
      <c r="BH51" s="118" t="str">
        <f>IF(BH$6="","",IF(BH$3="Maior",IFERROR(IF(VLOOKUP($N51,Capa!$A:$AE,BH$5,0)="",0,VLOOKUP($N51,Capa!$A:$AE,BH$5,0)),0),IF(ISERROR(1/VLOOKUP($N51,Capa!$A:$AE,BH$5,0)),0,1/VLOOKUP($N51,Capa!$A:$AE,BH$5,0))))</f>
        <v/>
      </c>
      <c r="BI51" s="118" t="str">
        <f>IF(BI$6="","",IF(BI$3="Maior",IFERROR(IF(VLOOKUP($N51,Capa!$A:$AE,BI$5,0)="",0,VLOOKUP($N51,Capa!$A:$AE,BI$5,0)),0),IF(ISERROR(1/VLOOKUP($N51,Capa!$A:$AE,BI$5,0)),0,1/VLOOKUP($N51,Capa!$A:$AE,BI$5,0))))</f>
        <v/>
      </c>
      <c r="BJ51" s="118" t="str">
        <f>IF(BJ$6="","",IF(BJ$3="Maior",IFERROR(IF(VLOOKUP($N51,Capa!$A:$AE,BJ$5,0)="",0,VLOOKUP($N51,Capa!$A:$AE,BJ$5,0)),0),IF(ISERROR(1/VLOOKUP($N51,Capa!$A:$AE,BJ$5,0)),0,1/VLOOKUP($N51,Capa!$A:$AE,BJ$5,0))))</f>
        <v/>
      </c>
      <c r="BK51" s="118" t="str">
        <f>IF(BK$6="","",IF(BK$3="Maior",IFERROR(IF(VLOOKUP($N51,Capa!$A:$AE,BK$5,0)="",0,VLOOKUP($N51,Capa!$A:$AE,BK$5,0)),0),IF(ISERROR(1/VLOOKUP($N51,Capa!$A:$AE,BK$5,0)),0,1/VLOOKUP($N51,Capa!$A:$AE,BK$5,0))))</f>
        <v/>
      </c>
      <c r="BL51" s="118" t="str">
        <f>IF(BL$6="","",IF(BL$3="Maior",IFERROR(IF(VLOOKUP($N51,Capa!$A:$AE,BL$5,0)="",0,VLOOKUP($N51,Capa!$A:$AE,BL$5,0)),0),IF(ISERROR(1/VLOOKUP($N51,Capa!$A:$AE,BL$5,0)),0,1/VLOOKUP($N51,Capa!$A:$AE,BL$5,0))))</f>
        <v/>
      </c>
      <c r="BM51" s="118" t="str">
        <f>IF(BM$6="","",IF(BM$3="Maior",IFERROR(IF(VLOOKUP($N51,Capa!$A:$AE,BM$5,0)="",0,VLOOKUP($N51,Capa!$A:$AE,BM$5,0)),0),IF(ISERROR(1/VLOOKUP($N51,Capa!$A:$AE,BM$5,0)),0,1/VLOOKUP($N51,Capa!$A:$AE,BM$5,0))))</f>
        <v/>
      </c>
      <c r="BN51" s="118" t="str">
        <f>IF(BN$6="","",IF(BN$3="Maior",IFERROR(IF(VLOOKUP($N51,Capa!$A:$AE,BN$5,0)="",0,VLOOKUP($N51,Capa!$A:$AE,BN$5,0)),0),IF(ISERROR(1/VLOOKUP($N51,Capa!$A:$AE,BN$5,0)),0,1/VLOOKUP($N51,Capa!$A:$AE,BN$5,0))))</f>
        <v/>
      </c>
      <c r="BO51" s="92"/>
    </row>
    <row r="52">
      <c r="G52" s="11"/>
      <c r="H52" s="8">
        <v>46.0</v>
      </c>
      <c r="I52" s="110" t="str">
        <f t="shared" si="6"/>
        <v>LAVV3</v>
      </c>
      <c r="J52" s="111" t="str">
        <f>VLOOKUP(left(I52,4),Setor!A:D,3,0)&amp;" | "&amp;VLOOKUP(left(I52,4),Setor!A:D,4,0)</f>
        <v>Consumo Cíclico | Construção Civil</v>
      </c>
      <c r="K52" s="112">
        <f t="shared" si="7"/>
        <v>10351842.83</v>
      </c>
      <c r="L52" s="11"/>
      <c r="M52" s="11"/>
      <c r="N52" s="10" t="s">
        <v>98</v>
      </c>
      <c r="O52" s="113">
        <f t="shared" si="8"/>
        <v>987.0252</v>
      </c>
      <c r="P52" s="114">
        <f>VLOOKUP(N52,'Dados StatusInvest'!A:Z,26,0)</f>
        <v>167890459.5</v>
      </c>
      <c r="Q52" s="115">
        <f t="shared" si="9"/>
        <v>252.0252</v>
      </c>
      <c r="R52" s="116">
        <f t="shared" ref="R52:AO52" si="55">IF(AQ52="","", RANK(AQ52,AQ$7:AQ$503,0))</f>
        <v>263</v>
      </c>
      <c r="S52" s="115">
        <f t="shared" si="55"/>
        <v>472</v>
      </c>
      <c r="T52" s="115" t="str">
        <f t="shared" si="55"/>
        <v/>
      </c>
      <c r="U52" s="115" t="str">
        <f t="shared" si="55"/>
        <v/>
      </c>
      <c r="V52" s="115" t="str">
        <f t="shared" si="55"/>
        <v/>
      </c>
      <c r="W52" s="115" t="str">
        <f t="shared" si="55"/>
        <v/>
      </c>
      <c r="X52" s="115" t="str">
        <f t="shared" si="55"/>
        <v/>
      </c>
      <c r="Y52" s="115" t="str">
        <f t="shared" si="55"/>
        <v/>
      </c>
      <c r="Z52" s="115" t="str">
        <f t="shared" si="55"/>
        <v/>
      </c>
      <c r="AA52" s="115" t="str">
        <f t="shared" si="55"/>
        <v/>
      </c>
      <c r="AB52" s="115" t="str">
        <f t="shared" si="55"/>
        <v/>
      </c>
      <c r="AC52" s="115" t="str">
        <f t="shared" si="55"/>
        <v/>
      </c>
      <c r="AD52" s="115" t="str">
        <f t="shared" si="55"/>
        <v/>
      </c>
      <c r="AE52" s="115" t="str">
        <f t="shared" si="55"/>
        <v/>
      </c>
      <c r="AF52" s="115" t="str">
        <f t="shared" si="55"/>
        <v/>
      </c>
      <c r="AG52" s="115" t="str">
        <f t="shared" si="55"/>
        <v/>
      </c>
      <c r="AH52" s="115" t="str">
        <f t="shared" si="55"/>
        <v/>
      </c>
      <c r="AI52" s="115" t="str">
        <f t="shared" si="55"/>
        <v/>
      </c>
      <c r="AJ52" s="115" t="str">
        <f t="shared" si="55"/>
        <v/>
      </c>
      <c r="AK52" s="115" t="str">
        <f t="shared" si="55"/>
        <v/>
      </c>
      <c r="AL52" s="115" t="str">
        <f t="shared" si="55"/>
        <v/>
      </c>
      <c r="AM52" s="115" t="str">
        <f t="shared" si="55"/>
        <v/>
      </c>
      <c r="AN52" s="115" t="str">
        <f t="shared" si="55"/>
        <v/>
      </c>
      <c r="AO52" s="115" t="str">
        <f t="shared" si="55"/>
        <v/>
      </c>
      <c r="AP52" s="117">
        <f>IF(AP$6="","",IF(AP$3="Maior",IFERROR(IF(VLOOKUP($N52,Capa!$A:$AE,AP$5,0)="",0,VLOOKUP($N52,Capa!$A:$AE,AP$5,0)),0),IF(ISERROR(1/VLOOKUP($N52,Capa!$A:$AE,AP$5,0)),0,1/VLOOKUP($N52,Capa!$A:$AE,AP$5,0))))</f>
        <v>0.08021318142</v>
      </c>
      <c r="AQ52" s="118">
        <f>IF(AQ$6="","",IF(AQ$3="Maior",IFERROR(IF(VLOOKUP($N52,Capa!$A:$AE,AQ$5,0)="",0,VLOOKUP($N52,Capa!$A:$AE,AQ$5,0)),0),IF(ISERROR(1/VLOOKUP($N52,Capa!$A:$AE,AQ$5,0)),0,1/VLOOKUP($N52,Capa!$A:$AE,AQ$5,0))))</f>
        <v>7.63</v>
      </c>
      <c r="AR52" s="118">
        <f>IF(AR$6="","",IF(AR$3="Maior",IFERROR(IF(VLOOKUP($N52,Capa!$A:$AE,AR$5,0)="",0,VLOOKUP($N52,Capa!$A:$AE,AR$5,0)),0),IF(ISERROR(1/VLOOKUP($N52,Capa!$A:$AE,AR$5,0)),0,1/VLOOKUP($N52,Capa!$A:$AE,AR$5,0))))</f>
        <v>-4.67</v>
      </c>
      <c r="AS52" s="118" t="str">
        <f>IF(AS$6="","",IF(AS$3="Maior",IFERROR(IF(VLOOKUP($N52,Capa!$A:$AE,AS$5,0)="",0,VLOOKUP($N52,Capa!$A:$AE,AS$5,0)),0),IF(ISERROR(1/VLOOKUP($N52,Capa!$A:$AE,AS$5,0)),0,1/VLOOKUP($N52,Capa!$A:$AE,AS$5,0))))</f>
        <v/>
      </c>
      <c r="AT52" s="118" t="str">
        <f>IF(AT$6="","",IF(AT$3="Maior",IFERROR(IF(VLOOKUP($N52,Capa!$A:$AE,AT$5,0)="",0,VLOOKUP($N52,Capa!$A:$AE,AT$5,0)),0),IF(ISERROR(1/VLOOKUP($N52,Capa!$A:$AE,AT$5,0)),0,1/VLOOKUP($N52,Capa!$A:$AE,AT$5,0))))</f>
        <v/>
      </c>
      <c r="AU52" s="118" t="str">
        <f>IF(AU$6="","",IF(AU$3="Maior",IFERROR(IF(VLOOKUP($N52,Capa!$A:$AE,AU$5,0)="",0,VLOOKUP($N52,Capa!$A:$AE,AU$5,0)),0),IF(ISERROR(1/VLOOKUP($N52,Capa!$A:$AE,AU$5,0)),0,1/VLOOKUP($N52,Capa!$A:$AE,AU$5,0))))</f>
        <v/>
      </c>
      <c r="AV52" s="118" t="str">
        <f>IF(AV$6="","",IF(AV$3="Maior",IFERROR(IF(VLOOKUP($N52,Capa!$A:$AE,AV$5,0)="",0,VLOOKUP($N52,Capa!$A:$AE,AV$5,0)),0),IF(ISERROR(1/VLOOKUP($N52,Capa!$A:$AE,AV$5,0)),0,1/VLOOKUP($N52,Capa!$A:$AE,AV$5,0))))</f>
        <v/>
      </c>
      <c r="AW52" s="118" t="str">
        <f>IF(AW$6="","",IF(AW$3="Maior",IFERROR(IF(VLOOKUP($N52,Capa!$A:$AE,AW$5,0)="",0,VLOOKUP($N52,Capa!$A:$AE,AW$5,0)),0),IF(ISERROR(1/VLOOKUP($N52,Capa!$A:$AE,AW$5,0)),0,1/VLOOKUP($N52,Capa!$A:$AE,AW$5,0))))</f>
        <v/>
      </c>
      <c r="AX52" s="118" t="str">
        <f>IF(AX$6="","",IF(AX$3="Maior",IFERROR(IF(VLOOKUP($N52,Capa!$A:$AE,AX$5,0)="",0,VLOOKUP($N52,Capa!$A:$AE,AX$5,0)),0),IF(ISERROR(1/VLOOKUP($N52,Capa!$A:$AE,AX$5,0)),0,1/VLOOKUP($N52,Capa!$A:$AE,AX$5,0))))</f>
        <v/>
      </c>
      <c r="AY52" s="118" t="str">
        <f>IF(AY$6="","",IF(AY$3="Maior",IFERROR(IF(VLOOKUP($N52,Capa!$A:$AE,AY$5,0)="",0,VLOOKUP($N52,Capa!$A:$AE,AY$5,0)),0),IF(ISERROR(1/VLOOKUP($N52,Capa!$A:$AE,AY$5,0)),0,1/VLOOKUP($N52,Capa!$A:$AE,AY$5,0))))</f>
        <v/>
      </c>
      <c r="AZ52" s="118" t="str">
        <f>IF(AZ$6="","",IF(AZ$3="Maior",IFERROR(IF(VLOOKUP($N52,Capa!$A:$AE,AZ$5,0)="",0,VLOOKUP($N52,Capa!$A:$AE,AZ$5,0)),0),IF(ISERROR(1/VLOOKUP($N52,Capa!$A:$AE,AZ$5,0)),0,1/VLOOKUP($N52,Capa!$A:$AE,AZ$5,0))))</f>
        <v/>
      </c>
      <c r="BA52" s="118" t="str">
        <f>IF(BA$6="","",IF(BA$3="Maior",IFERROR(IF(VLOOKUP($N52,Capa!$A:$AE,BA$5,0)="",0,VLOOKUP($N52,Capa!$A:$AE,BA$5,0)),0),IF(ISERROR(1/VLOOKUP($N52,Capa!$A:$AE,BA$5,0)),0,1/VLOOKUP($N52,Capa!$A:$AE,BA$5,0))))</f>
        <v/>
      </c>
      <c r="BB52" s="118" t="str">
        <f>IF(BB$6="","",IF(BB$3="Maior",IFERROR(IF(VLOOKUP($N52,Capa!$A:$AE,BB$5,0)="",0,VLOOKUP($N52,Capa!$A:$AE,BB$5,0)),0),IF(ISERROR(1/VLOOKUP($N52,Capa!$A:$AE,BB$5,0)),0,1/VLOOKUP($N52,Capa!$A:$AE,BB$5,0))))</f>
        <v/>
      </c>
      <c r="BC52" s="118" t="str">
        <f>IF(BC$6="","",IF(BC$3="Maior",IFERROR(IF(VLOOKUP($N52,Capa!$A:$AE,BC$5,0)="",0,VLOOKUP($N52,Capa!$A:$AE,BC$5,0)),0),IF(ISERROR(1/VLOOKUP($N52,Capa!$A:$AE,BC$5,0)),0,1/VLOOKUP($N52,Capa!$A:$AE,BC$5,0))))</f>
        <v/>
      </c>
      <c r="BD52" s="118" t="str">
        <f>IF(BD$6="","",IF(BD$3="Maior",IFERROR(IF(VLOOKUP($N52,Capa!$A:$AE,BD$5,0)="",0,VLOOKUP($N52,Capa!$A:$AE,BD$5,0)),0),IF(ISERROR(1/VLOOKUP($N52,Capa!$A:$AE,BD$5,0)),0,1/VLOOKUP($N52,Capa!$A:$AE,BD$5,0))))</f>
        <v/>
      </c>
      <c r="BE52" s="118" t="str">
        <f>IF(BE$6="","",IF(BE$3="Maior",IFERROR(IF(VLOOKUP($N52,Capa!$A:$AE,BE$5,0)="",0,VLOOKUP($N52,Capa!$A:$AE,BE$5,0)),0),IF(ISERROR(1/VLOOKUP($N52,Capa!$A:$AE,BE$5,0)),0,1/VLOOKUP($N52,Capa!$A:$AE,BE$5,0))))</f>
        <v/>
      </c>
      <c r="BF52" s="118" t="str">
        <f>IF(BF$6="","",IF(BF$3="Maior",IFERROR(IF(VLOOKUP($N52,Capa!$A:$AE,BF$5,0)="",0,VLOOKUP($N52,Capa!$A:$AE,BF$5,0)),0),IF(ISERROR(1/VLOOKUP($N52,Capa!$A:$AE,BF$5,0)),0,1/VLOOKUP($N52,Capa!$A:$AE,BF$5,0))))</f>
        <v/>
      </c>
      <c r="BG52" s="118" t="str">
        <f>IF(BG$6="","",IF(BG$3="Maior",IFERROR(IF(VLOOKUP($N52,Capa!$A:$AE,BG$5,0)="",0,VLOOKUP($N52,Capa!$A:$AE,BG$5,0)),0),IF(ISERROR(1/VLOOKUP($N52,Capa!$A:$AE,BG$5,0)),0,1/VLOOKUP($N52,Capa!$A:$AE,BG$5,0))))</f>
        <v/>
      </c>
      <c r="BH52" s="118" t="str">
        <f>IF(BH$6="","",IF(BH$3="Maior",IFERROR(IF(VLOOKUP($N52,Capa!$A:$AE,BH$5,0)="",0,VLOOKUP($N52,Capa!$A:$AE,BH$5,0)),0),IF(ISERROR(1/VLOOKUP($N52,Capa!$A:$AE,BH$5,0)),0,1/VLOOKUP($N52,Capa!$A:$AE,BH$5,0))))</f>
        <v/>
      </c>
      <c r="BI52" s="118" t="str">
        <f>IF(BI$6="","",IF(BI$3="Maior",IFERROR(IF(VLOOKUP($N52,Capa!$A:$AE,BI$5,0)="",0,VLOOKUP($N52,Capa!$A:$AE,BI$5,0)),0),IF(ISERROR(1/VLOOKUP($N52,Capa!$A:$AE,BI$5,0)),0,1/VLOOKUP($N52,Capa!$A:$AE,BI$5,0))))</f>
        <v/>
      </c>
      <c r="BJ52" s="118" t="str">
        <f>IF(BJ$6="","",IF(BJ$3="Maior",IFERROR(IF(VLOOKUP($N52,Capa!$A:$AE,BJ$5,0)="",0,VLOOKUP($N52,Capa!$A:$AE,BJ$5,0)),0),IF(ISERROR(1/VLOOKUP($N52,Capa!$A:$AE,BJ$5,0)),0,1/VLOOKUP($N52,Capa!$A:$AE,BJ$5,0))))</f>
        <v/>
      </c>
      <c r="BK52" s="118" t="str">
        <f>IF(BK$6="","",IF(BK$3="Maior",IFERROR(IF(VLOOKUP($N52,Capa!$A:$AE,BK$5,0)="",0,VLOOKUP($N52,Capa!$A:$AE,BK$5,0)),0),IF(ISERROR(1/VLOOKUP($N52,Capa!$A:$AE,BK$5,0)),0,1/VLOOKUP($N52,Capa!$A:$AE,BK$5,0))))</f>
        <v/>
      </c>
      <c r="BL52" s="118" t="str">
        <f>IF(BL$6="","",IF(BL$3="Maior",IFERROR(IF(VLOOKUP($N52,Capa!$A:$AE,BL$5,0)="",0,VLOOKUP($N52,Capa!$A:$AE,BL$5,0)),0),IF(ISERROR(1/VLOOKUP($N52,Capa!$A:$AE,BL$5,0)),0,1/VLOOKUP($N52,Capa!$A:$AE,BL$5,0))))</f>
        <v/>
      </c>
      <c r="BM52" s="118" t="str">
        <f>IF(BM$6="","",IF(BM$3="Maior",IFERROR(IF(VLOOKUP($N52,Capa!$A:$AE,BM$5,0)="",0,VLOOKUP($N52,Capa!$A:$AE,BM$5,0)),0),IF(ISERROR(1/VLOOKUP($N52,Capa!$A:$AE,BM$5,0)),0,1/VLOOKUP($N52,Capa!$A:$AE,BM$5,0))))</f>
        <v/>
      </c>
      <c r="BN52" s="118" t="str">
        <f>IF(BN$6="","",IF(BN$3="Maior",IFERROR(IF(VLOOKUP($N52,Capa!$A:$AE,BN$5,0)="",0,VLOOKUP($N52,Capa!$A:$AE,BN$5,0)),0),IF(ISERROR(1/VLOOKUP($N52,Capa!$A:$AE,BN$5,0)),0,1/VLOOKUP($N52,Capa!$A:$AE,BN$5,0))))</f>
        <v/>
      </c>
      <c r="BO52" s="92"/>
    </row>
    <row r="53">
      <c r="G53" s="11"/>
      <c r="H53" s="8">
        <v>47.0</v>
      </c>
      <c r="I53" s="110" t="str">
        <f t="shared" si="6"/>
        <v>ENGI11</v>
      </c>
      <c r="J53" s="111" t="str">
        <f>VLOOKUP(left(I53,4),Setor!A:D,3,0)&amp;" | "&amp;VLOOKUP(left(I53,4),Setor!A:D,4,0)</f>
        <v>Utilidade Pública | Energia Elétrica</v>
      </c>
      <c r="K53" s="112">
        <f t="shared" si="7"/>
        <v>68576696.25</v>
      </c>
      <c r="L53" s="11"/>
      <c r="M53" s="11"/>
      <c r="N53" s="10" t="s">
        <v>99</v>
      </c>
      <c r="O53" s="113">
        <f t="shared" si="8"/>
        <v>991.0403</v>
      </c>
      <c r="P53" s="114">
        <f>VLOOKUP(N53,'Dados StatusInvest'!A:Z,26,0)</f>
        <v>132076726.8</v>
      </c>
      <c r="Q53" s="115">
        <f t="shared" si="9"/>
        <v>403.0403</v>
      </c>
      <c r="R53" s="116">
        <f t="shared" ref="R53:AO53" si="56">IF(AQ53="","", RANK(AQ53,AQ$7:AQ$503,0))</f>
        <v>369</v>
      </c>
      <c r="S53" s="115">
        <f t="shared" si="56"/>
        <v>219</v>
      </c>
      <c r="T53" s="115" t="str">
        <f t="shared" si="56"/>
        <v/>
      </c>
      <c r="U53" s="115" t="str">
        <f t="shared" si="56"/>
        <v/>
      </c>
      <c r="V53" s="115" t="str">
        <f t="shared" si="56"/>
        <v/>
      </c>
      <c r="W53" s="115" t="str">
        <f t="shared" si="56"/>
        <v/>
      </c>
      <c r="X53" s="115" t="str">
        <f t="shared" si="56"/>
        <v/>
      </c>
      <c r="Y53" s="115" t="str">
        <f t="shared" si="56"/>
        <v/>
      </c>
      <c r="Z53" s="115" t="str">
        <f t="shared" si="56"/>
        <v/>
      </c>
      <c r="AA53" s="115" t="str">
        <f t="shared" si="56"/>
        <v/>
      </c>
      <c r="AB53" s="115" t="str">
        <f t="shared" si="56"/>
        <v/>
      </c>
      <c r="AC53" s="115" t="str">
        <f t="shared" si="56"/>
        <v/>
      </c>
      <c r="AD53" s="115" t="str">
        <f t="shared" si="56"/>
        <v/>
      </c>
      <c r="AE53" s="115" t="str">
        <f t="shared" si="56"/>
        <v/>
      </c>
      <c r="AF53" s="115" t="str">
        <f t="shared" si="56"/>
        <v/>
      </c>
      <c r="AG53" s="115" t="str">
        <f t="shared" si="56"/>
        <v/>
      </c>
      <c r="AH53" s="115" t="str">
        <f t="shared" si="56"/>
        <v/>
      </c>
      <c r="AI53" s="115" t="str">
        <f t="shared" si="56"/>
        <v/>
      </c>
      <c r="AJ53" s="115" t="str">
        <f t="shared" si="56"/>
        <v/>
      </c>
      <c r="AK53" s="115" t="str">
        <f t="shared" si="56"/>
        <v/>
      </c>
      <c r="AL53" s="115" t="str">
        <f t="shared" si="56"/>
        <v/>
      </c>
      <c r="AM53" s="115" t="str">
        <f t="shared" si="56"/>
        <v/>
      </c>
      <c r="AN53" s="115" t="str">
        <f t="shared" si="56"/>
        <v/>
      </c>
      <c r="AO53" s="115" t="str">
        <f t="shared" si="56"/>
        <v/>
      </c>
      <c r="AP53" s="117">
        <f>IF(AP$6="","",IF(AP$3="Maior",IFERROR(IF(VLOOKUP($N53,Capa!$A:$AE,AP$5,0)="",0,VLOOKUP($N53,Capa!$A:$AE,AP$5,0)),0),IF(ISERROR(1/VLOOKUP($N53,Capa!$A:$AE,AP$5,0)),0,1/VLOOKUP($N53,Capa!$A:$AE,AP$5,0))))</f>
        <v>0.003567799029</v>
      </c>
      <c r="AQ53" s="118">
        <f>IF(AQ$6="","",IF(AQ$3="Maior",IFERROR(IF(VLOOKUP($N53,Capa!$A:$AE,AQ$5,0)="",0,VLOOKUP($N53,Capa!$A:$AE,AQ$5,0)),0),IF(ISERROR(1/VLOOKUP($N53,Capa!$A:$AE,AQ$5,0)),0,1/VLOOKUP($N53,Capa!$A:$AE,AQ$5,0))))</f>
        <v>0.83</v>
      </c>
      <c r="AR53" s="118">
        <f>IF(AR$6="","",IF(AR$3="Maior",IFERROR(IF(VLOOKUP($N53,Capa!$A:$AE,AR$5,0)="",0,VLOOKUP($N53,Capa!$A:$AE,AR$5,0)),0),IF(ISERROR(1/VLOOKUP($N53,Capa!$A:$AE,AR$5,0)),0,1/VLOOKUP($N53,Capa!$A:$AE,AR$5,0))))</f>
        <v>0</v>
      </c>
      <c r="AS53" s="118" t="str">
        <f>IF(AS$6="","",IF(AS$3="Maior",IFERROR(IF(VLOOKUP($N53,Capa!$A:$AE,AS$5,0)="",0,VLOOKUP($N53,Capa!$A:$AE,AS$5,0)),0),IF(ISERROR(1/VLOOKUP($N53,Capa!$A:$AE,AS$5,0)),0,1/VLOOKUP($N53,Capa!$A:$AE,AS$5,0))))</f>
        <v/>
      </c>
      <c r="AT53" s="118" t="str">
        <f>IF(AT$6="","",IF(AT$3="Maior",IFERROR(IF(VLOOKUP($N53,Capa!$A:$AE,AT$5,0)="",0,VLOOKUP($N53,Capa!$A:$AE,AT$5,0)),0),IF(ISERROR(1/VLOOKUP($N53,Capa!$A:$AE,AT$5,0)),0,1/VLOOKUP($N53,Capa!$A:$AE,AT$5,0))))</f>
        <v/>
      </c>
      <c r="AU53" s="118" t="str">
        <f>IF(AU$6="","",IF(AU$3="Maior",IFERROR(IF(VLOOKUP($N53,Capa!$A:$AE,AU$5,0)="",0,VLOOKUP($N53,Capa!$A:$AE,AU$5,0)),0),IF(ISERROR(1/VLOOKUP($N53,Capa!$A:$AE,AU$5,0)),0,1/VLOOKUP($N53,Capa!$A:$AE,AU$5,0))))</f>
        <v/>
      </c>
      <c r="AV53" s="118" t="str">
        <f>IF(AV$6="","",IF(AV$3="Maior",IFERROR(IF(VLOOKUP($N53,Capa!$A:$AE,AV$5,0)="",0,VLOOKUP($N53,Capa!$A:$AE,AV$5,0)),0),IF(ISERROR(1/VLOOKUP($N53,Capa!$A:$AE,AV$5,0)),0,1/VLOOKUP($N53,Capa!$A:$AE,AV$5,0))))</f>
        <v/>
      </c>
      <c r="AW53" s="118" t="str">
        <f>IF(AW$6="","",IF(AW$3="Maior",IFERROR(IF(VLOOKUP($N53,Capa!$A:$AE,AW$5,0)="",0,VLOOKUP($N53,Capa!$A:$AE,AW$5,0)),0),IF(ISERROR(1/VLOOKUP($N53,Capa!$A:$AE,AW$5,0)),0,1/VLOOKUP($N53,Capa!$A:$AE,AW$5,0))))</f>
        <v/>
      </c>
      <c r="AX53" s="118" t="str">
        <f>IF(AX$6="","",IF(AX$3="Maior",IFERROR(IF(VLOOKUP($N53,Capa!$A:$AE,AX$5,0)="",0,VLOOKUP($N53,Capa!$A:$AE,AX$5,0)),0),IF(ISERROR(1/VLOOKUP($N53,Capa!$A:$AE,AX$5,0)),0,1/VLOOKUP($N53,Capa!$A:$AE,AX$5,0))))</f>
        <v/>
      </c>
      <c r="AY53" s="118" t="str">
        <f>IF(AY$6="","",IF(AY$3="Maior",IFERROR(IF(VLOOKUP($N53,Capa!$A:$AE,AY$5,0)="",0,VLOOKUP($N53,Capa!$A:$AE,AY$5,0)),0),IF(ISERROR(1/VLOOKUP($N53,Capa!$A:$AE,AY$5,0)),0,1/VLOOKUP($N53,Capa!$A:$AE,AY$5,0))))</f>
        <v/>
      </c>
      <c r="AZ53" s="118" t="str">
        <f>IF(AZ$6="","",IF(AZ$3="Maior",IFERROR(IF(VLOOKUP($N53,Capa!$A:$AE,AZ$5,0)="",0,VLOOKUP($N53,Capa!$A:$AE,AZ$5,0)),0),IF(ISERROR(1/VLOOKUP($N53,Capa!$A:$AE,AZ$5,0)),0,1/VLOOKUP($N53,Capa!$A:$AE,AZ$5,0))))</f>
        <v/>
      </c>
      <c r="BA53" s="118" t="str">
        <f>IF(BA$6="","",IF(BA$3="Maior",IFERROR(IF(VLOOKUP($N53,Capa!$A:$AE,BA$5,0)="",0,VLOOKUP($N53,Capa!$A:$AE,BA$5,0)),0),IF(ISERROR(1/VLOOKUP($N53,Capa!$A:$AE,BA$5,0)),0,1/VLOOKUP($N53,Capa!$A:$AE,BA$5,0))))</f>
        <v/>
      </c>
      <c r="BB53" s="118" t="str">
        <f>IF(BB$6="","",IF(BB$3="Maior",IFERROR(IF(VLOOKUP($N53,Capa!$A:$AE,BB$5,0)="",0,VLOOKUP($N53,Capa!$A:$AE,BB$5,0)),0),IF(ISERROR(1/VLOOKUP($N53,Capa!$A:$AE,BB$5,0)),0,1/VLOOKUP($N53,Capa!$A:$AE,BB$5,0))))</f>
        <v/>
      </c>
      <c r="BC53" s="118" t="str">
        <f>IF(BC$6="","",IF(BC$3="Maior",IFERROR(IF(VLOOKUP($N53,Capa!$A:$AE,BC$5,0)="",0,VLOOKUP($N53,Capa!$A:$AE,BC$5,0)),0),IF(ISERROR(1/VLOOKUP($N53,Capa!$A:$AE,BC$5,0)),0,1/VLOOKUP($N53,Capa!$A:$AE,BC$5,0))))</f>
        <v/>
      </c>
      <c r="BD53" s="118" t="str">
        <f>IF(BD$6="","",IF(BD$3="Maior",IFERROR(IF(VLOOKUP($N53,Capa!$A:$AE,BD$5,0)="",0,VLOOKUP($N53,Capa!$A:$AE,BD$5,0)),0),IF(ISERROR(1/VLOOKUP($N53,Capa!$A:$AE,BD$5,0)),0,1/VLOOKUP($N53,Capa!$A:$AE,BD$5,0))))</f>
        <v/>
      </c>
      <c r="BE53" s="118" t="str">
        <f>IF(BE$6="","",IF(BE$3="Maior",IFERROR(IF(VLOOKUP($N53,Capa!$A:$AE,BE$5,0)="",0,VLOOKUP($N53,Capa!$A:$AE,BE$5,0)),0),IF(ISERROR(1/VLOOKUP($N53,Capa!$A:$AE,BE$5,0)),0,1/VLOOKUP($N53,Capa!$A:$AE,BE$5,0))))</f>
        <v/>
      </c>
      <c r="BF53" s="118" t="str">
        <f>IF(BF$6="","",IF(BF$3="Maior",IFERROR(IF(VLOOKUP($N53,Capa!$A:$AE,BF$5,0)="",0,VLOOKUP($N53,Capa!$A:$AE,BF$5,0)),0),IF(ISERROR(1/VLOOKUP($N53,Capa!$A:$AE,BF$5,0)),0,1/VLOOKUP($N53,Capa!$A:$AE,BF$5,0))))</f>
        <v/>
      </c>
      <c r="BG53" s="118" t="str">
        <f>IF(BG$6="","",IF(BG$3="Maior",IFERROR(IF(VLOOKUP($N53,Capa!$A:$AE,BG$5,0)="",0,VLOOKUP($N53,Capa!$A:$AE,BG$5,0)),0),IF(ISERROR(1/VLOOKUP($N53,Capa!$A:$AE,BG$5,0)),0,1/VLOOKUP($N53,Capa!$A:$AE,BG$5,0))))</f>
        <v/>
      </c>
      <c r="BH53" s="118" t="str">
        <f>IF(BH$6="","",IF(BH$3="Maior",IFERROR(IF(VLOOKUP($N53,Capa!$A:$AE,BH$5,0)="",0,VLOOKUP($N53,Capa!$A:$AE,BH$5,0)),0),IF(ISERROR(1/VLOOKUP($N53,Capa!$A:$AE,BH$5,0)),0,1/VLOOKUP($N53,Capa!$A:$AE,BH$5,0))))</f>
        <v/>
      </c>
      <c r="BI53" s="118" t="str">
        <f>IF(BI$6="","",IF(BI$3="Maior",IFERROR(IF(VLOOKUP($N53,Capa!$A:$AE,BI$5,0)="",0,VLOOKUP($N53,Capa!$A:$AE,BI$5,0)),0),IF(ISERROR(1/VLOOKUP($N53,Capa!$A:$AE,BI$5,0)),0,1/VLOOKUP($N53,Capa!$A:$AE,BI$5,0))))</f>
        <v/>
      </c>
      <c r="BJ53" s="118" t="str">
        <f>IF(BJ$6="","",IF(BJ$3="Maior",IFERROR(IF(VLOOKUP($N53,Capa!$A:$AE,BJ$5,0)="",0,VLOOKUP($N53,Capa!$A:$AE,BJ$5,0)),0),IF(ISERROR(1/VLOOKUP($N53,Capa!$A:$AE,BJ$5,0)),0,1/VLOOKUP($N53,Capa!$A:$AE,BJ$5,0))))</f>
        <v/>
      </c>
      <c r="BK53" s="118" t="str">
        <f>IF(BK$6="","",IF(BK$3="Maior",IFERROR(IF(VLOOKUP($N53,Capa!$A:$AE,BK$5,0)="",0,VLOOKUP($N53,Capa!$A:$AE,BK$5,0)),0),IF(ISERROR(1/VLOOKUP($N53,Capa!$A:$AE,BK$5,0)),0,1/VLOOKUP($N53,Capa!$A:$AE,BK$5,0))))</f>
        <v/>
      </c>
      <c r="BL53" s="118" t="str">
        <f>IF(BL$6="","",IF(BL$3="Maior",IFERROR(IF(VLOOKUP($N53,Capa!$A:$AE,BL$5,0)="",0,VLOOKUP($N53,Capa!$A:$AE,BL$5,0)),0),IF(ISERROR(1/VLOOKUP($N53,Capa!$A:$AE,BL$5,0)),0,1/VLOOKUP($N53,Capa!$A:$AE,BL$5,0))))</f>
        <v/>
      </c>
      <c r="BM53" s="118" t="str">
        <f>IF(BM$6="","",IF(BM$3="Maior",IFERROR(IF(VLOOKUP($N53,Capa!$A:$AE,BM$5,0)="",0,VLOOKUP($N53,Capa!$A:$AE,BM$5,0)),0),IF(ISERROR(1/VLOOKUP($N53,Capa!$A:$AE,BM$5,0)),0,1/VLOOKUP($N53,Capa!$A:$AE,BM$5,0))))</f>
        <v/>
      </c>
      <c r="BN53" s="118" t="str">
        <f>IF(BN$6="","",IF(BN$3="Maior",IFERROR(IF(VLOOKUP($N53,Capa!$A:$AE,BN$5,0)="",0,VLOOKUP($N53,Capa!$A:$AE,BN$5,0)),0),IF(ISERROR(1/VLOOKUP($N53,Capa!$A:$AE,BN$5,0)),0,1/VLOOKUP($N53,Capa!$A:$AE,BN$5,0))))</f>
        <v/>
      </c>
      <c r="BO53" s="92"/>
    </row>
    <row r="54">
      <c r="G54" s="11"/>
      <c r="H54" s="8">
        <v>48.0</v>
      </c>
      <c r="I54" s="110" t="str">
        <f t="shared" si="6"/>
        <v>PCAR3</v>
      </c>
      <c r="J54" s="111" t="str">
        <f>VLOOKUP(left(I54,4),Setor!A:D,3,0)&amp;" | "&amp;VLOOKUP(left(I54,4),Setor!A:D,4,0)</f>
        <v>Consumo não Cíclico | Comércio e Distribuição</v>
      </c>
      <c r="K54" s="112">
        <f t="shared" si="7"/>
        <v>65994714.75</v>
      </c>
      <c r="L54" s="11"/>
      <c r="M54" s="11"/>
      <c r="N54" s="10" t="s">
        <v>100</v>
      </c>
      <c r="O54" s="113">
        <f t="shared" si="8"/>
        <v>1078.0289</v>
      </c>
      <c r="P54" s="114">
        <f>VLOOKUP(N54,'Dados StatusInvest'!A:Z,26,0)</f>
        <v>124862991.7</v>
      </c>
      <c r="Q54" s="115">
        <f t="shared" si="9"/>
        <v>289.0289</v>
      </c>
      <c r="R54" s="116">
        <f t="shared" ref="R54:AO54" si="57">IF(AQ54="","", RANK(AQ54,AQ$7:AQ$503,0))</f>
        <v>312</v>
      </c>
      <c r="S54" s="115">
        <f t="shared" si="57"/>
        <v>477</v>
      </c>
      <c r="T54" s="115" t="str">
        <f t="shared" si="57"/>
        <v/>
      </c>
      <c r="U54" s="115" t="str">
        <f t="shared" si="57"/>
        <v/>
      </c>
      <c r="V54" s="115" t="str">
        <f t="shared" si="57"/>
        <v/>
      </c>
      <c r="W54" s="115" t="str">
        <f t="shared" si="57"/>
        <v/>
      </c>
      <c r="X54" s="115" t="str">
        <f t="shared" si="57"/>
        <v/>
      </c>
      <c r="Y54" s="115" t="str">
        <f t="shared" si="57"/>
        <v/>
      </c>
      <c r="Z54" s="115" t="str">
        <f t="shared" si="57"/>
        <v/>
      </c>
      <c r="AA54" s="115" t="str">
        <f t="shared" si="57"/>
        <v/>
      </c>
      <c r="AB54" s="115" t="str">
        <f t="shared" si="57"/>
        <v/>
      </c>
      <c r="AC54" s="115" t="str">
        <f t="shared" si="57"/>
        <v/>
      </c>
      <c r="AD54" s="115" t="str">
        <f t="shared" si="57"/>
        <v/>
      </c>
      <c r="AE54" s="115" t="str">
        <f t="shared" si="57"/>
        <v/>
      </c>
      <c r="AF54" s="115" t="str">
        <f t="shared" si="57"/>
        <v/>
      </c>
      <c r="AG54" s="115" t="str">
        <f t="shared" si="57"/>
        <v/>
      </c>
      <c r="AH54" s="115" t="str">
        <f t="shared" si="57"/>
        <v/>
      </c>
      <c r="AI54" s="115" t="str">
        <f t="shared" si="57"/>
        <v/>
      </c>
      <c r="AJ54" s="115" t="str">
        <f t="shared" si="57"/>
        <v/>
      </c>
      <c r="AK54" s="115" t="str">
        <f t="shared" si="57"/>
        <v/>
      </c>
      <c r="AL54" s="115" t="str">
        <f t="shared" si="57"/>
        <v/>
      </c>
      <c r="AM54" s="115" t="str">
        <f t="shared" si="57"/>
        <v/>
      </c>
      <c r="AN54" s="115" t="str">
        <f t="shared" si="57"/>
        <v/>
      </c>
      <c r="AO54" s="115" t="str">
        <f t="shared" si="57"/>
        <v/>
      </c>
      <c r="AP54" s="117">
        <f>IF(AP$6="","",IF(AP$3="Maior",IFERROR(IF(VLOOKUP($N54,Capa!$A:$AE,AP$5,0)="",0,VLOOKUP($N54,Capa!$A:$AE,AP$5,0)),0),IF(ISERROR(1/VLOOKUP($N54,Capa!$A:$AE,AP$5,0)),0,1/VLOOKUP($N54,Capa!$A:$AE,AP$5,0))))</f>
        <v>0.06149198986</v>
      </c>
      <c r="AQ54" s="118">
        <f>IF(AQ$6="","",IF(AQ$3="Maior",IFERROR(IF(VLOOKUP($N54,Capa!$A:$AE,AQ$5,0)="",0,VLOOKUP($N54,Capa!$A:$AE,AQ$5,0)),0),IF(ISERROR(1/VLOOKUP($N54,Capa!$A:$AE,AQ$5,0)),0,1/VLOOKUP($N54,Capa!$A:$AE,AQ$5,0))))</f>
        <v>4.24</v>
      </c>
      <c r="AR54" s="118">
        <f>IF(AR$6="","",IF(AR$3="Maior",IFERROR(IF(VLOOKUP($N54,Capa!$A:$AE,AR$5,0)="",0,VLOOKUP($N54,Capa!$A:$AE,AR$5,0)),0),IF(ISERROR(1/VLOOKUP($N54,Capa!$A:$AE,AR$5,0)),0,1/VLOOKUP($N54,Capa!$A:$AE,AR$5,0))))</f>
        <v>-12.02</v>
      </c>
      <c r="AS54" s="118" t="str">
        <f>IF(AS$6="","",IF(AS$3="Maior",IFERROR(IF(VLOOKUP($N54,Capa!$A:$AE,AS$5,0)="",0,VLOOKUP($N54,Capa!$A:$AE,AS$5,0)),0),IF(ISERROR(1/VLOOKUP($N54,Capa!$A:$AE,AS$5,0)),0,1/VLOOKUP($N54,Capa!$A:$AE,AS$5,0))))</f>
        <v/>
      </c>
      <c r="AT54" s="118" t="str">
        <f>IF(AT$6="","",IF(AT$3="Maior",IFERROR(IF(VLOOKUP($N54,Capa!$A:$AE,AT$5,0)="",0,VLOOKUP($N54,Capa!$A:$AE,AT$5,0)),0),IF(ISERROR(1/VLOOKUP($N54,Capa!$A:$AE,AT$5,0)),0,1/VLOOKUP($N54,Capa!$A:$AE,AT$5,0))))</f>
        <v/>
      </c>
      <c r="AU54" s="118" t="str">
        <f>IF(AU$6="","",IF(AU$3="Maior",IFERROR(IF(VLOOKUP($N54,Capa!$A:$AE,AU$5,0)="",0,VLOOKUP($N54,Capa!$A:$AE,AU$5,0)),0),IF(ISERROR(1/VLOOKUP($N54,Capa!$A:$AE,AU$5,0)),0,1/VLOOKUP($N54,Capa!$A:$AE,AU$5,0))))</f>
        <v/>
      </c>
      <c r="AV54" s="118" t="str">
        <f>IF(AV$6="","",IF(AV$3="Maior",IFERROR(IF(VLOOKUP($N54,Capa!$A:$AE,AV$5,0)="",0,VLOOKUP($N54,Capa!$A:$AE,AV$5,0)),0),IF(ISERROR(1/VLOOKUP($N54,Capa!$A:$AE,AV$5,0)),0,1/VLOOKUP($N54,Capa!$A:$AE,AV$5,0))))</f>
        <v/>
      </c>
      <c r="AW54" s="118" t="str">
        <f>IF(AW$6="","",IF(AW$3="Maior",IFERROR(IF(VLOOKUP($N54,Capa!$A:$AE,AW$5,0)="",0,VLOOKUP($N54,Capa!$A:$AE,AW$5,0)),0),IF(ISERROR(1/VLOOKUP($N54,Capa!$A:$AE,AW$5,0)),0,1/VLOOKUP($N54,Capa!$A:$AE,AW$5,0))))</f>
        <v/>
      </c>
      <c r="AX54" s="118" t="str">
        <f>IF(AX$6="","",IF(AX$3="Maior",IFERROR(IF(VLOOKUP($N54,Capa!$A:$AE,AX$5,0)="",0,VLOOKUP($N54,Capa!$A:$AE,AX$5,0)),0),IF(ISERROR(1/VLOOKUP($N54,Capa!$A:$AE,AX$5,0)),0,1/VLOOKUP($N54,Capa!$A:$AE,AX$5,0))))</f>
        <v/>
      </c>
      <c r="AY54" s="118" t="str">
        <f>IF(AY$6="","",IF(AY$3="Maior",IFERROR(IF(VLOOKUP($N54,Capa!$A:$AE,AY$5,0)="",0,VLOOKUP($N54,Capa!$A:$AE,AY$5,0)),0),IF(ISERROR(1/VLOOKUP($N54,Capa!$A:$AE,AY$5,0)),0,1/VLOOKUP($N54,Capa!$A:$AE,AY$5,0))))</f>
        <v/>
      </c>
      <c r="AZ54" s="118" t="str">
        <f>IF(AZ$6="","",IF(AZ$3="Maior",IFERROR(IF(VLOOKUP($N54,Capa!$A:$AE,AZ$5,0)="",0,VLOOKUP($N54,Capa!$A:$AE,AZ$5,0)),0),IF(ISERROR(1/VLOOKUP($N54,Capa!$A:$AE,AZ$5,0)),0,1/VLOOKUP($N54,Capa!$A:$AE,AZ$5,0))))</f>
        <v/>
      </c>
      <c r="BA54" s="118" t="str">
        <f>IF(BA$6="","",IF(BA$3="Maior",IFERROR(IF(VLOOKUP($N54,Capa!$A:$AE,BA$5,0)="",0,VLOOKUP($N54,Capa!$A:$AE,BA$5,0)),0),IF(ISERROR(1/VLOOKUP($N54,Capa!$A:$AE,BA$5,0)),0,1/VLOOKUP($N54,Capa!$A:$AE,BA$5,0))))</f>
        <v/>
      </c>
      <c r="BB54" s="118" t="str">
        <f>IF(BB$6="","",IF(BB$3="Maior",IFERROR(IF(VLOOKUP($N54,Capa!$A:$AE,BB$5,0)="",0,VLOOKUP($N54,Capa!$A:$AE,BB$5,0)),0),IF(ISERROR(1/VLOOKUP($N54,Capa!$A:$AE,BB$5,0)),0,1/VLOOKUP($N54,Capa!$A:$AE,BB$5,0))))</f>
        <v/>
      </c>
      <c r="BC54" s="118" t="str">
        <f>IF(BC$6="","",IF(BC$3="Maior",IFERROR(IF(VLOOKUP($N54,Capa!$A:$AE,BC$5,0)="",0,VLOOKUP($N54,Capa!$A:$AE,BC$5,0)),0),IF(ISERROR(1/VLOOKUP($N54,Capa!$A:$AE,BC$5,0)),0,1/VLOOKUP($N54,Capa!$A:$AE,BC$5,0))))</f>
        <v/>
      </c>
      <c r="BD54" s="118" t="str">
        <f>IF(BD$6="","",IF(BD$3="Maior",IFERROR(IF(VLOOKUP($N54,Capa!$A:$AE,BD$5,0)="",0,VLOOKUP($N54,Capa!$A:$AE,BD$5,0)),0),IF(ISERROR(1/VLOOKUP($N54,Capa!$A:$AE,BD$5,0)),0,1/VLOOKUP($N54,Capa!$A:$AE,BD$5,0))))</f>
        <v/>
      </c>
      <c r="BE54" s="118" t="str">
        <f>IF(BE$6="","",IF(BE$3="Maior",IFERROR(IF(VLOOKUP($N54,Capa!$A:$AE,BE$5,0)="",0,VLOOKUP($N54,Capa!$A:$AE,BE$5,0)),0),IF(ISERROR(1/VLOOKUP($N54,Capa!$A:$AE,BE$5,0)),0,1/VLOOKUP($N54,Capa!$A:$AE,BE$5,0))))</f>
        <v/>
      </c>
      <c r="BF54" s="118" t="str">
        <f>IF(BF$6="","",IF(BF$3="Maior",IFERROR(IF(VLOOKUP($N54,Capa!$A:$AE,BF$5,0)="",0,VLOOKUP($N54,Capa!$A:$AE,BF$5,0)),0),IF(ISERROR(1/VLOOKUP($N54,Capa!$A:$AE,BF$5,0)),0,1/VLOOKUP($N54,Capa!$A:$AE,BF$5,0))))</f>
        <v/>
      </c>
      <c r="BG54" s="118" t="str">
        <f>IF(BG$6="","",IF(BG$3="Maior",IFERROR(IF(VLOOKUP($N54,Capa!$A:$AE,BG$5,0)="",0,VLOOKUP($N54,Capa!$A:$AE,BG$5,0)),0),IF(ISERROR(1/VLOOKUP($N54,Capa!$A:$AE,BG$5,0)),0,1/VLOOKUP($N54,Capa!$A:$AE,BG$5,0))))</f>
        <v/>
      </c>
      <c r="BH54" s="118" t="str">
        <f>IF(BH$6="","",IF(BH$3="Maior",IFERROR(IF(VLOOKUP($N54,Capa!$A:$AE,BH$5,0)="",0,VLOOKUP($N54,Capa!$A:$AE,BH$5,0)),0),IF(ISERROR(1/VLOOKUP($N54,Capa!$A:$AE,BH$5,0)),0,1/VLOOKUP($N54,Capa!$A:$AE,BH$5,0))))</f>
        <v/>
      </c>
      <c r="BI54" s="118" t="str">
        <f>IF(BI$6="","",IF(BI$3="Maior",IFERROR(IF(VLOOKUP($N54,Capa!$A:$AE,BI$5,0)="",0,VLOOKUP($N54,Capa!$A:$AE,BI$5,0)),0),IF(ISERROR(1/VLOOKUP($N54,Capa!$A:$AE,BI$5,0)),0,1/VLOOKUP($N54,Capa!$A:$AE,BI$5,0))))</f>
        <v/>
      </c>
      <c r="BJ54" s="118" t="str">
        <f>IF(BJ$6="","",IF(BJ$3="Maior",IFERROR(IF(VLOOKUP($N54,Capa!$A:$AE,BJ$5,0)="",0,VLOOKUP($N54,Capa!$A:$AE,BJ$5,0)),0),IF(ISERROR(1/VLOOKUP($N54,Capa!$A:$AE,BJ$5,0)),0,1/VLOOKUP($N54,Capa!$A:$AE,BJ$5,0))))</f>
        <v/>
      </c>
      <c r="BK54" s="118" t="str">
        <f>IF(BK$6="","",IF(BK$3="Maior",IFERROR(IF(VLOOKUP($N54,Capa!$A:$AE,BK$5,0)="",0,VLOOKUP($N54,Capa!$A:$AE,BK$5,0)),0),IF(ISERROR(1/VLOOKUP($N54,Capa!$A:$AE,BK$5,0)),0,1/VLOOKUP($N54,Capa!$A:$AE,BK$5,0))))</f>
        <v/>
      </c>
      <c r="BL54" s="118" t="str">
        <f>IF(BL$6="","",IF(BL$3="Maior",IFERROR(IF(VLOOKUP($N54,Capa!$A:$AE,BL$5,0)="",0,VLOOKUP($N54,Capa!$A:$AE,BL$5,0)),0),IF(ISERROR(1/VLOOKUP($N54,Capa!$A:$AE,BL$5,0)),0,1/VLOOKUP($N54,Capa!$A:$AE,BL$5,0))))</f>
        <v/>
      </c>
      <c r="BM54" s="118" t="str">
        <f>IF(BM$6="","",IF(BM$3="Maior",IFERROR(IF(VLOOKUP($N54,Capa!$A:$AE,BM$5,0)="",0,VLOOKUP($N54,Capa!$A:$AE,BM$5,0)),0),IF(ISERROR(1/VLOOKUP($N54,Capa!$A:$AE,BM$5,0)),0,1/VLOOKUP($N54,Capa!$A:$AE,BM$5,0))))</f>
        <v/>
      </c>
      <c r="BN54" s="118" t="str">
        <f>IF(BN$6="","",IF(BN$3="Maior",IFERROR(IF(VLOOKUP($N54,Capa!$A:$AE,BN$5,0)="",0,VLOOKUP($N54,Capa!$A:$AE,BN$5,0)),0),IF(ISERROR(1/VLOOKUP($N54,Capa!$A:$AE,BN$5,0)),0,1/VLOOKUP($N54,Capa!$A:$AE,BN$5,0))))</f>
        <v/>
      </c>
      <c r="BO54" s="92"/>
    </row>
    <row r="55">
      <c r="G55" s="11"/>
      <c r="H55" s="8">
        <v>49.0</v>
      </c>
      <c r="I55" s="110" t="str">
        <f t="shared" si="6"/>
        <v>ROMI3</v>
      </c>
      <c r="J55" s="111" t="str">
        <f>VLOOKUP(left(I55,4),Setor!A:D,3,0)&amp;" | "&amp;VLOOKUP(left(I55,4),Setor!A:D,4,0)</f>
        <v>Bens Industriais | Máquinas e Equipamentos</v>
      </c>
      <c r="K55" s="112">
        <f t="shared" si="7"/>
        <v>10374740.88</v>
      </c>
      <c r="L55" s="11"/>
      <c r="M55" s="11"/>
      <c r="N55" s="10" t="s">
        <v>101</v>
      </c>
      <c r="O55" s="113">
        <f t="shared" si="8"/>
        <v>708.0365</v>
      </c>
      <c r="P55" s="114">
        <f>VLOOKUP(N55,'Dados StatusInvest'!A:Z,26,0)</f>
        <v>133069702.7</v>
      </c>
      <c r="Q55" s="115">
        <f t="shared" si="9"/>
        <v>365.0365</v>
      </c>
      <c r="R55" s="116">
        <f t="shared" ref="R55:AO55" si="58">IF(AQ55="","", RANK(AQ55,AQ$7:AQ$503,0))</f>
        <v>139</v>
      </c>
      <c r="S55" s="115">
        <f t="shared" si="58"/>
        <v>204</v>
      </c>
      <c r="T55" s="115" t="str">
        <f t="shared" si="58"/>
        <v/>
      </c>
      <c r="U55" s="115" t="str">
        <f t="shared" si="58"/>
        <v/>
      </c>
      <c r="V55" s="115" t="str">
        <f t="shared" si="58"/>
        <v/>
      </c>
      <c r="W55" s="115" t="str">
        <f t="shared" si="58"/>
        <v/>
      </c>
      <c r="X55" s="115" t="str">
        <f t="shared" si="58"/>
        <v/>
      </c>
      <c r="Y55" s="115" t="str">
        <f t="shared" si="58"/>
        <v/>
      </c>
      <c r="Z55" s="115" t="str">
        <f t="shared" si="58"/>
        <v/>
      </c>
      <c r="AA55" s="115" t="str">
        <f t="shared" si="58"/>
        <v/>
      </c>
      <c r="AB55" s="115" t="str">
        <f t="shared" si="58"/>
        <v/>
      </c>
      <c r="AC55" s="115" t="str">
        <f t="shared" si="58"/>
        <v/>
      </c>
      <c r="AD55" s="115" t="str">
        <f t="shared" si="58"/>
        <v/>
      </c>
      <c r="AE55" s="115" t="str">
        <f t="shared" si="58"/>
        <v/>
      </c>
      <c r="AF55" s="115" t="str">
        <f t="shared" si="58"/>
        <v/>
      </c>
      <c r="AG55" s="115" t="str">
        <f t="shared" si="58"/>
        <v/>
      </c>
      <c r="AH55" s="115" t="str">
        <f t="shared" si="58"/>
        <v/>
      </c>
      <c r="AI55" s="115" t="str">
        <f t="shared" si="58"/>
        <v/>
      </c>
      <c r="AJ55" s="115" t="str">
        <f t="shared" si="58"/>
        <v/>
      </c>
      <c r="AK55" s="115" t="str">
        <f t="shared" si="58"/>
        <v/>
      </c>
      <c r="AL55" s="115" t="str">
        <f t="shared" si="58"/>
        <v/>
      </c>
      <c r="AM55" s="115" t="str">
        <f t="shared" si="58"/>
        <v/>
      </c>
      <c r="AN55" s="115" t="str">
        <f t="shared" si="58"/>
        <v/>
      </c>
      <c r="AO55" s="115" t="str">
        <f t="shared" si="58"/>
        <v/>
      </c>
      <c r="AP55" s="117">
        <f>IF(AP$6="","",IF(AP$3="Maior",IFERROR(IF(VLOOKUP($N55,Capa!$A:$AE,AP$5,0)="",0,VLOOKUP($N55,Capa!$A:$AE,AP$5,0)),0),IF(ISERROR(1/VLOOKUP($N55,Capa!$A:$AE,AP$5,0)),0,1/VLOOKUP($N55,Capa!$A:$AE,AP$5,0))))</f>
        <v>0.02144030889</v>
      </c>
      <c r="AQ55" s="118">
        <f>IF(AQ$6="","",IF(AQ$3="Maior",IFERROR(IF(VLOOKUP($N55,Capa!$A:$AE,AQ$5,0)="",0,VLOOKUP($N55,Capa!$A:$AE,AQ$5,0)),0),IF(ISERROR(1/VLOOKUP($N55,Capa!$A:$AE,AQ$5,0)),0,1/VLOOKUP($N55,Capa!$A:$AE,AQ$5,0))))</f>
        <v>14.52</v>
      </c>
      <c r="AR55" s="118">
        <f>IF(AR$6="","",IF(AR$3="Maior",IFERROR(IF(VLOOKUP($N55,Capa!$A:$AE,AR$5,0)="",0,VLOOKUP($N55,Capa!$A:$AE,AR$5,0)),0),IF(ISERROR(1/VLOOKUP($N55,Capa!$A:$AE,AR$5,0)),0,1/VLOOKUP($N55,Capa!$A:$AE,AR$5,0))))</f>
        <v>1.86</v>
      </c>
      <c r="AS55" s="118" t="str">
        <f>IF(AS$6="","",IF(AS$3="Maior",IFERROR(IF(VLOOKUP($N55,Capa!$A:$AE,AS$5,0)="",0,VLOOKUP($N55,Capa!$A:$AE,AS$5,0)),0),IF(ISERROR(1/VLOOKUP($N55,Capa!$A:$AE,AS$5,0)),0,1/VLOOKUP($N55,Capa!$A:$AE,AS$5,0))))</f>
        <v/>
      </c>
      <c r="AT55" s="118" t="str">
        <f>IF(AT$6="","",IF(AT$3="Maior",IFERROR(IF(VLOOKUP($N55,Capa!$A:$AE,AT$5,0)="",0,VLOOKUP($N55,Capa!$A:$AE,AT$5,0)),0),IF(ISERROR(1/VLOOKUP($N55,Capa!$A:$AE,AT$5,0)),0,1/VLOOKUP($N55,Capa!$A:$AE,AT$5,0))))</f>
        <v/>
      </c>
      <c r="AU55" s="118" t="str">
        <f>IF(AU$6="","",IF(AU$3="Maior",IFERROR(IF(VLOOKUP($N55,Capa!$A:$AE,AU$5,0)="",0,VLOOKUP($N55,Capa!$A:$AE,AU$5,0)),0),IF(ISERROR(1/VLOOKUP($N55,Capa!$A:$AE,AU$5,0)),0,1/VLOOKUP($N55,Capa!$A:$AE,AU$5,0))))</f>
        <v/>
      </c>
      <c r="AV55" s="118" t="str">
        <f>IF(AV$6="","",IF(AV$3="Maior",IFERROR(IF(VLOOKUP($N55,Capa!$A:$AE,AV$5,0)="",0,VLOOKUP($N55,Capa!$A:$AE,AV$5,0)),0),IF(ISERROR(1/VLOOKUP($N55,Capa!$A:$AE,AV$5,0)),0,1/VLOOKUP($N55,Capa!$A:$AE,AV$5,0))))</f>
        <v/>
      </c>
      <c r="AW55" s="118" t="str">
        <f>IF(AW$6="","",IF(AW$3="Maior",IFERROR(IF(VLOOKUP($N55,Capa!$A:$AE,AW$5,0)="",0,VLOOKUP($N55,Capa!$A:$AE,AW$5,0)),0),IF(ISERROR(1/VLOOKUP($N55,Capa!$A:$AE,AW$5,0)),0,1/VLOOKUP($N55,Capa!$A:$AE,AW$5,0))))</f>
        <v/>
      </c>
      <c r="AX55" s="118" t="str">
        <f>IF(AX$6="","",IF(AX$3="Maior",IFERROR(IF(VLOOKUP($N55,Capa!$A:$AE,AX$5,0)="",0,VLOOKUP($N55,Capa!$A:$AE,AX$5,0)),0),IF(ISERROR(1/VLOOKUP($N55,Capa!$A:$AE,AX$5,0)),0,1/VLOOKUP($N55,Capa!$A:$AE,AX$5,0))))</f>
        <v/>
      </c>
      <c r="AY55" s="118" t="str">
        <f>IF(AY$6="","",IF(AY$3="Maior",IFERROR(IF(VLOOKUP($N55,Capa!$A:$AE,AY$5,0)="",0,VLOOKUP($N55,Capa!$A:$AE,AY$5,0)),0),IF(ISERROR(1/VLOOKUP($N55,Capa!$A:$AE,AY$5,0)),0,1/VLOOKUP($N55,Capa!$A:$AE,AY$5,0))))</f>
        <v/>
      </c>
      <c r="AZ55" s="118" t="str">
        <f>IF(AZ$6="","",IF(AZ$3="Maior",IFERROR(IF(VLOOKUP($N55,Capa!$A:$AE,AZ$5,0)="",0,VLOOKUP($N55,Capa!$A:$AE,AZ$5,0)),0),IF(ISERROR(1/VLOOKUP($N55,Capa!$A:$AE,AZ$5,0)),0,1/VLOOKUP($N55,Capa!$A:$AE,AZ$5,0))))</f>
        <v/>
      </c>
      <c r="BA55" s="118" t="str">
        <f>IF(BA$6="","",IF(BA$3="Maior",IFERROR(IF(VLOOKUP($N55,Capa!$A:$AE,BA$5,0)="",0,VLOOKUP($N55,Capa!$A:$AE,BA$5,0)),0),IF(ISERROR(1/VLOOKUP($N55,Capa!$A:$AE,BA$5,0)),0,1/VLOOKUP($N55,Capa!$A:$AE,BA$5,0))))</f>
        <v/>
      </c>
      <c r="BB55" s="118" t="str">
        <f>IF(BB$6="","",IF(BB$3="Maior",IFERROR(IF(VLOOKUP($N55,Capa!$A:$AE,BB$5,0)="",0,VLOOKUP($N55,Capa!$A:$AE,BB$5,0)),0),IF(ISERROR(1/VLOOKUP($N55,Capa!$A:$AE,BB$5,0)),0,1/VLOOKUP($N55,Capa!$A:$AE,BB$5,0))))</f>
        <v/>
      </c>
      <c r="BC55" s="118" t="str">
        <f>IF(BC$6="","",IF(BC$3="Maior",IFERROR(IF(VLOOKUP($N55,Capa!$A:$AE,BC$5,0)="",0,VLOOKUP($N55,Capa!$A:$AE,BC$5,0)),0),IF(ISERROR(1/VLOOKUP($N55,Capa!$A:$AE,BC$5,0)),0,1/VLOOKUP($N55,Capa!$A:$AE,BC$5,0))))</f>
        <v/>
      </c>
      <c r="BD55" s="118" t="str">
        <f>IF(BD$6="","",IF(BD$3="Maior",IFERROR(IF(VLOOKUP($N55,Capa!$A:$AE,BD$5,0)="",0,VLOOKUP($N55,Capa!$A:$AE,BD$5,0)),0),IF(ISERROR(1/VLOOKUP($N55,Capa!$A:$AE,BD$5,0)),0,1/VLOOKUP($N55,Capa!$A:$AE,BD$5,0))))</f>
        <v/>
      </c>
      <c r="BE55" s="118" t="str">
        <f>IF(BE$6="","",IF(BE$3="Maior",IFERROR(IF(VLOOKUP($N55,Capa!$A:$AE,BE$5,0)="",0,VLOOKUP($N55,Capa!$A:$AE,BE$5,0)),0),IF(ISERROR(1/VLOOKUP($N55,Capa!$A:$AE,BE$5,0)),0,1/VLOOKUP($N55,Capa!$A:$AE,BE$5,0))))</f>
        <v/>
      </c>
      <c r="BF55" s="118" t="str">
        <f>IF(BF$6="","",IF(BF$3="Maior",IFERROR(IF(VLOOKUP($N55,Capa!$A:$AE,BF$5,0)="",0,VLOOKUP($N55,Capa!$A:$AE,BF$5,0)),0),IF(ISERROR(1/VLOOKUP($N55,Capa!$A:$AE,BF$5,0)),0,1/VLOOKUP($N55,Capa!$A:$AE,BF$5,0))))</f>
        <v/>
      </c>
      <c r="BG55" s="118" t="str">
        <f>IF(BG$6="","",IF(BG$3="Maior",IFERROR(IF(VLOOKUP($N55,Capa!$A:$AE,BG$5,0)="",0,VLOOKUP($N55,Capa!$A:$AE,BG$5,0)),0),IF(ISERROR(1/VLOOKUP($N55,Capa!$A:$AE,BG$5,0)),0,1/VLOOKUP($N55,Capa!$A:$AE,BG$5,0))))</f>
        <v/>
      </c>
      <c r="BH55" s="118" t="str">
        <f>IF(BH$6="","",IF(BH$3="Maior",IFERROR(IF(VLOOKUP($N55,Capa!$A:$AE,BH$5,0)="",0,VLOOKUP($N55,Capa!$A:$AE,BH$5,0)),0),IF(ISERROR(1/VLOOKUP($N55,Capa!$A:$AE,BH$5,0)),0,1/VLOOKUP($N55,Capa!$A:$AE,BH$5,0))))</f>
        <v/>
      </c>
      <c r="BI55" s="118" t="str">
        <f>IF(BI$6="","",IF(BI$3="Maior",IFERROR(IF(VLOOKUP($N55,Capa!$A:$AE,BI$5,0)="",0,VLOOKUP($N55,Capa!$A:$AE,BI$5,0)),0),IF(ISERROR(1/VLOOKUP($N55,Capa!$A:$AE,BI$5,0)),0,1/VLOOKUP($N55,Capa!$A:$AE,BI$5,0))))</f>
        <v/>
      </c>
      <c r="BJ55" s="118" t="str">
        <f>IF(BJ$6="","",IF(BJ$3="Maior",IFERROR(IF(VLOOKUP($N55,Capa!$A:$AE,BJ$5,0)="",0,VLOOKUP($N55,Capa!$A:$AE,BJ$5,0)),0),IF(ISERROR(1/VLOOKUP($N55,Capa!$A:$AE,BJ$5,0)),0,1/VLOOKUP($N55,Capa!$A:$AE,BJ$5,0))))</f>
        <v/>
      </c>
      <c r="BK55" s="118" t="str">
        <f>IF(BK$6="","",IF(BK$3="Maior",IFERROR(IF(VLOOKUP($N55,Capa!$A:$AE,BK$5,0)="",0,VLOOKUP($N55,Capa!$A:$AE,BK$5,0)),0),IF(ISERROR(1/VLOOKUP($N55,Capa!$A:$AE,BK$5,0)),0,1/VLOOKUP($N55,Capa!$A:$AE,BK$5,0))))</f>
        <v/>
      </c>
      <c r="BL55" s="118" t="str">
        <f>IF(BL$6="","",IF(BL$3="Maior",IFERROR(IF(VLOOKUP($N55,Capa!$A:$AE,BL$5,0)="",0,VLOOKUP($N55,Capa!$A:$AE,BL$5,0)),0),IF(ISERROR(1/VLOOKUP($N55,Capa!$A:$AE,BL$5,0)),0,1/VLOOKUP($N55,Capa!$A:$AE,BL$5,0))))</f>
        <v/>
      </c>
      <c r="BM55" s="118" t="str">
        <f>IF(BM$6="","",IF(BM$3="Maior",IFERROR(IF(VLOOKUP($N55,Capa!$A:$AE,BM$5,0)="",0,VLOOKUP($N55,Capa!$A:$AE,BM$5,0)),0),IF(ISERROR(1/VLOOKUP($N55,Capa!$A:$AE,BM$5,0)),0,1/VLOOKUP($N55,Capa!$A:$AE,BM$5,0))))</f>
        <v/>
      </c>
      <c r="BN55" s="118" t="str">
        <f>IF(BN$6="","",IF(BN$3="Maior",IFERROR(IF(VLOOKUP($N55,Capa!$A:$AE,BN$5,0)="",0,VLOOKUP($N55,Capa!$A:$AE,BN$5,0)),0),IF(ISERROR(1/VLOOKUP($N55,Capa!$A:$AE,BN$5,0)),0,1/VLOOKUP($N55,Capa!$A:$AE,BN$5,0))))</f>
        <v/>
      </c>
      <c r="BO55" s="92"/>
    </row>
    <row r="56">
      <c r="G56" s="11"/>
      <c r="H56" s="8">
        <v>50.0</v>
      </c>
      <c r="I56" s="110" t="str">
        <f t="shared" si="6"/>
        <v>CRFB3</v>
      </c>
      <c r="J56" s="111" t="str">
        <f>VLOOKUP(left(I56,4),Setor!A:D,3,0)&amp;" | "&amp;VLOOKUP(left(I56,4),Setor!A:D,4,0)</f>
        <v>Consumo não Cíclico | Comércio e Distribuição</v>
      </c>
      <c r="K56" s="112">
        <f t="shared" si="7"/>
        <v>91569616.75</v>
      </c>
      <c r="L56" s="11"/>
      <c r="M56" s="11"/>
      <c r="N56" s="10" t="s">
        <v>102</v>
      </c>
      <c r="O56" s="113">
        <f t="shared" si="8"/>
        <v>593.0341</v>
      </c>
      <c r="P56" s="114">
        <f>VLOOKUP(N56,'Dados StatusInvest'!A:Z,26,0)</f>
        <v>143698854.5</v>
      </c>
      <c r="Q56" s="115">
        <f t="shared" si="9"/>
        <v>341.0341</v>
      </c>
      <c r="R56" s="116">
        <f t="shared" ref="R56:AO56" si="59">IF(AQ56="","", RANK(AQ56,AQ$7:AQ$503,0))</f>
        <v>108</v>
      </c>
      <c r="S56" s="115">
        <f t="shared" si="59"/>
        <v>144</v>
      </c>
      <c r="T56" s="115" t="str">
        <f t="shared" si="59"/>
        <v/>
      </c>
      <c r="U56" s="115" t="str">
        <f t="shared" si="59"/>
        <v/>
      </c>
      <c r="V56" s="115" t="str">
        <f t="shared" si="59"/>
        <v/>
      </c>
      <c r="W56" s="115" t="str">
        <f t="shared" si="59"/>
        <v/>
      </c>
      <c r="X56" s="115" t="str">
        <f t="shared" si="59"/>
        <v/>
      </c>
      <c r="Y56" s="115" t="str">
        <f t="shared" si="59"/>
        <v/>
      </c>
      <c r="Z56" s="115" t="str">
        <f t="shared" si="59"/>
        <v/>
      </c>
      <c r="AA56" s="115" t="str">
        <f t="shared" si="59"/>
        <v/>
      </c>
      <c r="AB56" s="115" t="str">
        <f t="shared" si="59"/>
        <v/>
      </c>
      <c r="AC56" s="115" t="str">
        <f t="shared" si="59"/>
        <v/>
      </c>
      <c r="AD56" s="115" t="str">
        <f t="shared" si="59"/>
        <v/>
      </c>
      <c r="AE56" s="115" t="str">
        <f t="shared" si="59"/>
        <v/>
      </c>
      <c r="AF56" s="115" t="str">
        <f t="shared" si="59"/>
        <v/>
      </c>
      <c r="AG56" s="115" t="str">
        <f t="shared" si="59"/>
        <v/>
      </c>
      <c r="AH56" s="115" t="str">
        <f t="shared" si="59"/>
        <v/>
      </c>
      <c r="AI56" s="115" t="str">
        <f t="shared" si="59"/>
        <v/>
      </c>
      <c r="AJ56" s="115" t="str">
        <f t="shared" si="59"/>
        <v/>
      </c>
      <c r="AK56" s="115" t="str">
        <f t="shared" si="59"/>
        <v/>
      </c>
      <c r="AL56" s="115" t="str">
        <f t="shared" si="59"/>
        <v/>
      </c>
      <c r="AM56" s="115" t="str">
        <f t="shared" si="59"/>
        <v/>
      </c>
      <c r="AN56" s="115" t="str">
        <f t="shared" si="59"/>
        <v/>
      </c>
      <c r="AO56" s="115" t="str">
        <f t="shared" si="59"/>
        <v/>
      </c>
      <c r="AP56" s="117">
        <f>IF(AP$6="","",IF(AP$3="Maior",IFERROR(IF(VLOOKUP($N56,Capa!$A:$AE,AP$5,0)="",0,VLOOKUP($N56,Capa!$A:$AE,AP$5,0)),0),IF(ISERROR(1/VLOOKUP($N56,Capa!$A:$AE,AP$5,0)),0,1/VLOOKUP($N56,Capa!$A:$AE,AP$5,0))))</f>
        <v>0.03295305848</v>
      </c>
      <c r="AQ56" s="118">
        <f>IF(AQ$6="","",IF(AQ$3="Maior",IFERROR(IF(VLOOKUP($N56,Capa!$A:$AE,AQ$5,0)="",0,VLOOKUP($N56,Capa!$A:$AE,AQ$5,0)),0),IF(ISERROR(1/VLOOKUP($N56,Capa!$A:$AE,AQ$5,0)),0,1/VLOOKUP($N56,Capa!$A:$AE,AQ$5,0))))</f>
        <v>16.99</v>
      </c>
      <c r="AR56" s="118">
        <f>IF(AR$6="","",IF(AR$3="Maior",IFERROR(IF(VLOOKUP($N56,Capa!$A:$AE,AR$5,0)="",0,VLOOKUP($N56,Capa!$A:$AE,AR$5,0)),0),IF(ISERROR(1/VLOOKUP($N56,Capa!$A:$AE,AR$5,0)),0,1/VLOOKUP($N56,Capa!$A:$AE,AR$5,0))))</f>
        <v>16.93</v>
      </c>
      <c r="AS56" s="118" t="str">
        <f>IF(AS$6="","",IF(AS$3="Maior",IFERROR(IF(VLOOKUP($N56,Capa!$A:$AE,AS$5,0)="",0,VLOOKUP($N56,Capa!$A:$AE,AS$5,0)),0),IF(ISERROR(1/VLOOKUP($N56,Capa!$A:$AE,AS$5,0)),0,1/VLOOKUP($N56,Capa!$A:$AE,AS$5,0))))</f>
        <v/>
      </c>
      <c r="AT56" s="118" t="str">
        <f>IF(AT$6="","",IF(AT$3="Maior",IFERROR(IF(VLOOKUP($N56,Capa!$A:$AE,AT$5,0)="",0,VLOOKUP($N56,Capa!$A:$AE,AT$5,0)),0),IF(ISERROR(1/VLOOKUP($N56,Capa!$A:$AE,AT$5,0)),0,1/VLOOKUP($N56,Capa!$A:$AE,AT$5,0))))</f>
        <v/>
      </c>
      <c r="AU56" s="118" t="str">
        <f>IF(AU$6="","",IF(AU$3="Maior",IFERROR(IF(VLOOKUP($N56,Capa!$A:$AE,AU$5,0)="",0,VLOOKUP($N56,Capa!$A:$AE,AU$5,0)),0),IF(ISERROR(1/VLOOKUP($N56,Capa!$A:$AE,AU$5,0)),0,1/VLOOKUP($N56,Capa!$A:$AE,AU$5,0))))</f>
        <v/>
      </c>
      <c r="AV56" s="118" t="str">
        <f>IF(AV$6="","",IF(AV$3="Maior",IFERROR(IF(VLOOKUP($N56,Capa!$A:$AE,AV$5,0)="",0,VLOOKUP($N56,Capa!$A:$AE,AV$5,0)),0),IF(ISERROR(1/VLOOKUP($N56,Capa!$A:$AE,AV$5,0)),0,1/VLOOKUP($N56,Capa!$A:$AE,AV$5,0))))</f>
        <v/>
      </c>
      <c r="AW56" s="118" t="str">
        <f>IF(AW$6="","",IF(AW$3="Maior",IFERROR(IF(VLOOKUP($N56,Capa!$A:$AE,AW$5,0)="",0,VLOOKUP($N56,Capa!$A:$AE,AW$5,0)),0),IF(ISERROR(1/VLOOKUP($N56,Capa!$A:$AE,AW$5,0)),0,1/VLOOKUP($N56,Capa!$A:$AE,AW$5,0))))</f>
        <v/>
      </c>
      <c r="AX56" s="118" t="str">
        <f>IF(AX$6="","",IF(AX$3="Maior",IFERROR(IF(VLOOKUP($N56,Capa!$A:$AE,AX$5,0)="",0,VLOOKUP($N56,Capa!$A:$AE,AX$5,0)),0),IF(ISERROR(1/VLOOKUP($N56,Capa!$A:$AE,AX$5,0)),0,1/VLOOKUP($N56,Capa!$A:$AE,AX$5,0))))</f>
        <v/>
      </c>
      <c r="AY56" s="118" t="str">
        <f>IF(AY$6="","",IF(AY$3="Maior",IFERROR(IF(VLOOKUP($N56,Capa!$A:$AE,AY$5,0)="",0,VLOOKUP($N56,Capa!$A:$AE,AY$5,0)),0),IF(ISERROR(1/VLOOKUP($N56,Capa!$A:$AE,AY$5,0)),0,1/VLOOKUP($N56,Capa!$A:$AE,AY$5,0))))</f>
        <v/>
      </c>
      <c r="AZ56" s="118" t="str">
        <f>IF(AZ$6="","",IF(AZ$3="Maior",IFERROR(IF(VLOOKUP($N56,Capa!$A:$AE,AZ$5,0)="",0,VLOOKUP($N56,Capa!$A:$AE,AZ$5,0)),0),IF(ISERROR(1/VLOOKUP($N56,Capa!$A:$AE,AZ$5,0)),0,1/VLOOKUP($N56,Capa!$A:$AE,AZ$5,0))))</f>
        <v/>
      </c>
      <c r="BA56" s="118" t="str">
        <f>IF(BA$6="","",IF(BA$3="Maior",IFERROR(IF(VLOOKUP($N56,Capa!$A:$AE,BA$5,0)="",0,VLOOKUP($N56,Capa!$A:$AE,BA$5,0)),0),IF(ISERROR(1/VLOOKUP($N56,Capa!$A:$AE,BA$5,0)),0,1/VLOOKUP($N56,Capa!$A:$AE,BA$5,0))))</f>
        <v/>
      </c>
      <c r="BB56" s="118" t="str">
        <f>IF(BB$6="","",IF(BB$3="Maior",IFERROR(IF(VLOOKUP($N56,Capa!$A:$AE,BB$5,0)="",0,VLOOKUP($N56,Capa!$A:$AE,BB$5,0)),0),IF(ISERROR(1/VLOOKUP($N56,Capa!$A:$AE,BB$5,0)),0,1/VLOOKUP($N56,Capa!$A:$AE,BB$5,0))))</f>
        <v/>
      </c>
      <c r="BC56" s="118" t="str">
        <f>IF(BC$6="","",IF(BC$3="Maior",IFERROR(IF(VLOOKUP($N56,Capa!$A:$AE,BC$5,0)="",0,VLOOKUP($N56,Capa!$A:$AE,BC$5,0)),0),IF(ISERROR(1/VLOOKUP($N56,Capa!$A:$AE,BC$5,0)),0,1/VLOOKUP($N56,Capa!$A:$AE,BC$5,0))))</f>
        <v/>
      </c>
      <c r="BD56" s="118" t="str">
        <f>IF(BD$6="","",IF(BD$3="Maior",IFERROR(IF(VLOOKUP($N56,Capa!$A:$AE,BD$5,0)="",0,VLOOKUP($N56,Capa!$A:$AE,BD$5,0)),0),IF(ISERROR(1/VLOOKUP($N56,Capa!$A:$AE,BD$5,0)),0,1/VLOOKUP($N56,Capa!$A:$AE,BD$5,0))))</f>
        <v/>
      </c>
      <c r="BE56" s="118" t="str">
        <f>IF(BE$6="","",IF(BE$3="Maior",IFERROR(IF(VLOOKUP($N56,Capa!$A:$AE,BE$5,0)="",0,VLOOKUP($N56,Capa!$A:$AE,BE$5,0)),0),IF(ISERROR(1/VLOOKUP($N56,Capa!$A:$AE,BE$5,0)),0,1/VLOOKUP($N56,Capa!$A:$AE,BE$5,0))))</f>
        <v/>
      </c>
      <c r="BF56" s="118" t="str">
        <f>IF(BF$6="","",IF(BF$3="Maior",IFERROR(IF(VLOOKUP($N56,Capa!$A:$AE,BF$5,0)="",0,VLOOKUP($N56,Capa!$A:$AE,BF$5,0)),0),IF(ISERROR(1/VLOOKUP($N56,Capa!$A:$AE,BF$5,0)),0,1/VLOOKUP($N56,Capa!$A:$AE,BF$5,0))))</f>
        <v/>
      </c>
      <c r="BG56" s="118" t="str">
        <f>IF(BG$6="","",IF(BG$3="Maior",IFERROR(IF(VLOOKUP($N56,Capa!$A:$AE,BG$5,0)="",0,VLOOKUP($N56,Capa!$A:$AE,BG$5,0)),0),IF(ISERROR(1/VLOOKUP($N56,Capa!$A:$AE,BG$5,0)),0,1/VLOOKUP($N56,Capa!$A:$AE,BG$5,0))))</f>
        <v/>
      </c>
      <c r="BH56" s="118" t="str">
        <f>IF(BH$6="","",IF(BH$3="Maior",IFERROR(IF(VLOOKUP($N56,Capa!$A:$AE,BH$5,0)="",0,VLOOKUP($N56,Capa!$A:$AE,BH$5,0)),0),IF(ISERROR(1/VLOOKUP($N56,Capa!$A:$AE,BH$5,0)),0,1/VLOOKUP($N56,Capa!$A:$AE,BH$5,0))))</f>
        <v/>
      </c>
      <c r="BI56" s="118" t="str">
        <f>IF(BI$6="","",IF(BI$3="Maior",IFERROR(IF(VLOOKUP($N56,Capa!$A:$AE,BI$5,0)="",0,VLOOKUP($N56,Capa!$A:$AE,BI$5,0)),0),IF(ISERROR(1/VLOOKUP($N56,Capa!$A:$AE,BI$5,0)),0,1/VLOOKUP($N56,Capa!$A:$AE,BI$5,0))))</f>
        <v/>
      </c>
      <c r="BJ56" s="118" t="str">
        <f>IF(BJ$6="","",IF(BJ$3="Maior",IFERROR(IF(VLOOKUP($N56,Capa!$A:$AE,BJ$5,0)="",0,VLOOKUP($N56,Capa!$A:$AE,BJ$5,0)),0),IF(ISERROR(1/VLOOKUP($N56,Capa!$A:$AE,BJ$5,0)),0,1/VLOOKUP($N56,Capa!$A:$AE,BJ$5,0))))</f>
        <v/>
      </c>
      <c r="BK56" s="118" t="str">
        <f>IF(BK$6="","",IF(BK$3="Maior",IFERROR(IF(VLOOKUP($N56,Capa!$A:$AE,BK$5,0)="",0,VLOOKUP($N56,Capa!$A:$AE,BK$5,0)),0),IF(ISERROR(1/VLOOKUP($N56,Capa!$A:$AE,BK$5,0)),0,1/VLOOKUP($N56,Capa!$A:$AE,BK$5,0))))</f>
        <v/>
      </c>
      <c r="BL56" s="118" t="str">
        <f>IF(BL$6="","",IF(BL$3="Maior",IFERROR(IF(VLOOKUP($N56,Capa!$A:$AE,BL$5,0)="",0,VLOOKUP($N56,Capa!$A:$AE,BL$5,0)),0),IF(ISERROR(1/VLOOKUP($N56,Capa!$A:$AE,BL$5,0)),0,1/VLOOKUP($N56,Capa!$A:$AE,BL$5,0))))</f>
        <v/>
      </c>
      <c r="BM56" s="118" t="str">
        <f>IF(BM$6="","",IF(BM$3="Maior",IFERROR(IF(VLOOKUP($N56,Capa!$A:$AE,BM$5,0)="",0,VLOOKUP($N56,Capa!$A:$AE,BM$5,0)),0),IF(ISERROR(1/VLOOKUP($N56,Capa!$A:$AE,BM$5,0)),0,1/VLOOKUP($N56,Capa!$A:$AE,BM$5,0))))</f>
        <v/>
      </c>
      <c r="BN56" s="118" t="str">
        <f>IF(BN$6="","",IF(BN$3="Maior",IFERROR(IF(VLOOKUP($N56,Capa!$A:$AE,BN$5,0)="",0,VLOOKUP($N56,Capa!$A:$AE,BN$5,0)),0),IF(ISERROR(1/VLOOKUP($N56,Capa!$A:$AE,BN$5,0)),0,1/VLOOKUP($N56,Capa!$A:$AE,BN$5,0))))</f>
        <v/>
      </c>
      <c r="BO56" s="92"/>
    </row>
    <row r="57">
      <c r="G57" s="11"/>
      <c r="H57" s="8">
        <v>51.0</v>
      </c>
      <c r="I57" s="110" t="str">
        <f t="shared" si="6"/>
        <v>BRBI11</v>
      </c>
      <c r="J57" s="111" t="str">
        <f>VLOOKUP(left(I57,4),Setor!A:D,3,0)&amp;" | "&amp;VLOOKUP(left(I57,4),Setor!A:D,4,0)</f>
        <v>#N/A</v>
      </c>
      <c r="K57" s="112">
        <f t="shared" si="7"/>
        <v>14418567.5</v>
      </c>
      <c r="L57" s="11"/>
      <c r="M57" s="11"/>
      <c r="N57" s="10" t="s">
        <v>103</v>
      </c>
      <c r="O57" s="113">
        <f t="shared" si="8"/>
        <v>646.0276</v>
      </c>
      <c r="P57" s="114">
        <f>VLOOKUP(N57,'Dados StatusInvest'!A:Z,26,0)</f>
        <v>133151875.2</v>
      </c>
      <c r="Q57" s="115">
        <f t="shared" si="9"/>
        <v>276.0276</v>
      </c>
      <c r="R57" s="116">
        <f t="shared" ref="R57:AO57" si="60">IF(AQ57="","", RANK(AQ57,AQ$7:AQ$503,0))</f>
        <v>231</v>
      </c>
      <c r="S57" s="115">
        <f t="shared" si="60"/>
        <v>139</v>
      </c>
      <c r="T57" s="115" t="str">
        <f t="shared" si="60"/>
        <v/>
      </c>
      <c r="U57" s="115" t="str">
        <f t="shared" si="60"/>
        <v/>
      </c>
      <c r="V57" s="115" t="str">
        <f t="shared" si="60"/>
        <v/>
      </c>
      <c r="W57" s="115" t="str">
        <f t="shared" si="60"/>
        <v/>
      </c>
      <c r="X57" s="115" t="str">
        <f t="shared" si="60"/>
        <v/>
      </c>
      <c r="Y57" s="115" t="str">
        <f t="shared" si="60"/>
        <v/>
      </c>
      <c r="Z57" s="115" t="str">
        <f t="shared" si="60"/>
        <v/>
      </c>
      <c r="AA57" s="115" t="str">
        <f t="shared" si="60"/>
        <v/>
      </c>
      <c r="AB57" s="115" t="str">
        <f t="shared" si="60"/>
        <v/>
      </c>
      <c r="AC57" s="115" t="str">
        <f t="shared" si="60"/>
        <v/>
      </c>
      <c r="AD57" s="115" t="str">
        <f t="shared" si="60"/>
        <v/>
      </c>
      <c r="AE57" s="115" t="str">
        <f t="shared" si="60"/>
        <v/>
      </c>
      <c r="AF57" s="115" t="str">
        <f t="shared" si="60"/>
        <v/>
      </c>
      <c r="AG57" s="115" t="str">
        <f t="shared" si="60"/>
        <v/>
      </c>
      <c r="AH57" s="115" t="str">
        <f t="shared" si="60"/>
        <v/>
      </c>
      <c r="AI57" s="115" t="str">
        <f t="shared" si="60"/>
        <v/>
      </c>
      <c r="AJ57" s="115" t="str">
        <f t="shared" si="60"/>
        <v/>
      </c>
      <c r="AK57" s="115" t="str">
        <f t="shared" si="60"/>
        <v/>
      </c>
      <c r="AL57" s="115" t="str">
        <f t="shared" si="60"/>
        <v/>
      </c>
      <c r="AM57" s="115" t="str">
        <f t="shared" si="60"/>
        <v/>
      </c>
      <c r="AN57" s="115" t="str">
        <f t="shared" si="60"/>
        <v/>
      </c>
      <c r="AO57" s="115" t="str">
        <f t="shared" si="60"/>
        <v/>
      </c>
      <c r="AP57" s="117">
        <f>IF(AP$6="","",IF(AP$3="Maior",IFERROR(IF(VLOOKUP($N57,Capa!$A:$AE,AP$5,0)="",0,VLOOKUP($N57,Capa!$A:$AE,AP$5,0)),0),IF(ISERROR(1/VLOOKUP($N57,Capa!$A:$AE,AP$5,0)),0,1/VLOOKUP($N57,Capa!$A:$AE,AP$5,0))))</f>
        <v>0.06705386955</v>
      </c>
      <c r="AQ57" s="118">
        <f>IF(AQ$6="","",IF(AQ$3="Maior",IFERROR(IF(VLOOKUP($N57,Capa!$A:$AE,AQ$5,0)="",0,VLOOKUP($N57,Capa!$A:$AE,AQ$5,0)),0),IF(ISERROR(1/VLOOKUP($N57,Capa!$A:$AE,AQ$5,0)),0,1/VLOOKUP($N57,Capa!$A:$AE,AQ$5,0))))</f>
        <v>9.55</v>
      </c>
      <c r="AR57" s="118">
        <f>IF(AR$6="","",IF(AR$3="Maior",IFERROR(IF(VLOOKUP($N57,Capa!$A:$AE,AR$5,0)="",0,VLOOKUP($N57,Capa!$A:$AE,AR$5,0)),0),IF(ISERROR(1/VLOOKUP($N57,Capa!$A:$AE,AR$5,0)),0,1/VLOOKUP($N57,Capa!$A:$AE,AR$5,0))))</f>
        <v>18.76</v>
      </c>
      <c r="AS57" s="118" t="str">
        <f>IF(AS$6="","",IF(AS$3="Maior",IFERROR(IF(VLOOKUP($N57,Capa!$A:$AE,AS$5,0)="",0,VLOOKUP($N57,Capa!$A:$AE,AS$5,0)),0),IF(ISERROR(1/VLOOKUP($N57,Capa!$A:$AE,AS$5,0)),0,1/VLOOKUP($N57,Capa!$A:$AE,AS$5,0))))</f>
        <v/>
      </c>
      <c r="AT57" s="118" t="str">
        <f>IF(AT$6="","",IF(AT$3="Maior",IFERROR(IF(VLOOKUP($N57,Capa!$A:$AE,AT$5,0)="",0,VLOOKUP($N57,Capa!$A:$AE,AT$5,0)),0),IF(ISERROR(1/VLOOKUP($N57,Capa!$A:$AE,AT$5,0)),0,1/VLOOKUP($N57,Capa!$A:$AE,AT$5,0))))</f>
        <v/>
      </c>
      <c r="AU57" s="118" t="str">
        <f>IF(AU$6="","",IF(AU$3="Maior",IFERROR(IF(VLOOKUP($N57,Capa!$A:$AE,AU$5,0)="",0,VLOOKUP($N57,Capa!$A:$AE,AU$5,0)),0),IF(ISERROR(1/VLOOKUP($N57,Capa!$A:$AE,AU$5,0)),0,1/VLOOKUP($N57,Capa!$A:$AE,AU$5,0))))</f>
        <v/>
      </c>
      <c r="AV57" s="118" t="str">
        <f>IF(AV$6="","",IF(AV$3="Maior",IFERROR(IF(VLOOKUP($N57,Capa!$A:$AE,AV$5,0)="",0,VLOOKUP($N57,Capa!$A:$AE,AV$5,0)),0),IF(ISERROR(1/VLOOKUP($N57,Capa!$A:$AE,AV$5,0)),0,1/VLOOKUP($N57,Capa!$A:$AE,AV$5,0))))</f>
        <v/>
      </c>
      <c r="AW57" s="118" t="str">
        <f>IF(AW$6="","",IF(AW$3="Maior",IFERROR(IF(VLOOKUP($N57,Capa!$A:$AE,AW$5,0)="",0,VLOOKUP($N57,Capa!$A:$AE,AW$5,0)),0),IF(ISERROR(1/VLOOKUP($N57,Capa!$A:$AE,AW$5,0)),0,1/VLOOKUP($N57,Capa!$A:$AE,AW$5,0))))</f>
        <v/>
      </c>
      <c r="AX57" s="118" t="str">
        <f>IF(AX$6="","",IF(AX$3="Maior",IFERROR(IF(VLOOKUP($N57,Capa!$A:$AE,AX$5,0)="",0,VLOOKUP($N57,Capa!$A:$AE,AX$5,0)),0),IF(ISERROR(1/VLOOKUP($N57,Capa!$A:$AE,AX$5,0)),0,1/VLOOKUP($N57,Capa!$A:$AE,AX$5,0))))</f>
        <v/>
      </c>
      <c r="AY57" s="118" t="str">
        <f>IF(AY$6="","",IF(AY$3="Maior",IFERROR(IF(VLOOKUP($N57,Capa!$A:$AE,AY$5,0)="",0,VLOOKUP($N57,Capa!$A:$AE,AY$5,0)),0),IF(ISERROR(1/VLOOKUP($N57,Capa!$A:$AE,AY$5,0)),0,1/VLOOKUP($N57,Capa!$A:$AE,AY$5,0))))</f>
        <v/>
      </c>
      <c r="AZ57" s="118" t="str">
        <f>IF(AZ$6="","",IF(AZ$3="Maior",IFERROR(IF(VLOOKUP($N57,Capa!$A:$AE,AZ$5,0)="",0,VLOOKUP($N57,Capa!$A:$AE,AZ$5,0)),0),IF(ISERROR(1/VLOOKUP($N57,Capa!$A:$AE,AZ$5,0)),0,1/VLOOKUP($N57,Capa!$A:$AE,AZ$5,0))))</f>
        <v/>
      </c>
      <c r="BA57" s="118" t="str">
        <f>IF(BA$6="","",IF(BA$3="Maior",IFERROR(IF(VLOOKUP($N57,Capa!$A:$AE,BA$5,0)="",0,VLOOKUP($N57,Capa!$A:$AE,BA$5,0)),0),IF(ISERROR(1/VLOOKUP($N57,Capa!$A:$AE,BA$5,0)),0,1/VLOOKUP($N57,Capa!$A:$AE,BA$5,0))))</f>
        <v/>
      </c>
      <c r="BB57" s="118" t="str">
        <f>IF(BB$6="","",IF(BB$3="Maior",IFERROR(IF(VLOOKUP($N57,Capa!$A:$AE,BB$5,0)="",0,VLOOKUP($N57,Capa!$A:$AE,BB$5,0)),0),IF(ISERROR(1/VLOOKUP($N57,Capa!$A:$AE,BB$5,0)),0,1/VLOOKUP($N57,Capa!$A:$AE,BB$5,0))))</f>
        <v/>
      </c>
      <c r="BC57" s="118" t="str">
        <f>IF(BC$6="","",IF(BC$3="Maior",IFERROR(IF(VLOOKUP($N57,Capa!$A:$AE,BC$5,0)="",0,VLOOKUP($N57,Capa!$A:$AE,BC$5,0)),0),IF(ISERROR(1/VLOOKUP($N57,Capa!$A:$AE,BC$5,0)),0,1/VLOOKUP($N57,Capa!$A:$AE,BC$5,0))))</f>
        <v/>
      </c>
      <c r="BD57" s="118" t="str">
        <f>IF(BD$6="","",IF(BD$3="Maior",IFERROR(IF(VLOOKUP($N57,Capa!$A:$AE,BD$5,0)="",0,VLOOKUP($N57,Capa!$A:$AE,BD$5,0)),0),IF(ISERROR(1/VLOOKUP($N57,Capa!$A:$AE,BD$5,0)),0,1/VLOOKUP($N57,Capa!$A:$AE,BD$5,0))))</f>
        <v/>
      </c>
      <c r="BE57" s="118" t="str">
        <f>IF(BE$6="","",IF(BE$3="Maior",IFERROR(IF(VLOOKUP($N57,Capa!$A:$AE,BE$5,0)="",0,VLOOKUP($N57,Capa!$A:$AE,BE$5,0)),0),IF(ISERROR(1/VLOOKUP($N57,Capa!$A:$AE,BE$5,0)),0,1/VLOOKUP($N57,Capa!$A:$AE,BE$5,0))))</f>
        <v/>
      </c>
      <c r="BF57" s="118" t="str">
        <f>IF(BF$6="","",IF(BF$3="Maior",IFERROR(IF(VLOOKUP($N57,Capa!$A:$AE,BF$5,0)="",0,VLOOKUP($N57,Capa!$A:$AE,BF$5,0)),0),IF(ISERROR(1/VLOOKUP($N57,Capa!$A:$AE,BF$5,0)),0,1/VLOOKUP($N57,Capa!$A:$AE,BF$5,0))))</f>
        <v/>
      </c>
      <c r="BG57" s="118" t="str">
        <f>IF(BG$6="","",IF(BG$3="Maior",IFERROR(IF(VLOOKUP($N57,Capa!$A:$AE,BG$5,0)="",0,VLOOKUP($N57,Capa!$A:$AE,BG$5,0)),0),IF(ISERROR(1/VLOOKUP($N57,Capa!$A:$AE,BG$5,0)),0,1/VLOOKUP($N57,Capa!$A:$AE,BG$5,0))))</f>
        <v/>
      </c>
      <c r="BH57" s="118" t="str">
        <f>IF(BH$6="","",IF(BH$3="Maior",IFERROR(IF(VLOOKUP($N57,Capa!$A:$AE,BH$5,0)="",0,VLOOKUP($N57,Capa!$A:$AE,BH$5,0)),0),IF(ISERROR(1/VLOOKUP($N57,Capa!$A:$AE,BH$5,0)),0,1/VLOOKUP($N57,Capa!$A:$AE,BH$5,0))))</f>
        <v/>
      </c>
      <c r="BI57" s="118" t="str">
        <f>IF(BI$6="","",IF(BI$3="Maior",IFERROR(IF(VLOOKUP($N57,Capa!$A:$AE,BI$5,0)="",0,VLOOKUP($N57,Capa!$A:$AE,BI$5,0)),0),IF(ISERROR(1/VLOOKUP($N57,Capa!$A:$AE,BI$5,0)),0,1/VLOOKUP($N57,Capa!$A:$AE,BI$5,0))))</f>
        <v/>
      </c>
      <c r="BJ57" s="118" t="str">
        <f>IF(BJ$6="","",IF(BJ$3="Maior",IFERROR(IF(VLOOKUP($N57,Capa!$A:$AE,BJ$5,0)="",0,VLOOKUP($N57,Capa!$A:$AE,BJ$5,0)),0),IF(ISERROR(1/VLOOKUP($N57,Capa!$A:$AE,BJ$5,0)),0,1/VLOOKUP($N57,Capa!$A:$AE,BJ$5,0))))</f>
        <v/>
      </c>
      <c r="BK57" s="118" t="str">
        <f>IF(BK$6="","",IF(BK$3="Maior",IFERROR(IF(VLOOKUP($N57,Capa!$A:$AE,BK$5,0)="",0,VLOOKUP($N57,Capa!$A:$AE,BK$5,0)),0),IF(ISERROR(1/VLOOKUP($N57,Capa!$A:$AE,BK$5,0)),0,1/VLOOKUP($N57,Capa!$A:$AE,BK$5,0))))</f>
        <v/>
      </c>
      <c r="BL57" s="118" t="str">
        <f>IF(BL$6="","",IF(BL$3="Maior",IFERROR(IF(VLOOKUP($N57,Capa!$A:$AE,BL$5,0)="",0,VLOOKUP($N57,Capa!$A:$AE,BL$5,0)),0),IF(ISERROR(1/VLOOKUP($N57,Capa!$A:$AE,BL$5,0)),0,1/VLOOKUP($N57,Capa!$A:$AE,BL$5,0))))</f>
        <v/>
      </c>
      <c r="BM57" s="118" t="str">
        <f>IF(BM$6="","",IF(BM$3="Maior",IFERROR(IF(VLOOKUP($N57,Capa!$A:$AE,BM$5,0)="",0,VLOOKUP($N57,Capa!$A:$AE,BM$5,0)),0),IF(ISERROR(1/VLOOKUP($N57,Capa!$A:$AE,BM$5,0)),0,1/VLOOKUP($N57,Capa!$A:$AE,BM$5,0))))</f>
        <v/>
      </c>
      <c r="BN57" s="118" t="str">
        <f>IF(BN$6="","",IF(BN$3="Maior",IFERROR(IF(VLOOKUP($N57,Capa!$A:$AE,BN$5,0)="",0,VLOOKUP($N57,Capa!$A:$AE,BN$5,0)),0),IF(ISERROR(1/VLOOKUP($N57,Capa!$A:$AE,BN$5,0)),0,1/VLOOKUP($N57,Capa!$A:$AE,BN$5,0))))</f>
        <v/>
      </c>
      <c r="BO57" s="92"/>
    </row>
    <row r="58">
      <c r="G58" s="11"/>
      <c r="H58" s="8">
        <v>52.0</v>
      </c>
      <c r="I58" s="110" t="str">
        <f t="shared" si="6"/>
        <v>SAPR11</v>
      </c>
      <c r="J58" s="111" t="str">
        <f>VLOOKUP(left(I58,4),Setor!A:D,3,0)&amp;" | "&amp;VLOOKUP(left(I58,4),Setor!A:D,4,0)</f>
        <v>Utilidade Pública | Água e Saneamento</v>
      </c>
      <c r="K58" s="112">
        <f t="shared" si="7"/>
        <v>36224716.21</v>
      </c>
      <c r="L58" s="11"/>
      <c r="M58" s="11"/>
      <c r="N58" s="10" t="s">
        <v>104</v>
      </c>
      <c r="O58" s="113">
        <f t="shared" si="8"/>
        <v>1020.0178</v>
      </c>
      <c r="P58" s="114">
        <f>VLOOKUP(N58,'Dados StatusInvest'!A:Z,26,0)</f>
        <v>120399804.1</v>
      </c>
      <c r="Q58" s="115">
        <f t="shared" si="9"/>
        <v>178.0178</v>
      </c>
      <c r="R58" s="116">
        <f t="shared" ref="R58:AO58" si="61">IF(AQ58="","", RANK(AQ58,AQ$7:AQ$503,0))</f>
        <v>375</v>
      </c>
      <c r="S58" s="115">
        <f t="shared" si="61"/>
        <v>467</v>
      </c>
      <c r="T58" s="115" t="str">
        <f t="shared" si="61"/>
        <v/>
      </c>
      <c r="U58" s="115" t="str">
        <f t="shared" si="61"/>
        <v/>
      </c>
      <c r="V58" s="115" t="str">
        <f t="shared" si="61"/>
        <v/>
      </c>
      <c r="W58" s="115" t="str">
        <f t="shared" si="61"/>
        <v/>
      </c>
      <c r="X58" s="115" t="str">
        <f t="shared" si="61"/>
        <v/>
      </c>
      <c r="Y58" s="115" t="str">
        <f t="shared" si="61"/>
        <v/>
      </c>
      <c r="Z58" s="115" t="str">
        <f t="shared" si="61"/>
        <v/>
      </c>
      <c r="AA58" s="115" t="str">
        <f t="shared" si="61"/>
        <v/>
      </c>
      <c r="AB58" s="115" t="str">
        <f t="shared" si="61"/>
        <v/>
      </c>
      <c r="AC58" s="115" t="str">
        <f t="shared" si="61"/>
        <v/>
      </c>
      <c r="AD58" s="115" t="str">
        <f t="shared" si="61"/>
        <v/>
      </c>
      <c r="AE58" s="115" t="str">
        <f t="shared" si="61"/>
        <v/>
      </c>
      <c r="AF58" s="115" t="str">
        <f t="shared" si="61"/>
        <v/>
      </c>
      <c r="AG58" s="115" t="str">
        <f t="shared" si="61"/>
        <v/>
      </c>
      <c r="AH58" s="115" t="str">
        <f t="shared" si="61"/>
        <v/>
      </c>
      <c r="AI58" s="115" t="str">
        <f t="shared" si="61"/>
        <v/>
      </c>
      <c r="AJ58" s="115" t="str">
        <f t="shared" si="61"/>
        <v/>
      </c>
      <c r="AK58" s="115" t="str">
        <f t="shared" si="61"/>
        <v/>
      </c>
      <c r="AL58" s="115" t="str">
        <f t="shared" si="61"/>
        <v/>
      </c>
      <c r="AM58" s="115" t="str">
        <f t="shared" si="61"/>
        <v/>
      </c>
      <c r="AN58" s="115" t="str">
        <f t="shared" si="61"/>
        <v/>
      </c>
      <c r="AO58" s="115" t="str">
        <f t="shared" si="61"/>
        <v/>
      </c>
      <c r="AP58" s="117">
        <f>IF(AP$6="","",IF(AP$3="Maior",IFERROR(IF(VLOOKUP($N58,Capa!$A:$AE,AP$5,0)="",0,VLOOKUP($N58,Capa!$A:$AE,AP$5,0)),0),IF(ISERROR(1/VLOOKUP($N58,Capa!$A:$AE,AP$5,0)),0,1/VLOOKUP($N58,Capa!$A:$AE,AP$5,0))))</f>
        <v>0.1187253196</v>
      </c>
      <c r="AQ58" s="118">
        <f>IF(AQ$6="","",IF(AQ$3="Maior",IFERROR(IF(VLOOKUP($N58,Capa!$A:$AE,AQ$5,0)="",0,VLOOKUP($N58,Capa!$A:$AE,AQ$5,0)),0),IF(ISERROR(1/VLOOKUP($N58,Capa!$A:$AE,AQ$5,0)),0,1/VLOOKUP($N58,Capa!$A:$AE,AQ$5,0))))</f>
        <v>0</v>
      </c>
      <c r="AR58" s="118">
        <f>IF(AR$6="","",IF(AR$3="Maior",IFERROR(IF(VLOOKUP($N58,Capa!$A:$AE,AR$5,0)="",0,VLOOKUP($N58,Capa!$A:$AE,AR$5,0)),0),IF(ISERROR(1/VLOOKUP($N58,Capa!$A:$AE,AR$5,0)),0,1/VLOOKUP($N58,Capa!$A:$AE,AR$5,0))))</f>
        <v>-2.32</v>
      </c>
      <c r="AS58" s="118" t="str">
        <f>IF(AS$6="","",IF(AS$3="Maior",IFERROR(IF(VLOOKUP($N58,Capa!$A:$AE,AS$5,0)="",0,VLOOKUP($N58,Capa!$A:$AE,AS$5,0)),0),IF(ISERROR(1/VLOOKUP($N58,Capa!$A:$AE,AS$5,0)),0,1/VLOOKUP($N58,Capa!$A:$AE,AS$5,0))))</f>
        <v/>
      </c>
      <c r="AT58" s="118" t="str">
        <f>IF(AT$6="","",IF(AT$3="Maior",IFERROR(IF(VLOOKUP($N58,Capa!$A:$AE,AT$5,0)="",0,VLOOKUP($N58,Capa!$A:$AE,AT$5,0)),0),IF(ISERROR(1/VLOOKUP($N58,Capa!$A:$AE,AT$5,0)),0,1/VLOOKUP($N58,Capa!$A:$AE,AT$5,0))))</f>
        <v/>
      </c>
      <c r="AU58" s="118" t="str">
        <f>IF(AU$6="","",IF(AU$3="Maior",IFERROR(IF(VLOOKUP($N58,Capa!$A:$AE,AU$5,0)="",0,VLOOKUP($N58,Capa!$A:$AE,AU$5,0)),0),IF(ISERROR(1/VLOOKUP($N58,Capa!$A:$AE,AU$5,0)),0,1/VLOOKUP($N58,Capa!$A:$AE,AU$5,0))))</f>
        <v/>
      </c>
      <c r="AV58" s="118" t="str">
        <f>IF(AV$6="","",IF(AV$3="Maior",IFERROR(IF(VLOOKUP($N58,Capa!$A:$AE,AV$5,0)="",0,VLOOKUP($N58,Capa!$A:$AE,AV$5,0)),0),IF(ISERROR(1/VLOOKUP($N58,Capa!$A:$AE,AV$5,0)),0,1/VLOOKUP($N58,Capa!$A:$AE,AV$5,0))))</f>
        <v/>
      </c>
      <c r="AW58" s="118" t="str">
        <f>IF(AW$6="","",IF(AW$3="Maior",IFERROR(IF(VLOOKUP($N58,Capa!$A:$AE,AW$5,0)="",0,VLOOKUP($N58,Capa!$A:$AE,AW$5,0)),0),IF(ISERROR(1/VLOOKUP($N58,Capa!$A:$AE,AW$5,0)),0,1/VLOOKUP($N58,Capa!$A:$AE,AW$5,0))))</f>
        <v/>
      </c>
      <c r="AX58" s="118" t="str">
        <f>IF(AX$6="","",IF(AX$3="Maior",IFERROR(IF(VLOOKUP($N58,Capa!$A:$AE,AX$5,0)="",0,VLOOKUP($N58,Capa!$A:$AE,AX$5,0)),0),IF(ISERROR(1/VLOOKUP($N58,Capa!$A:$AE,AX$5,0)),0,1/VLOOKUP($N58,Capa!$A:$AE,AX$5,0))))</f>
        <v/>
      </c>
      <c r="AY58" s="118" t="str">
        <f>IF(AY$6="","",IF(AY$3="Maior",IFERROR(IF(VLOOKUP($N58,Capa!$A:$AE,AY$5,0)="",0,VLOOKUP($N58,Capa!$A:$AE,AY$5,0)),0),IF(ISERROR(1/VLOOKUP($N58,Capa!$A:$AE,AY$5,0)),0,1/VLOOKUP($N58,Capa!$A:$AE,AY$5,0))))</f>
        <v/>
      </c>
      <c r="AZ58" s="118" t="str">
        <f>IF(AZ$6="","",IF(AZ$3="Maior",IFERROR(IF(VLOOKUP($N58,Capa!$A:$AE,AZ$5,0)="",0,VLOOKUP($N58,Capa!$A:$AE,AZ$5,0)),0),IF(ISERROR(1/VLOOKUP($N58,Capa!$A:$AE,AZ$5,0)),0,1/VLOOKUP($N58,Capa!$A:$AE,AZ$5,0))))</f>
        <v/>
      </c>
      <c r="BA58" s="118" t="str">
        <f>IF(BA$6="","",IF(BA$3="Maior",IFERROR(IF(VLOOKUP($N58,Capa!$A:$AE,BA$5,0)="",0,VLOOKUP($N58,Capa!$A:$AE,BA$5,0)),0),IF(ISERROR(1/VLOOKUP($N58,Capa!$A:$AE,BA$5,0)),0,1/VLOOKUP($N58,Capa!$A:$AE,BA$5,0))))</f>
        <v/>
      </c>
      <c r="BB58" s="118" t="str">
        <f>IF(BB$6="","",IF(BB$3="Maior",IFERROR(IF(VLOOKUP($N58,Capa!$A:$AE,BB$5,0)="",0,VLOOKUP($N58,Capa!$A:$AE,BB$5,0)),0),IF(ISERROR(1/VLOOKUP($N58,Capa!$A:$AE,BB$5,0)),0,1/VLOOKUP($N58,Capa!$A:$AE,BB$5,0))))</f>
        <v/>
      </c>
      <c r="BC58" s="118" t="str">
        <f>IF(BC$6="","",IF(BC$3="Maior",IFERROR(IF(VLOOKUP($N58,Capa!$A:$AE,BC$5,0)="",0,VLOOKUP($N58,Capa!$A:$AE,BC$5,0)),0),IF(ISERROR(1/VLOOKUP($N58,Capa!$A:$AE,BC$5,0)),0,1/VLOOKUP($N58,Capa!$A:$AE,BC$5,0))))</f>
        <v/>
      </c>
      <c r="BD58" s="118" t="str">
        <f>IF(BD$6="","",IF(BD$3="Maior",IFERROR(IF(VLOOKUP($N58,Capa!$A:$AE,BD$5,0)="",0,VLOOKUP($N58,Capa!$A:$AE,BD$5,0)),0),IF(ISERROR(1/VLOOKUP($N58,Capa!$A:$AE,BD$5,0)),0,1/VLOOKUP($N58,Capa!$A:$AE,BD$5,0))))</f>
        <v/>
      </c>
      <c r="BE58" s="118" t="str">
        <f>IF(BE$6="","",IF(BE$3="Maior",IFERROR(IF(VLOOKUP($N58,Capa!$A:$AE,BE$5,0)="",0,VLOOKUP($N58,Capa!$A:$AE,BE$5,0)),0),IF(ISERROR(1/VLOOKUP($N58,Capa!$A:$AE,BE$5,0)),0,1/VLOOKUP($N58,Capa!$A:$AE,BE$5,0))))</f>
        <v/>
      </c>
      <c r="BF58" s="118" t="str">
        <f>IF(BF$6="","",IF(BF$3="Maior",IFERROR(IF(VLOOKUP($N58,Capa!$A:$AE,BF$5,0)="",0,VLOOKUP($N58,Capa!$A:$AE,BF$5,0)),0),IF(ISERROR(1/VLOOKUP($N58,Capa!$A:$AE,BF$5,0)),0,1/VLOOKUP($N58,Capa!$A:$AE,BF$5,0))))</f>
        <v/>
      </c>
      <c r="BG58" s="118" t="str">
        <f>IF(BG$6="","",IF(BG$3="Maior",IFERROR(IF(VLOOKUP($N58,Capa!$A:$AE,BG$5,0)="",0,VLOOKUP($N58,Capa!$A:$AE,BG$5,0)),0),IF(ISERROR(1/VLOOKUP($N58,Capa!$A:$AE,BG$5,0)),0,1/VLOOKUP($N58,Capa!$A:$AE,BG$5,0))))</f>
        <v/>
      </c>
      <c r="BH58" s="118" t="str">
        <f>IF(BH$6="","",IF(BH$3="Maior",IFERROR(IF(VLOOKUP($N58,Capa!$A:$AE,BH$5,0)="",0,VLOOKUP($N58,Capa!$A:$AE,BH$5,0)),0),IF(ISERROR(1/VLOOKUP($N58,Capa!$A:$AE,BH$5,0)),0,1/VLOOKUP($N58,Capa!$A:$AE,BH$5,0))))</f>
        <v/>
      </c>
      <c r="BI58" s="118" t="str">
        <f>IF(BI$6="","",IF(BI$3="Maior",IFERROR(IF(VLOOKUP($N58,Capa!$A:$AE,BI$5,0)="",0,VLOOKUP($N58,Capa!$A:$AE,BI$5,0)),0),IF(ISERROR(1/VLOOKUP($N58,Capa!$A:$AE,BI$5,0)),0,1/VLOOKUP($N58,Capa!$A:$AE,BI$5,0))))</f>
        <v/>
      </c>
      <c r="BJ58" s="118" t="str">
        <f>IF(BJ$6="","",IF(BJ$3="Maior",IFERROR(IF(VLOOKUP($N58,Capa!$A:$AE,BJ$5,0)="",0,VLOOKUP($N58,Capa!$A:$AE,BJ$5,0)),0),IF(ISERROR(1/VLOOKUP($N58,Capa!$A:$AE,BJ$5,0)),0,1/VLOOKUP($N58,Capa!$A:$AE,BJ$5,0))))</f>
        <v/>
      </c>
      <c r="BK58" s="118" t="str">
        <f>IF(BK$6="","",IF(BK$3="Maior",IFERROR(IF(VLOOKUP($N58,Capa!$A:$AE,BK$5,0)="",0,VLOOKUP($N58,Capa!$A:$AE,BK$5,0)),0),IF(ISERROR(1/VLOOKUP($N58,Capa!$A:$AE,BK$5,0)),0,1/VLOOKUP($N58,Capa!$A:$AE,BK$5,0))))</f>
        <v/>
      </c>
      <c r="BL58" s="118" t="str">
        <f>IF(BL$6="","",IF(BL$3="Maior",IFERROR(IF(VLOOKUP($N58,Capa!$A:$AE,BL$5,0)="",0,VLOOKUP($N58,Capa!$A:$AE,BL$5,0)),0),IF(ISERROR(1/VLOOKUP($N58,Capa!$A:$AE,BL$5,0)),0,1/VLOOKUP($N58,Capa!$A:$AE,BL$5,0))))</f>
        <v/>
      </c>
      <c r="BM58" s="118" t="str">
        <f>IF(BM$6="","",IF(BM$3="Maior",IFERROR(IF(VLOOKUP($N58,Capa!$A:$AE,BM$5,0)="",0,VLOOKUP($N58,Capa!$A:$AE,BM$5,0)),0),IF(ISERROR(1/VLOOKUP($N58,Capa!$A:$AE,BM$5,0)),0,1/VLOOKUP($N58,Capa!$A:$AE,BM$5,0))))</f>
        <v/>
      </c>
      <c r="BN58" s="118" t="str">
        <f>IF(BN$6="","",IF(BN$3="Maior",IFERROR(IF(VLOOKUP($N58,Capa!$A:$AE,BN$5,0)="",0,VLOOKUP($N58,Capa!$A:$AE,BN$5,0)),0),IF(ISERROR(1/VLOOKUP($N58,Capa!$A:$AE,BN$5,0)),0,1/VLOOKUP($N58,Capa!$A:$AE,BN$5,0))))</f>
        <v/>
      </c>
      <c r="BO58" s="92"/>
    </row>
    <row r="59">
      <c r="G59" s="11"/>
      <c r="H59" s="8">
        <v>53.0</v>
      </c>
      <c r="I59" s="110" t="str">
        <f t="shared" si="6"/>
        <v>SAPR4</v>
      </c>
      <c r="J59" s="111" t="str">
        <f>VLOOKUP(left(I59,4),Setor!A:D,3,0)&amp;" | "&amp;VLOOKUP(left(I59,4),Setor!A:D,4,0)</f>
        <v>Utilidade Pública | Água e Saneamento</v>
      </c>
      <c r="K59" s="112">
        <f t="shared" si="7"/>
        <v>18024604.92</v>
      </c>
      <c r="L59" s="11"/>
      <c r="M59" s="11"/>
      <c r="N59" s="10" t="s">
        <v>105</v>
      </c>
      <c r="O59" s="113">
        <f t="shared" si="8"/>
        <v>1167.0481</v>
      </c>
      <c r="P59" s="114">
        <f>VLOOKUP(N59,'Dados StatusInvest'!A:Z,26,0)</f>
        <v>114570764.6</v>
      </c>
      <c r="Q59" s="115">
        <f t="shared" si="9"/>
        <v>481.0481</v>
      </c>
      <c r="R59" s="116">
        <f t="shared" ref="R59:AO59" si="62">IF(AQ59="","", RANK(AQ59,AQ$7:AQ$503,0))</f>
        <v>467</v>
      </c>
      <c r="S59" s="115">
        <f t="shared" si="62"/>
        <v>219</v>
      </c>
      <c r="T59" s="115" t="str">
        <f t="shared" si="62"/>
        <v/>
      </c>
      <c r="U59" s="115" t="str">
        <f t="shared" si="62"/>
        <v/>
      </c>
      <c r="V59" s="115" t="str">
        <f t="shared" si="62"/>
        <v/>
      </c>
      <c r="W59" s="115" t="str">
        <f t="shared" si="62"/>
        <v/>
      </c>
      <c r="X59" s="115" t="str">
        <f t="shared" si="62"/>
        <v/>
      </c>
      <c r="Y59" s="115" t="str">
        <f t="shared" si="62"/>
        <v/>
      </c>
      <c r="Z59" s="115" t="str">
        <f t="shared" si="62"/>
        <v/>
      </c>
      <c r="AA59" s="115" t="str">
        <f t="shared" si="62"/>
        <v/>
      </c>
      <c r="AB59" s="115" t="str">
        <f t="shared" si="62"/>
        <v/>
      </c>
      <c r="AC59" s="115" t="str">
        <f t="shared" si="62"/>
        <v/>
      </c>
      <c r="AD59" s="115" t="str">
        <f t="shared" si="62"/>
        <v/>
      </c>
      <c r="AE59" s="115" t="str">
        <f t="shared" si="62"/>
        <v/>
      </c>
      <c r="AF59" s="115" t="str">
        <f t="shared" si="62"/>
        <v/>
      </c>
      <c r="AG59" s="115" t="str">
        <f t="shared" si="62"/>
        <v/>
      </c>
      <c r="AH59" s="115" t="str">
        <f t="shared" si="62"/>
        <v/>
      </c>
      <c r="AI59" s="115" t="str">
        <f t="shared" si="62"/>
        <v/>
      </c>
      <c r="AJ59" s="115" t="str">
        <f t="shared" si="62"/>
        <v/>
      </c>
      <c r="AK59" s="115" t="str">
        <f t="shared" si="62"/>
        <v/>
      </c>
      <c r="AL59" s="115" t="str">
        <f t="shared" si="62"/>
        <v/>
      </c>
      <c r="AM59" s="115" t="str">
        <f t="shared" si="62"/>
        <v/>
      </c>
      <c r="AN59" s="115" t="str">
        <f t="shared" si="62"/>
        <v/>
      </c>
      <c r="AO59" s="115" t="str">
        <f t="shared" si="62"/>
        <v/>
      </c>
      <c r="AP59" s="117">
        <f>IF(AP$6="","",IF(AP$3="Maior",IFERROR(IF(VLOOKUP($N59,Capa!$A:$AE,AP$5,0)="",0,VLOOKUP($N59,Capa!$A:$AE,AP$5,0)),0),IF(ISERROR(1/VLOOKUP($N59,Capa!$A:$AE,AP$5,0)),0,1/VLOOKUP($N59,Capa!$A:$AE,AP$5,0))))</f>
        <v>-0.2410237936</v>
      </c>
      <c r="AQ59" s="118">
        <f>IF(AQ$6="","",IF(AQ$3="Maior",IFERROR(IF(VLOOKUP($N59,Capa!$A:$AE,AQ$5,0)="",0,VLOOKUP($N59,Capa!$A:$AE,AQ$5,0)),0),IF(ISERROR(1/VLOOKUP($N59,Capa!$A:$AE,AQ$5,0)),0,1/VLOOKUP($N59,Capa!$A:$AE,AQ$5,0))))</f>
        <v>-12.66</v>
      </c>
      <c r="AR59" s="118">
        <f>IF(AR$6="","",IF(AR$3="Maior",IFERROR(IF(VLOOKUP($N59,Capa!$A:$AE,AR$5,0)="",0,VLOOKUP($N59,Capa!$A:$AE,AR$5,0)),0),IF(ISERROR(1/VLOOKUP($N59,Capa!$A:$AE,AR$5,0)),0,1/VLOOKUP($N59,Capa!$A:$AE,AR$5,0))))</f>
        <v>0</v>
      </c>
      <c r="AS59" s="118" t="str">
        <f>IF(AS$6="","",IF(AS$3="Maior",IFERROR(IF(VLOOKUP($N59,Capa!$A:$AE,AS$5,0)="",0,VLOOKUP($N59,Capa!$A:$AE,AS$5,0)),0),IF(ISERROR(1/VLOOKUP($N59,Capa!$A:$AE,AS$5,0)),0,1/VLOOKUP($N59,Capa!$A:$AE,AS$5,0))))</f>
        <v/>
      </c>
      <c r="AT59" s="118" t="str">
        <f>IF(AT$6="","",IF(AT$3="Maior",IFERROR(IF(VLOOKUP($N59,Capa!$A:$AE,AT$5,0)="",0,VLOOKUP($N59,Capa!$A:$AE,AT$5,0)),0),IF(ISERROR(1/VLOOKUP($N59,Capa!$A:$AE,AT$5,0)),0,1/VLOOKUP($N59,Capa!$A:$AE,AT$5,0))))</f>
        <v/>
      </c>
      <c r="AU59" s="118" t="str">
        <f>IF(AU$6="","",IF(AU$3="Maior",IFERROR(IF(VLOOKUP($N59,Capa!$A:$AE,AU$5,0)="",0,VLOOKUP($N59,Capa!$A:$AE,AU$5,0)),0),IF(ISERROR(1/VLOOKUP($N59,Capa!$A:$AE,AU$5,0)),0,1/VLOOKUP($N59,Capa!$A:$AE,AU$5,0))))</f>
        <v/>
      </c>
      <c r="AV59" s="118" t="str">
        <f>IF(AV$6="","",IF(AV$3="Maior",IFERROR(IF(VLOOKUP($N59,Capa!$A:$AE,AV$5,0)="",0,VLOOKUP($N59,Capa!$A:$AE,AV$5,0)),0),IF(ISERROR(1/VLOOKUP($N59,Capa!$A:$AE,AV$5,0)),0,1/VLOOKUP($N59,Capa!$A:$AE,AV$5,0))))</f>
        <v/>
      </c>
      <c r="AW59" s="118" t="str">
        <f>IF(AW$6="","",IF(AW$3="Maior",IFERROR(IF(VLOOKUP($N59,Capa!$A:$AE,AW$5,0)="",0,VLOOKUP($N59,Capa!$A:$AE,AW$5,0)),0),IF(ISERROR(1/VLOOKUP($N59,Capa!$A:$AE,AW$5,0)),0,1/VLOOKUP($N59,Capa!$A:$AE,AW$5,0))))</f>
        <v/>
      </c>
      <c r="AX59" s="118" t="str">
        <f>IF(AX$6="","",IF(AX$3="Maior",IFERROR(IF(VLOOKUP($N59,Capa!$A:$AE,AX$5,0)="",0,VLOOKUP($N59,Capa!$A:$AE,AX$5,0)),0),IF(ISERROR(1/VLOOKUP($N59,Capa!$A:$AE,AX$5,0)),0,1/VLOOKUP($N59,Capa!$A:$AE,AX$5,0))))</f>
        <v/>
      </c>
      <c r="AY59" s="118" t="str">
        <f>IF(AY$6="","",IF(AY$3="Maior",IFERROR(IF(VLOOKUP($N59,Capa!$A:$AE,AY$5,0)="",0,VLOOKUP($N59,Capa!$A:$AE,AY$5,0)),0),IF(ISERROR(1/VLOOKUP($N59,Capa!$A:$AE,AY$5,0)),0,1/VLOOKUP($N59,Capa!$A:$AE,AY$5,0))))</f>
        <v/>
      </c>
      <c r="AZ59" s="118" t="str">
        <f>IF(AZ$6="","",IF(AZ$3="Maior",IFERROR(IF(VLOOKUP($N59,Capa!$A:$AE,AZ$5,0)="",0,VLOOKUP($N59,Capa!$A:$AE,AZ$5,0)),0),IF(ISERROR(1/VLOOKUP($N59,Capa!$A:$AE,AZ$5,0)),0,1/VLOOKUP($N59,Capa!$A:$AE,AZ$5,0))))</f>
        <v/>
      </c>
      <c r="BA59" s="118" t="str">
        <f>IF(BA$6="","",IF(BA$3="Maior",IFERROR(IF(VLOOKUP($N59,Capa!$A:$AE,BA$5,0)="",0,VLOOKUP($N59,Capa!$A:$AE,BA$5,0)),0),IF(ISERROR(1/VLOOKUP($N59,Capa!$A:$AE,BA$5,0)),0,1/VLOOKUP($N59,Capa!$A:$AE,BA$5,0))))</f>
        <v/>
      </c>
      <c r="BB59" s="118" t="str">
        <f>IF(BB$6="","",IF(BB$3="Maior",IFERROR(IF(VLOOKUP($N59,Capa!$A:$AE,BB$5,0)="",0,VLOOKUP($N59,Capa!$A:$AE,BB$5,0)),0),IF(ISERROR(1/VLOOKUP($N59,Capa!$A:$AE,BB$5,0)),0,1/VLOOKUP($N59,Capa!$A:$AE,BB$5,0))))</f>
        <v/>
      </c>
      <c r="BC59" s="118" t="str">
        <f>IF(BC$6="","",IF(BC$3="Maior",IFERROR(IF(VLOOKUP($N59,Capa!$A:$AE,BC$5,0)="",0,VLOOKUP($N59,Capa!$A:$AE,BC$5,0)),0),IF(ISERROR(1/VLOOKUP($N59,Capa!$A:$AE,BC$5,0)),0,1/VLOOKUP($N59,Capa!$A:$AE,BC$5,0))))</f>
        <v/>
      </c>
      <c r="BD59" s="118" t="str">
        <f>IF(BD$6="","",IF(BD$3="Maior",IFERROR(IF(VLOOKUP($N59,Capa!$A:$AE,BD$5,0)="",0,VLOOKUP($N59,Capa!$A:$AE,BD$5,0)),0),IF(ISERROR(1/VLOOKUP($N59,Capa!$A:$AE,BD$5,0)),0,1/VLOOKUP($N59,Capa!$A:$AE,BD$5,0))))</f>
        <v/>
      </c>
      <c r="BE59" s="118" t="str">
        <f>IF(BE$6="","",IF(BE$3="Maior",IFERROR(IF(VLOOKUP($N59,Capa!$A:$AE,BE$5,0)="",0,VLOOKUP($N59,Capa!$A:$AE,BE$5,0)),0),IF(ISERROR(1/VLOOKUP($N59,Capa!$A:$AE,BE$5,0)),0,1/VLOOKUP($N59,Capa!$A:$AE,BE$5,0))))</f>
        <v/>
      </c>
      <c r="BF59" s="118" t="str">
        <f>IF(BF$6="","",IF(BF$3="Maior",IFERROR(IF(VLOOKUP($N59,Capa!$A:$AE,BF$5,0)="",0,VLOOKUP($N59,Capa!$A:$AE,BF$5,0)),0),IF(ISERROR(1/VLOOKUP($N59,Capa!$A:$AE,BF$5,0)),0,1/VLOOKUP($N59,Capa!$A:$AE,BF$5,0))))</f>
        <v/>
      </c>
      <c r="BG59" s="118" t="str">
        <f>IF(BG$6="","",IF(BG$3="Maior",IFERROR(IF(VLOOKUP($N59,Capa!$A:$AE,BG$5,0)="",0,VLOOKUP($N59,Capa!$A:$AE,BG$5,0)),0),IF(ISERROR(1/VLOOKUP($N59,Capa!$A:$AE,BG$5,0)),0,1/VLOOKUP($N59,Capa!$A:$AE,BG$5,0))))</f>
        <v/>
      </c>
      <c r="BH59" s="118" t="str">
        <f>IF(BH$6="","",IF(BH$3="Maior",IFERROR(IF(VLOOKUP($N59,Capa!$A:$AE,BH$5,0)="",0,VLOOKUP($N59,Capa!$A:$AE,BH$5,0)),0),IF(ISERROR(1/VLOOKUP($N59,Capa!$A:$AE,BH$5,0)),0,1/VLOOKUP($N59,Capa!$A:$AE,BH$5,0))))</f>
        <v/>
      </c>
      <c r="BI59" s="118" t="str">
        <f>IF(BI$6="","",IF(BI$3="Maior",IFERROR(IF(VLOOKUP($N59,Capa!$A:$AE,BI$5,0)="",0,VLOOKUP($N59,Capa!$A:$AE,BI$5,0)),0),IF(ISERROR(1/VLOOKUP($N59,Capa!$A:$AE,BI$5,0)),0,1/VLOOKUP($N59,Capa!$A:$AE,BI$5,0))))</f>
        <v/>
      </c>
      <c r="BJ59" s="118" t="str">
        <f>IF(BJ$6="","",IF(BJ$3="Maior",IFERROR(IF(VLOOKUP($N59,Capa!$A:$AE,BJ$5,0)="",0,VLOOKUP($N59,Capa!$A:$AE,BJ$5,0)),0),IF(ISERROR(1/VLOOKUP($N59,Capa!$A:$AE,BJ$5,0)),0,1/VLOOKUP($N59,Capa!$A:$AE,BJ$5,0))))</f>
        <v/>
      </c>
      <c r="BK59" s="118" t="str">
        <f>IF(BK$6="","",IF(BK$3="Maior",IFERROR(IF(VLOOKUP($N59,Capa!$A:$AE,BK$5,0)="",0,VLOOKUP($N59,Capa!$A:$AE,BK$5,0)),0),IF(ISERROR(1/VLOOKUP($N59,Capa!$A:$AE,BK$5,0)),0,1/VLOOKUP($N59,Capa!$A:$AE,BK$5,0))))</f>
        <v/>
      </c>
      <c r="BL59" s="118" t="str">
        <f>IF(BL$6="","",IF(BL$3="Maior",IFERROR(IF(VLOOKUP($N59,Capa!$A:$AE,BL$5,0)="",0,VLOOKUP($N59,Capa!$A:$AE,BL$5,0)),0),IF(ISERROR(1/VLOOKUP($N59,Capa!$A:$AE,BL$5,0)),0,1/VLOOKUP($N59,Capa!$A:$AE,BL$5,0))))</f>
        <v/>
      </c>
      <c r="BM59" s="118" t="str">
        <f>IF(BM$6="","",IF(BM$3="Maior",IFERROR(IF(VLOOKUP($N59,Capa!$A:$AE,BM$5,0)="",0,VLOOKUP($N59,Capa!$A:$AE,BM$5,0)),0),IF(ISERROR(1/VLOOKUP($N59,Capa!$A:$AE,BM$5,0)),0,1/VLOOKUP($N59,Capa!$A:$AE,BM$5,0))))</f>
        <v/>
      </c>
      <c r="BN59" s="118" t="str">
        <f>IF(BN$6="","",IF(BN$3="Maior",IFERROR(IF(VLOOKUP($N59,Capa!$A:$AE,BN$5,0)="",0,VLOOKUP($N59,Capa!$A:$AE,BN$5,0)),0),IF(ISERROR(1/VLOOKUP($N59,Capa!$A:$AE,BN$5,0)),0,1/VLOOKUP($N59,Capa!$A:$AE,BN$5,0))))</f>
        <v/>
      </c>
      <c r="BO59" s="92"/>
    </row>
    <row r="60">
      <c r="G60" s="11"/>
      <c r="H60" s="8">
        <v>54.0</v>
      </c>
      <c r="I60" s="110" t="str">
        <f t="shared" si="6"/>
        <v>RAPT4</v>
      </c>
      <c r="J60" s="111" t="str">
        <f>VLOOKUP(left(I60,4),Setor!A:D,3,0)&amp;" | "&amp;VLOOKUP(left(I60,4),Setor!A:D,4,0)</f>
        <v>Bens Industriais | Material de Transporte</v>
      </c>
      <c r="K60" s="112">
        <f t="shared" si="7"/>
        <v>35298094.63</v>
      </c>
      <c r="L60" s="11"/>
      <c r="M60" s="11"/>
      <c r="N60" s="10" t="s">
        <v>106</v>
      </c>
      <c r="O60" s="113">
        <f t="shared" si="8"/>
        <v>992.0253</v>
      </c>
      <c r="P60" s="114">
        <f>VLOOKUP(N60,'Dados StatusInvest'!A:Z,26,0)</f>
        <v>157707610.6</v>
      </c>
      <c r="Q60" s="115">
        <f t="shared" si="9"/>
        <v>253.0253</v>
      </c>
      <c r="R60" s="116">
        <f t="shared" ref="R60:AO60" si="63">IF(AQ60="","", RANK(AQ60,AQ$7:AQ$503,0))</f>
        <v>244</v>
      </c>
      <c r="S60" s="115">
        <f t="shared" si="63"/>
        <v>495</v>
      </c>
      <c r="T60" s="115" t="str">
        <f t="shared" si="63"/>
        <v/>
      </c>
      <c r="U60" s="115" t="str">
        <f t="shared" si="63"/>
        <v/>
      </c>
      <c r="V60" s="115" t="str">
        <f t="shared" si="63"/>
        <v/>
      </c>
      <c r="W60" s="115" t="str">
        <f t="shared" si="63"/>
        <v/>
      </c>
      <c r="X60" s="115" t="str">
        <f t="shared" si="63"/>
        <v/>
      </c>
      <c r="Y60" s="115" t="str">
        <f t="shared" si="63"/>
        <v/>
      </c>
      <c r="Z60" s="115" t="str">
        <f t="shared" si="63"/>
        <v/>
      </c>
      <c r="AA60" s="115" t="str">
        <f t="shared" si="63"/>
        <v/>
      </c>
      <c r="AB60" s="115" t="str">
        <f t="shared" si="63"/>
        <v/>
      </c>
      <c r="AC60" s="115" t="str">
        <f t="shared" si="63"/>
        <v/>
      </c>
      <c r="AD60" s="115" t="str">
        <f t="shared" si="63"/>
        <v/>
      </c>
      <c r="AE60" s="115" t="str">
        <f t="shared" si="63"/>
        <v/>
      </c>
      <c r="AF60" s="115" t="str">
        <f t="shared" si="63"/>
        <v/>
      </c>
      <c r="AG60" s="115" t="str">
        <f t="shared" si="63"/>
        <v/>
      </c>
      <c r="AH60" s="115" t="str">
        <f t="shared" si="63"/>
        <v/>
      </c>
      <c r="AI60" s="115" t="str">
        <f t="shared" si="63"/>
        <v/>
      </c>
      <c r="AJ60" s="115" t="str">
        <f t="shared" si="63"/>
        <v/>
      </c>
      <c r="AK60" s="115" t="str">
        <f t="shared" si="63"/>
        <v/>
      </c>
      <c r="AL60" s="115" t="str">
        <f t="shared" si="63"/>
        <v/>
      </c>
      <c r="AM60" s="115" t="str">
        <f t="shared" si="63"/>
        <v/>
      </c>
      <c r="AN60" s="115" t="str">
        <f t="shared" si="63"/>
        <v/>
      </c>
      <c r="AO60" s="115" t="str">
        <f t="shared" si="63"/>
        <v/>
      </c>
      <c r="AP60" s="117">
        <f>IF(AP$6="","",IF(AP$3="Maior",IFERROR(IF(VLOOKUP($N60,Capa!$A:$AE,AP$5,0)="",0,VLOOKUP($N60,Capa!$A:$AE,AP$5,0)),0),IF(ISERROR(1/VLOOKUP($N60,Capa!$A:$AE,AP$5,0)),0,1/VLOOKUP($N60,Capa!$A:$AE,AP$5,0))))</f>
        <v>0.07953226177</v>
      </c>
      <c r="AQ60" s="118">
        <f>IF(AQ$6="","",IF(AQ$3="Maior",IFERROR(IF(VLOOKUP($N60,Capa!$A:$AE,AQ$5,0)="",0,VLOOKUP($N60,Capa!$A:$AE,AQ$5,0)),0),IF(ISERROR(1/VLOOKUP($N60,Capa!$A:$AE,AQ$5,0)),0,1/VLOOKUP($N60,Capa!$A:$AE,AQ$5,0))))</f>
        <v>8.45</v>
      </c>
      <c r="AR60" s="118">
        <f>IF(AR$6="","",IF(AR$3="Maior",IFERROR(IF(VLOOKUP($N60,Capa!$A:$AE,AR$5,0)="",0,VLOOKUP($N60,Capa!$A:$AE,AR$5,0)),0),IF(ISERROR(1/VLOOKUP($N60,Capa!$A:$AE,AR$5,0)),0,1/VLOOKUP($N60,Capa!$A:$AE,AR$5,0))))</f>
        <v>-21.87</v>
      </c>
      <c r="AS60" s="118" t="str">
        <f>IF(AS$6="","",IF(AS$3="Maior",IFERROR(IF(VLOOKUP($N60,Capa!$A:$AE,AS$5,0)="",0,VLOOKUP($N60,Capa!$A:$AE,AS$5,0)),0),IF(ISERROR(1/VLOOKUP($N60,Capa!$A:$AE,AS$5,0)),0,1/VLOOKUP($N60,Capa!$A:$AE,AS$5,0))))</f>
        <v/>
      </c>
      <c r="AT60" s="118" t="str">
        <f>IF(AT$6="","",IF(AT$3="Maior",IFERROR(IF(VLOOKUP($N60,Capa!$A:$AE,AT$5,0)="",0,VLOOKUP($N60,Capa!$A:$AE,AT$5,0)),0),IF(ISERROR(1/VLOOKUP($N60,Capa!$A:$AE,AT$5,0)),0,1/VLOOKUP($N60,Capa!$A:$AE,AT$5,0))))</f>
        <v/>
      </c>
      <c r="AU60" s="118" t="str">
        <f>IF(AU$6="","",IF(AU$3="Maior",IFERROR(IF(VLOOKUP($N60,Capa!$A:$AE,AU$5,0)="",0,VLOOKUP($N60,Capa!$A:$AE,AU$5,0)),0),IF(ISERROR(1/VLOOKUP($N60,Capa!$A:$AE,AU$5,0)),0,1/VLOOKUP($N60,Capa!$A:$AE,AU$5,0))))</f>
        <v/>
      </c>
      <c r="AV60" s="118" t="str">
        <f>IF(AV$6="","",IF(AV$3="Maior",IFERROR(IF(VLOOKUP($N60,Capa!$A:$AE,AV$5,0)="",0,VLOOKUP($N60,Capa!$A:$AE,AV$5,0)),0),IF(ISERROR(1/VLOOKUP($N60,Capa!$A:$AE,AV$5,0)),0,1/VLOOKUP($N60,Capa!$A:$AE,AV$5,0))))</f>
        <v/>
      </c>
      <c r="AW60" s="118" t="str">
        <f>IF(AW$6="","",IF(AW$3="Maior",IFERROR(IF(VLOOKUP($N60,Capa!$A:$AE,AW$5,0)="",0,VLOOKUP($N60,Capa!$A:$AE,AW$5,0)),0),IF(ISERROR(1/VLOOKUP($N60,Capa!$A:$AE,AW$5,0)),0,1/VLOOKUP($N60,Capa!$A:$AE,AW$5,0))))</f>
        <v/>
      </c>
      <c r="AX60" s="118" t="str">
        <f>IF(AX$6="","",IF(AX$3="Maior",IFERROR(IF(VLOOKUP($N60,Capa!$A:$AE,AX$5,0)="",0,VLOOKUP($N60,Capa!$A:$AE,AX$5,0)),0),IF(ISERROR(1/VLOOKUP($N60,Capa!$A:$AE,AX$5,0)),0,1/VLOOKUP($N60,Capa!$A:$AE,AX$5,0))))</f>
        <v/>
      </c>
      <c r="AY60" s="118" t="str">
        <f>IF(AY$6="","",IF(AY$3="Maior",IFERROR(IF(VLOOKUP($N60,Capa!$A:$AE,AY$5,0)="",0,VLOOKUP($N60,Capa!$A:$AE,AY$5,0)),0),IF(ISERROR(1/VLOOKUP($N60,Capa!$A:$AE,AY$5,0)),0,1/VLOOKUP($N60,Capa!$A:$AE,AY$5,0))))</f>
        <v/>
      </c>
      <c r="AZ60" s="118" t="str">
        <f>IF(AZ$6="","",IF(AZ$3="Maior",IFERROR(IF(VLOOKUP($N60,Capa!$A:$AE,AZ$5,0)="",0,VLOOKUP($N60,Capa!$A:$AE,AZ$5,0)),0),IF(ISERROR(1/VLOOKUP($N60,Capa!$A:$AE,AZ$5,0)),0,1/VLOOKUP($N60,Capa!$A:$AE,AZ$5,0))))</f>
        <v/>
      </c>
      <c r="BA60" s="118" t="str">
        <f>IF(BA$6="","",IF(BA$3="Maior",IFERROR(IF(VLOOKUP($N60,Capa!$A:$AE,BA$5,0)="",0,VLOOKUP($N60,Capa!$A:$AE,BA$5,0)),0),IF(ISERROR(1/VLOOKUP($N60,Capa!$A:$AE,BA$5,0)),0,1/VLOOKUP($N60,Capa!$A:$AE,BA$5,0))))</f>
        <v/>
      </c>
      <c r="BB60" s="118" t="str">
        <f>IF(BB$6="","",IF(BB$3="Maior",IFERROR(IF(VLOOKUP($N60,Capa!$A:$AE,BB$5,0)="",0,VLOOKUP($N60,Capa!$A:$AE,BB$5,0)),0),IF(ISERROR(1/VLOOKUP($N60,Capa!$A:$AE,BB$5,0)),0,1/VLOOKUP($N60,Capa!$A:$AE,BB$5,0))))</f>
        <v/>
      </c>
      <c r="BC60" s="118" t="str">
        <f>IF(BC$6="","",IF(BC$3="Maior",IFERROR(IF(VLOOKUP($N60,Capa!$A:$AE,BC$5,0)="",0,VLOOKUP($N60,Capa!$A:$AE,BC$5,0)),0),IF(ISERROR(1/VLOOKUP($N60,Capa!$A:$AE,BC$5,0)),0,1/VLOOKUP($N60,Capa!$A:$AE,BC$5,0))))</f>
        <v/>
      </c>
      <c r="BD60" s="118" t="str">
        <f>IF(BD$6="","",IF(BD$3="Maior",IFERROR(IF(VLOOKUP($N60,Capa!$A:$AE,BD$5,0)="",0,VLOOKUP($N60,Capa!$A:$AE,BD$5,0)),0),IF(ISERROR(1/VLOOKUP($N60,Capa!$A:$AE,BD$5,0)),0,1/VLOOKUP($N60,Capa!$A:$AE,BD$5,0))))</f>
        <v/>
      </c>
      <c r="BE60" s="118" t="str">
        <f>IF(BE$6="","",IF(BE$3="Maior",IFERROR(IF(VLOOKUP($N60,Capa!$A:$AE,BE$5,0)="",0,VLOOKUP($N60,Capa!$A:$AE,BE$5,0)),0),IF(ISERROR(1/VLOOKUP($N60,Capa!$A:$AE,BE$5,0)),0,1/VLOOKUP($N60,Capa!$A:$AE,BE$5,0))))</f>
        <v/>
      </c>
      <c r="BF60" s="118" t="str">
        <f>IF(BF$6="","",IF(BF$3="Maior",IFERROR(IF(VLOOKUP($N60,Capa!$A:$AE,BF$5,0)="",0,VLOOKUP($N60,Capa!$A:$AE,BF$5,0)),0),IF(ISERROR(1/VLOOKUP($N60,Capa!$A:$AE,BF$5,0)),0,1/VLOOKUP($N60,Capa!$A:$AE,BF$5,0))))</f>
        <v/>
      </c>
      <c r="BG60" s="118" t="str">
        <f>IF(BG$6="","",IF(BG$3="Maior",IFERROR(IF(VLOOKUP($N60,Capa!$A:$AE,BG$5,0)="",0,VLOOKUP($N60,Capa!$A:$AE,BG$5,0)),0),IF(ISERROR(1/VLOOKUP($N60,Capa!$A:$AE,BG$5,0)),0,1/VLOOKUP($N60,Capa!$A:$AE,BG$5,0))))</f>
        <v/>
      </c>
      <c r="BH60" s="118" t="str">
        <f>IF(BH$6="","",IF(BH$3="Maior",IFERROR(IF(VLOOKUP($N60,Capa!$A:$AE,BH$5,0)="",0,VLOOKUP($N60,Capa!$A:$AE,BH$5,0)),0),IF(ISERROR(1/VLOOKUP($N60,Capa!$A:$AE,BH$5,0)),0,1/VLOOKUP($N60,Capa!$A:$AE,BH$5,0))))</f>
        <v/>
      </c>
      <c r="BI60" s="118" t="str">
        <f>IF(BI$6="","",IF(BI$3="Maior",IFERROR(IF(VLOOKUP($N60,Capa!$A:$AE,BI$5,0)="",0,VLOOKUP($N60,Capa!$A:$AE,BI$5,0)),0),IF(ISERROR(1/VLOOKUP($N60,Capa!$A:$AE,BI$5,0)),0,1/VLOOKUP($N60,Capa!$A:$AE,BI$5,0))))</f>
        <v/>
      </c>
      <c r="BJ60" s="118" t="str">
        <f>IF(BJ$6="","",IF(BJ$3="Maior",IFERROR(IF(VLOOKUP($N60,Capa!$A:$AE,BJ$5,0)="",0,VLOOKUP($N60,Capa!$A:$AE,BJ$5,0)),0),IF(ISERROR(1/VLOOKUP($N60,Capa!$A:$AE,BJ$5,0)),0,1/VLOOKUP($N60,Capa!$A:$AE,BJ$5,0))))</f>
        <v/>
      </c>
      <c r="BK60" s="118" t="str">
        <f>IF(BK$6="","",IF(BK$3="Maior",IFERROR(IF(VLOOKUP($N60,Capa!$A:$AE,BK$5,0)="",0,VLOOKUP($N60,Capa!$A:$AE,BK$5,0)),0),IF(ISERROR(1/VLOOKUP($N60,Capa!$A:$AE,BK$5,0)),0,1/VLOOKUP($N60,Capa!$A:$AE,BK$5,0))))</f>
        <v/>
      </c>
      <c r="BL60" s="118" t="str">
        <f>IF(BL$6="","",IF(BL$3="Maior",IFERROR(IF(VLOOKUP($N60,Capa!$A:$AE,BL$5,0)="",0,VLOOKUP($N60,Capa!$A:$AE,BL$5,0)),0),IF(ISERROR(1/VLOOKUP($N60,Capa!$A:$AE,BL$5,0)),0,1/VLOOKUP($N60,Capa!$A:$AE,BL$5,0))))</f>
        <v/>
      </c>
      <c r="BM60" s="118" t="str">
        <f>IF(BM$6="","",IF(BM$3="Maior",IFERROR(IF(VLOOKUP($N60,Capa!$A:$AE,BM$5,0)="",0,VLOOKUP($N60,Capa!$A:$AE,BM$5,0)),0),IF(ISERROR(1/VLOOKUP($N60,Capa!$A:$AE,BM$5,0)),0,1/VLOOKUP($N60,Capa!$A:$AE,BM$5,0))))</f>
        <v/>
      </c>
      <c r="BN60" s="118" t="str">
        <f>IF(BN$6="","",IF(BN$3="Maior",IFERROR(IF(VLOOKUP($N60,Capa!$A:$AE,BN$5,0)="",0,VLOOKUP($N60,Capa!$A:$AE,BN$5,0)),0),IF(ISERROR(1/VLOOKUP($N60,Capa!$A:$AE,BN$5,0)),0,1/VLOOKUP($N60,Capa!$A:$AE,BN$5,0))))</f>
        <v/>
      </c>
      <c r="BO60" s="92"/>
    </row>
    <row r="61">
      <c r="G61" s="11"/>
      <c r="H61" s="8">
        <v>55.0</v>
      </c>
      <c r="I61" s="110" t="str">
        <f t="shared" si="6"/>
        <v>LOGG3</v>
      </c>
      <c r="J61" s="111" t="str">
        <f>VLOOKUP(left(I61,4),Setor!A:D,3,0)&amp;" | "&amp;VLOOKUP(left(I61,4),Setor!A:D,4,0)</f>
        <v>Financeiro | Exploração de Imóveis</v>
      </c>
      <c r="K61" s="112">
        <f t="shared" si="7"/>
        <v>12660653.38</v>
      </c>
      <c r="L61" s="11"/>
      <c r="M61" s="11"/>
      <c r="N61" s="10" t="s">
        <v>107</v>
      </c>
      <c r="O61" s="113">
        <f t="shared" si="8"/>
        <v>686.0329</v>
      </c>
      <c r="P61" s="114">
        <f>VLOOKUP(N61,'Dados StatusInvest'!A:Z,26,0)</f>
        <v>120607910.4</v>
      </c>
      <c r="Q61" s="115">
        <f t="shared" si="9"/>
        <v>329.0329</v>
      </c>
      <c r="R61" s="116">
        <f t="shared" ref="R61:AO61" si="64">IF(AQ61="","", RANK(AQ61,AQ$7:AQ$503,0))</f>
        <v>346</v>
      </c>
      <c r="S61" s="115">
        <f t="shared" si="64"/>
        <v>11</v>
      </c>
      <c r="T61" s="115" t="str">
        <f t="shared" si="64"/>
        <v/>
      </c>
      <c r="U61" s="115" t="str">
        <f t="shared" si="64"/>
        <v/>
      </c>
      <c r="V61" s="115" t="str">
        <f t="shared" si="64"/>
        <v/>
      </c>
      <c r="W61" s="115" t="str">
        <f t="shared" si="64"/>
        <v/>
      </c>
      <c r="X61" s="115" t="str">
        <f t="shared" si="64"/>
        <v/>
      </c>
      <c r="Y61" s="115" t="str">
        <f t="shared" si="64"/>
        <v/>
      </c>
      <c r="Z61" s="115" t="str">
        <f t="shared" si="64"/>
        <v/>
      </c>
      <c r="AA61" s="115" t="str">
        <f t="shared" si="64"/>
        <v/>
      </c>
      <c r="AB61" s="115" t="str">
        <f t="shared" si="64"/>
        <v/>
      </c>
      <c r="AC61" s="115" t="str">
        <f t="shared" si="64"/>
        <v/>
      </c>
      <c r="AD61" s="115" t="str">
        <f t="shared" si="64"/>
        <v/>
      </c>
      <c r="AE61" s="115" t="str">
        <f t="shared" si="64"/>
        <v/>
      </c>
      <c r="AF61" s="115" t="str">
        <f t="shared" si="64"/>
        <v/>
      </c>
      <c r="AG61" s="115" t="str">
        <f t="shared" si="64"/>
        <v/>
      </c>
      <c r="AH61" s="115" t="str">
        <f t="shared" si="64"/>
        <v/>
      </c>
      <c r="AI61" s="115" t="str">
        <f t="shared" si="64"/>
        <v/>
      </c>
      <c r="AJ61" s="115" t="str">
        <f t="shared" si="64"/>
        <v/>
      </c>
      <c r="AK61" s="115" t="str">
        <f t="shared" si="64"/>
        <v/>
      </c>
      <c r="AL61" s="115" t="str">
        <f t="shared" si="64"/>
        <v/>
      </c>
      <c r="AM61" s="115" t="str">
        <f t="shared" si="64"/>
        <v/>
      </c>
      <c r="AN61" s="115" t="str">
        <f t="shared" si="64"/>
        <v/>
      </c>
      <c r="AO61" s="115" t="str">
        <f t="shared" si="64"/>
        <v/>
      </c>
      <c r="AP61" s="117">
        <f>IF(AP$6="","",IF(AP$3="Maior",IFERROR(IF(VLOOKUP($N61,Capa!$A:$AE,AP$5,0)="",0,VLOOKUP($N61,Capa!$A:$AE,AP$5,0)),0),IF(ISERROR(1/VLOOKUP($N61,Capa!$A:$AE,AP$5,0)),0,1/VLOOKUP($N61,Capa!$A:$AE,AP$5,0))))</f>
        <v>0.04028168081</v>
      </c>
      <c r="AQ61" s="118">
        <f>IF(AQ$6="","",IF(AQ$3="Maior",IFERROR(IF(VLOOKUP($N61,Capa!$A:$AE,AQ$5,0)="",0,VLOOKUP($N61,Capa!$A:$AE,AQ$5,0)),0),IF(ISERROR(1/VLOOKUP($N61,Capa!$A:$AE,AQ$5,0)),0,1/VLOOKUP($N61,Capa!$A:$AE,AQ$5,0))))</f>
        <v>2.45</v>
      </c>
      <c r="AR61" s="118">
        <f>IF(AR$6="","",IF(AR$3="Maior",IFERROR(IF(VLOOKUP($N61,Capa!$A:$AE,AR$5,0)="",0,VLOOKUP($N61,Capa!$A:$AE,AR$5,0)),0),IF(ISERROR(1/VLOOKUP($N61,Capa!$A:$AE,AR$5,0)),0,1/VLOOKUP($N61,Capa!$A:$AE,AR$5,0))))</f>
        <v>98.92</v>
      </c>
      <c r="AS61" s="118" t="str">
        <f>IF(AS$6="","",IF(AS$3="Maior",IFERROR(IF(VLOOKUP($N61,Capa!$A:$AE,AS$5,0)="",0,VLOOKUP($N61,Capa!$A:$AE,AS$5,0)),0),IF(ISERROR(1/VLOOKUP($N61,Capa!$A:$AE,AS$5,0)),0,1/VLOOKUP($N61,Capa!$A:$AE,AS$5,0))))</f>
        <v/>
      </c>
      <c r="AT61" s="118" t="str">
        <f>IF(AT$6="","",IF(AT$3="Maior",IFERROR(IF(VLOOKUP($N61,Capa!$A:$AE,AT$5,0)="",0,VLOOKUP($N61,Capa!$A:$AE,AT$5,0)),0),IF(ISERROR(1/VLOOKUP($N61,Capa!$A:$AE,AT$5,0)),0,1/VLOOKUP($N61,Capa!$A:$AE,AT$5,0))))</f>
        <v/>
      </c>
      <c r="AU61" s="118" t="str">
        <f>IF(AU$6="","",IF(AU$3="Maior",IFERROR(IF(VLOOKUP($N61,Capa!$A:$AE,AU$5,0)="",0,VLOOKUP($N61,Capa!$A:$AE,AU$5,0)),0),IF(ISERROR(1/VLOOKUP($N61,Capa!$A:$AE,AU$5,0)),0,1/VLOOKUP($N61,Capa!$A:$AE,AU$5,0))))</f>
        <v/>
      </c>
      <c r="AV61" s="118" t="str">
        <f>IF(AV$6="","",IF(AV$3="Maior",IFERROR(IF(VLOOKUP($N61,Capa!$A:$AE,AV$5,0)="",0,VLOOKUP($N61,Capa!$A:$AE,AV$5,0)),0),IF(ISERROR(1/VLOOKUP($N61,Capa!$A:$AE,AV$5,0)),0,1/VLOOKUP($N61,Capa!$A:$AE,AV$5,0))))</f>
        <v/>
      </c>
      <c r="AW61" s="118" t="str">
        <f>IF(AW$6="","",IF(AW$3="Maior",IFERROR(IF(VLOOKUP($N61,Capa!$A:$AE,AW$5,0)="",0,VLOOKUP($N61,Capa!$A:$AE,AW$5,0)),0),IF(ISERROR(1/VLOOKUP($N61,Capa!$A:$AE,AW$5,0)),0,1/VLOOKUP($N61,Capa!$A:$AE,AW$5,0))))</f>
        <v/>
      </c>
      <c r="AX61" s="118" t="str">
        <f>IF(AX$6="","",IF(AX$3="Maior",IFERROR(IF(VLOOKUP($N61,Capa!$A:$AE,AX$5,0)="",0,VLOOKUP($N61,Capa!$A:$AE,AX$5,0)),0),IF(ISERROR(1/VLOOKUP($N61,Capa!$A:$AE,AX$5,0)),0,1/VLOOKUP($N61,Capa!$A:$AE,AX$5,0))))</f>
        <v/>
      </c>
      <c r="AY61" s="118" t="str">
        <f>IF(AY$6="","",IF(AY$3="Maior",IFERROR(IF(VLOOKUP($N61,Capa!$A:$AE,AY$5,0)="",0,VLOOKUP($N61,Capa!$A:$AE,AY$5,0)),0),IF(ISERROR(1/VLOOKUP($N61,Capa!$A:$AE,AY$5,0)),0,1/VLOOKUP($N61,Capa!$A:$AE,AY$5,0))))</f>
        <v/>
      </c>
      <c r="AZ61" s="118" t="str">
        <f>IF(AZ$6="","",IF(AZ$3="Maior",IFERROR(IF(VLOOKUP($N61,Capa!$A:$AE,AZ$5,0)="",0,VLOOKUP($N61,Capa!$A:$AE,AZ$5,0)),0),IF(ISERROR(1/VLOOKUP($N61,Capa!$A:$AE,AZ$5,0)),0,1/VLOOKUP($N61,Capa!$A:$AE,AZ$5,0))))</f>
        <v/>
      </c>
      <c r="BA61" s="118" t="str">
        <f>IF(BA$6="","",IF(BA$3="Maior",IFERROR(IF(VLOOKUP($N61,Capa!$A:$AE,BA$5,0)="",0,VLOOKUP($N61,Capa!$A:$AE,BA$5,0)),0),IF(ISERROR(1/VLOOKUP($N61,Capa!$A:$AE,BA$5,0)),0,1/VLOOKUP($N61,Capa!$A:$AE,BA$5,0))))</f>
        <v/>
      </c>
      <c r="BB61" s="118" t="str">
        <f>IF(BB$6="","",IF(BB$3="Maior",IFERROR(IF(VLOOKUP($N61,Capa!$A:$AE,BB$5,0)="",0,VLOOKUP($N61,Capa!$A:$AE,BB$5,0)),0),IF(ISERROR(1/VLOOKUP($N61,Capa!$A:$AE,BB$5,0)),0,1/VLOOKUP($N61,Capa!$A:$AE,BB$5,0))))</f>
        <v/>
      </c>
      <c r="BC61" s="118" t="str">
        <f>IF(BC$6="","",IF(BC$3="Maior",IFERROR(IF(VLOOKUP($N61,Capa!$A:$AE,BC$5,0)="",0,VLOOKUP($N61,Capa!$A:$AE,BC$5,0)),0),IF(ISERROR(1/VLOOKUP($N61,Capa!$A:$AE,BC$5,0)),0,1/VLOOKUP($N61,Capa!$A:$AE,BC$5,0))))</f>
        <v/>
      </c>
      <c r="BD61" s="118" t="str">
        <f>IF(BD$6="","",IF(BD$3="Maior",IFERROR(IF(VLOOKUP($N61,Capa!$A:$AE,BD$5,0)="",0,VLOOKUP($N61,Capa!$A:$AE,BD$5,0)),0),IF(ISERROR(1/VLOOKUP($N61,Capa!$A:$AE,BD$5,0)),0,1/VLOOKUP($N61,Capa!$A:$AE,BD$5,0))))</f>
        <v/>
      </c>
      <c r="BE61" s="118" t="str">
        <f>IF(BE$6="","",IF(BE$3="Maior",IFERROR(IF(VLOOKUP($N61,Capa!$A:$AE,BE$5,0)="",0,VLOOKUP($N61,Capa!$A:$AE,BE$5,0)),0),IF(ISERROR(1/VLOOKUP($N61,Capa!$A:$AE,BE$5,0)),0,1/VLOOKUP($N61,Capa!$A:$AE,BE$5,0))))</f>
        <v/>
      </c>
      <c r="BF61" s="118" t="str">
        <f>IF(BF$6="","",IF(BF$3="Maior",IFERROR(IF(VLOOKUP($N61,Capa!$A:$AE,BF$5,0)="",0,VLOOKUP($N61,Capa!$A:$AE,BF$5,0)),0),IF(ISERROR(1/VLOOKUP($N61,Capa!$A:$AE,BF$5,0)),0,1/VLOOKUP($N61,Capa!$A:$AE,BF$5,0))))</f>
        <v/>
      </c>
      <c r="BG61" s="118" t="str">
        <f>IF(BG$6="","",IF(BG$3="Maior",IFERROR(IF(VLOOKUP($N61,Capa!$A:$AE,BG$5,0)="",0,VLOOKUP($N61,Capa!$A:$AE,BG$5,0)),0),IF(ISERROR(1/VLOOKUP($N61,Capa!$A:$AE,BG$5,0)),0,1/VLOOKUP($N61,Capa!$A:$AE,BG$5,0))))</f>
        <v/>
      </c>
      <c r="BH61" s="118" t="str">
        <f>IF(BH$6="","",IF(BH$3="Maior",IFERROR(IF(VLOOKUP($N61,Capa!$A:$AE,BH$5,0)="",0,VLOOKUP($N61,Capa!$A:$AE,BH$5,0)),0),IF(ISERROR(1/VLOOKUP($N61,Capa!$A:$AE,BH$5,0)),0,1/VLOOKUP($N61,Capa!$A:$AE,BH$5,0))))</f>
        <v/>
      </c>
      <c r="BI61" s="118" t="str">
        <f>IF(BI$6="","",IF(BI$3="Maior",IFERROR(IF(VLOOKUP($N61,Capa!$A:$AE,BI$5,0)="",0,VLOOKUP($N61,Capa!$A:$AE,BI$5,0)),0),IF(ISERROR(1/VLOOKUP($N61,Capa!$A:$AE,BI$5,0)),0,1/VLOOKUP($N61,Capa!$A:$AE,BI$5,0))))</f>
        <v/>
      </c>
      <c r="BJ61" s="118" t="str">
        <f>IF(BJ$6="","",IF(BJ$3="Maior",IFERROR(IF(VLOOKUP($N61,Capa!$A:$AE,BJ$5,0)="",0,VLOOKUP($N61,Capa!$A:$AE,BJ$5,0)),0),IF(ISERROR(1/VLOOKUP($N61,Capa!$A:$AE,BJ$5,0)),0,1/VLOOKUP($N61,Capa!$A:$AE,BJ$5,0))))</f>
        <v/>
      </c>
      <c r="BK61" s="118" t="str">
        <f>IF(BK$6="","",IF(BK$3="Maior",IFERROR(IF(VLOOKUP($N61,Capa!$A:$AE,BK$5,0)="",0,VLOOKUP($N61,Capa!$A:$AE,BK$5,0)),0),IF(ISERROR(1/VLOOKUP($N61,Capa!$A:$AE,BK$5,0)),0,1/VLOOKUP($N61,Capa!$A:$AE,BK$5,0))))</f>
        <v/>
      </c>
      <c r="BL61" s="118" t="str">
        <f>IF(BL$6="","",IF(BL$3="Maior",IFERROR(IF(VLOOKUP($N61,Capa!$A:$AE,BL$5,0)="",0,VLOOKUP($N61,Capa!$A:$AE,BL$5,0)),0),IF(ISERROR(1/VLOOKUP($N61,Capa!$A:$AE,BL$5,0)),0,1/VLOOKUP($N61,Capa!$A:$AE,BL$5,0))))</f>
        <v/>
      </c>
      <c r="BM61" s="118" t="str">
        <f>IF(BM$6="","",IF(BM$3="Maior",IFERROR(IF(VLOOKUP($N61,Capa!$A:$AE,BM$5,0)="",0,VLOOKUP($N61,Capa!$A:$AE,BM$5,0)),0),IF(ISERROR(1/VLOOKUP($N61,Capa!$A:$AE,BM$5,0)),0,1/VLOOKUP($N61,Capa!$A:$AE,BM$5,0))))</f>
        <v/>
      </c>
      <c r="BN61" s="118" t="str">
        <f>IF(BN$6="","",IF(BN$3="Maior",IFERROR(IF(VLOOKUP($N61,Capa!$A:$AE,BN$5,0)="",0,VLOOKUP($N61,Capa!$A:$AE,BN$5,0)),0),IF(ISERROR(1/VLOOKUP($N61,Capa!$A:$AE,BN$5,0)),0,1/VLOOKUP($N61,Capa!$A:$AE,BN$5,0))))</f>
        <v/>
      </c>
      <c r="BO61" s="92"/>
    </row>
    <row r="62">
      <c r="G62" s="11"/>
      <c r="H62" s="8">
        <v>56.0</v>
      </c>
      <c r="I62" s="110" t="str">
        <f t="shared" si="6"/>
        <v>SMTO3</v>
      </c>
      <c r="J62" s="111" t="str">
        <f>VLOOKUP(left(I62,4),Setor!A:D,3,0)&amp;" | "&amp;VLOOKUP(left(I62,4),Setor!A:D,4,0)</f>
        <v>Consumo não Cíclico | Alimentos Processados</v>
      </c>
      <c r="K62" s="112">
        <f t="shared" si="7"/>
        <v>44062580.08</v>
      </c>
      <c r="L62" s="11"/>
      <c r="M62" s="11"/>
      <c r="N62" s="10" t="s">
        <v>108</v>
      </c>
      <c r="O62" s="113">
        <f t="shared" si="8"/>
        <v>332.0013</v>
      </c>
      <c r="P62" s="114">
        <f>VLOOKUP(N62,'Dados StatusInvest'!A:Z,26,0)</f>
        <v>137612205.7</v>
      </c>
      <c r="Q62" s="115">
        <f t="shared" si="9"/>
        <v>13.0013</v>
      </c>
      <c r="R62" s="116">
        <f t="shared" ref="R62:AO62" si="65">IF(AQ62="","", RANK(AQ62,AQ$7:AQ$503,0))</f>
        <v>100</v>
      </c>
      <c r="S62" s="115">
        <f t="shared" si="65"/>
        <v>219</v>
      </c>
      <c r="T62" s="115" t="str">
        <f t="shared" si="65"/>
        <v/>
      </c>
      <c r="U62" s="115" t="str">
        <f t="shared" si="65"/>
        <v/>
      </c>
      <c r="V62" s="115" t="str">
        <f t="shared" si="65"/>
        <v/>
      </c>
      <c r="W62" s="115" t="str">
        <f t="shared" si="65"/>
        <v/>
      </c>
      <c r="X62" s="115" t="str">
        <f t="shared" si="65"/>
        <v/>
      </c>
      <c r="Y62" s="115" t="str">
        <f t="shared" si="65"/>
        <v/>
      </c>
      <c r="Z62" s="115" t="str">
        <f t="shared" si="65"/>
        <v/>
      </c>
      <c r="AA62" s="115" t="str">
        <f t="shared" si="65"/>
        <v/>
      </c>
      <c r="AB62" s="115" t="str">
        <f t="shared" si="65"/>
        <v/>
      </c>
      <c r="AC62" s="115" t="str">
        <f t="shared" si="65"/>
        <v/>
      </c>
      <c r="AD62" s="115" t="str">
        <f t="shared" si="65"/>
        <v/>
      </c>
      <c r="AE62" s="115" t="str">
        <f t="shared" si="65"/>
        <v/>
      </c>
      <c r="AF62" s="115" t="str">
        <f t="shared" si="65"/>
        <v/>
      </c>
      <c r="AG62" s="115" t="str">
        <f t="shared" si="65"/>
        <v/>
      </c>
      <c r="AH62" s="115" t="str">
        <f t="shared" si="65"/>
        <v/>
      </c>
      <c r="AI62" s="115" t="str">
        <f t="shared" si="65"/>
        <v/>
      </c>
      <c r="AJ62" s="115" t="str">
        <f t="shared" si="65"/>
        <v/>
      </c>
      <c r="AK62" s="115" t="str">
        <f t="shared" si="65"/>
        <v/>
      </c>
      <c r="AL62" s="115" t="str">
        <f t="shared" si="65"/>
        <v/>
      </c>
      <c r="AM62" s="115" t="str">
        <f t="shared" si="65"/>
        <v/>
      </c>
      <c r="AN62" s="115" t="str">
        <f t="shared" si="65"/>
        <v/>
      </c>
      <c r="AO62" s="115" t="str">
        <f t="shared" si="65"/>
        <v/>
      </c>
      <c r="AP62" s="117">
        <f>IF(AP$6="","",IF(AP$3="Maior",IFERROR(IF(VLOOKUP($N62,Capa!$A:$AE,AP$5,0)="",0,VLOOKUP($N62,Capa!$A:$AE,AP$5,0)),0),IF(ISERROR(1/VLOOKUP($N62,Capa!$A:$AE,AP$5,0)),0,1/VLOOKUP($N62,Capa!$A:$AE,AP$5,0))))</f>
        <v>0.5964328181</v>
      </c>
      <c r="AQ62" s="118">
        <f>IF(AQ$6="","",IF(AQ$3="Maior",IFERROR(IF(VLOOKUP($N62,Capa!$A:$AE,AQ$5,0)="",0,VLOOKUP($N62,Capa!$A:$AE,AQ$5,0)),0),IF(ISERROR(1/VLOOKUP($N62,Capa!$A:$AE,AQ$5,0)),0,1/VLOOKUP($N62,Capa!$A:$AE,AQ$5,0))))</f>
        <v>17.91</v>
      </c>
      <c r="AR62" s="118">
        <f>IF(AR$6="","",IF(AR$3="Maior",IFERROR(IF(VLOOKUP($N62,Capa!$A:$AE,AR$5,0)="",0,VLOOKUP($N62,Capa!$A:$AE,AR$5,0)),0),IF(ISERROR(1/VLOOKUP($N62,Capa!$A:$AE,AR$5,0)),0,1/VLOOKUP($N62,Capa!$A:$AE,AR$5,0))))</f>
        <v>0</v>
      </c>
      <c r="AS62" s="118" t="str">
        <f>IF(AS$6="","",IF(AS$3="Maior",IFERROR(IF(VLOOKUP($N62,Capa!$A:$AE,AS$5,0)="",0,VLOOKUP($N62,Capa!$A:$AE,AS$5,0)),0),IF(ISERROR(1/VLOOKUP($N62,Capa!$A:$AE,AS$5,0)),0,1/VLOOKUP($N62,Capa!$A:$AE,AS$5,0))))</f>
        <v/>
      </c>
      <c r="AT62" s="118" t="str">
        <f>IF(AT$6="","",IF(AT$3="Maior",IFERROR(IF(VLOOKUP($N62,Capa!$A:$AE,AT$5,0)="",0,VLOOKUP($N62,Capa!$A:$AE,AT$5,0)),0),IF(ISERROR(1/VLOOKUP($N62,Capa!$A:$AE,AT$5,0)),0,1/VLOOKUP($N62,Capa!$A:$AE,AT$5,0))))</f>
        <v/>
      </c>
      <c r="AU62" s="118" t="str">
        <f>IF(AU$6="","",IF(AU$3="Maior",IFERROR(IF(VLOOKUP($N62,Capa!$A:$AE,AU$5,0)="",0,VLOOKUP($N62,Capa!$A:$AE,AU$5,0)),0),IF(ISERROR(1/VLOOKUP($N62,Capa!$A:$AE,AU$5,0)),0,1/VLOOKUP($N62,Capa!$A:$AE,AU$5,0))))</f>
        <v/>
      </c>
      <c r="AV62" s="118" t="str">
        <f>IF(AV$6="","",IF(AV$3="Maior",IFERROR(IF(VLOOKUP($N62,Capa!$A:$AE,AV$5,0)="",0,VLOOKUP($N62,Capa!$A:$AE,AV$5,0)),0),IF(ISERROR(1/VLOOKUP($N62,Capa!$A:$AE,AV$5,0)),0,1/VLOOKUP($N62,Capa!$A:$AE,AV$5,0))))</f>
        <v/>
      </c>
      <c r="AW62" s="118" t="str">
        <f>IF(AW$6="","",IF(AW$3="Maior",IFERROR(IF(VLOOKUP($N62,Capa!$A:$AE,AW$5,0)="",0,VLOOKUP($N62,Capa!$A:$AE,AW$5,0)),0),IF(ISERROR(1/VLOOKUP($N62,Capa!$A:$AE,AW$5,0)),0,1/VLOOKUP($N62,Capa!$A:$AE,AW$5,0))))</f>
        <v/>
      </c>
      <c r="AX62" s="118" t="str">
        <f>IF(AX$6="","",IF(AX$3="Maior",IFERROR(IF(VLOOKUP($N62,Capa!$A:$AE,AX$5,0)="",0,VLOOKUP($N62,Capa!$A:$AE,AX$5,0)),0),IF(ISERROR(1/VLOOKUP($N62,Capa!$A:$AE,AX$5,0)),0,1/VLOOKUP($N62,Capa!$A:$AE,AX$5,0))))</f>
        <v/>
      </c>
      <c r="AY62" s="118" t="str">
        <f>IF(AY$6="","",IF(AY$3="Maior",IFERROR(IF(VLOOKUP($N62,Capa!$A:$AE,AY$5,0)="",0,VLOOKUP($N62,Capa!$A:$AE,AY$5,0)),0),IF(ISERROR(1/VLOOKUP($N62,Capa!$A:$AE,AY$5,0)),0,1/VLOOKUP($N62,Capa!$A:$AE,AY$5,0))))</f>
        <v/>
      </c>
      <c r="AZ62" s="118" t="str">
        <f>IF(AZ$6="","",IF(AZ$3="Maior",IFERROR(IF(VLOOKUP($N62,Capa!$A:$AE,AZ$5,0)="",0,VLOOKUP($N62,Capa!$A:$AE,AZ$5,0)),0),IF(ISERROR(1/VLOOKUP($N62,Capa!$A:$AE,AZ$5,0)),0,1/VLOOKUP($N62,Capa!$A:$AE,AZ$5,0))))</f>
        <v/>
      </c>
      <c r="BA62" s="118" t="str">
        <f>IF(BA$6="","",IF(BA$3="Maior",IFERROR(IF(VLOOKUP($N62,Capa!$A:$AE,BA$5,0)="",0,VLOOKUP($N62,Capa!$A:$AE,BA$5,0)),0),IF(ISERROR(1/VLOOKUP($N62,Capa!$A:$AE,BA$5,0)),0,1/VLOOKUP($N62,Capa!$A:$AE,BA$5,0))))</f>
        <v/>
      </c>
      <c r="BB62" s="118" t="str">
        <f>IF(BB$6="","",IF(BB$3="Maior",IFERROR(IF(VLOOKUP($N62,Capa!$A:$AE,BB$5,0)="",0,VLOOKUP($N62,Capa!$A:$AE,BB$5,0)),0),IF(ISERROR(1/VLOOKUP($N62,Capa!$A:$AE,BB$5,0)),0,1/VLOOKUP($N62,Capa!$A:$AE,BB$5,0))))</f>
        <v/>
      </c>
      <c r="BC62" s="118" t="str">
        <f>IF(BC$6="","",IF(BC$3="Maior",IFERROR(IF(VLOOKUP($N62,Capa!$A:$AE,BC$5,0)="",0,VLOOKUP($N62,Capa!$A:$AE,BC$5,0)),0),IF(ISERROR(1/VLOOKUP($N62,Capa!$A:$AE,BC$5,0)),0,1/VLOOKUP($N62,Capa!$A:$AE,BC$5,0))))</f>
        <v/>
      </c>
      <c r="BD62" s="118" t="str">
        <f>IF(BD$6="","",IF(BD$3="Maior",IFERROR(IF(VLOOKUP($N62,Capa!$A:$AE,BD$5,0)="",0,VLOOKUP($N62,Capa!$A:$AE,BD$5,0)),0),IF(ISERROR(1/VLOOKUP($N62,Capa!$A:$AE,BD$5,0)),0,1/VLOOKUP($N62,Capa!$A:$AE,BD$5,0))))</f>
        <v/>
      </c>
      <c r="BE62" s="118" t="str">
        <f>IF(BE$6="","",IF(BE$3="Maior",IFERROR(IF(VLOOKUP($N62,Capa!$A:$AE,BE$5,0)="",0,VLOOKUP($N62,Capa!$A:$AE,BE$5,0)),0),IF(ISERROR(1/VLOOKUP($N62,Capa!$A:$AE,BE$5,0)),0,1/VLOOKUP($N62,Capa!$A:$AE,BE$5,0))))</f>
        <v/>
      </c>
      <c r="BF62" s="118" t="str">
        <f>IF(BF$6="","",IF(BF$3="Maior",IFERROR(IF(VLOOKUP($N62,Capa!$A:$AE,BF$5,0)="",0,VLOOKUP($N62,Capa!$A:$AE,BF$5,0)),0),IF(ISERROR(1/VLOOKUP($N62,Capa!$A:$AE,BF$5,0)),0,1/VLOOKUP($N62,Capa!$A:$AE,BF$5,0))))</f>
        <v/>
      </c>
      <c r="BG62" s="118" t="str">
        <f>IF(BG$6="","",IF(BG$3="Maior",IFERROR(IF(VLOOKUP($N62,Capa!$A:$AE,BG$5,0)="",0,VLOOKUP($N62,Capa!$A:$AE,BG$5,0)),0),IF(ISERROR(1/VLOOKUP($N62,Capa!$A:$AE,BG$5,0)),0,1/VLOOKUP($N62,Capa!$A:$AE,BG$5,0))))</f>
        <v/>
      </c>
      <c r="BH62" s="118" t="str">
        <f>IF(BH$6="","",IF(BH$3="Maior",IFERROR(IF(VLOOKUP($N62,Capa!$A:$AE,BH$5,0)="",0,VLOOKUP($N62,Capa!$A:$AE,BH$5,0)),0),IF(ISERROR(1/VLOOKUP($N62,Capa!$A:$AE,BH$5,0)),0,1/VLOOKUP($N62,Capa!$A:$AE,BH$5,0))))</f>
        <v/>
      </c>
      <c r="BI62" s="118" t="str">
        <f>IF(BI$6="","",IF(BI$3="Maior",IFERROR(IF(VLOOKUP($N62,Capa!$A:$AE,BI$5,0)="",0,VLOOKUP($N62,Capa!$A:$AE,BI$5,0)),0),IF(ISERROR(1/VLOOKUP($N62,Capa!$A:$AE,BI$5,0)),0,1/VLOOKUP($N62,Capa!$A:$AE,BI$5,0))))</f>
        <v/>
      </c>
      <c r="BJ62" s="118" t="str">
        <f>IF(BJ$6="","",IF(BJ$3="Maior",IFERROR(IF(VLOOKUP($N62,Capa!$A:$AE,BJ$5,0)="",0,VLOOKUP($N62,Capa!$A:$AE,BJ$5,0)),0),IF(ISERROR(1/VLOOKUP($N62,Capa!$A:$AE,BJ$5,0)),0,1/VLOOKUP($N62,Capa!$A:$AE,BJ$5,0))))</f>
        <v/>
      </c>
      <c r="BK62" s="118" t="str">
        <f>IF(BK$6="","",IF(BK$3="Maior",IFERROR(IF(VLOOKUP($N62,Capa!$A:$AE,BK$5,0)="",0,VLOOKUP($N62,Capa!$A:$AE,BK$5,0)),0),IF(ISERROR(1/VLOOKUP($N62,Capa!$A:$AE,BK$5,0)),0,1/VLOOKUP($N62,Capa!$A:$AE,BK$5,0))))</f>
        <v/>
      </c>
      <c r="BL62" s="118" t="str">
        <f>IF(BL$6="","",IF(BL$3="Maior",IFERROR(IF(VLOOKUP($N62,Capa!$A:$AE,BL$5,0)="",0,VLOOKUP($N62,Capa!$A:$AE,BL$5,0)),0),IF(ISERROR(1/VLOOKUP($N62,Capa!$A:$AE,BL$5,0)),0,1/VLOOKUP($N62,Capa!$A:$AE,BL$5,0))))</f>
        <v/>
      </c>
      <c r="BM62" s="118" t="str">
        <f>IF(BM$6="","",IF(BM$3="Maior",IFERROR(IF(VLOOKUP($N62,Capa!$A:$AE,BM$5,0)="",0,VLOOKUP($N62,Capa!$A:$AE,BM$5,0)),0),IF(ISERROR(1/VLOOKUP($N62,Capa!$A:$AE,BM$5,0)),0,1/VLOOKUP($N62,Capa!$A:$AE,BM$5,0))))</f>
        <v/>
      </c>
      <c r="BN62" s="118" t="str">
        <f>IF(BN$6="","",IF(BN$3="Maior",IFERROR(IF(VLOOKUP($N62,Capa!$A:$AE,BN$5,0)="",0,VLOOKUP($N62,Capa!$A:$AE,BN$5,0)),0),IF(ISERROR(1/VLOOKUP($N62,Capa!$A:$AE,BN$5,0)),0,1/VLOOKUP($N62,Capa!$A:$AE,BN$5,0))))</f>
        <v/>
      </c>
      <c r="BO62" s="92"/>
    </row>
    <row r="63">
      <c r="G63" s="11"/>
      <c r="H63" s="8">
        <v>57.0</v>
      </c>
      <c r="I63" s="110" t="str">
        <f t="shared" si="6"/>
        <v>CAML3</v>
      </c>
      <c r="J63" s="111" t="str">
        <f>VLOOKUP(left(I63,4),Setor!A:D,3,0)&amp;" | "&amp;VLOOKUP(left(I63,4),Setor!A:D,4,0)</f>
        <v>Consumo não Cíclico | Alimentos Processados</v>
      </c>
      <c r="K63" s="112">
        <f t="shared" si="7"/>
        <v>14790043.54</v>
      </c>
      <c r="L63" s="11"/>
      <c r="M63" s="11"/>
      <c r="N63" s="10" t="s">
        <v>109</v>
      </c>
      <c r="O63" s="113">
        <f t="shared" si="8"/>
        <v>699.0129</v>
      </c>
      <c r="P63" s="114">
        <f>VLOOKUP(N63,'Dados StatusInvest'!A:Z,26,0)</f>
        <v>121647930.3</v>
      </c>
      <c r="Q63" s="115">
        <f t="shared" si="9"/>
        <v>129.0129</v>
      </c>
      <c r="R63" s="116">
        <f t="shared" ref="R63:AO63" si="66">IF(AQ63="","", RANK(AQ63,AQ$7:AQ$503,0))</f>
        <v>375</v>
      </c>
      <c r="S63" s="115">
        <f t="shared" si="66"/>
        <v>195</v>
      </c>
      <c r="T63" s="115" t="str">
        <f t="shared" si="66"/>
        <v/>
      </c>
      <c r="U63" s="115" t="str">
        <f t="shared" si="66"/>
        <v/>
      </c>
      <c r="V63" s="115" t="str">
        <f t="shared" si="66"/>
        <v/>
      </c>
      <c r="W63" s="115" t="str">
        <f t="shared" si="66"/>
        <v/>
      </c>
      <c r="X63" s="115" t="str">
        <f t="shared" si="66"/>
        <v/>
      </c>
      <c r="Y63" s="115" t="str">
        <f t="shared" si="66"/>
        <v/>
      </c>
      <c r="Z63" s="115" t="str">
        <f t="shared" si="66"/>
        <v/>
      </c>
      <c r="AA63" s="115" t="str">
        <f t="shared" si="66"/>
        <v/>
      </c>
      <c r="AB63" s="115" t="str">
        <f t="shared" si="66"/>
        <v/>
      </c>
      <c r="AC63" s="115" t="str">
        <f t="shared" si="66"/>
        <v/>
      </c>
      <c r="AD63" s="115" t="str">
        <f t="shared" si="66"/>
        <v/>
      </c>
      <c r="AE63" s="115" t="str">
        <f t="shared" si="66"/>
        <v/>
      </c>
      <c r="AF63" s="115" t="str">
        <f t="shared" si="66"/>
        <v/>
      </c>
      <c r="AG63" s="115" t="str">
        <f t="shared" si="66"/>
        <v/>
      </c>
      <c r="AH63" s="115" t="str">
        <f t="shared" si="66"/>
        <v/>
      </c>
      <c r="AI63" s="115" t="str">
        <f t="shared" si="66"/>
        <v/>
      </c>
      <c r="AJ63" s="115" t="str">
        <f t="shared" si="66"/>
        <v/>
      </c>
      <c r="AK63" s="115" t="str">
        <f t="shared" si="66"/>
        <v/>
      </c>
      <c r="AL63" s="115" t="str">
        <f t="shared" si="66"/>
        <v/>
      </c>
      <c r="AM63" s="115" t="str">
        <f t="shared" si="66"/>
        <v/>
      </c>
      <c r="AN63" s="115" t="str">
        <f t="shared" si="66"/>
        <v/>
      </c>
      <c r="AO63" s="115" t="str">
        <f t="shared" si="66"/>
        <v/>
      </c>
      <c r="AP63" s="117">
        <f>IF(AP$6="","",IF(AP$3="Maior",IFERROR(IF(VLOOKUP($N63,Capa!$A:$AE,AP$5,0)="",0,VLOOKUP($N63,Capa!$A:$AE,AP$5,0)),0),IF(ISERROR(1/VLOOKUP($N63,Capa!$A:$AE,AP$5,0)),0,1/VLOOKUP($N63,Capa!$A:$AE,AP$5,0))))</f>
        <v>0.1450132888</v>
      </c>
      <c r="AQ63" s="118">
        <f>IF(AQ$6="","",IF(AQ$3="Maior",IFERROR(IF(VLOOKUP($N63,Capa!$A:$AE,AQ$5,0)="",0,VLOOKUP($N63,Capa!$A:$AE,AQ$5,0)),0),IF(ISERROR(1/VLOOKUP($N63,Capa!$A:$AE,AQ$5,0)),0,1/VLOOKUP($N63,Capa!$A:$AE,AQ$5,0))))</f>
        <v>0</v>
      </c>
      <c r="AR63" s="118">
        <f>IF(AR$6="","",IF(AR$3="Maior",IFERROR(IF(VLOOKUP($N63,Capa!$A:$AE,AR$5,0)="",0,VLOOKUP($N63,Capa!$A:$AE,AR$5,0)),0),IF(ISERROR(1/VLOOKUP($N63,Capa!$A:$AE,AR$5,0)),0,1/VLOOKUP($N63,Capa!$A:$AE,AR$5,0))))</f>
        <v>3.74</v>
      </c>
      <c r="AS63" s="118" t="str">
        <f>IF(AS$6="","",IF(AS$3="Maior",IFERROR(IF(VLOOKUP($N63,Capa!$A:$AE,AS$5,0)="",0,VLOOKUP($N63,Capa!$A:$AE,AS$5,0)),0),IF(ISERROR(1/VLOOKUP($N63,Capa!$A:$AE,AS$5,0)),0,1/VLOOKUP($N63,Capa!$A:$AE,AS$5,0))))</f>
        <v/>
      </c>
      <c r="AT63" s="118" t="str">
        <f>IF(AT$6="","",IF(AT$3="Maior",IFERROR(IF(VLOOKUP($N63,Capa!$A:$AE,AT$5,0)="",0,VLOOKUP($N63,Capa!$A:$AE,AT$5,0)),0),IF(ISERROR(1/VLOOKUP($N63,Capa!$A:$AE,AT$5,0)),0,1/VLOOKUP($N63,Capa!$A:$AE,AT$5,0))))</f>
        <v/>
      </c>
      <c r="AU63" s="118" t="str">
        <f>IF(AU$6="","",IF(AU$3="Maior",IFERROR(IF(VLOOKUP($N63,Capa!$A:$AE,AU$5,0)="",0,VLOOKUP($N63,Capa!$A:$AE,AU$5,0)),0),IF(ISERROR(1/VLOOKUP($N63,Capa!$A:$AE,AU$5,0)),0,1/VLOOKUP($N63,Capa!$A:$AE,AU$5,0))))</f>
        <v/>
      </c>
      <c r="AV63" s="118" t="str">
        <f>IF(AV$6="","",IF(AV$3="Maior",IFERROR(IF(VLOOKUP($N63,Capa!$A:$AE,AV$5,0)="",0,VLOOKUP($N63,Capa!$A:$AE,AV$5,0)),0),IF(ISERROR(1/VLOOKUP($N63,Capa!$A:$AE,AV$5,0)),0,1/VLOOKUP($N63,Capa!$A:$AE,AV$5,0))))</f>
        <v/>
      </c>
      <c r="AW63" s="118" t="str">
        <f>IF(AW$6="","",IF(AW$3="Maior",IFERROR(IF(VLOOKUP($N63,Capa!$A:$AE,AW$5,0)="",0,VLOOKUP($N63,Capa!$A:$AE,AW$5,0)),0),IF(ISERROR(1/VLOOKUP($N63,Capa!$A:$AE,AW$5,0)),0,1/VLOOKUP($N63,Capa!$A:$AE,AW$5,0))))</f>
        <v/>
      </c>
      <c r="AX63" s="118" t="str">
        <f>IF(AX$6="","",IF(AX$3="Maior",IFERROR(IF(VLOOKUP($N63,Capa!$A:$AE,AX$5,0)="",0,VLOOKUP($N63,Capa!$A:$AE,AX$5,0)),0),IF(ISERROR(1/VLOOKUP($N63,Capa!$A:$AE,AX$5,0)),0,1/VLOOKUP($N63,Capa!$A:$AE,AX$5,0))))</f>
        <v/>
      </c>
      <c r="AY63" s="118" t="str">
        <f>IF(AY$6="","",IF(AY$3="Maior",IFERROR(IF(VLOOKUP($N63,Capa!$A:$AE,AY$5,0)="",0,VLOOKUP($N63,Capa!$A:$AE,AY$5,0)),0),IF(ISERROR(1/VLOOKUP($N63,Capa!$A:$AE,AY$5,0)),0,1/VLOOKUP($N63,Capa!$A:$AE,AY$5,0))))</f>
        <v/>
      </c>
      <c r="AZ63" s="118" t="str">
        <f>IF(AZ$6="","",IF(AZ$3="Maior",IFERROR(IF(VLOOKUP($N63,Capa!$A:$AE,AZ$5,0)="",0,VLOOKUP($N63,Capa!$A:$AE,AZ$5,0)),0),IF(ISERROR(1/VLOOKUP($N63,Capa!$A:$AE,AZ$5,0)),0,1/VLOOKUP($N63,Capa!$A:$AE,AZ$5,0))))</f>
        <v/>
      </c>
      <c r="BA63" s="118" t="str">
        <f>IF(BA$6="","",IF(BA$3="Maior",IFERROR(IF(VLOOKUP($N63,Capa!$A:$AE,BA$5,0)="",0,VLOOKUP($N63,Capa!$A:$AE,BA$5,0)),0),IF(ISERROR(1/VLOOKUP($N63,Capa!$A:$AE,BA$5,0)),0,1/VLOOKUP($N63,Capa!$A:$AE,BA$5,0))))</f>
        <v/>
      </c>
      <c r="BB63" s="118" t="str">
        <f>IF(BB$6="","",IF(BB$3="Maior",IFERROR(IF(VLOOKUP($N63,Capa!$A:$AE,BB$5,0)="",0,VLOOKUP($N63,Capa!$A:$AE,BB$5,0)),0),IF(ISERROR(1/VLOOKUP($N63,Capa!$A:$AE,BB$5,0)),0,1/VLOOKUP($N63,Capa!$A:$AE,BB$5,0))))</f>
        <v/>
      </c>
      <c r="BC63" s="118" t="str">
        <f>IF(BC$6="","",IF(BC$3="Maior",IFERROR(IF(VLOOKUP($N63,Capa!$A:$AE,BC$5,0)="",0,VLOOKUP($N63,Capa!$A:$AE,BC$5,0)),0),IF(ISERROR(1/VLOOKUP($N63,Capa!$A:$AE,BC$5,0)),0,1/VLOOKUP($N63,Capa!$A:$AE,BC$5,0))))</f>
        <v/>
      </c>
      <c r="BD63" s="118" t="str">
        <f>IF(BD$6="","",IF(BD$3="Maior",IFERROR(IF(VLOOKUP($N63,Capa!$A:$AE,BD$5,0)="",0,VLOOKUP($N63,Capa!$A:$AE,BD$5,0)),0),IF(ISERROR(1/VLOOKUP($N63,Capa!$A:$AE,BD$5,0)),0,1/VLOOKUP($N63,Capa!$A:$AE,BD$5,0))))</f>
        <v/>
      </c>
      <c r="BE63" s="118" t="str">
        <f>IF(BE$6="","",IF(BE$3="Maior",IFERROR(IF(VLOOKUP($N63,Capa!$A:$AE,BE$5,0)="",0,VLOOKUP($N63,Capa!$A:$AE,BE$5,0)),0),IF(ISERROR(1/VLOOKUP($N63,Capa!$A:$AE,BE$5,0)),0,1/VLOOKUP($N63,Capa!$A:$AE,BE$5,0))))</f>
        <v/>
      </c>
      <c r="BF63" s="118" t="str">
        <f>IF(BF$6="","",IF(BF$3="Maior",IFERROR(IF(VLOOKUP($N63,Capa!$A:$AE,BF$5,0)="",0,VLOOKUP($N63,Capa!$A:$AE,BF$5,0)),0),IF(ISERROR(1/VLOOKUP($N63,Capa!$A:$AE,BF$5,0)),0,1/VLOOKUP($N63,Capa!$A:$AE,BF$5,0))))</f>
        <v/>
      </c>
      <c r="BG63" s="118" t="str">
        <f>IF(BG$6="","",IF(BG$3="Maior",IFERROR(IF(VLOOKUP($N63,Capa!$A:$AE,BG$5,0)="",0,VLOOKUP($N63,Capa!$A:$AE,BG$5,0)),0),IF(ISERROR(1/VLOOKUP($N63,Capa!$A:$AE,BG$5,0)),0,1/VLOOKUP($N63,Capa!$A:$AE,BG$5,0))))</f>
        <v/>
      </c>
      <c r="BH63" s="118" t="str">
        <f>IF(BH$6="","",IF(BH$3="Maior",IFERROR(IF(VLOOKUP($N63,Capa!$A:$AE,BH$5,0)="",0,VLOOKUP($N63,Capa!$A:$AE,BH$5,0)),0),IF(ISERROR(1/VLOOKUP($N63,Capa!$A:$AE,BH$5,0)),0,1/VLOOKUP($N63,Capa!$A:$AE,BH$5,0))))</f>
        <v/>
      </c>
      <c r="BI63" s="118" t="str">
        <f>IF(BI$6="","",IF(BI$3="Maior",IFERROR(IF(VLOOKUP($N63,Capa!$A:$AE,BI$5,0)="",0,VLOOKUP($N63,Capa!$A:$AE,BI$5,0)),0),IF(ISERROR(1/VLOOKUP($N63,Capa!$A:$AE,BI$5,0)),0,1/VLOOKUP($N63,Capa!$A:$AE,BI$5,0))))</f>
        <v/>
      </c>
      <c r="BJ63" s="118" t="str">
        <f>IF(BJ$6="","",IF(BJ$3="Maior",IFERROR(IF(VLOOKUP($N63,Capa!$A:$AE,BJ$5,0)="",0,VLOOKUP($N63,Capa!$A:$AE,BJ$5,0)),0),IF(ISERROR(1/VLOOKUP($N63,Capa!$A:$AE,BJ$5,0)),0,1/VLOOKUP($N63,Capa!$A:$AE,BJ$5,0))))</f>
        <v/>
      </c>
      <c r="BK63" s="118" t="str">
        <f>IF(BK$6="","",IF(BK$3="Maior",IFERROR(IF(VLOOKUP($N63,Capa!$A:$AE,BK$5,0)="",0,VLOOKUP($N63,Capa!$A:$AE,BK$5,0)),0),IF(ISERROR(1/VLOOKUP($N63,Capa!$A:$AE,BK$5,0)),0,1/VLOOKUP($N63,Capa!$A:$AE,BK$5,0))))</f>
        <v/>
      </c>
      <c r="BL63" s="118" t="str">
        <f>IF(BL$6="","",IF(BL$3="Maior",IFERROR(IF(VLOOKUP($N63,Capa!$A:$AE,BL$5,0)="",0,VLOOKUP($N63,Capa!$A:$AE,BL$5,0)),0),IF(ISERROR(1/VLOOKUP($N63,Capa!$A:$AE,BL$5,0)),0,1/VLOOKUP($N63,Capa!$A:$AE,BL$5,0))))</f>
        <v/>
      </c>
      <c r="BM63" s="118" t="str">
        <f>IF(BM$6="","",IF(BM$3="Maior",IFERROR(IF(VLOOKUP($N63,Capa!$A:$AE,BM$5,0)="",0,VLOOKUP($N63,Capa!$A:$AE,BM$5,0)),0),IF(ISERROR(1/VLOOKUP($N63,Capa!$A:$AE,BM$5,0)),0,1/VLOOKUP($N63,Capa!$A:$AE,BM$5,0))))</f>
        <v/>
      </c>
      <c r="BN63" s="118" t="str">
        <f>IF(BN$6="","",IF(BN$3="Maior",IFERROR(IF(VLOOKUP($N63,Capa!$A:$AE,BN$5,0)="",0,VLOOKUP($N63,Capa!$A:$AE,BN$5,0)),0),IF(ISERROR(1/VLOOKUP($N63,Capa!$A:$AE,BN$5,0)),0,1/VLOOKUP($N63,Capa!$A:$AE,BN$5,0))))</f>
        <v/>
      </c>
      <c r="BO63" s="92"/>
    </row>
    <row r="64">
      <c r="G64" s="11"/>
      <c r="H64" s="8">
        <v>58.0</v>
      </c>
      <c r="I64" s="110" t="str">
        <f t="shared" si="6"/>
        <v>KEPL3</v>
      </c>
      <c r="J64" s="111" t="str">
        <f>VLOOKUP(left(I64,4),Setor!A:D,3,0)&amp;" | "&amp;VLOOKUP(left(I64,4),Setor!A:D,4,0)</f>
        <v>Bens Industriais | Máquinas e Equipamentos</v>
      </c>
      <c r="K64" s="112">
        <f t="shared" si="7"/>
        <v>10375612.92</v>
      </c>
      <c r="L64" s="11"/>
      <c r="M64" s="11"/>
      <c r="N64" s="10" t="s">
        <v>110</v>
      </c>
      <c r="O64" s="113">
        <f t="shared" si="8"/>
        <v>374.0093</v>
      </c>
      <c r="P64" s="114">
        <f>VLOOKUP(N64,'Dados StatusInvest'!A:Z,26,0)</f>
        <v>130259247.8</v>
      </c>
      <c r="Q64" s="115">
        <f t="shared" si="9"/>
        <v>93.0093</v>
      </c>
      <c r="R64" s="116">
        <f t="shared" ref="R64:AO64" si="67">IF(AQ64="","", RANK(AQ64,AQ$7:AQ$503,0))</f>
        <v>121</v>
      </c>
      <c r="S64" s="115">
        <f t="shared" si="67"/>
        <v>160</v>
      </c>
      <c r="T64" s="115" t="str">
        <f t="shared" si="67"/>
        <v/>
      </c>
      <c r="U64" s="115" t="str">
        <f t="shared" si="67"/>
        <v/>
      </c>
      <c r="V64" s="115" t="str">
        <f t="shared" si="67"/>
        <v/>
      </c>
      <c r="W64" s="115" t="str">
        <f t="shared" si="67"/>
        <v/>
      </c>
      <c r="X64" s="115" t="str">
        <f t="shared" si="67"/>
        <v/>
      </c>
      <c r="Y64" s="115" t="str">
        <f t="shared" si="67"/>
        <v/>
      </c>
      <c r="Z64" s="115" t="str">
        <f t="shared" si="67"/>
        <v/>
      </c>
      <c r="AA64" s="115" t="str">
        <f t="shared" si="67"/>
        <v/>
      </c>
      <c r="AB64" s="115" t="str">
        <f t="shared" si="67"/>
        <v/>
      </c>
      <c r="AC64" s="115" t="str">
        <f t="shared" si="67"/>
        <v/>
      </c>
      <c r="AD64" s="115" t="str">
        <f t="shared" si="67"/>
        <v/>
      </c>
      <c r="AE64" s="115" t="str">
        <f t="shared" si="67"/>
        <v/>
      </c>
      <c r="AF64" s="115" t="str">
        <f t="shared" si="67"/>
        <v/>
      </c>
      <c r="AG64" s="115" t="str">
        <f t="shared" si="67"/>
        <v/>
      </c>
      <c r="AH64" s="115" t="str">
        <f t="shared" si="67"/>
        <v/>
      </c>
      <c r="AI64" s="115" t="str">
        <f t="shared" si="67"/>
        <v/>
      </c>
      <c r="AJ64" s="115" t="str">
        <f t="shared" si="67"/>
        <v/>
      </c>
      <c r="AK64" s="115" t="str">
        <f t="shared" si="67"/>
        <v/>
      </c>
      <c r="AL64" s="115" t="str">
        <f t="shared" si="67"/>
        <v/>
      </c>
      <c r="AM64" s="115" t="str">
        <f t="shared" si="67"/>
        <v/>
      </c>
      <c r="AN64" s="115" t="str">
        <f t="shared" si="67"/>
        <v/>
      </c>
      <c r="AO64" s="115" t="str">
        <f t="shared" si="67"/>
        <v/>
      </c>
      <c r="AP64" s="117">
        <f>IF(AP$6="","",IF(AP$3="Maior",IFERROR(IF(VLOOKUP($N64,Capa!$A:$AE,AP$5,0)="",0,VLOOKUP($N64,Capa!$A:$AE,AP$5,0)),0),IF(ISERROR(1/VLOOKUP($N64,Capa!$A:$AE,AP$5,0)),0,1/VLOOKUP($N64,Capa!$A:$AE,AP$5,0))))</f>
        <v>0.2007136805</v>
      </c>
      <c r="AQ64" s="118">
        <f>IF(AQ$6="","",IF(AQ$3="Maior",IFERROR(IF(VLOOKUP($N64,Capa!$A:$AE,AQ$5,0)="",0,VLOOKUP($N64,Capa!$A:$AE,AQ$5,0)),0),IF(ISERROR(1/VLOOKUP($N64,Capa!$A:$AE,AQ$5,0)),0,1/VLOOKUP($N64,Capa!$A:$AE,AQ$5,0))))</f>
        <v>15.61</v>
      </c>
      <c r="AR64" s="118">
        <f>IF(AR$6="","",IF(AR$3="Maior",IFERROR(IF(VLOOKUP($N64,Capa!$A:$AE,AR$5,0)="",0,VLOOKUP($N64,Capa!$A:$AE,AR$5,0)),0),IF(ISERROR(1/VLOOKUP($N64,Capa!$A:$AE,AR$5,0)),0,1/VLOOKUP($N64,Capa!$A:$AE,AR$5,0))))</f>
        <v>11.46</v>
      </c>
      <c r="AS64" s="118" t="str">
        <f>IF(AS$6="","",IF(AS$3="Maior",IFERROR(IF(VLOOKUP($N64,Capa!$A:$AE,AS$5,0)="",0,VLOOKUP($N64,Capa!$A:$AE,AS$5,0)),0),IF(ISERROR(1/VLOOKUP($N64,Capa!$A:$AE,AS$5,0)),0,1/VLOOKUP($N64,Capa!$A:$AE,AS$5,0))))</f>
        <v/>
      </c>
      <c r="AT64" s="118" t="str">
        <f>IF(AT$6="","",IF(AT$3="Maior",IFERROR(IF(VLOOKUP($N64,Capa!$A:$AE,AT$5,0)="",0,VLOOKUP($N64,Capa!$A:$AE,AT$5,0)),0),IF(ISERROR(1/VLOOKUP($N64,Capa!$A:$AE,AT$5,0)),0,1/VLOOKUP($N64,Capa!$A:$AE,AT$5,0))))</f>
        <v/>
      </c>
      <c r="AU64" s="118" t="str">
        <f>IF(AU$6="","",IF(AU$3="Maior",IFERROR(IF(VLOOKUP($N64,Capa!$A:$AE,AU$5,0)="",0,VLOOKUP($N64,Capa!$A:$AE,AU$5,0)),0),IF(ISERROR(1/VLOOKUP($N64,Capa!$A:$AE,AU$5,0)),0,1/VLOOKUP($N64,Capa!$A:$AE,AU$5,0))))</f>
        <v/>
      </c>
      <c r="AV64" s="118" t="str">
        <f>IF(AV$6="","",IF(AV$3="Maior",IFERROR(IF(VLOOKUP($N64,Capa!$A:$AE,AV$5,0)="",0,VLOOKUP($N64,Capa!$A:$AE,AV$5,0)),0),IF(ISERROR(1/VLOOKUP($N64,Capa!$A:$AE,AV$5,0)),0,1/VLOOKUP($N64,Capa!$A:$AE,AV$5,0))))</f>
        <v/>
      </c>
      <c r="AW64" s="118" t="str">
        <f>IF(AW$6="","",IF(AW$3="Maior",IFERROR(IF(VLOOKUP($N64,Capa!$A:$AE,AW$5,0)="",0,VLOOKUP($N64,Capa!$A:$AE,AW$5,0)),0),IF(ISERROR(1/VLOOKUP($N64,Capa!$A:$AE,AW$5,0)),0,1/VLOOKUP($N64,Capa!$A:$AE,AW$5,0))))</f>
        <v/>
      </c>
      <c r="AX64" s="118" t="str">
        <f>IF(AX$6="","",IF(AX$3="Maior",IFERROR(IF(VLOOKUP($N64,Capa!$A:$AE,AX$5,0)="",0,VLOOKUP($N64,Capa!$A:$AE,AX$5,0)),0),IF(ISERROR(1/VLOOKUP($N64,Capa!$A:$AE,AX$5,0)),0,1/VLOOKUP($N64,Capa!$A:$AE,AX$5,0))))</f>
        <v/>
      </c>
      <c r="AY64" s="118" t="str">
        <f>IF(AY$6="","",IF(AY$3="Maior",IFERROR(IF(VLOOKUP($N64,Capa!$A:$AE,AY$5,0)="",0,VLOOKUP($N64,Capa!$A:$AE,AY$5,0)),0),IF(ISERROR(1/VLOOKUP($N64,Capa!$A:$AE,AY$5,0)),0,1/VLOOKUP($N64,Capa!$A:$AE,AY$5,0))))</f>
        <v/>
      </c>
      <c r="AZ64" s="118" t="str">
        <f>IF(AZ$6="","",IF(AZ$3="Maior",IFERROR(IF(VLOOKUP($N64,Capa!$A:$AE,AZ$5,0)="",0,VLOOKUP($N64,Capa!$A:$AE,AZ$5,0)),0),IF(ISERROR(1/VLOOKUP($N64,Capa!$A:$AE,AZ$5,0)),0,1/VLOOKUP($N64,Capa!$A:$AE,AZ$5,0))))</f>
        <v/>
      </c>
      <c r="BA64" s="118" t="str">
        <f>IF(BA$6="","",IF(BA$3="Maior",IFERROR(IF(VLOOKUP($N64,Capa!$A:$AE,BA$5,0)="",0,VLOOKUP($N64,Capa!$A:$AE,BA$5,0)),0),IF(ISERROR(1/VLOOKUP($N64,Capa!$A:$AE,BA$5,0)),0,1/VLOOKUP($N64,Capa!$A:$AE,BA$5,0))))</f>
        <v/>
      </c>
      <c r="BB64" s="118" t="str">
        <f>IF(BB$6="","",IF(BB$3="Maior",IFERROR(IF(VLOOKUP($N64,Capa!$A:$AE,BB$5,0)="",0,VLOOKUP($N64,Capa!$A:$AE,BB$5,0)),0),IF(ISERROR(1/VLOOKUP($N64,Capa!$A:$AE,BB$5,0)),0,1/VLOOKUP($N64,Capa!$A:$AE,BB$5,0))))</f>
        <v/>
      </c>
      <c r="BC64" s="118" t="str">
        <f>IF(BC$6="","",IF(BC$3="Maior",IFERROR(IF(VLOOKUP($N64,Capa!$A:$AE,BC$5,0)="",0,VLOOKUP($N64,Capa!$A:$AE,BC$5,0)),0),IF(ISERROR(1/VLOOKUP($N64,Capa!$A:$AE,BC$5,0)),0,1/VLOOKUP($N64,Capa!$A:$AE,BC$5,0))))</f>
        <v/>
      </c>
      <c r="BD64" s="118" t="str">
        <f>IF(BD$6="","",IF(BD$3="Maior",IFERROR(IF(VLOOKUP($N64,Capa!$A:$AE,BD$5,0)="",0,VLOOKUP($N64,Capa!$A:$AE,BD$5,0)),0),IF(ISERROR(1/VLOOKUP($N64,Capa!$A:$AE,BD$5,0)),0,1/VLOOKUP($N64,Capa!$A:$AE,BD$5,0))))</f>
        <v/>
      </c>
      <c r="BE64" s="118" t="str">
        <f>IF(BE$6="","",IF(BE$3="Maior",IFERROR(IF(VLOOKUP($N64,Capa!$A:$AE,BE$5,0)="",0,VLOOKUP($N64,Capa!$A:$AE,BE$5,0)),0),IF(ISERROR(1/VLOOKUP($N64,Capa!$A:$AE,BE$5,0)),0,1/VLOOKUP($N64,Capa!$A:$AE,BE$5,0))))</f>
        <v/>
      </c>
      <c r="BF64" s="118" t="str">
        <f>IF(BF$6="","",IF(BF$3="Maior",IFERROR(IF(VLOOKUP($N64,Capa!$A:$AE,BF$5,0)="",0,VLOOKUP($N64,Capa!$A:$AE,BF$5,0)),0),IF(ISERROR(1/VLOOKUP($N64,Capa!$A:$AE,BF$5,0)),0,1/VLOOKUP($N64,Capa!$A:$AE,BF$5,0))))</f>
        <v/>
      </c>
      <c r="BG64" s="118" t="str">
        <f>IF(BG$6="","",IF(BG$3="Maior",IFERROR(IF(VLOOKUP($N64,Capa!$A:$AE,BG$5,0)="",0,VLOOKUP($N64,Capa!$A:$AE,BG$5,0)),0),IF(ISERROR(1/VLOOKUP($N64,Capa!$A:$AE,BG$5,0)),0,1/VLOOKUP($N64,Capa!$A:$AE,BG$5,0))))</f>
        <v/>
      </c>
      <c r="BH64" s="118" t="str">
        <f>IF(BH$6="","",IF(BH$3="Maior",IFERROR(IF(VLOOKUP($N64,Capa!$A:$AE,BH$5,0)="",0,VLOOKUP($N64,Capa!$A:$AE,BH$5,0)),0),IF(ISERROR(1/VLOOKUP($N64,Capa!$A:$AE,BH$5,0)),0,1/VLOOKUP($N64,Capa!$A:$AE,BH$5,0))))</f>
        <v/>
      </c>
      <c r="BI64" s="118" t="str">
        <f>IF(BI$6="","",IF(BI$3="Maior",IFERROR(IF(VLOOKUP($N64,Capa!$A:$AE,BI$5,0)="",0,VLOOKUP($N64,Capa!$A:$AE,BI$5,0)),0),IF(ISERROR(1/VLOOKUP($N64,Capa!$A:$AE,BI$5,0)),0,1/VLOOKUP($N64,Capa!$A:$AE,BI$5,0))))</f>
        <v/>
      </c>
      <c r="BJ64" s="118" t="str">
        <f>IF(BJ$6="","",IF(BJ$3="Maior",IFERROR(IF(VLOOKUP($N64,Capa!$A:$AE,BJ$5,0)="",0,VLOOKUP($N64,Capa!$A:$AE,BJ$5,0)),0),IF(ISERROR(1/VLOOKUP($N64,Capa!$A:$AE,BJ$5,0)),0,1/VLOOKUP($N64,Capa!$A:$AE,BJ$5,0))))</f>
        <v/>
      </c>
      <c r="BK64" s="118" t="str">
        <f>IF(BK$6="","",IF(BK$3="Maior",IFERROR(IF(VLOOKUP($N64,Capa!$A:$AE,BK$5,0)="",0,VLOOKUP($N64,Capa!$A:$AE,BK$5,0)),0),IF(ISERROR(1/VLOOKUP($N64,Capa!$A:$AE,BK$5,0)),0,1/VLOOKUP($N64,Capa!$A:$AE,BK$5,0))))</f>
        <v/>
      </c>
      <c r="BL64" s="118" t="str">
        <f>IF(BL$6="","",IF(BL$3="Maior",IFERROR(IF(VLOOKUP($N64,Capa!$A:$AE,BL$5,0)="",0,VLOOKUP($N64,Capa!$A:$AE,BL$5,0)),0),IF(ISERROR(1/VLOOKUP($N64,Capa!$A:$AE,BL$5,0)),0,1/VLOOKUP($N64,Capa!$A:$AE,BL$5,0))))</f>
        <v/>
      </c>
      <c r="BM64" s="118" t="str">
        <f>IF(BM$6="","",IF(BM$3="Maior",IFERROR(IF(VLOOKUP($N64,Capa!$A:$AE,BM$5,0)="",0,VLOOKUP($N64,Capa!$A:$AE,BM$5,0)),0),IF(ISERROR(1/VLOOKUP($N64,Capa!$A:$AE,BM$5,0)),0,1/VLOOKUP($N64,Capa!$A:$AE,BM$5,0))))</f>
        <v/>
      </c>
      <c r="BN64" s="118" t="str">
        <f>IF(BN$6="","",IF(BN$3="Maior",IFERROR(IF(VLOOKUP($N64,Capa!$A:$AE,BN$5,0)="",0,VLOOKUP($N64,Capa!$A:$AE,BN$5,0)),0),IF(ISERROR(1/VLOOKUP($N64,Capa!$A:$AE,BN$5,0)),0,1/VLOOKUP($N64,Capa!$A:$AE,BN$5,0))))</f>
        <v/>
      </c>
      <c r="BO64" s="92"/>
    </row>
    <row r="65">
      <c r="G65" s="11"/>
      <c r="H65" s="8">
        <v>59.0</v>
      </c>
      <c r="I65" s="110" t="str">
        <f t="shared" si="6"/>
        <v>FLRY3</v>
      </c>
      <c r="J65" s="111" t="str">
        <f>VLOOKUP(left(I65,4),Setor!A:D,3,0)&amp;" | "&amp;VLOOKUP(left(I65,4),Setor!A:D,4,0)</f>
        <v>Saúde | Análises e Diagnósticos</v>
      </c>
      <c r="K65" s="112">
        <f t="shared" si="7"/>
        <v>38155409.83</v>
      </c>
      <c r="L65" s="11"/>
      <c r="M65" s="11"/>
      <c r="N65" s="10" t="s">
        <v>111</v>
      </c>
      <c r="O65" s="113">
        <f t="shared" si="8"/>
        <v>705.0458</v>
      </c>
      <c r="P65" s="114">
        <f>VLOOKUP(N65,'Dados StatusInvest'!A:Z,26,0)</f>
        <v>111351533.5</v>
      </c>
      <c r="Q65" s="115">
        <f t="shared" si="9"/>
        <v>458.0458</v>
      </c>
      <c r="R65" s="116">
        <f t="shared" ref="R65:AO65" si="68">IF(AQ65="","", RANK(AQ65,AQ$7:AQ$503,0))</f>
        <v>28</v>
      </c>
      <c r="S65" s="115">
        <f t="shared" si="68"/>
        <v>219</v>
      </c>
      <c r="T65" s="115" t="str">
        <f t="shared" si="68"/>
        <v/>
      </c>
      <c r="U65" s="115" t="str">
        <f t="shared" si="68"/>
        <v/>
      </c>
      <c r="V65" s="115" t="str">
        <f t="shared" si="68"/>
        <v/>
      </c>
      <c r="W65" s="115" t="str">
        <f t="shared" si="68"/>
        <v/>
      </c>
      <c r="X65" s="115" t="str">
        <f t="shared" si="68"/>
        <v/>
      </c>
      <c r="Y65" s="115" t="str">
        <f t="shared" si="68"/>
        <v/>
      </c>
      <c r="Z65" s="115" t="str">
        <f t="shared" si="68"/>
        <v/>
      </c>
      <c r="AA65" s="115" t="str">
        <f t="shared" si="68"/>
        <v/>
      </c>
      <c r="AB65" s="115" t="str">
        <f t="shared" si="68"/>
        <v/>
      </c>
      <c r="AC65" s="115" t="str">
        <f t="shared" si="68"/>
        <v/>
      </c>
      <c r="AD65" s="115" t="str">
        <f t="shared" si="68"/>
        <v/>
      </c>
      <c r="AE65" s="115" t="str">
        <f t="shared" si="68"/>
        <v/>
      </c>
      <c r="AF65" s="115" t="str">
        <f t="shared" si="68"/>
        <v/>
      </c>
      <c r="AG65" s="115" t="str">
        <f t="shared" si="68"/>
        <v/>
      </c>
      <c r="AH65" s="115" t="str">
        <f t="shared" si="68"/>
        <v/>
      </c>
      <c r="AI65" s="115" t="str">
        <f t="shared" si="68"/>
        <v/>
      </c>
      <c r="AJ65" s="115" t="str">
        <f t="shared" si="68"/>
        <v/>
      </c>
      <c r="AK65" s="115" t="str">
        <f t="shared" si="68"/>
        <v/>
      </c>
      <c r="AL65" s="115" t="str">
        <f t="shared" si="68"/>
        <v/>
      </c>
      <c r="AM65" s="115" t="str">
        <f t="shared" si="68"/>
        <v/>
      </c>
      <c r="AN65" s="115" t="str">
        <f t="shared" si="68"/>
        <v/>
      </c>
      <c r="AO65" s="115" t="str">
        <f t="shared" si="68"/>
        <v/>
      </c>
      <c r="AP65" s="117">
        <f>IF(AP$6="","",IF(AP$3="Maior",IFERROR(IF(VLOOKUP($N65,Capa!$A:$AE,AP$5,0)="",0,VLOOKUP($N65,Capa!$A:$AE,AP$5,0)),0),IF(ISERROR(1/VLOOKUP($N65,Capa!$A:$AE,AP$5,0)),0,1/VLOOKUP($N65,Capa!$A:$AE,AP$5,0))))</f>
        <v>-0.1367989056</v>
      </c>
      <c r="AQ65" s="118">
        <f>IF(AQ$6="","",IF(AQ$3="Maior",IFERROR(IF(VLOOKUP($N65,Capa!$A:$AE,AQ$5,0)="",0,VLOOKUP($N65,Capa!$A:$AE,AQ$5,0)),0),IF(ISERROR(1/VLOOKUP($N65,Capa!$A:$AE,AQ$5,0)),0,1/VLOOKUP($N65,Capa!$A:$AE,AQ$5,0))))</f>
        <v>45.42</v>
      </c>
      <c r="AR65" s="118">
        <f>IF(AR$6="","",IF(AR$3="Maior",IFERROR(IF(VLOOKUP($N65,Capa!$A:$AE,AR$5,0)="",0,VLOOKUP($N65,Capa!$A:$AE,AR$5,0)),0),IF(ISERROR(1/VLOOKUP($N65,Capa!$A:$AE,AR$5,0)),0,1/VLOOKUP($N65,Capa!$A:$AE,AR$5,0))))</f>
        <v>0</v>
      </c>
      <c r="AS65" s="118" t="str">
        <f>IF(AS$6="","",IF(AS$3="Maior",IFERROR(IF(VLOOKUP($N65,Capa!$A:$AE,AS$5,0)="",0,VLOOKUP($N65,Capa!$A:$AE,AS$5,0)),0),IF(ISERROR(1/VLOOKUP($N65,Capa!$A:$AE,AS$5,0)),0,1/VLOOKUP($N65,Capa!$A:$AE,AS$5,0))))</f>
        <v/>
      </c>
      <c r="AT65" s="118" t="str">
        <f>IF(AT$6="","",IF(AT$3="Maior",IFERROR(IF(VLOOKUP($N65,Capa!$A:$AE,AT$5,0)="",0,VLOOKUP($N65,Capa!$A:$AE,AT$5,0)),0),IF(ISERROR(1/VLOOKUP($N65,Capa!$A:$AE,AT$5,0)),0,1/VLOOKUP($N65,Capa!$A:$AE,AT$5,0))))</f>
        <v/>
      </c>
      <c r="AU65" s="118" t="str">
        <f>IF(AU$6="","",IF(AU$3="Maior",IFERROR(IF(VLOOKUP($N65,Capa!$A:$AE,AU$5,0)="",0,VLOOKUP($N65,Capa!$A:$AE,AU$5,0)),0),IF(ISERROR(1/VLOOKUP($N65,Capa!$A:$AE,AU$5,0)),0,1/VLOOKUP($N65,Capa!$A:$AE,AU$5,0))))</f>
        <v/>
      </c>
      <c r="AV65" s="118" t="str">
        <f>IF(AV$6="","",IF(AV$3="Maior",IFERROR(IF(VLOOKUP($N65,Capa!$A:$AE,AV$5,0)="",0,VLOOKUP($N65,Capa!$A:$AE,AV$5,0)),0),IF(ISERROR(1/VLOOKUP($N65,Capa!$A:$AE,AV$5,0)),0,1/VLOOKUP($N65,Capa!$A:$AE,AV$5,0))))</f>
        <v/>
      </c>
      <c r="AW65" s="118" t="str">
        <f>IF(AW$6="","",IF(AW$3="Maior",IFERROR(IF(VLOOKUP($N65,Capa!$A:$AE,AW$5,0)="",0,VLOOKUP($N65,Capa!$A:$AE,AW$5,0)),0),IF(ISERROR(1/VLOOKUP($N65,Capa!$A:$AE,AW$5,0)),0,1/VLOOKUP($N65,Capa!$A:$AE,AW$5,0))))</f>
        <v/>
      </c>
      <c r="AX65" s="118" t="str">
        <f>IF(AX$6="","",IF(AX$3="Maior",IFERROR(IF(VLOOKUP($N65,Capa!$A:$AE,AX$5,0)="",0,VLOOKUP($N65,Capa!$A:$AE,AX$5,0)),0),IF(ISERROR(1/VLOOKUP($N65,Capa!$A:$AE,AX$5,0)),0,1/VLOOKUP($N65,Capa!$A:$AE,AX$5,0))))</f>
        <v/>
      </c>
      <c r="AY65" s="118" t="str">
        <f>IF(AY$6="","",IF(AY$3="Maior",IFERROR(IF(VLOOKUP($N65,Capa!$A:$AE,AY$5,0)="",0,VLOOKUP($N65,Capa!$A:$AE,AY$5,0)),0),IF(ISERROR(1/VLOOKUP($N65,Capa!$A:$AE,AY$5,0)),0,1/VLOOKUP($N65,Capa!$A:$AE,AY$5,0))))</f>
        <v/>
      </c>
      <c r="AZ65" s="118" t="str">
        <f>IF(AZ$6="","",IF(AZ$3="Maior",IFERROR(IF(VLOOKUP($N65,Capa!$A:$AE,AZ$5,0)="",0,VLOOKUP($N65,Capa!$A:$AE,AZ$5,0)),0),IF(ISERROR(1/VLOOKUP($N65,Capa!$A:$AE,AZ$5,0)),0,1/VLOOKUP($N65,Capa!$A:$AE,AZ$5,0))))</f>
        <v/>
      </c>
      <c r="BA65" s="118" t="str">
        <f>IF(BA$6="","",IF(BA$3="Maior",IFERROR(IF(VLOOKUP($N65,Capa!$A:$AE,BA$5,0)="",0,VLOOKUP($N65,Capa!$A:$AE,BA$5,0)),0),IF(ISERROR(1/VLOOKUP($N65,Capa!$A:$AE,BA$5,0)),0,1/VLOOKUP($N65,Capa!$A:$AE,BA$5,0))))</f>
        <v/>
      </c>
      <c r="BB65" s="118" t="str">
        <f>IF(BB$6="","",IF(BB$3="Maior",IFERROR(IF(VLOOKUP($N65,Capa!$A:$AE,BB$5,0)="",0,VLOOKUP($N65,Capa!$A:$AE,BB$5,0)),0),IF(ISERROR(1/VLOOKUP($N65,Capa!$A:$AE,BB$5,0)),0,1/VLOOKUP($N65,Capa!$A:$AE,BB$5,0))))</f>
        <v/>
      </c>
      <c r="BC65" s="118" t="str">
        <f>IF(BC$6="","",IF(BC$3="Maior",IFERROR(IF(VLOOKUP($N65,Capa!$A:$AE,BC$5,0)="",0,VLOOKUP($N65,Capa!$A:$AE,BC$5,0)),0),IF(ISERROR(1/VLOOKUP($N65,Capa!$A:$AE,BC$5,0)),0,1/VLOOKUP($N65,Capa!$A:$AE,BC$5,0))))</f>
        <v/>
      </c>
      <c r="BD65" s="118" t="str">
        <f>IF(BD$6="","",IF(BD$3="Maior",IFERROR(IF(VLOOKUP($N65,Capa!$A:$AE,BD$5,0)="",0,VLOOKUP($N65,Capa!$A:$AE,BD$5,0)),0),IF(ISERROR(1/VLOOKUP($N65,Capa!$A:$AE,BD$5,0)),0,1/VLOOKUP($N65,Capa!$A:$AE,BD$5,0))))</f>
        <v/>
      </c>
      <c r="BE65" s="118" t="str">
        <f>IF(BE$6="","",IF(BE$3="Maior",IFERROR(IF(VLOOKUP($N65,Capa!$A:$AE,BE$5,0)="",0,VLOOKUP($N65,Capa!$A:$AE,BE$5,0)),0),IF(ISERROR(1/VLOOKUP($N65,Capa!$A:$AE,BE$5,0)),0,1/VLOOKUP($N65,Capa!$A:$AE,BE$5,0))))</f>
        <v/>
      </c>
      <c r="BF65" s="118" t="str">
        <f>IF(BF$6="","",IF(BF$3="Maior",IFERROR(IF(VLOOKUP($N65,Capa!$A:$AE,BF$5,0)="",0,VLOOKUP($N65,Capa!$A:$AE,BF$5,0)),0),IF(ISERROR(1/VLOOKUP($N65,Capa!$A:$AE,BF$5,0)),0,1/VLOOKUP($N65,Capa!$A:$AE,BF$5,0))))</f>
        <v/>
      </c>
      <c r="BG65" s="118" t="str">
        <f>IF(BG$6="","",IF(BG$3="Maior",IFERROR(IF(VLOOKUP($N65,Capa!$A:$AE,BG$5,0)="",0,VLOOKUP($N65,Capa!$A:$AE,BG$5,0)),0),IF(ISERROR(1/VLOOKUP($N65,Capa!$A:$AE,BG$5,0)),0,1/VLOOKUP($N65,Capa!$A:$AE,BG$5,0))))</f>
        <v/>
      </c>
      <c r="BH65" s="118" t="str">
        <f>IF(BH$6="","",IF(BH$3="Maior",IFERROR(IF(VLOOKUP($N65,Capa!$A:$AE,BH$5,0)="",0,VLOOKUP($N65,Capa!$A:$AE,BH$5,0)),0),IF(ISERROR(1/VLOOKUP($N65,Capa!$A:$AE,BH$5,0)),0,1/VLOOKUP($N65,Capa!$A:$AE,BH$5,0))))</f>
        <v/>
      </c>
      <c r="BI65" s="118" t="str">
        <f>IF(BI$6="","",IF(BI$3="Maior",IFERROR(IF(VLOOKUP($N65,Capa!$A:$AE,BI$5,0)="",0,VLOOKUP($N65,Capa!$A:$AE,BI$5,0)),0),IF(ISERROR(1/VLOOKUP($N65,Capa!$A:$AE,BI$5,0)),0,1/VLOOKUP($N65,Capa!$A:$AE,BI$5,0))))</f>
        <v/>
      </c>
      <c r="BJ65" s="118" t="str">
        <f>IF(BJ$6="","",IF(BJ$3="Maior",IFERROR(IF(VLOOKUP($N65,Capa!$A:$AE,BJ$5,0)="",0,VLOOKUP($N65,Capa!$A:$AE,BJ$5,0)),0),IF(ISERROR(1/VLOOKUP($N65,Capa!$A:$AE,BJ$5,0)),0,1/VLOOKUP($N65,Capa!$A:$AE,BJ$5,0))))</f>
        <v/>
      </c>
      <c r="BK65" s="118" t="str">
        <f>IF(BK$6="","",IF(BK$3="Maior",IFERROR(IF(VLOOKUP($N65,Capa!$A:$AE,BK$5,0)="",0,VLOOKUP($N65,Capa!$A:$AE,BK$5,0)),0),IF(ISERROR(1/VLOOKUP($N65,Capa!$A:$AE,BK$5,0)),0,1/VLOOKUP($N65,Capa!$A:$AE,BK$5,0))))</f>
        <v/>
      </c>
      <c r="BL65" s="118" t="str">
        <f>IF(BL$6="","",IF(BL$3="Maior",IFERROR(IF(VLOOKUP($N65,Capa!$A:$AE,BL$5,0)="",0,VLOOKUP($N65,Capa!$A:$AE,BL$5,0)),0),IF(ISERROR(1/VLOOKUP($N65,Capa!$A:$AE,BL$5,0)),0,1/VLOOKUP($N65,Capa!$A:$AE,BL$5,0))))</f>
        <v/>
      </c>
      <c r="BM65" s="118" t="str">
        <f>IF(BM$6="","",IF(BM$3="Maior",IFERROR(IF(VLOOKUP($N65,Capa!$A:$AE,BM$5,0)="",0,VLOOKUP($N65,Capa!$A:$AE,BM$5,0)),0),IF(ISERROR(1/VLOOKUP($N65,Capa!$A:$AE,BM$5,0)),0,1/VLOOKUP($N65,Capa!$A:$AE,BM$5,0))))</f>
        <v/>
      </c>
      <c r="BN65" s="118" t="str">
        <f>IF(BN$6="","",IF(BN$3="Maior",IFERROR(IF(VLOOKUP($N65,Capa!$A:$AE,BN$5,0)="",0,VLOOKUP($N65,Capa!$A:$AE,BN$5,0)),0),IF(ISERROR(1/VLOOKUP($N65,Capa!$A:$AE,BN$5,0)),0,1/VLOOKUP($N65,Capa!$A:$AE,BN$5,0))))</f>
        <v/>
      </c>
      <c r="BO65" s="92"/>
    </row>
    <row r="66">
      <c r="G66" s="11"/>
      <c r="H66" s="8">
        <v>60.0</v>
      </c>
      <c r="I66" s="110" t="str">
        <f t="shared" si="6"/>
        <v>ITSA4</v>
      </c>
      <c r="J66" s="111" t="str">
        <f>VLOOKUP(left(I66,4),Setor!A:D,3,0)&amp;" | "&amp;VLOOKUP(left(I66,4),Setor!A:D,4,0)</f>
        <v>Financeiro | Intermediários Financeiros</v>
      </c>
      <c r="K66" s="112">
        <f t="shared" si="7"/>
        <v>468311693.5</v>
      </c>
      <c r="L66" s="11"/>
      <c r="M66" s="11"/>
      <c r="N66" s="10" t="s">
        <v>112</v>
      </c>
      <c r="O66" s="113">
        <f t="shared" si="8"/>
        <v>532.0198</v>
      </c>
      <c r="P66" s="114">
        <f>VLOOKUP(N66,'Dados StatusInvest'!A:Z,26,0)</f>
        <v>115838939.5</v>
      </c>
      <c r="Q66" s="115">
        <f t="shared" si="9"/>
        <v>198.0198</v>
      </c>
      <c r="R66" s="116">
        <f t="shared" ref="R66:AO66" si="69">IF(AQ66="","", RANK(AQ66,AQ$7:AQ$503,0))</f>
        <v>261</v>
      </c>
      <c r="S66" s="115">
        <f t="shared" si="69"/>
        <v>73</v>
      </c>
      <c r="T66" s="115" t="str">
        <f t="shared" si="69"/>
        <v/>
      </c>
      <c r="U66" s="115" t="str">
        <f t="shared" si="69"/>
        <v/>
      </c>
      <c r="V66" s="115" t="str">
        <f t="shared" si="69"/>
        <v/>
      </c>
      <c r="W66" s="115" t="str">
        <f t="shared" si="69"/>
        <v/>
      </c>
      <c r="X66" s="115" t="str">
        <f t="shared" si="69"/>
        <v/>
      </c>
      <c r="Y66" s="115" t="str">
        <f t="shared" si="69"/>
        <v/>
      </c>
      <c r="Z66" s="115" t="str">
        <f t="shared" si="69"/>
        <v/>
      </c>
      <c r="AA66" s="115" t="str">
        <f t="shared" si="69"/>
        <v/>
      </c>
      <c r="AB66" s="115" t="str">
        <f t="shared" si="69"/>
        <v/>
      </c>
      <c r="AC66" s="115" t="str">
        <f t="shared" si="69"/>
        <v/>
      </c>
      <c r="AD66" s="115" t="str">
        <f t="shared" si="69"/>
        <v/>
      </c>
      <c r="AE66" s="115" t="str">
        <f t="shared" si="69"/>
        <v/>
      </c>
      <c r="AF66" s="115" t="str">
        <f t="shared" si="69"/>
        <v/>
      </c>
      <c r="AG66" s="115" t="str">
        <f t="shared" si="69"/>
        <v/>
      </c>
      <c r="AH66" s="115" t="str">
        <f t="shared" si="69"/>
        <v/>
      </c>
      <c r="AI66" s="115" t="str">
        <f t="shared" si="69"/>
        <v/>
      </c>
      <c r="AJ66" s="115" t="str">
        <f t="shared" si="69"/>
        <v/>
      </c>
      <c r="AK66" s="115" t="str">
        <f t="shared" si="69"/>
        <v/>
      </c>
      <c r="AL66" s="115" t="str">
        <f t="shared" si="69"/>
        <v/>
      </c>
      <c r="AM66" s="115" t="str">
        <f t="shared" si="69"/>
        <v/>
      </c>
      <c r="AN66" s="115" t="str">
        <f t="shared" si="69"/>
        <v/>
      </c>
      <c r="AO66" s="115" t="str">
        <f t="shared" si="69"/>
        <v/>
      </c>
      <c r="AP66" s="117">
        <f>IF(AP$6="","",IF(AP$3="Maior",IFERROR(IF(VLOOKUP($N66,Capa!$A:$AE,AP$5,0)="",0,VLOOKUP($N66,Capa!$A:$AE,AP$5,0)),0),IF(ISERROR(1/VLOOKUP($N66,Capa!$A:$AE,AP$5,0)),0,1/VLOOKUP($N66,Capa!$A:$AE,AP$5,0))))</f>
        <v>0.1081468381</v>
      </c>
      <c r="AQ66" s="118">
        <f>IF(AQ$6="","",IF(AQ$3="Maior",IFERROR(IF(VLOOKUP($N66,Capa!$A:$AE,AQ$5,0)="",0,VLOOKUP($N66,Capa!$A:$AE,AQ$5,0)),0),IF(ISERROR(1/VLOOKUP($N66,Capa!$A:$AE,AQ$5,0)),0,1/VLOOKUP($N66,Capa!$A:$AE,AQ$5,0))))</f>
        <v>7.75</v>
      </c>
      <c r="AR66" s="118">
        <f>IF(AR$6="","",IF(AR$3="Maior",IFERROR(IF(VLOOKUP($N66,Capa!$A:$AE,AR$5,0)="",0,VLOOKUP($N66,Capa!$A:$AE,AR$5,0)),0),IF(ISERROR(1/VLOOKUP($N66,Capa!$A:$AE,AR$5,0)),0,1/VLOOKUP($N66,Capa!$A:$AE,AR$5,0))))</f>
        <v>36.3</v>
      </c>
      <c r="AS66" s="118" t="str">
        <f>IF(AS$6="","",IF(AS$3="Maior",IFERROR(IF(VLOOKUP($N66,Capa!$A:$AE,AS$5,0)="",0,VLOOKUP($N66,Capa!$A:$AE,AS$5,0)),0),IF(ISERROR(1/VLOOKUP($N66,Capa!$A:$AE,AS$5,0)),0,1/VLOOKUP($N66,Capa!$A:$AE,AS$5,0))))</f>
        <v/>
      </c>
      <c r="AT66" s="118" t="str">
        <f>IF(AT$6="","",IF(AT$3="Maior",IFERROR(IF(VLOOKUP($N66,Capa!$A:$AE,AT$5,0)="",0,VLOOKUP($N66,Capa!$A:$AE,AT$5,0)),0),IF(ISERROR(1/VLOOKUP($N66,Capa!$A:$AE,AT$5,0)),0,1/VLOOKUP($N66,Capa!$A:$AE,AT$5,0))))</f>
        <v/>
      </c>
      <c r="AU66" s="118" t="str">
        <f>IF(AU$6="","",IF(AU$3="Maior",IFERROR(IF(VLOOKUP($N66,Capa!$A:$AE,AU$5,0)="",0,VLOOKUP($N66,Capa!$A:$AE,AU$5,0)),0),IF(ISERROR(1/VLOOKUP($N66,Capa!$A:$AE,AU$5,0)),0,1/VLOOKUP($N66,Capa!$A:$AE,AU$5,0))))</f>
        <v/>
      </c>
      <c r="AV66" s="118" t="str">
        <f>IF(AV$6="","",IF(AV$3="Maior",IFERROR(IF(VLOOKUP($N66,Capa!$A:$AE,AV$5,0)="",0,VLOOKUP($N66,Capa!$A:$AE,AV$5,0)),0),IF(ISERROR(1/VLOOKUP($N66,Capa!$A:$AE,AV$5,0)),0,1/VLOOKUP($N66,Capa!$A:$AE,AV$5,0))))</f>
        <v/>
      </c>
      <c r="AW66" s="118" t="str">
        <f>IF(AW$6="","",IF(AW$3="Maior",IFERROR(IF(VLOOKUP($N66,Capa!$A:$AE,AW$5,0)="",0,VLOOKUP($N66,Capa!$A:$AE,AW$5,0)),0),IF(ISERROR(1/VLOOKUP($N66,Capa!$A:$AE,AW$5,0)),0,1/VLOOKUP($N66,Capa!$A:$AE,AW$5,0))))</f>
        <v/>
      </c>
      <c r="AX66" s="118" t="str">
        <f>IF(AX$6="","",IF(AX$3="Maior",IFERROR(IF(VLOOKUP($N66,Capa!$A:$AE,AX$5,0)="",0,VLOOKUP($N66,Capa!$A:$AE,AX$5,0)),0),IF(ISERROR(1/VLOOKUP($N66,Capa!$A:$AE,AX$5,0)),0,1/VLOOKUP($N66,Capa!$A:$AE,AX$5,0))))</f>
        <v/>
      </c>
      <c r="AY66" s="118" t="str">
        <f>IF(AY$6="","",IF(AY$3="Maior",IFERROR(IF(VLOOKUP($N66,Capa!$A:$AE,AY$5,0)="",0,VLOOKUP($N66,Capa!$A:$AE,AY$5,0)),0),IF(ISERROR(1/VLOOKUP($N66,Capa!$A:$AE,AY$5,0)),0,1/VLOOKUP($N66,Capa!$A:$AE,AY$5,0))))</f>
        <v/>
      </c>
      <c r="AZ66" s="118" t="str">
        <f>IF(AZ$6="","",IF(AZ$3="Maior",IFERROR(IF(VLOOKUP($N66,Capa!$A:$AE,AZ$5,0)="",0,VLOOKUP($N66,Capa!$A:$AE,AZ$5,0)),0),IF(ISERROR(1/VLOOKUP($N66,Capa!$A:$AE,AZ$5,0)),0,1/VLOOKUP($N66,Capa!$A:$AE,AZ$5,0))))</f>
        <v/>
      </c>
      <c r="BA66" s="118" t="str">
        <f>IF(BA$6="","",IF(BA$3="Maior",IFERROR(IF(VLOOKUP($N66,Capa!$A:$AE,BA$5,0)="",0,VLOOKUP($N66,Capa!$A:$AE,BA$5,0)),0),IF(ISERROR(1/VLOOKUP($N66,Capa!$A:$AE,BA$5,0)),0,1/VLOOKUP($N66,Capa!$A:$AE,BA$5,0))))</f>
        <v/>
      </c>
      <c r="BB66" s="118" t="str">
        <f>IF(BB$6="","",IF(BB$3="Maior",IFERROR(IF(VLOOKUP($N66,Capa!$A:$AE,BB$5,0)="",0,VLOOKUP($N66,Capa!$A:$AE,BB$5,0)),0),IF(ISERROR(1/VLOOKUP($N66,Capa!$A:$AE,BB$5,0)),0,1/VLOOKUP($N66,Capa!$A:$AE,BB$5,0))))</f>
        <v/>
      </c>
      <c r="BC66" s="118" t="str">
        <f>IF(BC$6="","",IF(BC$3="Maior",IFERROR(IF(VLOOKUP($N66,Capa!$A:$AE,BC$5,0)="",0,VLOOKUP($N66,Capa!$A:$AE,BC$5,0)),0),IF(ISERROR(1/VLOOKUP($N66,Capa!$A:$AE,BC$5,0)),0,1/VLOOKUP($N66,Capa!$A:$AE,BC$5,0))))</f>
        <v/>
      </c>
      <c r="BD66" s="118" t="str">
        <f>IF(BD$6="","",IF(BD$3="Maior",IFERROR(IF(VLOOKUP($N66,Capa!$A:$AE,BD$5,0)="",0,VLOOKUP($N66,Capa!$A:$AE,BD$5,0)),0),IF(ISERROR(1/VLOOKUP($N66,Capa!$A:$AE,BD$5,0)),0,1/VLOOKUP($N66,Capa!$A:$AE,BD$5,0))))</f>
        <v/>
      </c>
      <c r="BE66" s="118" t="str">
        <f>IF(BE$6="","",IF(BE$3="Maior",IFERROR(IF(VLOOKUP($N66,Capa!$A:$AE,BE$5,0)="",0,VLOOKUP($N66,Capa!$A:$AE,BE$5,0)),0),IF(ISERROR(1/VLOOKUP($N66,Capa!$A:$AE,BE$5,0)),0,1/VLOOKUP($N66,Capa!$A:$AE,BE$5,0))))</f>
        <v/>
      </c>
      <c r="BF66" s="118" t="str">
        <f>IF(BF$6="","",IF(BF$3="Maior",IFERROR(IF(VLOOKUP($N66,Capa!$A:$AE,BF$5,0)="",0,VLOOKUP($N66,Capa!$A:$AE,BF$5,0)),0),IF(ISERROR(1/VLOOKUP($N66,Capa!$A:$AE,BF$5,0)),0,1/VLOOKUP($N66,Capa!$A:$AE,BF$5,0))))</f>
        <v/>
      </c>
      <c r="BG66" s="118" t="str">
        <f>IF(BG$6="","",IF(BG$3="Maior",IFERROR(IF(VLOOKUP($N66,Capa!$A:$AE,BG$5,0)="",0,VLOOKUP($N66,Capa!$A:$AE,BG$5,0)),0),IF(ISERROR(1/VLOOKUP($N66,Capa!$A:$AE,BG$5,0)),0,1/VLOOKUP($N66,Capa!$A:$AE,BG$5,0))))</f>
        <v/>
      </c>
      <c r="BH66" s="118" t="str">
        <f>IF(BH$6="","",IF(BH$3="Maior",IFERROR(IF(VLOOKUP($N66,Capa!$A:$AE,BH$5,0)="",0,VLOOKUP($N66,Capa!$A:$AE,BH$5,0)),0),IF(ISERROR(1/VLOOKUP($N66,Capa!$A:$AE,BH$5,0)),0,1/VLOOKUP($N66,Capa!$A:$AE,BH$5,0))))</f>
        <v/>
      </c>
      <c r="BI66" s="118" t="str">
        <f>IF(BI$6="","",IF(BI$3="Maior",IFERROR(IF(VLOOKUP($N66,Capa!$A:$AE,BI$5,0)="",0,VLOOKUP($N66,Capa!$A:$AE,BI$5,0)),0),IF(ISERROR(1/VLOOKUP($N66,Capa!$A:$AE,BI$5,0)),0,1/VLOOKUP($N66,Capa!$A:$AE,BI$5,0))))</f>
        <v/>
      </c>
      <c r="BJ66" s="118" t="str">
        <f>IF(BJ$6="","",IF(BJ$3="Maior",IFERROR(IF(VLOOKUP($N66,Capa!$A:$AE,BJ$5,0)="",0,VLOOKUP($N66,Capa!$A:$AE,BJ$5,0)),0),IF(ISERROR(1/VLOOKUP($N66,Capa!$A:$AE,BJ$5,0)),0,1/VLOOKUP($N66,Capa!$A:$AE,BJ$5,0))))</f>
        <v/>
      </c>
      <c r="BK66" s="118" t="str">
        <f>IF(BK$6="","",IF(BK$3="Maior",IFERROR(IF(VLOOKUP($N66,Capa!$A:$AE,BK$5,0)="",0,VLOOKUP($N66,Capa!$A:$AE,BK$5,0)),0),IF(ISERROR(1/VLOOKUP($N66,Capa!$A:$AE,BK$5,0)),0,1/VLOOKUP($N66,Capa!$A:$AE,BK$5,0))))</f>
        <v/>
      </c>
      <c r="BL66" s="118" t="str">
        <f>IF(BL$6="","",IF(BL$3="Maior",IFERROR(IF(VLOOKUP($N66,Capa!$A:$AE,BL$5,0)="",0,VLOOKUP($N66,Capa!$A:$AE,BL$5,0)),0),IF(ISERROR(1/VLOOKUP($N66,Capa!$A:$AE,BL$5,0)),0,1/VLOOKUP($N66,Capa!$A:$AE,BL$5,0))))</f>
        <v/>
      </c>
      <c r="BM66" s="118" t="str">
        <f>IF(BM$6="","",IF(BM$3="Maior",IFERROR(IF(VLOOKUP($N66,Capa!$A:$AE,BM$5,0)="",0,VLOOKUP($N66,Capa!$A:$AE,BM$5,0)),0),IF(ISERROR(1/VLOOKUP($N66,Capa!$A:$AE,BM$5,0)),0,1/VLOOKUP($N66,Capa!$A:$AE,BM$5,0))))</f>
        <v/>
      </c>
      <c r="BN66" s="118" t="str">
        <f>IF(BN$6="","",IF(BN$3="Maior",IFERROR(IF(VLOOKUP($N66,Capa!$A:$AE,BN$5,0)="",0,VLOOKUP($N66,Capa!$A:$AE,BN$5,0)),0),IF(ISERROR(1/VLOOKUP($N66,Capa!$A:$AE,BN$5,0)),0,1/VLOOKUP($N66,Capa!$A:$AE,BN$5,0))))</f>
        <v/>
      </c>
      <c r="BO66" s="92"/>
    </row>
    <row r="67">
      <c r="G67" s="11"/>
      <c r="H67" s="8">
        <v>61.0</v>
      </c>
      <c r="I67" s="110" t="str">
        <f t="shared" si="6"/>
        <v>ENBR3</v>
      </c>
      <c r="J67" s="111" t="str">
        <f>VLOOKUP(left(I67,4),Setor!A:D,3,0)&amp;" | "&amp;VLOOKUP(left(I67,4),Setor!A:D,4,0)</f>
        <v>Utilidade Pública | Energia Elétrica</v>
      </c>
      <c r="K67" s="112">
        <f t="shared" si="7"/>
        <v>53267315.33</v>
      </c>
      <c r="L67" s="11"/>
      <c r="M67" s="11"/>
      <c r="N67" s="10" t="s">
        <v>113</v>
      </c>
      <c r="O67" s="113">
        <f t="shared" si="8"/>
        <v>1255.0411</v>
      </c>
      <c r="P67" s="114">
        <f>VLOOKUP(N67,'Dados StatusInvest'!A:Z,26,0)</f>
        <v>130852297.3</v>
      </c>
      <c r="Q67" s="115">
        <f t="shared" si="9"/>
        <v>411.0411</v>
      </c>
      <c r="R67" s="116">
        <f t="shared" ref="R67:AO67" si="70">IF(AQ67="","", RANK(AQ67,AQ$7:AQ$503,0))</f>
        <v>375</v>
      </c>
      <c r="S67" s="115">
        <f t="shared" si="70"/>
        <v>469</v>
      </c>
      <c r="T67" s="115" t="str">
        <f t="shared" si="70"/>
        <v/>
      </c>
      <c r="U67" s="115" t="str">
        <f t="shared" si="70"/>
        <v/>
      </c>
      <c r="V67" s="115" t="str">
        <f t="shared" si="70"/>
        <v/>
      </c>
      <c r="W67" s="115" t="str">
        <f t="shared" si="70"/>
        <v/>
      </c>
      <c r="X67" s="115" t="str">
        <f t="shared" si="70"/>
        <v/>
      </c>
      <c r="Y67" s="115" t="str">
        <f t="shared" si="70"/>
        <v/>
      </c>
      <c r="Z67" s="115" t="str">
        <f t="shared" si="70"/>
        <v/>
      </c>
      <c r="AA67" s="115" t="str">
        <f t="shared" si="70"/>
        <v/>
      </c>
      <c r="AB67" s="115" t="str">
        <f t="shared" si="70"/>
        <v/>
      </c>
      <c r="AC67" s="115" t="str">
        <f t="shared" si="70"/>
        <v/>
      </c>
      <c r="AD67" s="115" t="str">
        <f t="shared" si="70"/>
        <v/>
      </c>
      <c r="AE67" s="115" t="str">
        <f t="shared" si="70"/>
        <v/>
      </c>
      <c r="AF67" s="115" t="str">
        <f t="shared" si="70"/>
        <v/>
      </c>
      <c r="AG67" s="115" t="str">
        <f t="shared" si="70"/>
        <v/>
      </c>
      <c r="AH67" s="115" t="str">
        <f t="shared" si="70"/>
        <v/>
      </c>
      <c r="AI67" s="115" t="str">
        <f t="shared" si="70"/>
        <v/>
      </c>
      <c r="AJ67" s="115" t="str">
        <f t="shared" si="70"/>
        <v/>
      </c>
      <c r="AK67" s="115" t="str">
        <f t="shared" si="70"/>
        <v/>
      </c>
      <c r="AL67" s="115" t="str">
        <f t="shared" si="70"/>
        <v/>
      </c>
      <c r="AM67" s="115" t="str">
        <f t="shared" si="70"/>
        <v/>
      </c>
      <c r="AN67" s="115" t="str">
        <f t="shared" si="70"/>
        <v/>
      </c>
      <c r="AO67" s="115" t="str">
        <f t="shared" si="70"/>
        <v/>
      </c>
      <c r="AP67" s="117">
        <f>IF(AP$6="","",IF(AP$3="Maior",IFERROR(IF(VLOOKUP($N67,Capa!$A:$AE,AP$5,0)="",0,VLOOKUP($N67,Capa!$A:$AE,AP$5,0)),0),IF(ISERROR(1/VLOOKUP($N67,Capa!$A:$AE,AP$5,0)),0,1/VLOOKUP($N67,Capa!$A:$AE,AP$5,0))))</f>
        <v>-0.002364562272</v>
      </c>
      <c r="AQ67" s="118">
        <f>IF(AQ$6="","",IF(AQ$3="Maior",IFERROR(IF(VLOOKUP($N67,Capa!$A:$AE,AQ$5,0)="",0,VLOOKUP($N67,Capa!$A:$AE,AQ$5,0)),0),IF(ISERROR(1/VLOOKUP($N67,Capa!$A:$AE,AQ$5,0)),0,1/VLOOKUP($N67,Capa!$A:$AE,AQ$5,0))))</f>
        <v>0</v>
      </c>
      <c r="AR67" s="118">
        <f>IF(AR$6="","",IF(AR$3="Maior",IFERROR(IF(VLOOKUP($N67,Capa!$A:$AE,AR$5,0)="",0,VLOOKUP($N67,Capa!$A:$AE,AR$5,0)),0),IF(ISERROR(1/VLOOKUP($N67,Capa!$A:$AE,AR$5,0)),0,1/VLOOKUP($N67,Capa!$A:$AE,AR$5,0))))</f>
        <v>-3.95</v>
      </c>
      <c r="AS67" s="118" t="str">
        <f>IF(AS$6="","",IF(AS$3="Maior",IFERROR(IF(VLOOKUP($N67,Capa!$A:$AE,AS$5,0)="",0,VLOOKUP($N67,Capa!$A:$AE,AS$5,0)),0),IF(ISERROR(1/VLOOKUP($N67,Capa!$A:$AE,AS$5,0)),0,1/VLOOKUP($N67,Capa!$A:$AE,AS$5,0))))</f>
        <v/>
      </c>
      <c r="AT67" s="118" t="str">
        <f>IF(AT$6="","",IF(AT$3="Maior",IFERROR(IF(VLOOKUP($N67,Capa!$A:$AE,AT$5,0)="",0,VLOOKUP($N67,Capa!$A:$AE,AT$5,0)),0),IF(ISERROR(1/VLOOKUP($N67,Capa!$A:$AE,AT$5,0)),0,1/VLOOKUP($N67,Capa!$A:$AE,AT$5,0))))</f>
        <v/>
      </c>
      <c r="AU67" s="118" t="str">
        <f>IF(AU$6="","",IF(AU$3="Maior",IFERROR(IF(VLOOKUP($N67,Capa!$A:$AE,AU$5,0)="",0,VLOOKUP($N67,Capa!$A:$AE,AU$5,0)),0),IF(ISERROR(1/VLOOKUP($N67,Capa!$A:$AE,AU$5,0)),0,1/VLOOKUP($N67,Capa!$A:$AE,AU$5,0))))</f>
        <v/>
      </c>
      <c r="AV67" s="118" t="str">
        <f>IF(AV$6="","",IF(AV$3="Maior",IFERROR(IF(VLOOKUP($N67,Capa!$A:$AE,AV$5,0)="",0,VLOOKUP($N67,Capa!$A:$AE,AV$5,0)),0),IF(ISERROR(1/VLOOKUP($N67,Capa!$A:$AE,AV$5,0)),0,1/VLOOKUP($N67,Capa!$A:$AE,AV$5,0))))</f>
        <v/>
      </c>
      <c r="AW67" s="118" t="str">
        <f>IF(AW$6="","",IF(AW$3="Maior",IFERROR(IF(VLOOKUP($N67,Capa!$A:$AE,AW$5,0)="",0,VLOOKUP($N67,Capa!$A:$AE,AW$5,0)),0),IF(ISERROR(1/VLOOKUP($N67,Capa!$A:$AE,AW$5,0)),0,1/VLOOKUP($N67,Capa!$A:$AE,AW$5,0))))</f>
        <v/>
      </c>
      <c r="AX67" s="118" t="str">
        <f>IF(AX$6="","",IF(AX$3="Maior",IFERROR(IF(VLOOKUP($N67,Capa!$A:$AE,AX$5,0)="",0,VLOOKUP($N67,Capa!$A:$AE,AX$5,0)),0),IF(ISERROR(1/VLOOKUP($N67,Capa!$A:$AE,AX$5,0)),0,1/VLOOKUP($N67,Capa!$A:$AE,AX$5,0))))</f>
        <v/>
      </c>
      <c r="AY67" s="118" t="str">
        <f>IF(AY$6="","",IF(AY$3="Maior",IFERROR(IF(VLOOKUP($N67,Capa!$A:$AE,AY$5,0)="",0,VLOOKUP($N67,Capa!$A:$AE,AY$5,0)),0),IF(ISERROR(1/VLOOKUP($N67,Capa!$A:$AE,AY$5,0)),0,1/VLOOKUP($N67,Capa!$A:$AE,AY$5,0))))</f>
        <v/>
      </c>
      <c r="AZ67" s="118" t="str">
        <f>IF(AZ$6="","",IF(AZ$3="Maior",IFERROR(IF(VLOOKUP($N67,Capa!$A:$AE,AZ$5,0)="",0,VLOOKUP($N67,Capa!$A:$AE,AZ$5,0)),0),IF(ISERROR(1/VLOOKUP($N67,Capa!$A:$AE,AZ$5,0)),0,1/VLOOKUP($N67,Capa!$A:$AE,AZ$5,0))))</f>
        <v/>
      </c>
      <c r="BA67" s="118" t="str">
        <f>IF(BA$6="","",IF(BA$3="Maior",IFERROR(IF(VLOOKUP($N67,Capa!$A:$AE,BA$5,0)="",0,VLOOKUP($N67,Capa!$A:$AE,BA$5,0)),0),IF(ISERROR(1/VLOOKUP($N67,Capa!$A:$AE,BA$5,0)),0,1/VLOOKUP($N67,Capa!$A:$AE,BA$5,0))))</f>
        <v/>
      </c>
      <c r="BB67" s="118" t="str">
        <f>IF(BB$6="","",IF(BB$3="Maior",IFERROR(IF(VLOOKUP($N67,Capa!$A:$AE,BB$5,0)="",0,VLOOKUP($N67,Capa!$A:$AE,BB$5,0)),0),IF(ISERROR(1/VLOOKUP($N67,Capa!$A:$AE,BB$5,0)),0,1/VLOOKUP($N67,Capa!$A:$AE,BB$5,0))))</f>
        <v/>
      </c>
      <c r="BC67" s="118" t="str">
        <f>IF(BC$6="","",IF(BC$3="Maior",IFERROR(IF(VLOOKUP($N67,Capa!$A:$AE,BC$5,0)="",0,VLOOKUP($N67,Capa!$A:$AE,BC$5,0)),0),IF(ISERROR(1/VLOOKUP($N67,Capa!$A:$AE,BC$5,0)),0,1/VLOOKUP($N67,Capa!$A:$AE,BC$5,0))))</f>
        <v/>
      </c>
      <c r="BD67" s="118" t="str">
        <f>IF(BD$6="","",IF(BD$3="Maior",IFERROR(IF(VLOOKUP($N67,Capa!$A:$AE,BD$5,0)="",0,VLOOKUP($N67,Capa!$A:$AE,BD$5,0)),0),IF(ISERROR(1/VLOOKUP($N67,Capa!$A:$AE,BD$5,0)),0,1/VLOOKUP($N67,Capa!$A:$AE,BD$5,0))))</f>
        <v/>
      </c>
      <c r="BE67" s="118" t="str">
        <f>IF(BE$6="","",IF(BE$3="Maior",IFERROR(IF(VLOOKUP($N67,Capa!$A:$AE,BE$5,0)="",0,VLOOKUP($N67,Capa!$A:$AE,BE$5,0)),0),IF(ISERROR(1/VLOOKUP($N67,Capa!$A:$AE,BE$5,0)),0,1/VLOOKUP($N67,Capa!$A:$AE,BE$5,0))))</f>
        <v/>
      </c>
      <c r="BF67" s="118" t="str">
        <f>IF(BF$6="","",IF(BF$3="Maior",IFERROR(IF(VLOOKUP($N67,Capa!$A:$AE,BF$5,0)="",0,VLOOKUP($N67,Capa!$A:$AE,BF$5,0)),0),IF(ISERROR(1/VLOOKUP($N67,Capa!$A:$AE,BF$5,0)),0,1/VLOOKUP($N67,Capa!$A:$AE,BF$5,0))))</f>
        <v/>
      </c>
      <c r="BG67" s="118" t="str">
        <f>IF(BG$6="","",IF(BG$3="Maior",IFERROR(IF(VLOOKUP($N67,Capa!$A:$AE,BG$5,0)="",0,VLOOKUP($N67,Capa!$A:$AE,BG$5,0)),0),IF(ISERROR(1/VLOOKUP($N67,Capa!$A:$AE,BG$5,0)),0,1/VLOOKUP($N67,Capa!$A:$AE,BG$5,0))))</f>
        <v/>
      </c>
      <c r="BH67" s="118" t="str">
        <f>IF(BH$6="","",IF(BH$3="Maior",IFERROR(IF(VLOOKUP($N67,Capa!$A:$AE,BH$5,0)="",0,VLOOKUP($N67,Capa!$A:$AE,BH$5,0)),0),IF(ISERROR(1/VLOOKUP($N67,Capa!$A:$AE,BH$5,0)),0,1/VLOOKUP($N67,Capa!$A:$AE,BH$5,0))))</f>
        <v/>
      </c>
      <c r="BI67" s="118" t="str">
        <f>IF(BI$6="","",IF(BI$3="Maior",IFERROR(IF(VLOOKUP($N67,Capa!$A:$AE,BI$5,0)="",0,VLOOKUP($N67,Capa!$A:$AE,BI$5,0)),0),IF(ISERROR(1/VLOOKUP($N67,Capa!$A:$AE,BI$5,0)),0,1/VLOOKUP($N67,Capa!$A:$AE,BI$5,0))))</f>
        <v/>
      </c>
      <c r="BJ67" s="118" t="str">
        <f>IF(BJ$6="","",IF(BJ$3="Maior",IFERROR(IF(VLOOKUP($N67,Capa!$A:$AE,BJ$5,0)="",0,VLOOKUP($N67,Capa!$A:$AE,BJ$5,0)),0),IF(ISERROR(1/VLOOKUP($N67,Capa!$A:$AE,BJ$5,0)),0,1/VLOOKUP($N67,Capa!$A:$AE,BJ$5,0))))</f>
        <v/>
      </c>
      <c r="BK67" s="118" t="str">
        <f>IF(BK$6="","",IF(BK$3="Maior",IFERROR(IF(VLOOKUP($N67,Capa!$A:$AE,BK$5,0)="",0,VLOOKUP($N67,Capa!$A:$AE,BK$5,0)),0),IF(ISERROR(1/VLOOKUP($N67,Capa!$A:$AE,BK$5,0)),0,1/VLOOKUP($N67,Capa!$A:$AE,BK$5,0))))</f>
        <v/>
      </c>
      <c r="BL67" s="118" t="str">
        <f>IF(BL$6="","",IF(BL$3="Maior",IFERROR(IF(VLOOKUP($N67,Capa!$A:$AE,BL$5,0)="",0,VLOOKUP($N67,Capa!$A:$AE,BL$5,0)),0),IF(ISERROR(1/VLOOKUP($N67,Capa!$A:$AE,BL$5,0)),0,1/VLOOKUP($N67,Capa!$A:$AE,BL$5,0))))</f>
        <v/>
      </c>
      <c r="BM67" s="118" t="str">
        <f>IF(BM$6="","",IF(BM$3="Maior",IFERROR(IF(VLOOKUP($N67,Capa!$A:$AE,BM$5,0)="",0,VLOOKUP($N67,Capa!$A:$AE,BM$5,0)),0),IF(ISERROR(1/VLOOKUP($N67,Capa!$A:$AE,BM$5,0)),0,1/VLOOKUP($N67,Capa!$A:$AE,BM$5,0))))</f>
        <v/>
      </c>
      <c r="BN67" s="118" t="str">
        <f>IF(BN$6="","",IF(BN$3="Maior",IFERROR(IF(VLOOKUP($N67,Capa!$A:$AE,BN$5,0)="",0,VLOOKUP($N67,Capa!$A:$AE,BN$5,0)),0),IF(ISERROR(1/VLOOKUP($N67,Capa!$A:$AE,BN$5,0)),0,1/VLOOKUP($N67,Capa!$A:$AE,BN$5,0))))</f>
        <v/>
      </c>
      <c r="BO67" s="92"/>
    </row>
    <row r="68">
      <c r="G68" s="11"/>
      <c r="H68" s="8">
        <v>62.0</v>
      </c>
      <c r="I68" s="110" t="str">
        <f t="shared" si="6"/>
        <v>BEEF3</v>
      </c>
      <c r="J68" s="111" t="str">
        <f>VLOOKUP(left(I68,4),Setor!A:D,3,0)&amp;" | "&amp;VLOOKUP(left(I68,4),Setor!A:D,4,0)</f>
        <v>Consumo não Cíclico | Alimentos Processados</v>
      </c>
      <c r="K68" s="112">
        <f t="shared" si="7"/>
        <v>106823220.7</v>
      </c>
      <c r="L68" s="11"/>
      <c r="M68" s="11"/>
      <c r="N68" s="10" t="s">
        <v>114</v>
      </c>
      <c r="O68" s="113">
        <f t="shared" si="8"/>
        <v>744.0302</v>
      </c>
      <c r="P68" s="114">
        <f>VLOOKUP(N68,'Dados StatusInvest'!A:Z,26,0)</f>
        <v>124476175.9</v>
      </c>
      <c r="Q68" s="115">
        <f t="shared" si="9"/>
        <v>302.0302</v>
      </c>
      <c r="R68" s="116">
        <f t="shared" ref="R68:AO68" si="71">IF(AQ68="","", RANK(AQ68,AQ$7:AQ$503,0))</f>
        <v>375</v>
      </c>
      <c r="S68" s="115">
        <f t="shared" si="71"/>
        <v>67</v>
      </c>
      <c r="T68" s="115" t="str">
        <f t="shared" si="71"/>
        <v/>
      </c>
      <c r="U68" s="115" t="str">
        <f t="shared" si="71"/>
        <v/>
      </c>
      <c r="V68" s="115" t="str">
        <f t="shared" si="71"/>
        <v/>
      </c>
      <c r="W68" s="115" t="str">
        <f t="shared" si="71"/>
        <v/>
      </c>
      <c r="X68" s="115" t="str">
        <f t="shared" si="71"/>
        <v/>
      </c>
      <c r="Y68" s="115" t="str">
        <f t="shared" si="71"/>
        <v/>
      </c>
      <c r="Z68" s="115" t="str">
        <f t="shared" si="71"/>
        <v/>
      </c>
      <c r="AA68" s="115" t="str">
        <f t="shared" si="71"/>
        <v/>
      </c>
      <c r="AB68" s="115" t="str">
        <f t="shared" si="71"/>
        <v/>
      </c>
      <c r="AC68" s="115" t="str">
        <f t="shared" si="71"/>
        <v/>
      </c>
      <c r="AD68" s="115" t="str">
        <f t="shared" si="71"/>
        <v/>
      </c>
      <c r="AE68" s="115" t="str">
        <f t="shared" si="71"/>
        <v/>
      </c>
      <c r="AF68" s="115" t="str">
        <f t="shared" si="71"/>
        <v/>
      </c>
      <c r="AG68" s="115" t="str">
        <f t="shared" si="71"/>
        <v/>
      </c>
      <c r="AH68" s="115" t="str">
        <f t="shared" si="71"/>
        <v/>
      </c>
      <c r="AI68" s="115" t="str">
        <f t="shared" si="71"/>
        <v/>
      </c>
      <c r="AJ68" s="115" t="str">
        <f t="shared" si="71"/>
        <v/>
      </c>
      <c r="AK68" s="115" t="str">
        <f t="shared" si="71"/>
        <v/>
      </c>
      <c r="AL68" s="115" t="str">
        <f t="shared" si="71"/>
        <v/>
      </c>
      <c r="AM68" s="115" t="str">
        <f t="shared" si="71"/>
        <v/>
      </c>
      <c r="AN68" s="115" t="str">
        <f t="shared" si="71"/>
        <v/>
      </c>
      <c r="AO68" s="115" t="str">
        <f t="shared" si="71"/>
        <v/>
      </c>
      <c r="AP68" s="117">
        <f>IF(AP$6="","",IF(AP$3="Maior",IFERROR(IF(VLOOKUP($N68,Capa!$A:$AE,AP$5,0)="",0,VLOOKUP($N68,Capa!$A:$AE,AP$5,0)),0),IF(ISERROR(1/VLOOKUP($N68,Capa!$A:$AE,AP$5,0)),0,1/VLOOKUP($N68,Capa!$A:$AE,AP$5,0))))</f>
        <v>0.05304879135</v>
      </c>
      <c r="AQ68" s="118">
        <f>IF(AQ$6="","",IF(AQ$3="Maior",IFERROR(IF(VLOOKUP($N68,Capa!$A:$AE,AQ$5,0)="",0,VLOOKUP($N68,Capa!$A:$AE,AQ$5,0)),0),IF(ISERROR(1/VLOOKUP($N68,Capa!$A:$AE,AQ$5,0)),0,1/VLOOKUP($N68,Capa!$A:$AE,AQ$5,0))))</f>
        <v>0</v>
      </c>
      <c r="AR68" s="118">
        <f>IF(AR$6="","",IF(AR$3="Maior",IFERROR(IF(VLOOKUP($N68,Capa!$A:$AE,AR$5,0)="",0,VLOOKUP($N68,Capa!$A:$AE,AR$5,0)),0),IF(ISERROR(1/VLOOKUP($N68,Capa!$A:$AE,AR$5,0)),0,1/VLOOKUP($N68,Capa!$A:$AE,AR$5,0))))</f>
        <v>38.52</v>
      </c>
      <c r="AS68" s="118" t="str">
        <f>IF(AS$6="","",IF(AS$3="Maior",IFERROR(IF(VLOOKUP($N68,Capa!$A:$AE,AS$5,0)="",0,VLOOKUP($N68,Capa!$A:$AE,AS$5,0)),0),IF(ISERROR(1/VLOOKUP($N68,Capa!$A:$AE,AS$5,0)),0,1/VLOOKUP($N68,Capa!$A:$AE,AS$5,0))))</f>
        <v/>
      </c>
      <c r="AT68" s="118" t="str">
        <f>IF(AT$6="","",IF(AT$3="Maior",IFERROR(IF(VLOOKUP($N68,Capa!$A:$AE,AT$5,0)="",0,VLOOKUP($N68,Capa!$A:$AE,AT$5,0)),0),IF(ISERROR(1/VLOOKUP($N68,Capa!$A:$AE,AT$5,0)),0,1/VLOOKUP($N68,Capa!$A:$AE,AT$5,0))))</f>
        <v/>
      </c>
      <c r="AU68" s="118" t="str">
        <f>IF(AU$6="","",IF(AU$3="Maior",IFERROR(IF(VLOOKUP($N68,Capa!$A:$AE,AU$5,0)="",0,VLOOKUP($N68,Capa!$A:$AE,AU$5,0)),0),IF(ISERROR(1/VLOOKUP($N68,Capa!$A:$AE,AU$5,0)),0,1/VLOOKUP($N68,Capa!$A:$AE,AU$5,0))))</f>
        <v/>
      </c>
      <c r="AV68" s="118" t="str">
        <f>IF(AV$6="","",IF(AV$3="Maior",IFERROR(IF(VLOOKUP($N68,Capa!$A:$AE,AV$5,0)="",0,VLOOKUP($N68,Capa!$A:$AE,AV$5,0)),0),IF(ISERROR(1/VLOOKUP($N68,Capa!$A:$AE,AV$5,0)),0,1/VLOOKUP($N68,Capa!$A:$AE,AV$5,0))))</f>
        <v/>
      </c>
      <c r="AW68" s="118" t="str">
        <f>IF(AW$6="","",IF(AW$3="Maior",IFERROR(IF(VLOOKUP($N68,Capa!$A:$AE,AW$5,0)="",0,VLOOKUP($N68,Capa!$A:$AE,AW$5,0)),0),IF(ISERROR(1/VLOOKUP($N68,Capa!$A:$AE,AW$5,0)),0,1/VLOOKUP($N68,Capa!$A:$AE,AW$5,0))))</f>
        <v/>
      </c>
      <c r="AX68" s="118" t="str">
        <f>IF(AX$6="","",IF(AX$3="Maior",IFERROR(IF(VLOOKUP($N68,Capa!$A:$AE,AX$5,0)="",0,VLOOKUP($N68,Capa!$A:$AE,AX$5,0)),0),IF(ISERROR(1/VLOOKUP($N68,Capa!$A:$AE,AX$5,0)),0,1/VLOOKUP($N68,Capa!$A:$AE,AX$5,0))))</f>
        <v/>
      </c>
      <c r="AY68" s="118" t="str">
        <f>IF(AY$6="","",IF(AY$3="Maior",IFERROR(IF(VLOOKUP($N68,Capa!$A:$AE,AY$5,0)="",0,VLOOKUP($N68,Capa!$A:$AE,AY$5,0)),0),IF(ISERROR(1/VLOOKUP($N68,Capa!$A:$AE,AY$5,0)),0,1/VLOOKUP($N68,Capa!$A:$AE,AY$5,0))))</f>
        <v/>
      </c>
      <c r="AZ68" s="118" t="str">
        <f>IF(AZ$6="","",IF(AZ$3="Maior",IFERROR(IF(VLOOKUP($N68,Capa!$A:$AE,AZ$5,0)="",0,VLOOKUP($N68,Capa!$A:$AE,AZ$5,0)),0),IF(ISERROR(1/VLOOKUP($N68,Capa!$A:$AE,AZ$5,0)),0,1/VLOOKUP($N68,Capa!$A:$AE,AZ$5,0))))</f>
        <v/>
      </c>
      <c r="BA68" s="118" t="str">
        <f>IF(BA$6="","",IF(BA$3="Maior",IFERROR(IF(VLOOKUP($N68,Capa!$A:$AE,BA$5,0)="",0,VLOOKUP($N68,Capa!$A:$AE,BA$5,0)),0),IF(ISERROR(1/VLOOKUP($N68,Capa!$A:$AE,BA$5,0)),0,1/VLOOKUP($N68,Capa!$A:$AE,BA$5,0))))</f>
        <v/>
      </c>
      <c r="BB68" s="118" t="str">
        <f>IF(BB$6="","",IF(BB$3="Maior",IFERROR(IF(VLOOKUP($N68,Capa!$A:$AE,BB$5,0)="",0,VLOOKUP($N68,Capa!$A:$AE,BB$5,0)),0),IF(ISERROR(1/VLOOKUP($N68,Capa!$A:$AE,BB$5,0)),0,1/VLOOKUP($N68,Capa!$A:$AE,BB$5,0))))</f>
        <v/>
      </c>
      <c r="BC68" s="118" t="str">
        <f>IF(BC$6="","",IF(BC$3="Maior",IFERROR(IF(VLOOKUP($N68,Capa!$A:$AE,BC$5,0)="",0,VLOOKUP($N68,Capa!$A:$AE,BC$5,0)),0),IF(ISERROR(1/VLOOKUP($N68,Capa!$A:$AE,BC$5,0)),0,1/VLOOKUP($N68,Capa!$A:$AE,BC$5,0))))</f>
        <v/>
      </c>
      <c r="BD68" s="118" t="str">
        <f>IF(BD$6="","",IF(BD$3="Maior",IFERROR(IF(VLOOKUP($N68,Capa!$A:$AE,BD$5,0)="",0,VLOOKUP($N68,Capa!$A:$AE,BD$5,0)),0),IF(ISERROR(1/VLOOKUP($N68,Capa!$A:$AE,BD$5,0)),0,1/VLOOKUP($N68,Capa!$A:$AE,BD$5,0))))</f>
        <v/>
      </c>
      <c r="BE68" s="118" t="str">
        <f>IF(BE$6="","",IF(BE$3="Maior",IFERROR(IF(VLOOKUP($N68,Capa!$A:$AE,BE$5,0)="",0,VLOOKUP($N68,Capa!$A:$AE,BE$5,0)),0),IF(ISERROR(1/VLOOKUP($N68,Capa!$A:$AE,BE$5,0)),0,1/VLOOKUP($N68,Capa!$A:$AE,BE$5,0))))</f>
        <v/>
      </c>
      <c r="BF68" s="118" t="str">
        <f>IF(BF$6="","",IF(BF$3="Maior",IFERROR(IF(VLOOKUP($N68,Capa!$A:$AE,BF$5,0)="",0,VLOOKUP($N68,Capa!$A:$AE,BF$5,0)),0),IF(ISERROR(1/VLOOKUP($N68,Capa!$A:$AE,BF$5,0)),0,1/VLOOKUP($N68,Capa!$A:$AE,BF$5,0))))</f>
        <v/>
      </c>
      <c r="BG68" s="118" t="str">
        <f>IF(BG$6="","",IF(BG$3="Maior",IFERROR(IF(VLOOKUP($N68,Capa!$A:$AE,BG$5,0)="",0,VLOOKUP($N68,Capa!$A:$AE,BG$5,0)),0),IF(ISERROR(1/VLOOKUP($N68,Capa!$A:$AE,BG$5,0)),0,1/VLOOKUP($N68,Capa!$A:$AE,BG$5,0))))</f>
        <v/>
      </c>
      <c r="BH68" s="118" t="str">
        <f>IF(BH$6="","",IF(BH$3="Maior",IFERROR(IF(VLOOKUP($N68,Capa!$A:$AE,BH$5,0)="",0,VLOOKUP($N68,Capa!$A:$AE,BH$5,0)),0),IF(ISERROR(1/VLOOKUP($N68,Capa!$A:$AE,BH$5,0)),0,1/VLOOKUP($N68,Capa!$A:$AE,BH$5,0))))</f>
        <v/>
      </c>
      <c r="BI68" s="118" t="str">
        <f>IF(BI$6="","",IF(BI$3="Maior",IFERROR(IF(VLOOKUP($N68,Capa!$A:$AE,BI$5,0)="",0,VLOOKUP($N68,Capa!$A:$AE,BI$5,0)),0),IF(ISERROR(1/VLOOKUP($N68,Capa!$A:$AE,BI$5,0)),0,1/VLOOKUP($N68,Capa!$A:$AE,BI$5,0))))</f>
        <v/>
      </c>
      <c r="BJ68" s="118" t="str">
        <f>IF(BJ$6="","",IF(BJ$3="Maior",IFERROR(IF(VLOOKUP($N68,Capa!$A:$AE,BJ$5,0)="",0,VLOOKUP($N68,Capa!$A:$AE,BJ$5,0)),0),IF(ISERROR(1/VLOOKUP($N68,Capa!$A:$AE,BJ$5,0)),0,1/VLOOKUP($N68,Capa!$A:$AE,BJ$5,0))))</f>
        <v/>
      </c>
      <c r="BK68" s="118" t="str">
        <f>IF(BK$6="","",IF(BK$3="Maior",IFERROR(IF(VLOOKUP($N68,Capa!$A:$AE,BK$5,0)="",0,VLOOKUP($N68,Capa!$A:$AE,BK$5,0)),0),IF(ISERROR(1/VLOOKUP($N68,Capa!$A:$AE,BK$5,0)),0,1/VLOOKUP($N68,Capa!$A:$AE,BK$5,0))))</f>
        <v/>
      </c>
      <c r="BL68" s="118" t="str">
        <f>IF(BL$6="","",IF(BL$3="Maior",IFERROR(IF(VLOOKUP($N68,Capa!$A:$AE,BL$5,0)="",0,VLOOKUP($N68,Capa!$A:$AE,BL$5,0)),0),IF(ISERROR(1/VLOOKUP($N68,Capa!$A:$AE,BL$5,0)),0,1/VLOOKUP($N68,Capa!$A:$AE,BL$5,0))))</f>
        <v/>
      </c>
      <c r="BM68" s="118" t="str">
        <f>IF(BM$6="","",IF(BM$3="Maior",IFERROR(IF(VLOOKUP($N68,Capa!$A:$AE,BM$5,0)="",0,VLOOKUP($N68,Capa!$A:$AE,BM$5,0)),0),IF(ISERROR(1/VLOOKUP($N68,Capa!$A:$AE,BM$5,0)),0,1/VLOOKUP($N68,Capa!$A:$AE,BM$5,0))))</f>
        <v/>
      </c>
      <c r="BN68" s="118" t="str">
        <f>IF(BN$6="","",IF(BN$3="Maior",IFERROR(IF(VLOOKUP($N68,Capa!$A:$AE,BN$5,0)="",0,VLOOKUP($N68,Capa!$A:$AE,BN$5,0)),0),IF(ISERROR(1/VLOOKUP($N68,Capa!$A:$AE,BN$5,0)),0,1/VLOOKUP($N68,Capa!$A:$AE,BN$5,0))))</f>
        <v/>
      </c>
      <c r="BO68" s="92"/>
    </row>
    <row r="69">
      <c r="G69" s="11"/>
      <c r="H69" s="8">
        <v>63.0</v>
      </c>
      <c r="I69" s="110" t="str">
        <f t="shared" si="6"/>
        <v>ODPV3</v>
      </c>
      <c r="J69" s="111" t="str">
        <f>VLOOKUP(left(I69,4),Setor!A:D,3,0)&amp;" | "&amp;VLOOKUP(left(I69,4),Setor!A:D,4,0)</f>
        <v>Saúde | Análises e Diagnósticos</v>
      </c>
      <c r="K69" s="112">
        <f t="shared" si="7"/>
        <v>17978875.63</v>
      </c>
      <c r="L69" s="11"/>
      <c r="M69" s="11"/>
      <c r="N69" s="10" t="s">
        <v>115</v>
      </c>
      <c r="O69" s="113">
        <f t="shared" si="8"/>
        <v>683.0231</v>
      </c>
      <c r="P69" s="114">
        <f>VLOOKUP(N69,'Dados StatusInvest'!A:Z,26,0)</f>
        <v>114029355</v>
      </c>
      <c r="Q69" s="115">
        <f t="shared" si="9"/>
        <v>231.0231</v>
      </c>
      <c r="R69" s="116">
        <f t="shared" ref="R69:AO69" si="72">IF(AQ69="","", RANK(AQ69,AQ$7:AQ$503,0))</f>
        <v>271</v>
      </c>
      <c r="S69" s="115">
        <f t="shared" si="72"/>
        <v>181</v>
      </c>
      <c r="T69" s="115" t="str">
        <f t="shared" si="72"/>
        <v/>
      </c>
      <c r="U69" s="115" t="str">
        <f t="shared" si="72"/>
        <v/>
      </c>
      <c r="V69" s="115" t="str">
        <f t="shared" si="72"/>
        <v/>
      </c>
      <c r="W69" s="115" t="str">
        <f t="shared" si="72"/>
        <v/>
      </c>
      <c r="X69" s="115" t="str">
        <f t="shared" si="72"/>
        <v/>
      </c>
      <c r="Y69" s="115" t="str">
        <f t="shared" si="72"/>
        <v/>
      </c>
      <c r="Z69" s="115" t="str">
        <f t="shared" si="72"/>
        <v/>
      </c>
      <c r="AA69" s="115" t="str">
        <f t="shared" si="72"/>
        <v/>
      </c>
      <c r="AB69" s="115" t="str">
        <f t="shared" si="72"/>
        <v/>
      </c>
      <c r="AC69" s="115" t="str">
        <f t="shared" si="72"/>
        <v/>
      </c>
      <c r="AD69" s="115" t="str">
        <f t="shared" si="72"/>
        <v/>
      </c>
      <c r="AE69" s="115" t="str">
        <f t="shared" si="72"/>
        <v/>
      </c>
      <c r="AF69" s="115" t="str">
        <f t="shared" si="72"/>
        <v/>
      </c>
      <c r="AG69" s="115" t="str">
        <f t="shared" si="72"/>
        <v/>
      </c>
      <c r="AH69" s="115" t="str">
        <f t="shared" si="72"/>
        <v/>
      </c>
      <c r="AI69" s="115" t="str">
        <f t="shared" si="72"/>
        <v/>
      </c>
      <c r="AJ69" s="115" t="str">
        <f t="shared" si="72"/>
        <v/>
      </c>
      <c r="AK69" s="115" t="str">
        <f t="shared" si="72"/>
        <v/>
      </c>
      <c r="AL69" s="115" t="str">
        <f t="shared" si="72"/>
        <v/>
      </c>
      <c r="AM69" s="115" t="str">
        <f t="shared" si="72"/>
        <v/>
      </c>
      <c r="AN69" s="115" t="str">
        <f t="shared" si="72"/>
        <v/>
      </c>
      <c r="AO69" s="115" t="str">
        <f t="shared" si="72"/>
        <v/>
      </c>
      <c r="AP69" s="117">
        <f>IF(AP$6="","",IF(AP$3="Maior",IFERROR(IF(VLOOKUP($N69,Capa!$A:$AE,AP$5,0)="",0,VLOOKUP($N69,Capa!$A:$AE,AP$5,0)),0),IF(ISERROR(1/VLOOKUP($N69,Capa!$A:$AE,AP$5,0)),0,1/VLOOKUP($N69,Capa!$A:$AE,AP$5,0))))</f>
        <v>0.08659098981</v>
      </c>
      <c r="AQ69" s="118">
        <f>IF(AQ$6="","",IF(AQ$3="Maior",IFERROR(IF(VLOOKUP($N69,Capa!$A:$AE,AQ$5,0)="",0,VLOOKUP($N69,Capa!$A:$AE,AQ$5,0)),0),IF(ISERROR(1/VLOOKUP($N69,Capa!$A:$AE,AQ$5,0)),0,1/VLOOKUP($N69,Capa!$A:$AE,AQ$5,0))))</f>
        <v>6.81</v>
      </c>
      <c r="AR69" s="118">
        <f>IF(AR$6="","",IF(AR$3="Maior",IFERROR(IF(VLOOKUP($N69,Capa!$A:$AE,AR$5,0)="",0,VLOOKUP($N69,Capa!$A:$AE,AR$5,0)),0),IF(ISERROR(1/VLOOKUP($N69,Capa!$A:$AE,AR$5,0)),0,1/VLOOKUP($N69,Capa!$A:$AE,AR$5,0))))</f>
        <v>6.97</v>
      </c>
      <c r="AS69" s="118" t="str">
        <f>IF(AS$6="","",IF(AS$3="Maior",IFERROR(IF(VLOOKUP($N69,Capa!$A:$AE,AS$5,0)="",0,VLOOKUP($N69,Capa!$A:$AE,AS$5,0)),0),IF(ISERROR(1/VLOOKUP($N69,Capa!$A:$AE,AS$5,0)),0,1/VLOOKUP($N69,Capa!$A:$AE,AS$5,0))))</f>
        <v/>
      </c>
      <c r="AT69" s="118" t="str">
        <f>IF(AT$6="","",IF(AT$3="Maior",IFERROR(IF(VLOOKUP($N69,Capa!$A:$AE,AT$5,0)="",0,VLOOKUP($N69,Capa!$A:$AE,AT$5,0)),0),IF(ISERROR(1/VLOOKUP($N69,Capa!$A:$AE,AT$5,0)),0,1/VLOOKUP($N69,Capa!$A:$AE,AT$5,0))))</f>
        <v/>
      </c>
      <c r="AU69" s="118" t="str">
        <f>IF(AU$6="","",IF(AU$3="Maior",IFERROR(IF(VLOOKUP($N69,Capa!$A:$AE,AU$5,0)="",0,VLOOKUP($N69,Capa!$A:$AE,AU$5,0)),0),IF(ISERROR(1/VLOOKUP($N69,Capa!$A:$AE,AU$5,0)),0,1/VLOOKUP($N69,Capa!$A:$AE,AU$5,0))))</f>
        <v/>
      </c>
      <c r="AV69" s="118" t="str">
        <f>IF(AV$6="","",IF(AV$3="Maior",IFERROR(IF(VLOOKUP($N69,Capa!$A:$AE,AV$5,0)="",0,VLOOKUP($N69,Capa!$A:$AE,AV$5,0)),0),IF(ISERROR(1/VLOOKUP($N69,Capa!$A:$AE,AV$5,0)),0,1/VLOOKUP($N69,Capa!$A:$AE,AV$5,0))))</f>
        <v/>
      </c>
      <c r="AW69" s="118" t="str">
        <f>IF(AW$6="","",IF(AW$3="Maior",IFERROR(IF(VLOOKUP($N69,Capa!$A:$AE,AW$5,0)="",0,VLOOKUP($N69,Capa!$A:$AE,AW$5,0)),0),IF(ISERROR(1/VLOOKUP($N69,Capa!$A:$AE,AW$5,0)),0,1/VLOOKUP($N69,Capa!$A:$AE,AW$5,0))))</f>
        <v/>
      </c>
      <c r="AX69" s="118" t="str">
        <f>IF(AX$6="","",IF(AX$3="Maior",IFERROR(IF(VLOOKUP($N69,Capa!$A:$AE,AX$5,0)="",0,VLOOKUP($N69,Capa!$A:$AE,AX$5,0)),0),IF(ISERROR(1/VLOOKUP($N69,Capa!$A:$AE,AX$5,0)),0,1/VLOOKUP($N69,Capa!$A:$AE,AX$5,0))))</f>
        <v/>
      </c>
      <c r="AY69" s="118" t="str">
        <f>IF(AY$6="","",IF(AY$3="Maior",IFERROR(IF(VLOOKUP($N69,Capa!$A:$AE,AY$5,0)="",0,VLOOKUP($N69,Capa!$A:$AE,AY$5,0)),0),IF(ISERROR(1/VLOOKUP($N69,Capa!$A:$AE,AY$5,0)),0,1/VLOOKUP($N69,Capa!$A:$AE,AY$5,0))))</f>
        <v/>
      </c>
      <c r="AZ69" s="118" t="str">
        <f>IF(AZ$6="","",IF(AZ$3="Maior",IFERROR(IF(VLOOKUP($N69,Capa!$A:$AE,AZ$5,0)="",0,VLOOKUP($N69,Capa!$A:$AE,AZ$5,0)),0),IF(ISERROR(1/VLOOKUP($N69,Capa!$A:$AE,AZ$5,0)),0,1/VLOOKUP($N69,Capa!$A:$AE,AZ$5,0))))</f>
        <v/>
      </c>
      <c r="BA69" s="118" t="str">
        <f>IF(BA$6="","",IF(BA$3="Maior",IFERROR(IF(VLOOKUP($N69,Capa!$A:$AE,BA$5,0)="",0,VLOOKUP($N69,Capa!$A:$AE,BA$5,0)),0),IF(ISERROR(1/VLOOKUP($N69,Capa!$A:$AE,BA$5,0)),0,1/VLOOKUP($N69,Capa!$A:$AE,BA$5,0))))</f>
        <v/>
      </c>
      <c r="BB69" s="118" t="str">
        <f>IF(BB$6="","",IF(BB$3="Maior",IFERROR(IF(VLOOKUP($N69,Capa!$A:$AE,BB$5,0)="",0,VLOOKUP($N69,Capa!$A:$AE,BB$5,0)),0),IF(ISERROR(1/VLOOKUP($N69,Capa!$A:$AE,BB$5,0)),0,1/VLOOKUP($N69,Capa!$A:$AE,BB$5,0))))</f>
        <v/>
      </c>
      <c r="BC69" s="118" t="str">
        <f>IF(BC$6="","",IF(BC$3="Maior",IFERROR(IF(VLOOKUP($N69,Capa!$A:$AE,BC$5,0)="",0,VLOOKUP($N69,Capa!$A:$AE,BC$5,0)),0),IF(ISERROR(1/VLOOKUP($N69,Capa!$A:$AE,BC$5,0)),0,1/VLOOKUP($N69,Capa!$A:$AE,BC$5,0))))</f>
        <v/>
      </c>
      <c r="BD69" s="118" t="str">
        <f>IF(BD$6="","",IF(BD$3="Maior",IFERROR(IF(VLOOKUP($N69,Capa!$A:$AE,BD$5,0)="",0,VLOOKUP($N69,Capa!$A:$AE,BD$5,0)),0),IF(ISERROR(1/VLOOKUP($N69,Capa!$A:$AE,BD$5,0)),0,1/VLOOKUP($N69,Capa!$A:$AE,BD$5,0))))</f>
        <v/>
      </c>
      <c r="BE69" s="118" t="str">
        <f>IF(BE$6="","",IF(BE$3="Maior",IFERROR(IF(VLOOKUP($N69,Capa!$A:$AE,BE$5,0)="",0,VLOOKUP($N69,Capa!$A:$AE,BE$5,0)),0),IF(ISERROR(1/VLOOKUP($N69,Capa!$A:$AE,BE$5,0)),0,1/VLOOKUP($N69,Capa!$A:$AE,BE$5,0))))</f>
        <v/>
      </c>
      <c r="BF69" s="118" t="str">
        <f>IF(BF$6="","",IF(BF$3="Maior",IFERROR(IF(VLOOKUP($N69,Capa!$A:$AE,BF$5,0)="",0,VLOOKUP($N69,Capa!$A:$AE,BF$5,0)),0),IF(ISERROR(1/VLOOKUP($N69,Capa!$A:$AE,BF$5,0)),0,1/VLOOKUP($N69,Capa!$A:$AE,BF$5,0))))</f>
        <v/>
      </c>
      <c r="BG69" s="118" t="str">
        <f>IF(BG$6="","",IF(BG$3="Maior",IFERROR(IF(VLOOKUP($N69,Capa!$A:$AE,BG$5,0)="",0,VLOOKUP($N69,Capa!$A:$AE,BG$5,0)),0),IF(ISERROR(1/VLOOKUP($N69,Capa!$A:$AE,BG$5,0)),0,1/VLOOKUP($N69,Capa!$A:$AE,BG$5,0))))</f>
        <v/>
      </c>
      <c r="BH69" s="118" t="str">
        <f>IF(BH$6="","",IF(BH$3="Maior",IFERROR(IF(VLOOKUP($N69,Capa!$A:$AE,BH$5,0)="",0,VLOOKUP($N69,Capa!$A:$AE,BH$5,0)),0),IF(ISERROR(1/VLOOKUP($N69,Capa!$A:$AE,BH$5,0)),0,1/VLOOKUP($N69,Capa!$A:$AE,BH$5,0))))</f>
        <v/>
      </c>
      <c r="BI69" s="118" t="str">
        <f>IF(BI$6="","",IF(BI$3="Maior",IFERROR(IF(VLOOKUP($N69,Capa!$A:$AE,BI$5,0)="",0,VLOOKUP($N69,Capa!$A:$AE,BI$5,0)),0),IF(ISERROR(1/VLOOKUP($N69,Capa!$A:$AE,BI$5,0)),0,1/VLOOKUP($N69,Capa!$A:$AE,BI$5,0))))</f>
        <v/>
      </c>
      <c r="BJ69" s="118" t="str">
        <f>IF(BJ$6="","",IF(BJ$3="Maior",IFERROR(IF(VLOOKUP($N69,Capa!$A:$AE,BJ$5,0)="",0,VLOOKUP($N69,Capa!$A:$AE,BJ$5,0)),0),IF(ISERROR(1/VLOOKUP($N69,Capa!$A:$AE,BJ$5,0)),0,1/VLOOKUP($N69,Capa!$A:$AE,BJ$5,0))))</f>
        <v/>
      </c>
      <c r="BK69" s="118" t="str">
        <f>IF(BK$6="","",IF(BK$3="Maior",IFERROR(IF(VLOOKUP($N69,Capa!$A:$AE,BK$5,0)="",0,VLOOKUP($N69,Capa!$A:$AE,BK$5,0)),0),IF(ISERROR(1/VLOOKUP($N69,Capa!$A:$AE,BK$5,0)),0,1/VLOOKUP($N69,Capa!$A:$AE,BK$5,0))))</f>
        <v/>
      </c>
      <c r="BL69" s="118" t="str">
        <f>IF(BL$6="","",IF(BL$3="Maior",IFERROR(IF(VLOOKUP($N69,Capa!$A:$AE,BL$5,0)="",0,VLOOKUP($N69,Capa!$A:$AE,BL$5,0)),0),IF(ISERROR(1/VLOOKUP($N69,Capa!$A:$AE,BL$5,0)),0,1/VLOOKUP($N69,Capa!$A:$AE,BL$5,0))))</f>
        <v/>
      </c>
      <c r="BM69" s="118" t="str">
        <f>IF(BM$6="","",IF(BM$3="Maior",IFERROR(IF(VLOOKUP($N69,Capa!$A:$AE,BM$5,0)="",0,VLOOKUP($N69,Capa!$A:$AE,BM$5,0)),0),IF(ISERROR(1/VLOOKUP($N69,Capa!$A:$AE,BM$5,0)),0,1/VLOOKUP($N69,Capa!$A:$AE,BM$5,0))))</f>
        <v/>
      </c>
      <c r="BN69" s="118" t="str">
        <f>IF(BN$6="","",IF(BN$3="Maior",IFERROR(IF(VLOOKUP($N69,Capa!$A:$AE,BN$5,0)="",0,VLOOKUP($N69,Capa!$A:$AE,BN$5,0)),0),IF(ISERROR(1/VLOOKUP($N69,Capa!$A:$AE,BN$5,0)),0,1/VLOOKUP($N69,Capa!$A:$AE,BN$5,0))))</f>
        <v/>
      </c>
      <c r="BO69" s="92"/>
    </row>
    <row r="70">
      <c r="G70" s="11"/>
      <c r="H70" s="8">
        <v>64.0</v>
      </c>
      <c r="I70" s="110" t="str">
        <f t="shared" si="6"/>
        <v>PGMN3</v>
      </c>
      <c r="J70" s="111" t="str">
        <f>VLOOKUP(left(I70,4),Setor!A:D,3,0)&amp;" | "&amp;VLOOKUP(left(I70,4),Setor!A:D,4,0)</f>
        <v>Saúde | Comércio e Distribuição</v>
      </c>
      <c r="K70" s="112">
        <f t="shared" si="7"/>
        <v>16387676.54</v>
      </c>
      <c r="L70" s="11"/>
      <c r="M70" s="11"/>
      <c r="N70" s="10" t="s">
        <v>116</v>
      </c>
      <c r="O70" s="113">
        <f t="shared" si="8"/>
        <v>635.0275</v>
      </c>
      <c r="P70" s="114">
        <f>VLOOKUP(N70,'Dados StatusInvest'!A:Z,26,0)</f>
        <v>95351256.38</v>
      </c>
      <c r="Q70" s="115">
        <f t="shared" si="9"/>
        <v>275.0275</v>
      </c>
      <c r="R70" s="116">
        <f t="shared" ref="R70:AO70" si="73">IF(AQ70="","", RANK(AQ70,AQ$7:AQ$503,0))</f>
        <v>234</v>
      </c>
      <c r="S70" s="115">
        <f t="shared" si="73"/>
        <v>126</v>
      </c>
      <c r="T70" s="115" t="str">
        <f t="shared" si="73"/>
        <v/>
      </c>
      <c r="U70" s="115" t="str">
        <f t="shared" si="73"/>
        <v/>
      </c>
      <c r="V70" s="115" t="str">
        <f t="shared" si="73"/>
        <v/>
      </c>
      <c r="W70" s="115" t="str">
        <f t="shared" si="73"/>
        <v/>
      </c>
      <c r="X70" s="115" t="str">
        <f t="shared" si="73"/>
        <v/>
      </c>
      <c r="Y70" s="115" t="str">
        <f t="shared" si="73"/>
        <v/>
      </c>
      <c r="Z70" s="115" t="str">
        <f t="shared" si="73"/>
        <v/>
      </c>
      <c r="AA70" s="115" t="str">
        <f t="shared" si="73"/>
        <v/>
      </c>
      <c r="AB70" s="115" t="str">
        <f t="shared" si="73"/>
        <v/>
      </c>
      <c r="AC70" s="115" t="str">
        <f t="shared" si="73"/>
        <v/>
      </c>
      <c r="AD70" s="115" t="str">
        <f t="shared" si="73"/>
        <v/>
      </c>
      <c r="AE70" s="115" t="str">
        <f t="shared" si="73"/>
        <v/>
      </c>
      <c r="AF70" s="115" t="str">
        <f t="shared" si="73"/>
        <v/>
      </c>
      <c r="AG70" s="115" t="str">
        <f t="shared" si="73"/>
        <v/>
      </c>
      <c r="AH70" s="115" t="str">
        <f t="shared" si="73"/>
        <v/>
      </c>
      <c r="AI70" s="115" t="str">
        <f t="shared" si="73"/>
        <v/>
      </c>
      <c r="AJ70" s="115" t="str">
        <f t="shared" si="73"/>
        <v/>
      </c>
      <c r="AK70" s="115" t="str">
        <f t="shared" si="73"/>
        <v/>
      </c>
      <c r="AL70" s="115" t="str">
        <f t="shared" si="73"/>
        <v/>
      </c>
      <c r="AM70" s="115" t="str">
        <f t="shared" si="73"/>
        <v/>
      </c>
      <c r="AN70" s="115" t="str">
        <f t="shared" si="73"/>
        <v/>
      </c>
      <c r="AO70" s="115" t="str">
        <f t="shared" si="73"/>
        <v/>
      </c>
      <c r="AP70" s="117">
        <f>IF(AP$6="","",IF(AP$3="Maior",IFERROR(IF(VLOOKUP($N70,Capa!$A:$AE,AP$5,0)="",0,VLOOKUP($N70,Capa!$A:$AE,AP$5,0)),0),IF(ISERROR(1/VLOOKUP($N70,Capa!$A:$AE,AP$5,0)),0,1/VLOOKUP($N70,Capa!$A:$AE,AP$5,0))))</f>
        <v>0.06775400669</v>
      </c>
      <c r="AQ70" s="118">
        <f>IF(AQ$6="","",IF(AQ$3="Maior",IFERROR(IF(VLOOKUP($N70,Capa!$A:$AE,AQ$5,0)="",0,VLOOKUP($N70,Capa!$A:$AE,AQ$5,0)),0),IF(ISERROR(1/VLOOKUP($N70,Capa!$A:$AE,AQ$5,0)),0,1/VLOOKUP($N70,Capa!$A:$AE,AQ$5,0))))</f>
        <v>9.26</v>
      </c>
      <c r="AR70" s="118">
        <f>IF(AR$6="","",IF(AR$3="Maior",IFERROR(IF(VLOOKUP($N70,Capa!$A:$AE,AR$5,0)="",0,VLOOKUP($N70,Capa!$A:$AE,AR$5,0)),0),IF(ISERROR(1/VLOOKUP($N70,Capa!$A:$AE,AR$5,0)),0,1/VLOOKUP($N70,Capa!$A:$AE,AR$5,0))))</f>
        <v>20.74</v>
      </c>
      <c r="AS70" s="118" t="str">
        <f>IF(AS$6="","",IF(AS$3="Maior",IFERROR(IF(VLOOKUP($N70,Capa!$A:$AE,AS$5,0)="",0,VLOOKUP($N70,Capa!$A:$AE,AS$5,0)),0),IF(ISERROR(1/VLOOKUP($N70,Capa!$A:$AE,AS$5,0)),0,1/VLOOKUP($N70,Capa!$A:$AE,AS$5,0))))</f>
        <v/>
      </c>
      <c r="AT70" s="118" t="str">
        <f>IF(AT$6="","",IF(AT$3="Maior",IFERROR(IF(VLOOKUP($N70,Capa!$A:$AE,AT$5,0)="",0,VLOOKUP($N70,Capa!$A:$AE,AT$5,0)),0),IF(ISERROR(1/VLOOKUP($N70,Capa!$A:$AE,AT$5,0)),0,1/VLOOKUP($N70,Capa!$A:$AE,AT$5,0))))</f>
        <v/>
      </c>
      <c r="AU70" s="118" t="str">
        <f>IF(AU$6="","",IF(AU$3="Maior",IFERROR(IF(VLOOKUP($N70,Capa!$A:$AE,AU$5,0)="",0,VLOOKUP($N70,Capa!$A:$AE,AU$5,0)),0),IF(ISERROR(1/VLOOKUP($N70,Capa!$A:$AE,AU$5,0)),0,1/VLOOKUP($N70,Capa!$A:$AE,AU$5,0))))</f>
        <v/>
      </c>
      <c r="AV70" s="118" t="str">
        <f>IF(AV$6="","",IF(AV$3="Maior",IFERROR(IF(VLOOKUP($N70,Capa!$A:$AE,AV$5,0)="",0,VLOOKUP($N70,Capa!$A:$AE,AV$5,0)),0),IF(ISERROR(1/VLOOKUP($N70,Capa!$A:$AE,AV$5,0)),0,1/VLOOKUP($N70,Capa!$A:$AE,AV$5,0))))</f>
        <v/>
      </c>
      <c r="AW70" s="118" t="str">
        <f>IF(AW$6="","",IF(AW$3="Maior",IFERROR(IF(VLOOKUP($N70,Capa!$A:$AE,AW$5,0)="",0,VLOOKUP($N70,Capa!$A:$AE,AW$5,0)),0),IF(ISERROR(1/VLOOKUP($N70,Capa!$A:$AE,AW$5,0)),0,1/VLOOKUP($N70,Capa!$A:$AE,AW$5,0))))</f>
        <v/>
      </c>
      <c r="AX70" s="118" t="str">
        <f>IF(AX$6="","",IF(AX$3="Maior",IFERROR(IF(VLOOKUP($N70,Capa!$A:$AE,AX$5,0)="",0,VLOOKUP($N70,Capa!$A:$AE,AX$5,0)),0),IF(ISERROR(1/VLOOKUP($N70,Capa!$A:$AE,AX$5,0)),0,1/VLOOKUP($N70,Capa!$A:$AE,AX$5,0))))</f>
        <v/>
      </c>
      <c r="AY70" s="118" t="str">
        <f>IF(AY$6="","",IF(AY$3="Maior",IFERROR(IF(VLOOKUP($N70,Capa!$A:$AE,AY$5,0)="",0,VLOOKUP($N70,Capa!$A:$AE,AY$5,0)),0),IF(ISERROR(1/VLOOKUP($N70,Capa!$A:$AE,AY$5,0)),0,1/VLOOKUP($N70,Capa!$A:$AE,AY$5,0))))</f>
        <v/>
      </c>
      <c r="AZ70" s="118" t="str">
        <f>IF(AZ$6="","",IF(AZ$3="Maior",IFERROR(IF(VLOOKUP($N70,Capa!$A:$AE,AZ$5,0)="",0,VLOOKUP($N70,Capa!$A:$AE,AZ$5,0)),0),IF(ISERROR(1/VLOOKUP($N70,Capa!$A:$AE,AZ$5,0)),0,1/VLOOKUP($N70,Capa!$A:$AE,AZ$5,0))))</f>
        <v/>
      </c>
      <c r="BA70" s="118" t="str">
        <f>IF(BA$6="","",IF(BA$3="Maior",IFERROR(IF(VLOOKUP($N70,Capa!$A:$AE,BA$5,0)="",0,VLOOKUP($N70,Capa!$A:$AE,BA$5,0)),0),IF(ISERROR(1/VLOOKUP($N70,Capa!$A:$AE,BA$5,0)),0,1/VLOOKUP($N70,Capa!$A:$AE,BA$5,0))))</f>
        <v/>
      </c>
      <c r="BB70" s="118" t="str">
        <f>IF(BB$6="","",IF(BB$3="Maior",IFERROR(IF(VLOOKUP($N70,Capa!$A:$AE,BB$5,0)="",0,VLOOKUP($N70,Capa!$A:$AE,BB$5,0)),0),IF(ISERROR(1/VLOOKUP($N70,Capa!$A:$AE,BB$5,0)),0,1/VLOOKUP($N70,Capa!$A:$AE,BB$5,0))))</f>
        <v/>
      </c>
      <c r="BC70" s="118" t="str">
        <f>IF(BC$6="","",IF(BC$3="Maior",IFERROR(IF(VLOOKUP($N70,Capa!$A:$AE,BC$5,0)="",0,VLOOKUP($N70,Capa!$A:$AE,BC$5,0)),0),IF(ISERROR(1/VLOOKUP($N70,Capa!$A:$AE,BC$5,0)),0,1/VLOOKUP($N70,Capa!$A:$AE,BC$5,0))))</f>
        <v/>
      </c>
      <c r="BD70" s="118" t="str">
        <f>IF(BD$6="","",IF(BD$3="Maior",IFERROR(IF(VLOOKUP($N70,Capa!$A:$AE,BD$5,0)="",0,VLOOKUP($N70,Capa!$A:$AE,BD$5,0)),0),IF(ISERROR(1/VLOOKUP($N70,Capa!$A:$AE,BD$5,0)),0,1/VLOOKUP($N70,Capa!$A:$AE,BD$5,0))))</f>
        <v/>
      </c>
      <c r="BE70" s="118" t="str">
        <f>IF(BE$6="","",IF(BE$3="Maior",IFERROR(IF(VLOOKUP($N70,Capa!$A:$AE,BE$5,0)="",0,VLOOKUP($N70,Capa!$A:$AE,BE$5,0)),0),IF(ISERROR(1/VLOOKUP($N70,Capa!$A:$AE,BE$5,0)),0,1/VLOOKUP($N70,Capa!$A:$AE,BE$5,0))))</f>
        <v/>
      </c>
      <c r="BF70" s="118" t="str">
        <f>IF(BF$6="","",IF(BF$3="Maior",IFERROR(IF(VLOOKUP($N70,Capa!$A:$AE,BF$5,0)="",0,VLOOKUP($N70,Capa!$A:$AE,BF$5,0)),0),IF(ISERROR(1/VLOOKUP($N70,Capa!$A:$AE,BF$5,0)),0,1/VLOOKUP($N70,Capa!$A:$AE,BF$5,0))))</f>
        <v/>
      </c>
      <c r="BG70" s="118" t="str">
        <f>IF(BG$6="","",IF(BG$3="Maior",IFERROR(IF(VLOOKUP($N70,Capa!$A:$AE,BG$5,0)="",0,VLOOKUP($N70,Capa!$A:$AE,BG$5,0)),0),IF(ISERROR(1/VLOOKUP($N70,Capa!$A:$AE,BG$5,0)),0,1/VLOOKUP($N70,Capa!$A:$AE,BG$5,0))))</f>
        <v/>
      </c>
      <c r="BH70" s="118" t="str">
        <f>IF(BH$6="","",IF(BH$3="Maior",IFERROR(IF(VLOOKUP($N70,Capa!$A:$AE,BH$5,0)="",0,VLOOKUP($N70,Capa!$A:$AE,BH$5,0)),0),IF(ISERROR(1/VLOOKUP($N70,Capa!$A:$AE,BH$5,0)),0,1/VLOOKUP($N70,Capa!$A:$AE,BH$5,0))))</f>
        <v/>
      </c>
      <c r="BI70" s="118" t="str">
        <f>IF(BI$6="","",IF(BI$3="Maior",IFERROR(IF(VLOOKUP($N70,Capa!$A:$AE,BI$5,0)="",0,VLOOKUP($N70,Capa!$A:$AE,BI$5,0)),0),IF(ISERROR(1/VLOOKUP($N70,Capa!$A:$AE,BI$5,0)),0,1/VLOOKUP($N70,Capa!$A:$AE,BI$5,0))))</f>
        <v/>
      </c>
      <c r="BJ70" s="118" t="str">
        <f>IF(BJ$6="","",IF(BJ$3="Maior",IFERROR(IF(VLOOKUP($N70,Capa!$A:$AE,BJ$5,0)="",0,VLOOKUP($N70,Capa!$A:$AE,BJ$5,0)),0),IF(ISERROR(1/VLOOKUP($N70,Capa!$A:$AE,BJ$5,0)),0,1/VLOOKUP($N70,Capa!$A:$AE,BJ$5,0))))</f>
        <v/>
      </c>
      <c r="BK70" s="118" t="str">
        <f>IF(BK$6="","",IF(BK$3="Maior",IFERROR(IF(VLOOKUP($N70,Capa!$A:$AE,BK$5,0)="",0,VLOOKUP($N70,Capa!$A:$AE,BK$5,0)),0),IF(ISERROR(1/VLOOKUP($N70,Capa!$A:$AE,BK$5,0)),0,1/VLOOKUP($N70,Capa!$A:$AE,BK$5,0))))</f>
        <v/>
      </c>
      <c r="BL70" s="118" t="str">
        <f>IF(BL$6="","",IF(BL$3="Maior",IFERROR(IF(VLOOKUP($N70,Capa!$A:$AE,BL$5,0)="",0,VLOOKUP($N70,Capa!$A:$AE,BL$5,0)),0),IF(ISERROR(1/VLOOKUP($N70,Capa!$A:$AE,BL$5,0)),0,1/VLOOKUP($N70,Capa!$A:$AE,BL$5,0))))</f>
        <v/>
      </c>
      <c r="BM70" s="118" t="str">
        <f>IF(BM$6="","",IF(BM$3="Maior",IFERROR(IF(VLOOKUP($N70,Capa!$A:$AE,BM$5,0)="",0,VLOOKUP($N70,Capa!$A:$AE,BM$5,0)),0),IF(ISERROR(1/VLOOKUP($N70,Capa!$A:$AE,BM$5,0)),0,1/VLOOKUP($N70,Capa!$A:$AE,BM$5,0))))</f>
        <v/>
      </c>
      <c r="BN70" s="118" t="str">
        <f>IF(BN$6="","",IF(BN$3="Maior",IFERROR(IF(VLOOKUP($N70,Capa!$A:$AE,BN$5,0)="",0,VLOOKUP($N70,Capa!$A:$AE,BN$5,0)),0),IF(ISERROR(1/VLOOKUP($N70,Capa!$A:$AE,BN$5,0)),0,1/VLOOKUP($N70,Capa!$A:$AE,BN$5,0))))</f>
        <v/>
      </c>
      <c r="BO70" s="92"/>
    </row>
    <row r="71">
      <c r="G71" s="11"/>
      <c r="H71" s="8">
        <v>65.0</v>
      </c>
      <c r="I71" s="110" t="str">
        <f t="shared" si="6"/>
        <v>PRIO3</v>
      </c>
      <c r="J71" s="111" t="str">
        <f>VLOOKUP(left(I71,4),Setor!A:D,3,0)&amp;" | "&amp;VLOOKUP(left(I71,4),Setor!A:D,4,0)</f>
        <v>Petróleo, Gás e Biocombustíveis | Petróleo, Gás e Biocombustíveis</v>
      </c>
      <c r="K71" s="112">
        <f t="shared" si="7"/>
        <v>517046859.5</v>
      </c>
      <c r="L71" s="11"/>
      <c r="M71" s="11"/>
      <c r="N71" s="10" t="s">
        <v>117</v>
      </c>
      <c r="O71" s="113">
        <f t="shared" si="8"/>
        <v>897.0446</v>
      </c>
      <c r="P71" s="114">
        <f>VLOOKUP(N71,'Dados StatusInvest'!A:Z,26,0)</f>
        <v>101316175</v>
      </c>
      <c r="Q71" s="115">
        <f t="shared" si="9"/>
        <v>446.0446</v>
      </c>
      <c r="R71" s="116">
        <f t="shared" ref="R71:AO71" si="74">IF(AQ71="","", RANK(AQ71,AQ$7:AQ$503,0))</f>
        <v>324</v>
      </c>
      <c r="S71" s="115">
        <f t="shared" si="74"/>
        <v>127</v>
      </c>
      <c r="T71" s="115" t="str">
        <f t="shared" si="74"/>
        <v/>
      </c>
      <c r="U71" s="115" t="str">
        <f t="shared" si="74"/>
        <v/>
      </c>
      <c r="V71" s="115" t="str">
        <f t="shared" si="74"/>
        <v/>
      </c>
      <c r="W71" s="115" t="str">
        <f t="shared" si="74"/>
        <v/>
      </c>
      <c r="X71" s="115" t="str">
        <f t="shared" si="74"/>
        <v/>
      </c>
      <c r="Y71" s="115" t="str">
        <f t="shared" si="74"/>
        <v/>
      </c>
      <c r="Z71" s="115" t="str">
        <f t="shared" si="74"/>
        <v/>
      </c>
      <c r="AA71" s="115" t="str">
        <f t="shared" si="74"/>
        <v/>
      </c>
      <c r="AB71" s="115" t="str">
        <f t="shared" si="74"/>
        <v/>
      </c>
      <c r="AC71" s="115" t="str">
        <f t="shared" si="74"/>
        <v/>
      </c>
      <c r="AD71" s="115" t="str">
        <f t="shared" si="74"/>
        <v/>
      </c>
      <c r="AE71" s="115" t="str">
        <f t="shared" si="74"/>
        <v/>
      </c>
      <c r="AF71" s="115" t="str">
        <f t="shared" si="74"/>
        <v/>
      </c>
      <c r="AG71" s="115" t="str">
        <f t="shared" si="74"/>
        <v/>
      </c>
      <c r="AH71" s="115" t="str">
        <f t="shared" si="74"/>
        <v/>
      </c>
      <c r="AI71" s="115" t="str">
        <f t="shared" si="74"/>
        <v/>
      </c>
      <c r="AJ71" s="115" t="str">
        <f t="shared" si="74"/>
        <v/>
      </c>
      <c r="AK71" s="115" t="str">
        <f t="shared" si="74"/>
        <v/>
      </c>
      <c r="AL71" s="115" t="str">
        <f t="shared" si="74"/>
        <v/>
      </c>
      <c r="AM71" s="115" t="str">
        <f t="shared" si="74"/>
        <v/>
      </c>
      <c r="AN71" s="115" t="str">
        <f t="shared" si="74"/>
        <v/>
      </c>
      <c r="AO71" s="115" t="str">
        <f t="shared" si="74"/>
        <v/>
      </c>
      <c r="AP71" s="117">
        <f>IF(AP$6="","",IF(AP$3="Maior",IFERROR(IF(VLOOKUP($N71,Capa!$A:$AE,AP$5,0)="",0,VLOOKUP($N71,Capa!$A:$AE,AP$5,0)),0),IF(ISERROR(1/VLOOKUP($N71,Capa!$A:$AE,AP$5,0)),0,1/VLOOKUP($N71,Capa!$A:$AE,AP$5,0))))</f>
        <v>-0.1076960102</v>
      </c>
      <c r="AQ71" s="118">
        <f>IF(AQ$6="","",IF(AQ$3="Maior",IFERROR(IF(VLOOKUP($N71,Capa!$A:$AE,AQ$5,0)="",0,VLOOKUP($N71,Capa!$A:$AE,AQ$5,0)),0),IF(ISERROR(1/VLOOKUP($N71,Capa!$A:$AE,AQ$5,0)),0,1/VLOOKUP($N71,Capa!$A:$AE,AQ$5,0))))</f>
        <v>3.34</v>
      </c>
      <c r="AR71" s="118">
        <f>IF(AR$6="","",IF(AR$3="Maior",IFERROR(IF(VLOOKUP($N71,Capa!$A:$AE,AR$5,0)="",0,VLOOKUP($N71,Capa!$A:$AE,AR$5,0)),0),IF(ISERROR(1/VLOOKUP($N71,Capa!$A:$AE,AR$5,0)),0,1/VLOOKUP($N71,Capa!$A:$AE,AR$5,0))))</f>
        <v>20.34</v>
      </c>
      <c r="AS71" s="118" t="str">
        <f>IF(AS$6="","",IF(AS$3="Maior",IFERROR(IF(VLOOKUP($N71,Capa!$A:$AE,AS$5,0)="",0,VLOOKUP($N71,Capa!$A:$AE,AS$5,0)),0),IF(ISERROR(1/VLOOKUP($N71,Capa!$A:$AE,AS$5,0)),0,1/VLOOKUP($N71,Capa!$A:$AE,AS$5,0))))</f>
        <v/>
      </c>
      <c r="AT71" s="118" t="str">
        <f>IF(AT$6="","",IF(AT$3="Maior",IFERROR(IF(VLOOKUP($N71,Capa!$A:$AE,AT$5,0)="",0,VLOOKUP($N71,Capa!$A:$AE,AT$5,0)),0),IF(ISERROR(1/VLOOKUP($N71,Capa!$A:$AE,AT$5,0)),0,1/VLOOKUP($N71,Capa!$A:$AE,AT$5,0))))</f>
        <v/>
      </c>
      <c r="AU71" s="118" t="str">
        <f>IF(AU$6="","",IF(AU$3="Maior",IFERROR(IF(VLOOKUP($N71,Capa!$A:$AE,AU$5,0)="",0,VLOOKUP($N71,Capa!$A:$AE,AU$5,0)),0),IF(ISERROR(1/VLOOKUP($N71,Capa!$A:$AE,AU$5,0)),0,1/VLOOKUP($N71,Capa!$A:$AE,AU$5,0))))</f>
        <v/>
      </c>
      <c r="AV71" s="118" t="str">
        <f>IF(AV$6="","",IF(AV$3="Maior",IFERROR(IF(VLOOKUP($N71,Capa!$A:$AE,AV$5,0)="",0,VLOOKUP($N71,Capa!$A:$AE,AV$5,0)),0),IF(ISERROR(1/VLOOKUP($N71,Capa!$A:$AE,AV$5,0)),0,1/VLOOKUP($N71,Capa!$A:$AE,AV$5,0))))</f>
        <v/>
      </c>
      <c r="AW71" s="118" t="str">
        <f>IF(AW$6="","",IF(AW$3="Maior",IFERROR(IF(VLOOKUP($N71,Capa!$A:$AE,AW$5,0)="",0,VLOOKUP($N71,Capa!$A:$AE,AW$5,0)),0),IF(ISERROR(1/VLOOKUP($N71,Capa!$A:$AE,AW$5,0)),0,1/VLOOKUP($N71,Capa!$A:$AE,AW$5,0))))</f>
        <v/>
      </c>
      <c r="AX71" s="118" t="str">
        <f>IF(AX$6="","",IF(AX$3="Maior",IFERROR(IF(VLOOKUP($N71,Capa!$A:$AE,AX$5,0)="",0,VLOOKUP($N71,Capa!$A:$AE,AX$5,0)),0),IF(ISERROR(1/VLOOKUP($N71,Capa!$A:$AE,AX$5,0)),0,1/VLOOKUP($N71,Capa!$A:$AE,AX$5,0))))</f>
        <v/>
      </c>
      <c r="AY71" s="118" t="str">
        <f>IF(AY$6="","",IF(AY$3="Maior",IFERROR(IF(VLOOKUP($N71,Capa!$A:$AE,AY$5,0)="",0,VLOOKUP($N71,Capa!$A:$AE,AY$5,0)),0),IF(ISERROR(1/VLOOKUP($N71,Capa!$A:$AE,AY$5,0)),0,1/VLOOKUP($N71,Capa!$A:$AE,AY$5,0))))</f>
        <v/>
      </c>
      <c r="AZ71" s="118" t="str">
        <f>IF(AZ$6="","",IF(AZ$3="Maior",IFERROR(IF(VLOOKUP($N71,Capa!$A:$AE,AZ$5,0)="",0,VLOOKUP($N71,Capa!$A:$AE,AZ$5,0)),0),IF(ISERROR(1/VLOOKUP($N71,Capa!$A:$AE,AZ$5,0)),0,1/VLOOKUP($N71,Capa!$A:$AE,AZ$5,0))))</f>
        <v/>
      </c>
      <c r="BA71" s="118" t="str">
        <f>IF(BA$6="","",IF(BA$3="Maior",IFERROR(IF(VLOOKUP($N71,Capa!$A:$AE,BA$5,0)="",0,VLOOKUP($N71,Capa!$A:$AE,BA$5,0)),0),IF(ISERROR(1/VLOOKUP($N71,Capa!$A:$AE,BA$5,0)),0,1/VLOOKUP($N71,Capa!$A:$AE,BA$5,0))))</f>
        <v/>
      </c>
      <c r="BB71" s="118" t="str">
        <f>IF(BB$6="","",IF(BB$3="Maior",IFERROR(IF(VLOOKUP($N71,Capa!$A:$AE,BB$5,0)="",0,VLOOKUP($N71,Capa!$A:$AE,BB$5,0)),0),IF(ISERROR(1/VLOOKUP($N71,Capa!$A:$AE,BB$5,0)),0,1/VLOOKUP($N71,Capa!$A:$AE,BB$5,0))))</f>
        <v/>
      </c>
      <c r="BC71" s="118" t="str">
        <f>IF(BC$6="","",IF(BC$3="Maior",IFERROR(IF(VLOOKUP($N71,Capa!$A:$AE,BC$5,0)="",0,VLOOKUP($N71,Capa!$A:$AE,BC$5,0)),0),IF(ISERROR(1/VLOOKUP($N71,Capa!$A:$AE,BC$5,0)),0,1/VLOOKUP($N71,Capa!$A:$AE,BC$5,0))))</f>
        <v/>
      </c>
      <c r="BD71" s="118" t="str">
        <f>IF(BD$6="","",IF(BD$3="Maior",IFERROR(IF(VLOOKUP($N71,Capa!$A:$AE,BD$5,0)="",0,VLOOKUP($N71,Capa!$A:$AE,BD$5,0)),0),IF(ISERROR(1/VLOOKUP($N71,Capa!$A:$AE,BD$5,0)),0,1/VLOOKUP($N71,Capa!$A:$AE,BD$5,0))))</f>
        <v/>
      </c>
      <c r="BE71" s="118" t="str">
        <f>IF(BE$6="","",IF(BE$3="Maior",IFERROR(IF(VLOOKUP($N71,Capa!$A:$AE,BE$5,0)="",0,VLOOKUP($N71,Capa!$A:$AE,BE$5,0)),0),IF(ISERROR(1/VLOOKUP($N71,Capa!$A:$AE,BE$5,0)),0,1/VLOOKUP($N71,Capa!$A:$AE,BE$5,0))))</f>
        <v/>
      </c>
      <c r="BF71" s="118" t="str">
        <f>IF(BF$6="","",IF(BF$3="Maior",IFERROR(IF(VLOOKUP($N71,Capa!$A:$AE,BF$5,0)="",0,VLOOKUP($N71,Capa!$A:$AE,BF$5,0)),0),IF(ISERROR(1/VLOOKUP($N71,Capa!$A:$AE,BF$5,0)),0,1/VLOOKUP($N71,Capa!$A:$AE,BF$5,0))))</f>
        <v/>
      </c>
      <c r="BG71" s="118" t="str">
        <f>IF(BG$6="","",IF(BG$3="Maior",IFERROR(IF(VLOOKUP($N71,Capa!$A:$AE,BG$5,0)="",0,VLOOKUP($N71,Capa!$A:$AE,BG$5,0)),0),IF(ISERROR(1/VLOOKUP($N71,Capa!$A:$AE,BG$5,0)),0,1/VLOOKUP($N71,Capa!$A:$AE,BG$5,0))))</f>
        <v/>
      </c>
      <c r="BH71" s="118" t="str">
        <f>IF(BH$6="","",IF(BH$3="Maior",IFERROR(IF(VLOOKUP($N71,Capa!$A:$AE,BH$5,0)="",0,VLOOKUP($N71,Capa!$A:$AE,BH$5,0)),0),IF(ISERROR(1/VLOOKUP($N71,Capa!$A:$AE,BH$5,0)),0,1/VLOOKUP($N71,Capa!$A:$AE,BH$5,0))))</f>
        <v/>
      </c>
      <c r="BI71" s="118" t="str">
        <f>IF(BI$6="","",IF(BI$3="Maior",IFERROR(IF(VLOOKUP($N71,Capa!$A:$AE,BI$5,0)="",0,VLOOKUP($N71,Capa!$A:$AE,BI$5,0)),0),IF(ISERROR(1/VLOOKUP($N71,Capa!$A:$AE,BI$5,0)),0,1/VLOOKUP($N71,Capa!$A:$AE,BI$5,0))))</f>
        <v/>
      </c>
      <c r="BJ71" s="118" t="str">
        <f>IF(BJ$6="","",IF(BJ$3="Maior",IFERROR(IF(VLOOKUP($N71,Capa!$A:$AE,BJ$5,0)="",0,VLOOKUP($N71,Capa!$A:$AE,BJ$5,0)),0),IF(ISERROR(1/VLOOKUP($N71,Capa!$A:$AE,BJ$5,0)),0,1/VLOOKUP($N71,Capa!$A:$AE,BJ$5,0))))</f>
        <v/>
      </c>
      <c r="BK71" s="118" t="str">
        <f>IF(BK$6="","",IF(BK$3="Maior",IFERROR(IF(VLOOKUP($N71,Capa!$A:$AE,BK$5,0)="",0,VLOOKUP($N71,Capa!$A:$AE,BK$5,0)),0),IF(ISERROR(1/VLOOKUP($N71,Capa!$A:$AE,BK$5,0)),0,1/VLOOKUP($N71,Capa!$A:$AE,BK$5,0))))</f>
        <v/>
      </c>
      <c r="BL71" s="118" t="str">
        <f>IF(BL$6="","",IF(BL$3="Maior",IFERROR(IF(VLOOKUP($N71,Capa!$A:$AE,BL$5,0)="",0,VLOOKUP($N71,Capa!$A:$AE,BL$5,0)),0),IF(ISERROR(1/VLOOKUP($N71,Capa!$A:$AE,BL$5,0)),0,1/VLOOKUP($N71,Capa!$A:$AE,BL$5,0))))</f>
        <v/>
      </c>
      <c r="BM71" s="118" t="str">
        <f>IF(BM$6="","",IF(BM$3="Maior",IFERROR(IF(VLOOKUP($N71,Capa!$A:$AE,BM$5,0)="",0,VLOOKUP($N71,Capa!$A:$AE,BM$5,0)),0),IF(ISERROR(1/VLOOKUP($N71,Capa!$A:$AE,BM$5,0)),0,1/VLOOKUP($N71,Capa!$A:$AE,BM$5,0))))</f>
        <v/>
      </c>
      <c r="BN71" s="118" t="str">
        <f>IF(BN$6="","",IF(BN$3="Maior",IFERROR(IF(VLOOKUP($N71,Capa!$A:$AE,BN$5,0)="",0,VLOOKUP($N71,Capa!$A:$AE,BN$5,0)),0),IF(ISERROR(1/VLOOKUP($N71,Capa!$A:$AE,BN$5,0)),0,1/VLOOKUP($N71,Capa!$A:$AE,BN$5,0))))</f>
        <v/>
      </c>
      <c r="BO71" s="92"/>
    </row>
    <row r="72">
      <c r="G72" s="11"/>
      <c r="H72" s="8">
        <v>66.0</v>
      </c>
      <c r="I72" s="110" t="str">
        <f t="shared" si="6"/>
        <v>FESA4</v>
      </c>
      <c r="J72" s="111" t="str">
        <f>VLOOKUP(left(I72,4),Setor!A:D,3,0)&amp;" | "&amp;VLOOKUP(left(I72,4),Setor!A:D,4,0)</f>
        <v>Materiais Básicos | Siderurgia e Metalurgia</v>
      </c>
      <c r="K72" s="112">
        <f t="shared" si="7"/>
        <v>41349862.63</v>
      </c>
      <c r="L72" s="11"/>
      <c r="M72" s="11"/>
      <c r="N72" s="10" t="s">
        <v>118</v>
      </c>
      <c r="O72" s="113">
        <f t="shared" si="8"/>
        <v>418.0117</v>
      </c>
      <c r="P72" s="114">
        <f>VLOOKUP(N72,'Dados StatusInvest'!A:Z,26,0)</f>
        <v>119832823.9</v>
      </c>
      <c r="Q72" s="115">
        <f t="shared" si="9"/>
        <v>117.0117</v>
      </c>
      <c r="R72" s="116">
        <f t="shared" ref="R72:AO72" si="75">IF(AQ72="","", RANK(AQ72,AQ$7:AQ$503,0))</f>
        <v>192</v>
      </c>
      <c r="S72" s="115">
        <f t="shared" si="75"/>
        <v>109</v>
      </c>
      <c r="T72" s="115" t="str">
        <f t="shared" si="75"/>
        <v/>
      </c>
      <c r="U72" s="115" t="str">
        <f t="shared" si="75"/>
        <v/>
      </c>
      <c r="V72" s="115" t="str">
        <f t="shared" si="75"/>
        <v/>
      </c>
      <c r="W72" s="115" t="str">
        <f t="shared" si="75"/>
        <v/>
      </c>
      <c r="X72" s="115" t="str">
        <f t="shared" si="75"/>
        <v/>
      </c>
      <c r="Y72" s="115" t="str">
        <f t="shared" si="75"/>
        <v/>
      </c>
      <c r="Z72" s="115" t="str">
        <f t="shared" si="75"/>
        <v/>
      </c>
      <c r="AA72" s="115" t="str">
        <f t="shared" si="75"/>
        <v/>
      </c>
      <c r="AB72" s="115" t="str">
        <f t="shared" si="75"/>
        <v/>
      </c>
      <c r="AC72" s="115" t="str">
        <f t="shared" si="75"/>
        <v/>
      </c>
      <c r="AD72" s="115" t="str">
        <f t="shared" si="75"/>
        <v/>
      </c>
      <c r="AE72" s="115" t="str">
        <f t="shared" si="75"/>
        <v/>
      </c>
      <c r="AF72" s="115" t="str">
        <f t="shared" si="75"/>
        <v/>
      </c>
      <c r="AG72" s="115" t="str">
        <f t="shared" si="75"/>
        <v/>
      </c>
      <c r="AH72" s="115" t="str">
        <f t="shared" si="75"/>
        <v/>
      </c>
      <c r="AI72" s="115" t="str">
        <f t="shared" si="75"/>
        <v/>
      </c>
      <c r="AJ72" s="115" t="str">
        <f t="shared" si="75"/>
        <v/>
      </c>
      <c r="AK72" s="115" t="str">
        <f t="shared" si="75"/>
        <v/>
      </c>
      <c r="AL72" s="115" t="str">
        <f t="shared" si="75"/>
        <v/>
      </c>
      <c r="AM72" s="115" t="str">
        <f t="shared" si="75"/>
        <v/>
      </c>
      <c r="AN72" s="115" t="str">
        <f t="shared" si="75"/>
        <v/>
      </c>
      <c r="AO72" s="115" t="str">
        <f t="shared" si="75"/>
        <v/>
      </c>
      <c r="AP72" s="117">
        <f>IF(AP$6="","",IF(AP$3="Maior",IFERROR(IF(VLOOKUP($N72,Capa!$A:$AE,AP$5,0)="",0,VLOOKUP($N72,Capa!$A:$AE,AP$5,0)),0),IF(ISERROR(1/VLOOKUP($N72,Capa!$A:$AE,AP$5,0)),0,1/VLOOKUP($N72,Capa!$A:$AE,AP$5,0))))</f>
        <v>0.1615684761</v>
      </c>
      <c r="AQ72" s="118">
        <f>IF(AQ$6="","",IF(AQ$3="Maior",IFERROR(IF(VLOOKUP($N72,Capa!$A:$AE,AQ$5,0)="",0,VLOOKUP($N72,Capa!$A:$AE,AQ$5,0)),0),IF(ISERROR(1/VLOOKUP($N72,Capa!$A:$AE,AQ$5,0)),0,1/VLOOKUP($N72,Capa!$A:$AE,AQ$5,0))))</f>
        <v>11.29</v>
      </c>
      <c r="AR72" s="118">
        <f>IF(AR$6="","",IF(AR$3="Maior",IFERROR(IF(VLOOKUP($N72,Capa!$A:$AE,AR$5,0)="",0,VLOOKUP($N72,Capa!$A:$AE,AR$5,0)),0),IF(ISERROR(1/VLOOKUP($N72,Capa!$A:$AE,AR$5,0)),0,1/VLOOKUP($N72,Capa!$A:$AE,AR$5,0))))</f>
        <v>24.16</v>
      </c>
      <c r="AS72" s="118" t="str">
        <f>IF(AS$6="","",IF(AS$3="Maior",IFERROR(IF(VLOOKUP($N72,Capa!$A:$AE,AS$5,0)="",0,VLOOKUP($N72,Capa!$A:$AE,AS$5,0)),0),IF(ISERROR(1/VLOOKUP($N72,Capa!$A:$AE,AS$5,0)),0,1/VLOOKUP($N72,Capa!$A:$AE,AS$5,0))))</f>
        <v/>
      </c>
      <c r="AT72" s="118" t="str">
        <f>IF(AT$6="","",IF(AT$3="Maior",IFERROR(IF(VLOOKUP($N72,Capa!$A:$AE,AT$5,0)="",0,VLOOKUP($N72,Capa!$A:$AE,AT$5,0)),0),IF(ISERROR(1/VLOOKUP($N72,Capa!$A:$AE,AT$5,0)),0,1/VLOOKUP($N72,Capa!$A:$AE,AT$5,0))))</f>
        <v/>
      </c>
      <c r="AU72" s="118" t="str">
        <f>IF(AU$6="","",IF(AU$3="Maior",IFERROR(IF(VLOOKUP($N72,Capa!$A:$AE,AU$5,0)="",0,VLOOKUP($N72,Capa!$A:$AE,AU$5,0)),0),IF(ISERROR(1/VLOOKUP($N72,Capa!$A:$AE,AU$5,0)),0,1/VLOOKUP($N72,Capa!$A:$AE,AU$5,0))))</f>
        <v/>
      </c>
      <c r="AV72" s="118" t="str">
        <f>IF(AV$6="","",IF(AV$3="Maior",IFERROR(IF(VLOOKUP($N72,Capa!$A:$AE,AV$5,0)="",0,VLOOKUP($N72,Capa!$A:$AE,AV$5,0)),0),IF(ISERROR(1/VLOOKUP($N72,Capa!$A:$AE,AV$5,0)),0,1/VLOOKUP($N72,Capa!$A:$AE,AV$5,0))))</f>
        <v/>
      </c>
      <c r="AW72" s="118" t="str">
        <f>IF(AW$6="","",IF(AW$3="Maior",IFERROR(IF(VLOOKUP($N72,Capa!$A:$AE,AW$5,0)="",0,VLOOKUP($N72,Capa!$A:$AE,AW$5,0)),0),IF(ISERROR(1/VLOOKUP($N72,Capa!$A:$AE,AW$5,0)),0,1/VLOOKUP($N72,Capa!$A:$AE,AW$5,0))))</f>
        <v/>
      </c>
      <c r="AX72" s="118" t="str">
        <f>IF(AX$6="","",IF(AX$3="Maior",IFERROR(IF(VLOOKUP($N72,Capa!$A:$AE,AX$5,0)="",0,VLOOKUP($N72,Capa!$A:$AE,AX$5,0)),0),IF(ISERROR(1/VLOOKUP($N72,Capa!$A:$AE,AX$5,0)),0,1/VLOOKUP($N72,Capa!$A:$AE,AX$5,0))))</f>
        <v/>
      </c>
      <c r="AY72" s="118" t="str">
        <f>IF(AY$6="","",IF(AY$3="Maior",IFERROR(IF(VLOOKUP($N72,Capa!$A:$AE,AY$5,0)="",0,VLOOKUP($N72,Capa!$A:$AE,AY$5,0)),0),IF(ISERROR(1/VLOOKUP($N72,Capa!$A:$AE,AY$5,0)),0,1/VLOOKUP($N72,Capa!$A:$AE,AY$5,0))))</f>
        <v/>
      </c>
      <c r="AZ72" s="118" t="str">
        <f>IF(AZ$6="","",IF(AZ$3="Maior",IFERROR(IF(VLOOKUP($N72,Capa!$A:$AE,AZ$5,0)="",0,VLOOKUP($N72,Capa!$A:$AE,AZ$5,0)),0),IF(ISERROR(1/VLOOKUP($N72,Capa!$A:$AE,AZ$5,0)),0,1/VLOOKUP($N72,Capa!$A:$AE,AZ$5,0))))</f>
        <v/>
      </c>
      <c r="BA72" s="118" t="str">
        <f>IF(BA$6="","",IF(BA$3="Maior",IFERROR(IF(VLOOKUP($N72,Capa!$A:$AE,BA$5,0)="",0,VLOOKUP($N72,Capa!$A:$AE,BA$5,0)),0),IF(ISERROR(1/VLOOKUP($N72,Capa!$A:$AE,BA$5,0)),0,1/VLOOKUP($N72,Capa!$A:$AE,BA$5,0))))</f>
        <v/>
      </c>
      <c r="BB72" s="118" t="str">
        <f>IF(BB$6="","",IF(BB$3="Maior",IFERROR(IF(VLOOKUP($N72,Capa!$A:$AE,BB$5,0)="",0,VLOOKUP($N72,Capa!$A:$AE,BB$5,0)),0),IF(ISERROR(1/VLOOKUP($N72,Capa!$A:$AE,BB$5,0)),0,1/VLOOKUP($N72,Capa!$A:$AE,BB$5,0))))</f>
        <v/>
      </c>
      <c r="BC72" s="118" t="str">
        <f>IF(BC$6="","",IF(BC$3="Maior",IFERROR(IF(VLOOKUP($N72,Capa!$A:$AE,BC$5,0)="",0,VLOOKUP($N72,Capa!$A:$AE,BC$5,0)),0),IF(ISERROR(1/VLOOKUP($N72,Capa!$A:$AE,BC$5,0)),0,1/VLOOKUP($N72,Capa!$A:$AE,BC$5,0))))</f>
        <v/>
      </c>
      <c r="BD72" s="118" t="str">
        <f>IF(BD$6="","",IF(BD$3="Maior",IFERROR(IF(VLOOKUP($N72,Capa!$A:$AE,BD$5,0)="",0,VLOOKUP($N72,Capa!$A:$AE,BD$5,0)),0),IF(ISERROR(1/VLOOKUP($N72,Capa!$A:$AE,BD$5,0)),0,1/VLOOKUP($N72,Capa!$A:$AE,BD$5,0))))</f>
        <v/>
      </c>
      <c r="BE72" s="118" t="str">
        <f>IF(BE$6="","",IF(BE$3="Maior",IFERROR(IF(VLOOKUP($N72,Capa!$A:$AE,BE$5,0)="",0,VLOOKUP($N72,Capa!$A:$AE,BE$5,0)),0),IF(ISERROR(1/VLOOKUP($N72,Capa!$A:$AE,BE$5,0)),0,1/VLOOKUP($N72,Capa!$A:$AE,BE$5,0))))</f>
        <v/>
      </c>
      <c r="BF72" s="118" t="str">
        <f>IF(BF$6="","",IF(BF$3="Maior",IFERROR(IF(VLOOKUP($N72,Capa!$A:$AE,BF$5,0)="",0,VLOOKUP($N72,Capa!$A:$AE,BF$5,0)),0),IF(ISERROR(1/VLOOKUP($N72,Capa!$A:$AE,BF$5,0)),0,1/VLOOKUP($N72,Capa!$A:$AE,BF$5,0))))</f>
        <v/>
      </c>
      <c r="BG72" s="118" t="str">
        <f>IF(BG$6="","",IF(BG$3="Maior",IFERROR(IF(VLOOKUP($N72,Capa!$A:$AE,BG$5,0)="",0,VLOOKUP($N72,Capa!$A:$AE,BG$5,0)),0),IF(ISERROR(1/VLOOKUP($N72,Capa!$A:$AE,BG$5,0)),0,1/VLOOKUP($N72,Capa!$A:$AE,BG$5,0))))</f>
        <v/>
      </c>
      <c r="BH72" s="118" t="str">
        <f>IF(BH$6="","",IF(BH$3="Maior",IFERROR(IF(VLOOKUP($N72,Capa!$A:$AE,BH$5,0)="",0,VLOOKUP($N72,Capa!$A:$AE,BH$5,0)),0),IF(ISERROR(1/VLOOKUP($N72,Capa!$A:$AE,BH$5,0)),0,1/VLOOKUP($N72,Capa!$A:$AE,BH$5,0))))</f>
        <v/>
      </c>
      <c r="BI72" s="118" t="str">
        <f>IF(BI$6="","",IF(BI$3="Maior",IFERROR(IF(VLOOKUP($N72,Capa!$A:$AE,BI$5,0)="",0,VLOOKUP($N72,Capa!$A:$AE,BI$5,0)),0),IF(ISERROR(1/VLOOKUP($N72,Capa!$A:$AE,BI$5,0)),0,1/VLOOKUP($N72,Capa!$A:$AE,BI$5,0))))</f>
        <v/>
      </c>
      <c r="BJ72" s="118" t="str">
        <f>IF(BJ$6="","",IF(BJ$3="Maior",IFERROR(IF(VLOOKUP($N72,Capa!$A:$AE,BJ$5,0)="",0,VLOOKUP($N72,Capa!$A:$AE,BJ$5,0)),0),IF(ISERROR(1/VLOOKUP($N72,Capa!$A:$AE,BJ$5,0)),0,1/VLOOKUP($N72,Capa!$A:$AE,BJ$5,0))))</f>
        <v/>
      </c>
      <c r="BK72" s="118" t="str">
        <f>IF(BK$6="","",IF(BK$3="Maior",IFERROR(IF(VLOOKUP($N72,Capa!$A:$AE,BK$5,0)="",0,VLOOKUP($N72,Capa!$A:$AE,BK$5,0)),0),IF(ISERROR(1/VLOOKUP($N72,Capa!$A:$AE,BK$5,0)),0,1/VLOOKUP($N72,Capa!$A:$AE,BK$5,0))))</f>
        <v/>
      </c>
      <c r="BL72" s="118" t="str">
        <f>IF(BL$6="","",IF(BL$3="Maior",IFERROR(IF(VLOOKUP($N72,Capa!$A:$AE,BL$5,0)="",0,VLOOKUP($N72,Capa!$A:$AE,BL$5,0)),0),IF(ISERROR(1/VLOOKUP($N72,Capa!$A:$AE,BL$5,0)),0,1/VLOOKUP($N72,Capa!$A:$AE,BL$5,0))))</f>
        <v/>
      </c>
      <c r="BM72" s="118" t="str">
        <f>IF(BM$6="","",IF(BM$3="Maior",IFERROR(IF(VLOOKUP($N72,Capa!$A:$AE,BM$5,0)="",0,VLOOKUP($N72,Capa!$A:$AE,BM$5,0)),0),IF(ISERROR(1/VLOOKUP($N72,Capa!$A:$AE,BM$5,0)),0,1/VLOOKUP($N72,Capa!$A:$AE,BM$5,0))))</f>
        <v/>
      </c>
      <c r="BN72" s="118" t="str">
        <f>IF(BN$6="","",IF(BN$3="Maior",IFERROR(IF(VLOOKUP($N72,Capa!$A:$AE,BN$5,0)="",0,VLOOKUP($N72,Capa!$A:$AE,BN$5,0)),0),IF(ISERROR(1/VLOOKUP($N72,Capa!$A:$AE,BN$5,0)),0,1/VLOOKUP($N72,Capa!$A:$AE,BN$5,0))))</f>
        <v/>
      </c>
      <c r="BO72" s="92"/>
    </row>
    <row r="73">
      <c r="G73" s="11"/>
      <c r="H73" s="8">
        <v>67.0</v>
      </c>
      <c r="I73" s="110" t="str">
        <f t="shared" si="6"/>
        <v>B3SA3</v>
      </c>
      <c r="J73" s="111" t="str">
        <f>VLOOKUP(left(I73,4),Setor!A:D,3,0)&amp;" | "&amp;VLOOKUP(left(I73,4),Setor!A:D,4,0)</f>
        <v>Financeiro | Serviços Financeiros Diversos</v>
      </c>
      <c r="K73" s="112">
        <f t="shared" si="7"/>
        <v>676684293.5</v>
      </c>
      <c r="L73" s="11"/>
      <c r="M73" s="11"/>
      <c r="N73" s="10" t="s">
        <v>119</v>
      </c>
      <c r="O73" s="113">
        <f t="shared" si="8"/>
        <v>868.0342</v>
      </c>
      <c r="P73" s="114">
        <f>VLOOKUP(N73,'Dados StatusInvest'!A:Z,26,0)</f>
        <v>90173792.58</v>
      </c>
      <c r="Q73" s="115">
        <f t="shared" si="9"/>
        <v>342.0342</v>
      </c>
      <c r="R73" s="116">
        <f t="shared" ref="R73:AO73" si="76">IF(AQ73="","", RANK(AQ73,AQ$7:AQ$503,0))</f>
        <v>307</v>
      </c>
      <c r="S73" s="115">
        <f t="shared" si="76"/>
        <v>219</v>
      </c>
      <c r="T73" s="115" t="str">
        <f t="shared" si="76"/>
        <v/>
      </c>
      <c r="U73" s="115" t="str">
        <f t="shared" si="76"/>
        <v/>
      </c>
      <c r="V73" s="115" t="str">
        <f t="shared" si="76"/>
        <v/>
      </c>
      <c r="W73" s="115" t="str">
        <f t="shared" si="76"/>
        <v/>
      </c>
      <c r="X73" s="115" t="str">
        <f t="shared" si="76"/>
        <v/>
      </c>
      <c r="Y73" s="115" t="str">
        <f t="shared" si="76"/>
        <v/>
      </c>
      <c r="Z73" s="115" t="str">
        <f t="shared" si="76"/>
        <v/>
      </c>
      <c r="AA73" s="115" t="str">
        <f t="shared" si="76"/>
        <v/>
      </c>
      <c r="AB73" s="115" t="str">
        <f t="shared" si="76"/>
        <v/>
      </c>
      <c r="AC73" s="115" t="str">
        <f t="shared" si="76"/>
        <v/>
      </c>
      <c r="AD73" s="115" t="str">
        <f t="shared" si="76"/>
        <v/>
      </c>
      <c r="AE73" s="115" t="str">
        <f t="shared" si="76"/>
        <v/>
      </c>
      <c r="AF73" s="115" t="str">
        <f t="shared" si="76"/>
        <v/>
      </c>
      <c r="AG73" s="115" t="str">
        <f t="shared" si="76"/>
        <v/>
      </c>
      <c r="AH73" s="115" t="str">
        <f t="shared" si="76"/>
        <v/>
      </c>
      <c r="AI73" s="115" t="str">
        <f t="shared" si="76"/>
        <v/>
      </c>
      <c r="AJ73" s="115" t="str">
        <f t="shared" si="76"/>
        <v/>
      </c>
      <c r="AK73" s="115" t="str">
        <f t="shared" si="76"/>
        <v/>
      </c>
      <c r="AL73" s="115" t="str">
        <f t="shared" si="76"/>
        <v/>
      </c>
      <c r="AM73" s="115" t="str">
        <f t="shared" si="76"/>
        <v/>
      </c>
      <c r="AN73" s="115" t="str">
        <f t="shared" si="76"/>
        <v/>
      </c>
      <c r="AO73" s="115" t="str">
        <f t="shared" si="76"/>
        <v/>
      </c>
      <c r="AP73" s="117">
        <f>IF(AP$6="","",IF(AP$3="Maior",IFERROR(IF(VLOOKUP($N73,Capa!$A:$AE,AP$5,0)="",0,VLOOKUP($N73,Capa!$A:$AE,AP$5,0)),0),IF(ISERROR(1/VLOOKUP($N73,Capa!$A:$AE,AP$5,0)),0,1/VLOOKUP($N73,Capa!$A:$AE,AP$5,0))))</f>
        <v>0.03255448651</v>
      </c>
      <c r="AQ73" s="118">
        <f>IF(AQ$6="","",IF(AQ$3="Maior",IFERROR(IF(VLOOKUP($N73,Capa!$A:$AE,AQ$5,0)="",0,VLOOKUP($N73,Capa!$A:$AE,AQ$5,0)),0),IF(ISERROR(1/VLOOKUP($N73,Capa!$A:$AE,AQ$5,0)),0,1/VLOOKUP($N73,Capa!$A:$AE,AQ$5,0))))</f>
        <v>4.5</v>
      </c>
      <c r="AR73" s="118">
        <f>IF(AR$6="","",IF(AR$3="Maior",IFERROR(IF(VLOOKUP($N73,Capa!$A:$AE,AR$5,0)="",0,VLOOKUP($N73,Capa!$A:$AE,AR$5,0)),0),IF(ISERROR(1/VLOOKUP($N73,Capa!$A:$AE,AR$5,0)),0,1/VLOOKUP($N73,Capa!$A:$AE,AR$5,0))))</f>
        <v>0</v>
      </c>
      <c r="AS73" s="118" t="str">
        <f>IF(AS$6="","",IF(AS$3="Maior",IFERROR(IF(VLOOKUP($N73,Capa!$A:$AE,AS$5,0)="",0,VLOOKUP($N73,Capa!$A:$AE,AS$5,0)),0),IF(ISERROR(1/VLOOKUP($N73,Capa!$A:$AE,AS$5,0)),0,1/VLOOKUP($N73,Capa!$A:$AE,AS$5,0))))</f>
        <v/>
      </c>
      <c r="AT73" s="118" t="str">
        <f>IF(AT$6="","",IF(AT$3="Maior",IFERROR(IF(VLOOKUP($N73,Capa!$A:$AE,AT$5,0)="",0,VLOOKUP($N73,Capa!$A:$AE,AT$5,0)),0),IF(ISERROR(1/VLOOKUP($N73,Capa!$A:$AE,AT$5,0)),0,1/VLOOKUP($N73,Capa!$A:$AE,AT$5,0))))</f>
        <v/>
      </c>
      <c r="AU73" s="118" t="str">
        <f>IF(AU$6="","",IF(AU$3="Maior",IFERROR(IF(VLOOKUP($N73,Capa!$A:$AE,AU$5,0)="",0,VLOOKUP($N73,Capa!$A:$AE,AU$5,0)),0),IF(ISERROR(1/VLOOKUP($N73,Capa!$A:$AE,AU$5,0)),0,1/VLOOKUP($N73,Capa!$A:$AE,AU$5,0))))</f>
        <v/>
      </c>
      <c r="AV73" s="118" t="str">
        <f>IF(AV$6="","",IF(AV$3="Maior",IFERROR(IF(VLOOKUP($N73,Capa!$A:$AE,AV$5,0)="",0,VLOOKUP($N73,Capa!$A:$AE,AV$5,0)),0),IF(ISERROR(1/VLOOKUP($N73,Capa!$A:$AE,AV$5,0)),0,1/VLOOKUP($N73,Capa!$A:$AE,AV$5,0))))</f>
        <v/>
      </c>
      <c r="AW73" s="118" t="str">
        <f>IF(AW$6="","",IF(AW$3="Maior",IFERROR(IF(VLOOKUP($N73,Capa!$A:$AE,AW$5,0)="",0,VLOOKUP($N73,Capa!$A:$AE,AW$5,0)),0),IF(ISERROR(1/VLOOKUP($N73,Capa!$A:$AE,AW$5,0)),0,1/VLOOKUP($N73,Capa!$A:$AE,AW$5,0))))</f>
        <v/>
      </c>
      <c r="AX73" s="118" t="str">
        <f>IF(AX$6="","",IF(AX$3="Maior",IFERROR(IF(VLOOKUP($N73,Capa!$A:$AE,AX$5,0)="",0,VLOOKUP($N73,Capa!$A:$AE,AX$5,0)),0),IF(ISERROR(1/VLOOKUP($N73,Capa!$A:$AE,AX$5,0)),0,1/VLOOKUP($N73,Capa!$A:$AE,AX$5,0))))</f>
        <v/>
      </c>
      <c r="AY73" s="118" t="str">
        <f>IF(AY$6="","",IF(AY$3="Maior",IFERROR(IF(VLOOKUP($N73,Capa!$A:$AE,AY$5,0)="",0,VLOOKUP($N73,Capa!$A:$AE,AY$5,0)),0),IF(ISERROR(1/VLOOKUP($N73,Capa!$A:$AE,AY$5,0)),0,1/VLOOKUP($N73,Capa!$A:$AE,AY$5,0))))</f>
        <v/>
      </c>
      <c r="AZ73" s="118" t="str">
        <f>IF(AZ$6="","",IF(AZ$3="Maior",IFERROR(IF(VLOOKUP($N73,Capa!$A:$AE,AZ$5,0)="",0,VLOOKUP($N73,Capa!$A:$AE,AZ$5,0)),0),IF(ISERROR(1/VLOOKUP($N73,Capa!$A:$AE,AZ$5,0)),0,1/VLOOKUP($N73,Capa!$A:$AE,AZ$5,0))))</f>
        <v/>
      </c>
      <c r="BA73" s="118" t="str">
        <f>IF(BA$6="","",IF(BA$3="Maior",IFERROR(IF(VLOOKUP($N73,Capa!$A:$AE,BA$5,0)="",0,VLOOKUP($N73,Capa!$A:$AE,BA$5,0)),0),IF(ISERROR(1/VLOOKUP($N73,Capa!$A:$AE,BA$5,0)),0,1/VLOOKUP($N73,Capa!$A:$AE,BA$5,0))))</f>
        <v/>
      </c>
      <c r="BB73" s="118" t="str">
        <f>IF(BB$6="","",IF(BB$3="Maior",IFERROR(IF(VLOOKUP($N73,Capa!$A:$AE,BB$5,0)="",0,VLOOKUP($N73,Capa!$A:$AE,BB$5,0)),0),IF(ISERROR(1/VLOOKUP($N73,Capa!$A:$AE,BB$5,0)),0,1/VLOOKUP($N73,Capa!$A:$AE,BB$5,0))))</f>
        <v/>
      </c>
      <c r="BC73" s="118" t="str">
        <f>IF(BC$6="","",IF(BC$3="Maior",IFERROR(IF(VLOOKUP($N73,Capa!$A:$AE,BC$5,0)="",0,VLOOKUP($N73,Capa!$A:$AE,BC$5,0)),0),IF(ISERROR(1/VLOOKUP($N73,Capa!$A:$AE,BC$5,0)),0,1/VLOOKUP($N73,Capa!$A:$AE,BC$5,0))))</f>
        <v/>
      </c>
      <c r="BD73" s="118" t="str">
        <f>IF(BD$6="","",IF(BD$3="Maior",IFERROR(IF(VLOOKUP($N73,Capa!$A:$AE,BD$5,0)="",0,VLOOKUP($N73,Capa!$A:$AE,BD$5,0)),0),IF(ISERROR(1/VLOOKUP($N73,Capa!$A:$AE,BD$5,0)),0,1/VLOOKUP($N73,Capa!$A:$AE,BD$5,0))))</f>
        <v/>
      </c>
      <c r="BE73" s="118" t="str">
        <f>IF(BE$6="","",IF(BE$3="Maior",IFERROR(IF(VLOOKUP($N73,Capa!$A:$AE,BE$5,0)="",0,VLOOKUP($N73,Capa!$A:$AE,BE$5,0)),0),IF(ISERROR(1/VLOOKUP($N73,Capa!$A:$AE,BE$5,0)),0,1/VLOOKUP($N73,Capa!$A:$AE,BE$5,0))))</f>
        <v/>
      </c>
      <c r="BF73" s="118" t="str">
        <f>IF(BF$6="","",IF(BF$3="Maior",IFERROR(IF(VLOOKUP($N73,Capa!$A:$AE,BF$5,0)="",0,VLOOKUP($N73,Capa!$A:$AE,BF$5,0)),0),IF(ISERROR(1/VLOOKUP($N73,Capa!$A:$AE,BF$5,0)),0,1/VLOOKUP($N73,Capa!$A:$AE,BF$5,0))))</f>
        <v/>
      </c>
      <c r="BG73" s="118" t="str">
        <f>IF(BG$6="","",IF(BG$3="Maior",IFERROR(IF(VLOOKUP($N73,Capa!$A:$AE,BG$5,0)="",0,VLOOKUP($N73,Capa!$A:$AE,BG$5,0)),0),IF(ISERROR(1/VLOOKUP($N73,Capa!$A:$AE,BG$5,0)),0,1/VLOOKUP($N73,Capa!$A:$AE,BG$5,0))))</f>
        <v/>
      </c>
      <c r="BH73" s="118" t="str">
        <f>IF(BH$6="","",IF(BH$3="Maior",IFERROR(IF(VLOOKUP($N73,Capa!$A:$AE,BH$5,0)="",0,VLOOKUP($N73,Capa!$A:$AE,BH$5,0)),0),IF(ISERROR(1/VLOOKUP($N73,Capa!$A:$AE,BH$5,0)),0,1/VLOOKUP($N73,Capa!$A:$AE,BH$5,0))))</f>
        <v/>
      </c>
      <c r="BI73" s="118" t="str">
        <f>IF(BI$6="","",IF(BI$3="Maior",IFERROR(IF(VLOOKUP($N73,Capa!$A:$AE,BI$5,0)="",0,VLOOKUP($N73,Capa!$A:$AE,BI$5,0)),0),IF(ISERROR(1/VLOOKUP($N73,Capa!$A:$AE,BI$5,0)),0,1/VLOOKUP($N73,Capa!$A:$AE,BI$5,0))))</f>
        <v/>
      </c>
      <c r="BJ73" s="118" t="str">
        <f>IF(BJ$6="","",IF(BJ$3="Maior",IFERROR(IF(VLOOKUP($N73,Capa!$A:$AE,BJ$5,0)="",0,VLOOKUP($N73,Capa!$A:$AE,BJ$5,0)),0),IF(ISERROR(1/VLOOKUP($N73,Capa!$A:$AE,BJ$5,0)),0,1/VLOOKUP($N73,Capa!$A:$AE,BJ$5,0))))</f>
        <v/>
      </c>
      <c r="BK73" s="118" t="str">
        <f>IF(BK$6="","",IF(BK$3="Maior",IFERROR(IF(VLOOKUP($N73,Capa!$A:$AE,BK$5,0)="",0,VLOOKUP($N73,Capa!$A:$AE,BK$5,0)),0),IF(ISERROR(1/VLOOKUP($N73,Capa!$A:$AE,BK$5,0)),0,1/VLOOKUP($N73,Capa!$A:$AE,BK$5,0))))</f>
        <v/>
      </c>
      <c r="BL73" s="118" t="str">
        <f>IF(BL$6="","",IF(BL$3="Maior",IFERROR(IF(VLOOKUP($N73,Capa!$A:$AE,BL$5,0)="",0,VLOOKUP($N73,Capa!$A:$AE,BL$5,0)),0),IF(ISERROR(1/VLOOKUP($N73,Capa!$A:$AE,BL$5,0)),0,1/VLOOKUP($N73,Capa!$A:$AE,BL$5,0))))</f>
        <v/>
      </c>
      <c r="BM73" s="118" t="str">
        <f>IF(BM$6="","",IF(BM$3="Maior",IFERROR(IF(VLOOKUP($N73,Capa!$A:$AE,BM$5,0)="",0,VLOOKUP($N73,Capa!$A:$AE,BM$5,0)),0),IF(ISERROR(1/VLOOKUP($N73,Capa!$A:$AE,BM$5,0)),0,1/VLOOKUP($N73,Capa!$A:$AE,BM$5,0))))</f>
        <v/>
      </c>
      <c r="BN73" s="118" t="str">
        <f>IF(BN$6="","",IF(BN$3="Maior",IFERROR(IF(VLOOKUP($N73,Capa!$A:$AE,BN$5,0)="",0,VLOOKUP($N73,Capa!$A:$AE,BN$5,0)),0),IF(ISERROR(1/VLOOKUP($N73,Capa!$A:$AE,BN$5,0)),0,1/VLOOKUP($N73,Capa!$A:$AE,BN$5,0))))</f>
        <v/>
      </c>
      <c r="BO73" s="92"/>
    </row>
    <row r="74">
      <c r="G74" s="11"/>
      <c r="H74" s="8">
        <v>68.0</v>
      </c>
      <c r="I74" s="110" t="str">
        <f t="shared" si="6"/>
        <v>ABEV3</v>
      </c>
      <c r="J74" s="111" t="str">
        <f>VLOOKUP(left(I74,4),Setor!A:D,3,0)&amp;" | "&amp;VLOOKUP(left(I74,4),Setor!A:D,4,0)</f>
        <v>Consumo não Cíclico | Bebidas</v>
      </c>
      <c r="K74" s="112">
        <f t="shared" si="7"/>
        <v>389417539.8</v>
      </c>
      <c r="L74" s="11"/>
      <c r="M74" s="11"/>
      <c r="N74" s="10" t="s">
        <v>120</v>
      </c>
      <c r="O74" s="113">
        <f t="shared" si="8"/>
        <v>623.0082</v>
      </c>
      <c r="P74" s="114">
        <f>VLOOKUP(N74,'Dados StatusInvest'!A:Z,26,0)</f>
        <v>97882700.58</v>
      </c>
      <c r="Q74" s="115">
        <f t="shared" si="9"/>
        <v>82.0082</v>
      </c>
      <c r="R74" s="116">
        <f t="shared" ref="R74:AO74" si="77">IF(AQ74="","", RANK(AQ74,AQ$7:AQ$503,0))</f>
        <v>375</v>
      </c>
      <c r="S74" s="115">
        <f t="shared" si="77"/>
        <v>166</v>
      </c>
      <c r="T74" s="115" t="str">
        <f t="shared" si="77"/>
        <v/>
      </c>
      <c r="U74" s="115" t="str">
        <f t="shared" si="77"/>
        <v/>
      </c>
      <c r="V74" s="115" t="str">
        <f t="shared" si="77"/>
        <v/>
      </c>
      <c r="W74" s="115" t="str">
        <f t="shared" si="77"/>
        <v/>
      </c>
      <c r="X74" s="115" t="str">
        <f t="shared" si="77"/>
        <v/>
      </c>
      <c r="Y74" s="115" t="str">
        <f t="shared" si="77"/>
        <v/>
      </c>
      <c r="Z74" s="115" t="str">
        <f t="shared" si="77"/>
        <v/>
      </c>
      <c r="AA74" s="115" t="str">
        <f t="shared" si="77"/>
        <v/>
      </c>
      <c r="AB74" s="115" t="str">
        <f t="shared" si="77"/>
        <v/>
      </c>
      <c r="AC74" s="115" t="str">
        <f t="shared" si="77"/>
        <v/>
      </c>
      <c r="AD74" s="115" t="str">
        <f t="shared" si="77"/>
        <v/>
      </c>
      <c r="AE74" s="115" t="str">
        <f t="shared" si="77"/>
        <v/>
      </c>
      <c r="AF74" s="115" t="str">
        <f t="shared" si="77"/>
        <v/>
      </c>
      <c r="AG74" s="115" t="str">
        <f t="shared" si="77"/>
        <v/>
      </c>
      <c r="AH74" s="115" t="str">
        <f t="shared" si="77"/>
        <v/>
      </c>
      <c r="AI74" s="115" t="str">
        <f t="shared" si="77"/>
        <v/>
      </c>
      <c r="AJ74" s="115" t="str">
        <f t="shared" si="77"/>
        <v/>
      </c>
      <c r="AK74" s="115" t="str">
        <f t="shared" si="77"/>
        <v/>
      </c>
      <c r="AL74" s="115" t="str">
        <f t="shared" si="77"/>
        <v/>
      </c>
      <c r="AM74" s="115" t="str">
        <f t="shared" si="77"/>
        <v/>
      </c>
      <c r="AN74" s="115" t="str">
        <f t="shared" si="77"/>
        <v/>
      </c>
      <c r="AO74" s="115" t="str">
        <f t="shared" si="77"/>
        <v/>
      </c>
      <c r="AP74" s="117">
        <f>IF(AP$6="","",IF(AP$3="Maior",IFERROR(IF(VLOOKUP($N74,Capa!$A:$AE,AP$5,0)="",0,VLOOKUP($N74,Capa!$A:$AE,AP$5,0)),0),IF(ISERROR(1/VLOOKUP($N74,Capa!$A:$AE,AP$5,0)),0,1/VLOOKUP($N74,Capa!$A:$AE,AP$5,0))))</f>
        <v>0.2096030734</v>
      </c>
      <c r="AQ74" s="118">
        <f>IF(AQ$6="","",IF(AQ$3="Maior",IFERROR(IF(VLOOKUP($N74,Capa!$A:$AE,AQ$5,0)="",0,VLOOKUP($N74,Capa!$A:$AE,AQ$5,0)),0),IF(ISERROR(1/VLOOKUP($N74,Capa!$A:$AE,AQ$5,0)),0,1/VLOOKUP($N74,Capa!$A:$AE,AQ$5,0))))</f>
        <v>0</v>
      </c>
      <c r="AR74" s="118">
        <f>IF(AR$6="","",IF(AR$3="Maior",IFERROR(IF(VLOOKUP($N74,Capa!$A:$AE,AR$5,0)="",0,VLOOKUP($N74,Capa!$A:$AE,AR$5,0)),0),IF(ISERROR(1/VLOOKUP($N74,Capa!$A:$AE,AR$5,0)),0,1/VLOOKUP($N74,Capa!$A:$AE,AR$5,0))))</f>
        <v>10.58</v>
      </c>
      <c r="AS74" s="118" t="str">
        <f>IF(AS$6="","",IF(AS$3="Maior",IFERROR(IF(VLOOKUP($N74,Capa!$A:$AE,AS$5,0)="",0,VLOOKUP($N74,Capa!$A:$AE,AS$5,0)),0),IF(ISERROR(1/VLOOKUP($N74,Capa!$A:$AE,AS$5,0)),0,1/VLOOKUP($N74,Capa!$A:$AE,AS$5,0))))</f>
        <v/>
      </c>
      <c r="AT74" s="118" t="str">
        <f>IF(AT$6="","",IF(AT$3="Maior",IFERROR(IF(VLOOKUP($N74,Capa!$A:$AE,AT$5,0)="",0,VLOOKUP($N74,Capa!$A:$AE,AT$5,0)),0),IF(ISERROR(1/VLOOKUP($N74,Capa!$A:$AE,AT$5,0)),0,1/VLOOKUP($N74,Capa!$A:$AE,AT$5,0))))</f>
        <v/>
      </c>
      <c r="AU74" s="118" t="str">
        <f>IF(AU$6="","",IF(AU$3="Maior",IFERROR(IF(VLOOKUP($N74,Capa!$A:$AE,AU$5,0)="",0,VLOOKUP($N74,Capa!$A:$AE,AU$5,0)),0),IF(ISERROR(1/VLOOKUP($N74,Capa!$A:$AE,AU$5,0)),0,1/VLOOKUP($N74,Capa!$A:$AE,AU$5,0))))</f>
        <v/>
      </c>
      <c r="AV74" s="118" t="str">
        <f>IF(AV$6="","",IF(AV$3="Maior",IFERROR(IF(VLOOKUP($N74,Capa!$A:$AE,AV$5,0)="",0,VLOOKUP($N74,Capa!$A:$AE,AV$5,0)),0),IF(ISERROR(1/VLOOKUP($N74,Capa!$A:$AE,AV$5,0)),0,1/VLOOKUP($N74,Capa!$A:$AE,AV$5,0))))</f>
        <v/>
      </c>
      <c r="AW74" s="118" t="str">
        <f>IF(AW$6="","",IF(AW$3="Maior",IFERROR(IF(VLOOKUP($N74,Capa!$A:$AE,AW$5,0)="",0,VLOOKUP($N74,Capa!$A:$AE,AW$5,0)),0),IF(ISERROR(1/VLOOKUP($N74,Capa!$A:$AE,AW$5,0)),0,1/VLOOKUP($N74,Capa!$A:$AE,AW$5,0))))</f>
        <v/>
      </c>
      <c r="AX74" s="118" t="str">
        <f>IF(AX$6="","",IF(AX$3="Maior",IFERROR(IF(VLOOKUP($N74,Capa!$A:$AE,AX$5,0)="",0,VLOOKUP($N74,Capa!$A:$AE,AX$5,0)),0),IF(ISERROR(1/VLOOKUP($N74,Capa!$A:$AE,AX$5,0)),0,1/VLOOKUP($N74,Capa!$A:$AE,AX$5,0))))</f>
        <v/>
      </c>
      <c r="AY74" s="118" t="str">
        <f>IF(AY$6="","",IF(AY$3="Maior",IFERROR(IF(VLOOKUP($N74,Capa!$A:$AE,AY$5,0)="",0,VLOOKUP($N74,Capa!$A:$AE,AY$5,0)),0),IF(ISERROR(1/VLOOKUP($N74,Capa!$A:$AE,AY$5,0)),0,1/VLOOKUP($N74,Capa!$A:$AE,AY$5,0))))</f>
        <v/>
      </c>
      <c r="AZ74" s="118" t="str">
        <f>IF(AZ$6="","",IF(AZ$3="Maior",IFERROR(IF(VLOOKUP($N74,Capa!$A:$AE,AZ$5,0)="",0,VLOOKUP($N74,Capa!$A:$AE,AZ$5,0)),0),IF(ISERROR(1/VLOOKUP($N74,Capa!$A:$AE,AZ$5,0)),0,1/VLOOKUP($N74,Capa!$A:$AE,AZ$5,0))))</f>
        <v/>
      </c>
      <c r="BA74" s="118" t="str">
        <f>IF(BA$6="","",IF(BA$3="Maior",IFERROR(IF(VLOOKUP($N74,Capa!$A:$AE,BA$5,0)="",0,VLOOKUP($N74,Capa!$A:$AE,BA$5,0)),0),IF(ISERROR(1/VLOOKUP($N74,Capa!$A:$AE,BA$5,0)),0,1/VLOOKUP($N74,Capa!$A:$AE,BA$5,0))))</f>
        <v/>
      </c>
      <c r="BB74" s="118" t="str">
        <f>IF(BB$6="","",IF(BB$3="Maior",IFERROR(IF(VLOOKUP($N74,Capa!$A:$AE,BB$5,0)="",0,VLOOKUP($N74,Capa!$A:$AE,BB$5,0)),0),IF(ISERROR(1/VLOOKUP($N74,Capa!$A:$AE,BB$5,0)),0,1/VLOOKUP($N74,Capa!$A:$AE,BB$5,0))))</f>
        <v/>
      </c>
      <c r="BC74" s="118" t="str">
        <f>IF(BC$6="","",IF(BC$3="Maior",IFERROR(IF(VLOOKUP($N74,Capa!$A:$AE,BC$5,0)="",0,VLOOKUP($N74,Capa!$A:$AE,BC$5,0)),0),IF(ISERROR(1/VLOOKUP($N74,Capa!$A:$AE,BC$5,0)),0,1/VLOOKUP($N74,Capa!$A:$AE,BC$5,0))))</f>
        <v/>
      </c>
      <c r="BD74" s="118" t="str">
        <f>IF(BD$6="","",IF(BD$3="Maior",IFERROR(IF(VLOOKUP($N74,Capa!$A:$AE,BD$5,0)="",0,VLOOKUP($N74,Capa!$A:$AE,BD$5,0)),0),IF(ISERROR(1/VLOOKUP($N74,Capa!$A:$AE,BD$5,0)),0,1/VLOOKUP($N74,Capa!$A:$AE,BD$5,0))))</f>
        <v/>
      </c>
      <c r="BE74" s="118" t="str">
        <f>IF(BE$6="","",IF(BE$3="Maior",IFERROR(IF(VLOOKUP($N74,Capa!$A:$AE,BE$5,0)="",0,VLOOKUP($N74,Capa!$A:$AE,BE$5,0)),0),IF(ISERROR(1/VLOOKUP($N74,Capa!$A:$AE,BE$5,0)),0,1/VLOOKUP($N74,Capa!$A:$AE,BE$5,0))))</f>
        <v/>
      </c>
      <c r="BF74" s="118" t="str">
        <f>IF(BF$6="","",IF(BF$3="Maior",IFERROR(IF(VLOOKUP($N74,Capa!$A:$AE,BF$5,0)="",0,VLOOKUP($N74,Capa!$A:$AE,BF$5,0)),0),IF(ISERROR(1/VLOOKUP($N74,Capa!$A:$AE,BF$5,0)),0,1/VLOOKUP($N74,Capa!$A:$AE,BF$5,0))))</f>
        <v/>
      </c>
      <c r="BG74" s="118" t="str">
        <f>IF(BG$6="","",IF(BG$3="Maior",IFERROR(IF(VLOOKUP($N74,Capa!$A:$AE,BG$5,0)="",0,VLOOKUP($N74,Capa!$A:$AE,BG$5,0)),0),IF(ISERROR(1/VLOOKUP($N74,Capa!$A:$AE,BG$5,0)),0,1/VLOOKUP($N74,Capa!$A:$AE,BG$5,0))))</f>
        <v/>
      </c>
      <c r="BH74" s="118" t="str">
        <f>IF(BH$6="","",IF(BH$3="Maior",IFERROR(IF(VLOOKUP($N74,Capa!$A:$AE,BH$5,0)="",0,VLOOKUP($N74,Capa!$A:$AE,BH$5,0)),0),IF(ISERROR(1/VLOOKUP($N74,Capa!$A:$AE,BH$5,0)),0,1/VLOOKUP($N74,Capa!$A:$AE,BH$5,0))))</f>
        <v/>
      </c>
      <c r="BI74" s="118" t="str">
        <f>IF(BI$6="","",IF(BI$3="Maior",IFERROR(IF(VLOOKUP($N74,Capa!$A:$AE,BI$5,0)="",0,VLOOKUP($N74,Capa!$A:$AE,BI$5,0)),0),IF(ISERROR(1/VLOOKUP($N74,Capa!$A:$AE,BI$5,0)),0,1/VLOOKUP($N74,Capa!$A:$AE,BI$5,0))))</f>
        <v/>
      </c>
      <c r="BJ74" s="118" t="str">
        <f>IF(BJ$6="","",IF(BJ$3="Maior",IFERROR(IF(VLOOKUP($N74,Capa!$A:$AE,BJ$5,0)="",0,VLOOKUP($N74,Capa!$A:$AE,BJ$5,0)),0),IF(ISERROR(1/VLOOKUP($N74,Capa!$A:$AE,BJ$5,0)),0,1/VLOOKUP($N74,Capa!$A:$AE,BJ$5,0))))</f>
        <v/>
      </c>
      <c r="BK74" s="118" t="str">
        <f>IF(BK$6="","",IF(BK$3="Maior",IFERROR(IF(VLOOKUP($N74,Capa!$A:$AE,BK$5,0)="",0,VLOOKUP($N74,Capa!$A:$AE,BK$5,0)),0),IF(ISERROR(1/VLOOKUP($N74,Capa!$A:$AE,BK$5,0)),0,1/VLOOKUP($N74,Capa!$A:$AE,BK$5,0))))</f>
        <v/>
      </c>
      <c r="BL74" s="118" t="str">
        <f>IF(BL$6="","",IF(BL$3="Maior",IFERROR(IF(VLOOKUP($N74,Capa!$A:$AE,BL$5,0)="",0,VLOOKUP($N74,Capa!$A:$AE,BL$5,0)),0),IF(ISERROR(1/VLOOKUP($N74,Capa!$A:$AE,BL$5,0)),0,1/VLOOKUP($N74,Capa!$A:$AE,BL$5,0))))</f>
        <v/>
      </c>
      <c r="BM74" s="118" t="str">
        <f>IF(BM$6="","",IF(BM$3="Maior",IFERROR(IF(VLOOKUP($N74,Capa!$A:$AE,BM$5,0)="",0,VLOOKUP($N74,Capa!$A:$AE,BM$5,0)),0),IF(ISERROR(1/VLOOKUP($N74,Capa!$A:$AE,BM$5,0)),0,1/VLOOKUP($N74,Capa!$A:$AE,BM$5,0))))</f>
        <v/>
      </c>
      <c r="BN74" s="118" t="str">
        <f>IF(BN$6="","",IF(BN$3="Maior",IFERROR(IF(VLOOKUP($N74,Capa!$A:$AE,BN$5,0)="",0,VLOOKUP($N74,Capa!$A:$AE,BN$5,0)),0),IF(ISERROR(1/VLOOKUP($N74,Capa!$A:$AE,BN$5,0)),0,1/VLOOKUP($N74,Capa!$A:$AE,BN$5,0))))</f>
        <v/>
      </c>
      <c r="BO74" s="92"/>
    </row>
    <row r="75">
      <c r="G75" s="11"/>
      <c r="H75" s="8">
        <v>69.0</v>
      </c>
      <c r="I75" s="110" t="str">
        <f t="shared" si="6"/>
        <v>SBSP3</v>
      </c>
      <c r="J75" s="111" t="str">
        <f>VLOOKUP(left(I75,4),Setor!A:D,3,0)&amp;" | "&amp;VLOOKUP(left(I75,4),Setor!A:D,4,0)</f>
        <v>Utilidade Pública | Água e Saneamento</v>
      </c>
      <c r="K75" s="112">
        <f t="shared" si="7"/>
        <v>115838939.5</v>
      </c>
      <c r="L75" s="11"/>
      <c r="M75" s="11"/>
      <c r="N75" s="10" t="s">
        <v>121</v>
      </c>
      <c r="O75" s="113">
        <f t="shared" si="8"/>
        <v>356.0048</v>
      </c>
      <c r="P75" s="114">
        <f>VLOOKUP(N75,'Dados StatusInvest'!A:Z,26,0)</f>
        <v>82398262.33</v>
      </c>
      <c r="Q75" s="115">
        <f t="shared" si="9"/>
        <v>48.0048</v>
      </c>
      <c r="R75" s="116">
        <f t="shared" ref="R75:AO75" si="78">IF(AQ75="","", RANK(AQ75,AQ$7:AQ$503,0))</f>
        <v>89</v>
      </c>
      <c r="S75" s="115">
        <f t="shared" si="78"/>
        <v>219</v>
      </c>
      <c r="T75" s="115" t="str">
        <f t="shared" si="78"/>
        <v/>
      </c>
      <c r="U75" s="115" t="str">
        <f t="shared" si="78"/>
        <v/>
      </c>
      <c r="V75" s="115" t="str">
        <f t="shared" si="78"/>
        <v/>
      </c>
      <c r="W75" s="115" t="str">
        <f t="shared" si="78"/>
        <v/>
      </c>
      <c r="X75" s="115" t="str">
        <f t="shared" si="78"/>
        <v/>
      </c>
      <c r="Y75" s="115" t="str">
        <f t="shared" si="78"/>
        <v/>
      </c>
      <c r="Z75" s="115" t="str">
        <f t="shared" si="78"/>
        <v/>
      </c>
      <c r="AA75" s="115" t="str">
        <f t="shared" si="78"/>
        <v/>
      </c>
      <c r="AB75" s="115" t="str">
        <f t="shared" si="78"/>
        <v/>
      </c>
      <c r="AC75" s="115" t="str">
        <f t="shared" si="78"/>
        <v/>
      </c>
      <c r="AD75" s="115" t="str">
        <f t="shared" si="78"/>
        <v/>
      </c>
      <c r="AE75" s="115" t="str">
        <f t="shared" si="78"/>
        <v/>
      </c>
      <c r="AF75" s="115" t="str">
        <f t="shared" si="78"/>
        <v/>
      </c>
      <c r="AG75" s="115" t="str">
        <f t="shared" si="78"/>
        <v/>
      </c>
      <c r="AH75" s="115" t="str">
        <f t="shared" si="78"/>
        <v/>
      </c>
      <c r="AI75" s="115" t="str">
        <f t="shared" si="78"/>
        <v/>
      </c>
      <c r="AJ75" s="115" t="str">
        <f t="shared" si="78"/>
        <v/>
      </c>
      <c r="AK75" s="115" t="str">
        <f t="shared" si="78"/>
        <v/>
      </c>
      <c r="AL75" s="115" t="str">
        <f t="shared" si="78"/>
        <v/>
      </c>
      <c r="AM75" s="115" t="str">
        <f t="shared" si="78"/>
        <v/>
      </c>
      <c r="AN75" s="115" t="str">
        <f t="shared" si="78"/>
        <v/>
      </c>
      <c r="AO75" s="115" t="str">
        <f t="shared" si="78"/>
        <v/>
      </c>
      <c r="AP75" s="117">
        <f>IF(AP$6="","",IF(AP$3="Maior",IFERROR(IF(VLOOKUP($N75,Capa!$A:$AE,AP$5,0)="",0,VLOOKUP($N75,Capa!$A:$AE,AP$5,0)),0),IF(ISERROR(1/VLOOKUP($N75,Capa!$A:$AE,AP$5,0)),0,1/VLOOKUP($N75,Capa!$A:$AE,AP$5,0))))</f>
        <v>0.2475027418</v>
      </c>
      <c r="AQ75" s="118">
        <f>IF(AQ$6="","",IF(AQ$3="Maior",IFERROR(IF(VLOOKUP($N75,Capa!$A:$AE,AQ$5,0)="",0,VLOOKUP($N75,Capa!$A:$AE,AQ$5,0)),0),IF(ISERROR(1/VLOOKUP($N75,Capa!$A:$AE,AQ$5,0)),0,1/VLOOKUP($N75,Capa!$A:$AE,AQ$5,0))))</f>
        <v>18.53</v>
      </c>
      <c r="AR75" s="118">
        <f>IF(AR$6="","",IF(AR$3="Maior",IFERROR(IF(VLOOKUP($N75,Capa!$A:$AE,AR$5,0)="",0,VLOOKUP($N75,Capa!$A:$AE,AR$5,0)),0),IF(ISERROR(1/VLOOKUP($N75,Capa!$A:$AE,AR$5,0)),0,1/VLOOKUP($N75,Capa!$A:$AE,AR$5,0))))</f>
        <v>0</v>
      </c>
      <c r="AS75" s="118" t="str">
        <f>IF(AS$6="","",IF(AS$3="Maior",IFERROR(IF(VLOOKUP($N75,Capa!$A:$AE,AS$5,0)="",0,VLOOKUP($N75,Capa!$A:$AE,AS$5,0)),0),IF(ISERROR(1/VLOOKUP($N75,Capa!$A:$AE,AS$5,0)),0,1/VLOOKUP($N75,Capa!$A:$AE,AS$5,0))))</f>
        <v/>
      </c>
      <c r="AT75" s="118" t="str">
        <f>IF(AT$6="","",IF(AT$3="Maior",IFERROR(IF(VLOOKUP($N75,Capa!$A:$AE,AT$5,0)="",0,VLOOKUP($N75,Capa!$A:$AE,AT$5,0)),0),IF(ISERROR(1/VLOOKUP($N75,Capa!$A:$AE,AT$5,0)),0,1/VLOOKUP($N75,Capa!$A:$AE,AT$5,0))))</f>
        <v/>
      </c>
      <c r="AU75" s="118" t="str">
        <f>IF(AU$6="","",IF(AU$3="Maior",IFERROR(IF(VLOOKUP($N75,Capa!$A:$AE,AU$5,0)="",0,VLOOKUP($N75,Capa!$A:$AE,AU$5,0)),0),IF(ISERROR(1/VLOOKUP($N75,Capa!$A:$AE,AU$5,0)),0,1/VLOOKUP($N75,Capa!$A:$AE,AU$5,0))))</f>
        <v/>
      </c>
      <c r="AV75" s="118" t="str">
        <f>IF(AV$6="","",IF(AV$3="Maior",IFERROR(IF(VLOOKUP($N75,Capa!$A:$AE,AV$5,0)="",0,VLOOKUP($N75,Capa!$A:$AE,AV$5,0)),0),IF(ISERROR(1/VLOOKUP($N75,Capa!$A:$AE,AV$5,0)),0,1/VLOOKUP($N75,Capa!$A:$AE,AV$5,0))))</f>
        <v/>
      </c>
      <c r="AW75" s="118" t="str">
        <f>IF(AW$6="","",IF(AW$3="Maior",IFERROR(IF(VLOOKUP($N75,Capa!$A:$AE,AW$5,0)="",0,VLOOKUP($N75,Capa!$A:$AE,AW$5,0)),0),IF(ISERROR(1/VLOOKUP($N75,Capa!$A:$AE,AW$5,0)),0,1/VLOOKUP($N75,Capa!$A:$AE,AW$5,0))))</f>
        <v/>
      </c>
      <c r="AX75" s="118" t="str">
        <f>IF(AX$6="","",IF(AX$3="Maior",IFERROR(IF(VLOOKUP($N75,Capa!$A:$AE,AX$5,0)="",0,VLOOKUP($N75,Capa!$A:$AE,AX$5,0)),0),IF(ISERROR(1/VLOOKUP($N75,Capa!$A:$AE,AX$5,0)),0,1/VLOOKUP($N75,Capa!$A:$AE,AX$5,0))))</f>
        <v/>
      </c>
      <c r="AY75" s="118" t="str">
        <f>IF(AY$6="","",IF(AY$3="Maior",IFERROR(IF(VLOOKUP($N75,Capa!$A:$AE,AY$5,0)="",0,VLOOKUP($N75,Capa!$A:$AE,AY$5,0)),0),IF(ISERROR(1/VLOOKUP($N75,Capa!$A:$AE,AY$5,0)),0,1/VLOOKUP($N75,Capa!$A:$AE,AY$5,0))))</f>
        <v/>
      </c>
      <c r="AZ75" s="118" t="str">
        <f>IF(AZ$6="","",IF(AZ$3="Maior",IFERROR(IF(VLOOKUP($N75,Capa!$A:$AE,AZ$5,0)="",0,VLOOKUP($N75,Capa!$A:$AE,AZ$5,0)),0),IF(ISERROR(1/VLOOKUP($N75,Capa!$A:$AE,AZ$5,0)),0,1/VLOOKUP($N75,Capa!$A:$AE,AZ$5,0))))</f>
        <v/>
      </c>
      <c r="BA75" s="118" t="str">
        <f>IF(BA$6="","",IF(BA$3="Maior",IFERROR(IF(VLOOKUP($N75,Capa!$A:$AE,BA$5,0)="",0,VLOOKUP($N75,Capa!$A:$AE,BA$5,0)),0),IF(ISERROR(1/VLOOKUP($N75,Capa!$A:$AE,BA$5,0)),0,1/VLOOKUP($N75,Capa!$A:$AE,BA$5,0))))</f>
        <v/>
      </c>
      <c r="BB75" s="118" t="str">
        <f>IF(BB$6="","",IF(BB$3="Maior",IFERROR(IF(VLOOKUP($N75,Capa!$A:$AE,BB$5,0)="",0,VLOOKUP($N75,Capa!$A:$AE,BB$5,0)),0),IF(ISERROR(1/VLOOKUP($N75,Capa!$A:$AE,BB$5,0)),0,1/VLOOKUP($N75,Capa!$A:$AE,BB$5,0))))</f>
        <v/>
      </c>
      <c r="BC75" s="118" t="str">
        <f>IF(BC$6="","",IF(BC$3="Maior",IFERROR(IF(VLOOKUP($N75,Capa!$A:$AE,BC$5,0)="",0,VLOOKUP($N75,Capa!$A:$AE,BC$5,0)),0),IF(ISERROR(1/VLOOKUP($N75,Capa!$A:$AE,BC$5,0)),0,1/VLOOKUP($N75,Capa!$A:$AE,BC$5,0))))</f>
        <v/>
      </c>
      <c r="BD75" s="118" t="str">
        <f>IF(BD$6="","",IF(BD$3="Maior",IFERROR(IF(VLOOKUP($N75,Capa!$A:$AE,BD$5,0)="",0,VLOOKUP($N75,Capa!$A:$AE,BD$5,0)),0),IF(ISERROR(1/VLOOKUP($N75,Capa!$A:$AE,BD$5,0)),0,1/VLOOKUP($N75,Capa!$A:$AE,BD$5,0))))</f>
        <v/>
      </c>
      <c r="BE75" s="118" t="str">
        <f>IF(BE$6="","",IF(BE$3="Maior",IFERROR(IF(VLOOKUP($N75,Capa!$A:$AE,BE$5,0)="",0,VLOOKUP($N75,Capa!$A:$AE,BE$5,0)),0),IF(ISERROR(1/VLOOKUP($N75,Capa!$A:$AE,BE$5,0)),0,1/VLOOKUP($N75,Capa!$A:$AE,BE$5,0))))</f>
        <v/>
      </c>
      <c r="BF75" s="118" t="str">
        <f>IF(BF$6="","",IF(BF$3="Maior",IFERROR(IF(VLOOKUP($N75,Capa!$A:$AE,BF$5,0)="",0,VLOOKUP($N75,Capa!$A:$AE,BF$5,0)),0),IF(ISERROR(1/VLOOKUP($N75,Capa!$A:$AE,BF$5,0)),0,1/VLOOKUP($N75,Capa!$A:$AE,BF$5,0))))</f>
        <v/>
      </c>
      <c r="BG75" s="118" t="str">
        <f>IF(BG$6="","",IF(BG$3="Maior",IFERROR(IF(VLOOKUP($N75,Capa!$A:$AE,BG$5,0)="",0,VLOOKUP($N75,Capa!$A:$AE,BG$5,0)),0),IF(ISERROR(1/VLOOKUP($N75,Capa!$A:$AE,BG$5,0)),0,1/VLOOKUP($N75,Capa!$A:$AE,BG$5,0))))</f>
        <v/>
      </c>
      <c r="BH75" s="118" t="str">
        <f>IF(BH$6="","",IF(BH$3="Maior",IFERROR(IF(VLOOKUP($N75,Capa!$A:$AE,BH$5,0)="",0,VLOOKUP($N75,Capa!$A:$AE,BH$5,0)),0),IF(ISERROR(1/VLOOKUP($N75,Capa!$A:$AE,BH$5,0)),0,1/VLOOKUP($N75,Capa!$A:$AE,BH$5,0))))</f>
        <v/>
      </c>
      <c r="BI75" s="118" t="str">
        <f>IF(BI$6="","",IF(BI$3="Maior",IFERROR(IF(VLOOKUP($N75,Capa!$A:$AE,BI$5,0)="",0,VLOOKUP($N75,Capa!$A:$AE,BI$5,0)),0),IF(ISERROR(1/VLOOKUP($N75,Capa!$A:$AE,BI$5,0)),0,1/VLOOKUP($N75,Capa!$A:$AE,BI$5,0))))</f>
        <v/>
      </c>
      <c r="BJ75" s="118" t="str">
        <f>IF(BJ$6="","",IF(BJ$3="Maior",IFERROR(IF(VLOOKUP($N75,Capa!$A:$AE,BJ$5,0)="",0,VLOOKUP($N75,Capa!$A:$AE,BJ$5,0)),0),IF(ISERROR(1/VLOOKUP($N75,Capa!$A:$AE,BJ$5,0)),0,1/VLOOKUP($N75,Capa!$A:$AE,BJ$5,0))))</f>
        <v/>
      </c>
      <c r="BK75" s="118" t="str">
        <f>IF(BK$6="","",IF(BK$3="Maior",IFERROR(IF(VLOOKUP($N75,Capa!$A:$AE,BK$5,0)="",0,VLOOKUP($N75,Capa!$A:$AE,BK$5,0)),0),IF(ISERROR(1/VLOOKUP($N75,Capa!$A:$AE,BK$5,0)),0,1/VLOOKUP($N75,Capa!$A:$AE,BK$5,0))))</f>
        <v/>
      </c>
      <c r="BL75" s="118" t="str">
        <f>IF(BL$6="","",IF(BL$3="Maior",IFERROR(IF(VLOOKUP($N75,Capa!$A:$AE,BL$5,0)="",0,VLOOKUP($N75,Capa!$A:$AE,BL$5,0)),0),IF(ISERROR(1/VLOOKUP($N75,Capa!$A:$AE,BL$5,0)),0,1/VLOOKUP($N75,Capa!$A:$AE,BL$5,0))))</f>
        <v/>
      </c>
      <c r="BM75" s="118" t="str">
        <f>IF(BM$6="","",IF(BM$3="Maior",IFERROR(IF(VLOOKUP($N75,Capa!$A:$AE,BM$5,0)="",0,VLOOKUP($N75,Capa!$A:$AE,BM$5,0)),0),IF(ISERROR(1/VLOOKUP($N75,Capa!$A:$AE,BM$5,0)),0,1/VLOOKUP($N75,Capa!$A:$AE,BM$5,0))))</f>
        <v/>
      </c>
      <c r="BN75" s="118" t="str">
        <f>IF(BN$6="","",IF(BN$3="Maior",IFERROR(IF(VLOOKUP($N75,Capa!$A:$AE,BN$5,0)="",0,VLOOKUP($N75,Capa!$A:$AE,BN$5,0)),0),IF(ISERROR(1/VLOOKUP($N75,Capa!$A:$AE,BN$5,0)),0,1/VLOOKUP($N75,Capa!$A:$AE,BN$5,0))))</f>
        <v/>
      </c>
      <c r="BO75" s="92"/>
    </row>
    <row r="76">
      <c r="G76" s="11"/>
      <c r="H76" s="8">
        <v>70.0</v>
      </c>
      <c r="I76" s="110" t="str">
        <f t="shared" si="6"/>
        <v>CSMG3</v>
      </c>
      <c r="J76" s="111" t="str">
        <f>VLOOKUP(left(I76,4),Setor!A:D,3,0)&amp;" | "&amp;VLOOKUP(left(I76,4),Setor!A:D,4,0)</f>
        <v>Utilidade Pública | Água e Saneamento</v>
      </c>
      <c r="K76" s="112">
        <f t="shared" si="7"/>
        <v>28027863.42</v>
      </c>
      <c r="L76" s="11"/>
      <c r="M76" s="11"/>
      <c r="N76" s="10" t="s">
        <v>122</v>
      </c>
      <c r="O76" s="113">
        <f t="shared" si="8"/>
        <v>234.0077</v>
      </c>
      <c r="P76" s="114">
        <f>VLOOKUP(N76,'Dados StatusInvest'!A:Z,26,0)</f>
        <v>89970517.13</v>
      </c>
      <c r="Q76" s="115">
        <f t="shared" si="9"/>
        <v>77.0077</v>
      </c>
      <c r="R76" s="116">
        <f t="shared" ref="R76:AO76" si="79">IF(AQ76="","", RANK(AQ76,AQ$7:AQ$503,0))</f>
        <v>51</v>
      </c>
      <c r="S76" s="115">
        <f t="shared" si="79"/>
        <v>106</v>
      </c>
      <c r="T76" s="115" t="str">
        <f t="shared" si="79"/>
        <v/>
      </c>
      <c r="U76" s="115" t="str">
        <f t="shared" si="79"/>
        <v/>
      </c>
      <c r="V76" s="115" t="str">
        <f t="shared" si="79"/>
        <v/>
      </c>
      <c r="W76" s="115" t="str">
        <f t="shared" si="79"/>
        <v/>
      </c>
      <c r="X76" s="115" t="str">
        <f t="shared" si="79"/>
        <v/>
      </c>
      <c r="Y76" s="115" t="str">
        <f t="shared" si="79"/>
        <v/>
      </c>
      <c r="Z76" s="115" t="str">
        <f t="shared" si="79"/>
        <v/>
      </c>
      <c r="AA76" s="115" t="str">
        <f t="shared" si="79"/>
        <v/>
      </c>
      <c r="AB76" s="115" t="str">
        <f t="shared" si="79"/>
        <v/>
      </c>
      <c r="AC76" s="115" t="str">
        <f t="shared" si="79"/>
        <v/>
      </c>
      <c r="AD76" s="115" t="str">
        <f t="shared" si="79"/>
        <v/>
      </c>
      <c r="AE76" s="115" t="str">
        <f t="shared" si="79"/>
        <v/>
      </c>
      <c r="AF76" s="115" t="str">
        <f t="shared" si="79"/>
        <v/>
      </c>
      <c r="AG76" s="115" t="str">
        <f t="shared" si="79"/>
        <v/>
      </c>
      <c r="AH76" s="115" t="str">
        <f t="shared" si="79"/>
        <v/>
      </c>
      <c r="AI76" s="115" t="str">
        <f t="shared" si="79"/>
        <v/>
      </c>
      <c r="AJ76" s="115" t="str">
        <f t="shared" si="79"/>
        <v/>
      </c>
      <c r="AK76" s="115" t="str">
        <f t="shared" si="79"/>
        <v/>
      </c>
      <c r="AL76" s="115" t="str">
        <f t="shared" si="79"/>
        <v/>
      </c>
      <c r="AM76" s="115" t="str">
        <f t="shared" si="79"/>
        <v/>
      </c>
      <c r="AN76" s="115" t="str">
        <f t="shared" si="79"/>
        <v/>
      </c>
      <c r="AO76" s="115" t="str">
        <f t="shared" si="79"/>
        <v/>
      </c>
      <c r="AP76" s="117">
        <f>IF(AP$6="","",IF(AP$3="Maior",IFERROR(IF(VLOOKUP($N76,Capa!$A:$AE,AP$5,0)="",0,VLOOKUP($N76,Capa!$A:$AE,AP$5,0)),0),IF(ISERROR(1/VLOOKUP($N76,Capa!$A:$AE,AP$5,0)),0,1/VLOOKUP($N76,Capa!$A:$AE,AP$5,0))))</f>
        <v>0.2116760485</v>
      </c>
      <c r="AQ76" s="118">
        <f>IF(AQ$6="","",IF(AQ$3="Maior",IFERROR(IF(VLOOKUP($N76,Capa!$A:$AE,AQ$5,0)="",0,VLOOKUP($N76,Capa!$A:$AE,AQ$5,0)),0),IF(ISERROR(1/VLOOKUP($N76,Capa!$A:$AE,AQ$5,0)),0,1/VLOOKUP($N76,Capa!$A:$AE,AQ$5,0))))</f>
        <v>25.67</v>
      </c>
      <c r="AR76" s="118">
        <f>IF(AR$6="","",IF(AR$3="Maior",IFERROR(IF(VLOOKUP($N76,Capa!$A:$AE,AR$5,0)="",0,VLOOKUP($N76,Capa!$A:$AE,AR$5,0)),0),IF(ISERROR(1/VLOOKUP($N76,Capa!$A:$AE,AR$5,0)),0,1/VLOOKUP($N76,Capa!$A:$AE,AR$5,0))))</f>
        <v>24.45</v>
      </c>
      <c r="AS76" s="118" t="str">
        <f>IF(AS$6="","",IF(AS$3="Maior",IFERROR(IF(VLOOKUP($N76,Capa!$A:$AE,AS$5,0)="",0,VLOOKUP($N76,Capa!$A:$AE,AS$5,0)),0),IF(ISERROR(1/VLOOKUP($N76,Capa!$A:$AE,AS$5,0)),0,1/VLOOKUP($N76,Capa!$A:$AE,AS$5,0))))</f>
        <v/>
      </c>
      <c r="AT76" s="118" t="str">
        <f>IF(AT$6="","",IF(AT$3="Maior",IFERROR(IF(VLOOKUP($N76,Capa!$A:$AE,AT$5,0)="",0,VLOOKUP($N76,Capa!$A:$AE,AT$5,0)),0),IF(ISERROR(1/VLOOKUP($N76,Capa!$A:$AE,AT$5,0)),0,1/VLOOKUP($N76,Capa!$A:$AE,AT$5,0))))</f>
        <v/>
      </c>
      <c r="AU76" s="118" t="str">
        <f>IF(AU$6="","",IF(AU$3="Maior",IFERROR(IF(VLOOKUP($N76,Capa!$A:$AE,AU$5,0)="",0,VLOOKUP($N76,Capa!$A:$AE,AU$5,0)),0),IF(ISERROR(1/VLOOKUP($N76,Capa!$A:$AE,AU$5,0)),0,1/VLOOKUP($N76,Capa!$A:$AE,AU$5,0))))</f>
        <v/>
      </c>
      <c r="AV76" s="118" t="str">
        <f>IF(AV$6="","",IF(AV$3="Maior",IFERROR(IF(VLOOKUP($N76,Capa!$A:$AE,AV$5,0)="",0,VLOOKUP($N76,Capa!$A:$AE,AV$5,0)),0),IF(ISERROR(1/VLOOKUP($N76,Capa!$A:$AE,AV$5,0)),0,1/VLOOKUP($N76,Capa!$A:$AE,AV$5,0))))</f>
        <v/>
      </c>
      <c r="AW76" s="118" t="str">
        <f>IF(AW$6="","",IF(AW$3="Maior",IFERROR(IF(VLOOKUP($N76,Capa!$A:$AE,AW$5,0)="",0,VLOOKUP($N76,Capa!$A:$AE,AW$5,0)),0),IF(ISERROR(1/VLOOKUP($N76,Capa!$A:$AE,AW$5,0)),0,1/VLOOKUP($N76,Capa!$A:$AE,AW$5,0))))</f>
        <v/>
      </c>
      <c r="AX76" s="118" t="str">
        <f>IF(AX$6="","",IF(AX$3="Maior",IFERROR(IF(VLOOKUP($N76,Capa!$A:$AE,AX$5,0)="",0,VLOOKUP($N76,Capa!$A:$AE,AX$5,0)),0),IF(ISERROR(1/VLOOKUP($N76,Capa!$A:$AE,AX$5,0)),0,1/VLOOKUP($N76,Capa!$A:$AE,AX$5,0))))</f>
        <v/>
      </c>
      <c r="AY76" s="118" t="str">
        <f>IF(AY$6="","",IF(AY$3="Maior",IFERROR(IF(VLOOKUP($N76,Capa!$A:$AE,AY$5,0)="",0,VLOOKUP($N76,Capa!$A:$AE,AY$5,0)),0),IF(ISERROR(1/VLOOKUP($N76,Capa!$A:$AE,AY$5,0)),0,1/VLOOKUP($N76,Capa!$A:$AE,AY$5,0))))</f>
        <v/>
      </c>
      <c r="AZ76" s="118" t="str">
        <f>IF(AZ$6="","",IF(AZ$3="Maior",IFERROR(IF(VLOOKUP($N76,Capa!$A:$AE,AZ$5,0)="",0,VLOOKUP($N76,Capa!$A:$AE,AZ$5,0)),0),IF(ISERROR(1/VLOOKUP($N76,Capa!$A:$AE,AZ$5,0)),0,1/VLOOKUP($N76,Capa!$A:$AE,AZ$5,0))))</f>
        <v/>
      </c>
      <c r="BA76" s="118" t="str">
        <f>IF(BA$6="","",IF(BA$3="Maior",IFERROR(IF(VLOOKUP($N76,Capa!$A:$AE,BA$5,0)="",0,VLOOKUP($N76,Capa!$A:$AE,BA$5,0)),0),IF(ISERROR(1/VLOOKUP($N76,Capa!$A:$AE,BA$5,0)),0,1/VLOOKUP($N76,Capa!$A:$AE,BA$5,0))))</f>
        <v/>
      </c>
      <c r="BB76" s="118" t="str">
        <f>IF(BB$6="","",IF(BB$3="Maior",IFERROR(IF(VLOOKUP($N76,Capa!$A:$AE,BB$5,0)="",0,VLOOKUP($N76,Capa!$A:$AE,BB$5,0)),0),IF(ISERROR(1/VLOOKUP($N76,Capa!$A:$AE,BB$5,0)),0,1/VLOOKUP($N76,Capa!$A:$AE,BB$5,0))))</f>
        <v/>
      </c>
      <c r="BC76" s="118" t="str">
        <f>IF(BC$6="","",IF(BC$3="Maior",IFERROR(IF(VLOOKUP($N76,Capa!$A:$AE,BC$5,0)="",0,VLOOKUP($N76,Capa!$A:$AE,BC$5,0)),0),IF(ISERROR(1/VLOOKUP($N76,Capa!$A:$AE,BC$5,0)),0,1/VLOOKUP($N76,Capa!$A:$AE,BC$5,0))))</f>
        <v/>
      </c>
      <c r="BD76" s="118" t="str">
        <f>IF(BD$6="","",IF(BD$3="Maior",IFERROR(IF(VLOOKUP($N76,Capa!$A:$AE,BD$5,0)="",0,VLOOKUP($N76,Capa!$A:$AE,BD$5,0)),0),IF(ISERROR(1/VLOOKUP($N76,Capa!$A:$AE,BD$5,0)),0,1/VLOOKUP($N76,Capa!$A:$AE,BD$5,0))))</f>
        <v/>
      </c>
      <c r="BE76" s="118" t="str">
        <f>IF(BE$6="","",IF(BE$3="Maior",IFERROR(IF(VLOOKUP($N76,Capa!$A:$AE,BE$5,0)="",0,VLOOKUP($N76,Capa!$A:$AE,BE$5,0)),0),IF(ISERROR(1/VLOOKUP($N76,Capa!$A:$AE,BE$5,0)),0,1/VLOOKUP($N76,Capa!$A:$AE,BE$5,0))))</f>
        <v/>
      </c>
      <c r="BF76" s="118" t="str">
        <f>IF(BF$6="","",IF(BF$3="Maior",IFERROR(IF(VLOOKUP($N76,Capa!$A:$AE,BF$5,0)="",0,VLOOKUP($N76,Capa!$A:$AE,BF$5,0)),0),IF(ISERROR(1/VLOOKUP($N76,Capa!$A:$AE,BF$5,0)),0,1/VLOOKUP($N76,Capa!$A:$AE,BF$5,0))))</f>
        <v/>
      </c>
      <c r="BG76" s="118" t="str">
        <f>IF(BG$6="","",IF(BG$3="Maior",IFERROR(IF(VLOOKUP($N76,Capa!$A:$AE,BG$5,0)="",0,VLOOKUP($N76,Capa!$A:$AE,BG$5,0)),0),IF(ISERROR(1/VLOOKUP($N76,Capa!$A:$AE,BG$5,0)),0,1/VLOOKUP($N76,Capa!$A:$AE,BG$5,0))))</f>
        <v/>
      </c>
      <c r="BH76" s="118" t="str">
        <f>IF(BH$6="","",IF(BH$3="Maior",IFERROR(IF(VLOOKUP($N76,Capa!$A:$AE,BH$5,0)="",0,VLOOKUP($N76,Capa!$A:$AE,BH$5,0)),0),IF(ISERROR(1/VLOOKUP($N76,Capa!$A:$AE,BH$5,0)),0,1/VLOOKUP($N76,Capa!$A:$AE,BH$5,0))))</f>
        <v/>
      </c>
      <c r="BI76" s="118" t="str">
        <f>IF(BI$6="","",IF(BI$3="Maior",IFERROR(IF(VLOOKUP($N76,Capa!$A:$AE,BI$5,0)="",0,VLOOKUP($N76,Capa!$A:$AE,BI$5,0)),0),IF(ISERROR(1/VLOOKUP($N76,Capa!$A:$AE,BI$5,0)),0,1/VLOOKUP($N76,Capa!$A:$AE,BI$5,0))))</f>
        <v/>
      </c>
      <c r="BJ76" s="118" t="str">
        <f>IF(BJ$6="","",IF(BJ$3="Maior",IFERROR(IF(VLOOKUP($N76,Capa!$A:$AE,BJ$5,0)="",0,VLOOKUP($N76,Capa!$A:$AE,BJ$5,0)),0),IF(ISERROR(1/VLOOKUP($N76,Capa!$A:$AE,BJ$5,0)),0,1/VLOOKUP($N76,Capa!$A:$AE,BJ$5,0))))</f>
        <v/>
      </c>
      <c r="BK76" s="118" t="str">
        <f>IF(BK$6="","",IF(BK$3="Maior",IFERROR(IF(VLOOKUP($N76,Capa!$A:$AE,BK$5,0)="",0,VLOOKUP($N76,Capa!$A:$AE,BK$5,0)),0),IF(ISERROR(1/VLOOKUP($N76,Capa!$A:$AE,BK$5,0)),0,1/VLOOKUP($N76,Capa!$A:$AE,BK$5,0))))</f>
        <v/>
      </c>
      <c r="BL76" s="118" t="str">
        <f>IF(BL$6="","",IF(BL$3="Maior",IFERROR(IF(VLOOKUP($N76,Capa!$A:$AE,BL$5,0)="",0,VLOOKUP($N76,Capa!$A:$AE,BL$5,0)),0),IF(ISERROR(1/VLOOKUP($N76,Capa!$A:$AE,BL$5,0)),0,1/VLOOKUP($N76,Capa!$A:$AE,BL$5,0))))</f>
        <v/>
      </c>
      <c r="BM76" s="118" t="str">
        <f>IF(BM$6="","",IF(BM$3="Maior",IFERROR(IF(VLOOKUP($N76,Capa!$A:$AE,BM$5,0)="",0,VLOOKUP($N76,Capa!$A:$AE,BM$5,0)),0),IF(ISERROR(1/VLOOKUP($N76,Capa!$A:$AE,BM$5,0)),0,1/VLOOKUP($N76,Capa!$A:$AE,BM$5,0))))</f>
        <v/>
      </c>
      <c r="BN76" s="118" t="str">
        <f>IF(BN$6="","",IF(BN$3="Maior",IFERROR(IF(VLOOKUP($N76,Capa!$A:$AE,BN$5,0)="",0,VLOOKUP($N76,Capa!$A:$AE,BN$5,0)),0),IF(ISERROR(1/VLOOKUP($N76,Capa!$A:$AE,BN$5,0)),0,1/VLOOKUP($N76,Capa!$A:$AE,BN$5,0))))</f>
        <v/>
      </c>
      <c r="BO76" s="92"/>
    </row>
    <row r="77">
      <c r="G77" s="11"/>
      <c r="H77" s="8">
        <v>71.0</v>
      </c>
      <c r="I77" s="110" t="str">
        <f t="shared" si="6"/>
        <v>QUAL3</v>
      </c>
      <c r="J77" s="111" t="str">
        <f>VLOOKUP(left(I77,4),Setor!A:D,3,0)&amp;" | "&amp;VLOOKUP(left(I77,4),Setor!A:D,4,0)</f>
        <v>Saúde | Análises e Diagnósticos</v>
      </c>
      <c r="K77" s="112">
        <f t="shared" si="7"/>
        <v>62817564.33</v>
      </c>
      <c r="L77" s="11"/>
      <c r="M77" s="11"/>
      <c r="N77" s="10" t="s">
        <v>123</v>
      </c>
      <c r="O77" s="113">
        <f t="shared" si="8"/>
        <v>646.032</v>
      </c>
      <c r="P77" s="114">
        <f>VLOOKUP(N77,'Dados StatusInvest'!A:Z,26,0)</f>
        <v>102542476</v>
      </c>
      <c r="Q77" s="115">
        <f t="shared" si="9"/>
        <v>320.032</v>
      </c>
      <c r="R77" s="116">
        <f t="shared" ref="R77:AO77" si="80">IF(AQ77="","", RANK(AQ77,AQ$7:AQ$503,0))</f>
        <v>278</v>
      </c>
      <c r="S77" s="115">
        <f t="shared" si="80"/>
        <v>48</v>
      </c>
      <c r="T77" s="115" t="str">
        <f t="shared" si="80"/>
        <v/>
      </c>
      <c r="U77" s="115" t="str">
        <f t="shared" si="80"/>
        <v/>
      </c>
      <c r="V77" s="115" t="str">
        <f t="shared" si="80"/>
        <v/>
      </c>
      <c r="W77" s="115" t="str">
        <f t="shared" si="80"/>
        <v/>
      </c>
      <c r="X77" s="115" t="str">
        <f t="shared" si="80"/>
        <v/>
      </c>
      <c r="Y77" s="115" t="str">
        <f t="shared" si="80"/>
        <v/>
      </c>
      <c r="Z77" s="115" t="str">
        <f t="shared" si="80"/>
        <v/>
      </c>
      <c r="AA77" s="115" t="str">
        <f t="shared" si="80"/>
        <v/>
      </c>
      <c r="AB77" s="115" t="str">
        <f t="shared" si="80"/>
        <v/>
      </c>
      <c r="AC77" s="115" t="str">
        <f t="shared" si="80"/>
        <v/>
      </c>
      <c r="AD77" s="115" t="str">
        <f t="shared" si="80"/>
        <v/>
      </c>
      <c r="AE77" s="115" t="str">
        <f t="shared" si="80"/>
        <v/>
      </c>
      <c r="AF77" s="115" t="str">
        <f t="shared" si="80"/>
        <v/>
      </c>
      <c r="AG77" s="115" t="str">
        <f t="shared" si="80"/>
        <v/>
      </c>
      <c r="AH77" s="115" t="str">
        <f t="shared" si="80"/>
        <v/>
      </c>
      <c r="AI77" s="115" t="str">
        <f t="shared" si="80"/>
        <v/>
      </c>
      <c r="AJ77" s="115" t="str">
        <f t="shared" si="80"/>
        <v/>
      </c>
      <c r="AK77" s="115" t="str">
        <f t="shared" si="80"/>
        <v/>
      </c>
      <c r="AL77" s="115" t="str">
        <f t="shared" si="80"/>
        <v/>
      </c>
      <c r="AM77" s="115" t="str">
        <f t="shared" si="80"/>
        <v/>
      </c>
      <c r="AN77" s="115" t="str">
        <f t="shared" si="80"/>
        <v/>
      </c>
      <c r="AO77" s="115" t="str">
        <f t="shared" si="80"/>
        <v/>
      </c>
      <c r="AP77" s="117">
        <f>IF(AP$6="","",IF(AP$3="Maior",IFERROR(IF(VLOOKUP($N77,Capa!$A:$AE,AP$5,0)="",0,VLOOKUP($N77,Capa!$A:$AE,AP$5,0)),0),IF(ISERROR(1/VLOOKUP($N77,Capa!$A:$AE,AP$5,0)),0,1/VLOOKUP($N77,Capa!$A:$AE,AP$5,0))))</f>
        <v>0.04603947498</v>
      </c>
      <c r="AQ77" s="118">
        <f>IF(AQ$6="","",IF(AQ$3="Maior",IFERROR(IF(VLOOKUP($N77,Capa!$A:$AE,AQ$5,0)="",0,VLOOKUP($N77,Capa!$A:$AE,AQ$5,0)),0),IF(ISERROR(1/VLOOKUP($N77,Capa!$A:$AE,AQ$5,0)),0,1/VLOOKUP($N77,Capa!$A:$AE,AQ$5,0))))</f>
        <v>6.3</v>
      </c>
      <c r="AR77" s="118">
        <f>IF(AR$6="","",IF(AR$3="Maior",IFERROR(IF(VLOOKUP($N77,Capa!$A:$AE,AR$5,0)="",0,VLOOKUP($N77,Capa!$A:$AE,AR$5,0)),0),IF(ISERROR(1/VLOOKUP($N77,Capa!$A:$AE,AR$5,0)),0,1/VLOOKUP($N77,Capa!$A:$AE,AR$5,0))))</f>
        <v>49.45</v>
      </c>
      <c r="AS77" s="118" t="str">
        <f>IF(AS$6="","",IF(AS$3="Maior",IFERROR(IF(VLOOKUP($N77,Capa!$A:$AE,AS$5,0)="",0,VLOOKUP($N77,Capa!$A:$AE,AS$5,0)),0),IF(ISERROR(1/VLOOKUP($N77,Capa!$A:$AE,AS$5,0)),0,1/VLOOKUP($N77,Capa!$A:$AE,AS$5,0))))</f>
        <v/>
      </c>
      <c r="AT77" s="118" t="str">
        <f>IF(AT$6="","",IF(AT$3="Maior",IFERROR(IF(VLOOKUP($N77,Capa!$A:$AE,AT$5,0)="",0,VLOOKUP($N77,Capa!$A:$AE,AT$5,0)),0),IF(ISERROR(1/VLOOKUP($N77,Capa!$A:$AE,AT$5,0)),0,1/VLOOKUP($N77,Capa!$A:$AE,AT$5,0))))</f>
        <v/>
      </c>
      <c r="AU77" s="118" t="str">
        <f>IF(AU$6="","",IF(AU$3="Maior",IFERROR(IF(VLOOKUP($N77,Capa!$A:$AE,AU$5,0)="",0,VLOOKUP($N77,Capa!$A:$AE,AU$5,0)),0),IF(ISERROR(1/VLOOKUP($N77,Capa!$A:$AE,AU$5,0)),0,1/VLOOKUP($N77,Capa!$A:$AE,AU$5,0))))</f>
        <v/>
      </c>
      <c r="AV77" s="118" t="str">
        <f>IF(AV$6="","",IF(AV$3="Maior",IFERROR(IF(VLOOKUP($N77,Capa!$A:$AE,AV$5,0)="",0,VLOOKUP($N77,Capa!$A:$AE,AV$5,0)),0),IF(ISERROR(1/VLOOKUP($N77,Capa!$A:$AE,AV$5,0)),0,1/VLOOKUP($N77,Capa!$A:$AE,AV$5,0))))</f>
        <v/>
      </c>
      <c r="AW77" s="118" t="str">
        <f>IF(AW$6="","",IF(AW$3="Maior",IFERROR(IF(VLOOKUP($N77,Capa!$A:$AE,AW$5,0)="",0,VLOOKUP($N77,Capa!$A:$AE,AW$5,0)),0),IF(ISERROR(1/VLOOKUP($N77,Capa!$A:$AE,AW$5,0)),0,1/VLOOKUP($N77,Capa!$A:$AE,AW$5,0))))</f>
        <v/>
      </c>
      <c r="AX77" s="118" t="str">
        <f>IF(AX$6="","",IF(AX$3="Maior",IFERROR(IF(VLOOKUP($N77,Capa!$A:$AE,AX$5,0)="",0,VLOOKUP($N77,Capa!$A:$AE,AX$5,0)),0),IF(ISERROR(1/VLOOKUP($N77,Capa!$A:$AE,AX$5,0)),0,1/VLOOKUP($N77,Capa!$A:$AE,AX$5,0))))</f>
        <v/>
      </c>
      <c r="AY77" s="118" t="str">
        <f>IF(AY$6="","",IF(AY$3="Maior",IFERROR(IF(VLOOKUP($N77,Capa!$A:$AE,AY$5,0)="",0,VLOOKUP($N77,Capa!$A:$AE,AY$5,0)),0),IF(ISERROR(1/VLOOKUP($N77,Capa!$A:$AE,AY$5,0)),0,1/VLOOKUP($N77,Capa!$A:$AE,AY$5,0))))</f>
        <v/>
      </c>
      <c r="AZ77" s="118" t="str">
        <f>IF(AZ$6="","",IF(AZ$3="Maior",IFERROR(IF(VLOOKUP($N77,Capa!$A:$AE,AZ$5,0)="",0,VLOOKUP($N77,Capa!$A:$AE,AZ$5,0)),0),IF(ISERROR(1/VLOOKUP($N77,Capa!$A:$AE,AZ$5,0)),0,1/VLOOKUP($N77,Capa!$A:$AE,AZ$5,0))))</f>
        <v/>
      </c>
      <c r="BA77" s="118" t="str">
        <f>IF(BA$6="","",IF(BA$3="Maior",IFERROR(IF(VLOOKUP($N77,Capa!$A:$AE,BA$5,0)="",0,VLOOKUP($N77,Capa!$A:$AE,BA$5,0)),0),IF(ISERROR(1/VLOOKUP($N77,Capa!$A:$AE,BA$5,0)),0,1/VLOOKUP($N77,Capa!$A:$AE,BA$5,0))))</f>
        <v/>
      </c>
      <c r="BB77" s="118" t="str">
        <f>IF(BB$6="","",IF(BB$3="Maior",IFERROR(IF(VLOOKUP($N77,Capa!$A:$AE,BB$5,0)="",0,VLOOKUP($N77,Capa!$A:$AE,BB$5,0)),0),IF(ISERROR(1/VLOOKUP($N77,Capa!$A:$AE,BB$5,0)),0,1/VLOOKUP($N77,Capa!$A:$AE,BB$5,0))))</f>
        <v/>
      </c>
      <c r="BC77" s="118" t="str">
        <f>IF(BC$6="","",IF(BC$3="Maior",IFERROR(IF(VLOOKUP($N77,Capa!$A:$AE,BC$5,0)="",0,VLOOKUP($N77,Capa!$A:$AE,BC$5,0)),0),IF(ISERROR(1/VLOOKUP($N77,Capa!$A:$AE,BC$5,0)),0,1/VLOOKUP($N77,Capa!$A:$AE,BC$5,0))))</f>
        <v/>
      </c>
      <c r="BD77" s="118" t="str">
        <f>IF(BD$6="","",IF(BD$3="Maior",IFERROR(IF(VLOOKUP($N77,Capa!$A:$AE,BD$5,0)="",0,VLOOKUP($N77,Capa!$A:$AE,BD$5,0)),0),IF(ISERROR(1/VLOOKUP($N77,Capa!$A:$AE,BD$5,0)),0,1/VLOOKUP($N77,Capa!$A:$AE,BD$5,0))))</f>
        <v/>
      </c>
      <c r="BE77" s="118" t="str">
        <f>IF(BE$6="","",IF(BE$3="Maior",IFERROR(IF(VLOOKUP($N77,Capa!$A:$AE,BE$5,0)="",0,VLOOKUP($N77,Capa!$A:$AE,BE$5,0)),0),IF(ISERROR(1/VLOOKUP($N77,Capa!$A:$AE,BE$5,0)),0,1/VLOOKUP($N77,Capa!$A:$AE,BE$5,0))))</f>
        <v/>
      </c>
      <c r="BF77" s="118" t="str">
        <f>IF(BF$6="","",IF(BF$3="Maior",IFERROR(IF(VLOOKUP($N77,Capa!$A:$AE,BF$5,0)="",0,VLOOKUP($N77,Capa!$A:$AE,BF$5,0)),0),IF(ISERROR(1/VLOOKUP($N77,Capa!$A:$AE,BF$5,0)),0,1/VLOOKUP($N77,Capa!$A:$AE,BF$5,0))))</f>
        <v/>
      </c>
      <c r="BG77" s="118" t="str">
        <f>IF(BG$6="","",IF(BG$3="Maior",IFERROR(IF(VLOOKUP($N77,Capa!$A:$AE,BG$5,0)="",0,VLOOKUP($N77,Capa!$A:$AE,BG$5,0)),0),IF(ISERROR(1/VLOOKUP($N77,Capa!$A:$AE,BG$5,0)),0,1/VLOOKUP($N77,Capa!$A:$AE,BG$5,0))))</f>
        <v/>
      </c>
      <c r="BH77" s="118" t="str">
        <f>IF(BH$6="","",IF(BH$3="Maior",IFERROR(IF(VLOOKUP($N77,Capa!$A:$AE,BH$5,0)="",0,VLOOKUP($N77,Capa!$A:$AE,BH$5,0)),0),IF(ISERROR(1/VLOOKUP($N77,Capa!$A:$AE,BH$5,0)),0,1/VLOOKUP($N77,Capa!$A:$AE,BH$5,0))))</f>
        <v/>
      </c>
      <c r="BI77" s="118" t="str">
        <f>IF(BI$6="","",IF(BI$3="Maior",IFERROR(IF(VLOOKUP($N77,Capa!$A:$AE,BI$5,0)="",0,VLOOKUP($N77,Capa!$A:$AE,BI$5,0)),0),IF(ISERROR(1/VLOOKUP($N77,Capa!$A:$AE,BI$5,0)),0,1/VLOOKUP($N77,Capa!$A:$AE,BI$5,0))))</f>
        <v/>
      </c>
      <c r="BJ77" s="118" t="str">
        <f>IF(BJ$6="","",IF(BJ$3="Maior",IFERROR(IF(VLOOKUP($N77,Capa!$A:$AE,BJ$5,0)="",0,VLOOKUP($N77,Capa!$A:$AE,BJ$5,0)),0),IF(ISERROR(1/VLOOKUP($N77,Capa!$A:$AE,BJ$5,0)),0,1/VLOOKUP($N77,Capa!$A:$AE,BJ$5,0))))</f>
        <v/>
      </c>
      <c r="BK77" s="118" t="str">
        <f>IF(BK$6="","",IF(BK$3="Maior",IFERROR(IF(VLOOKUP($N77,Capa!$A:$AE,BK$5,0)="",0,VLOOKUP($N77,Capa!$A:$AE,BK$5,0)),0),IF(ISERROR(1/VLOOKUP($N77,Capa!$A:$AE,BK$5,0)),0,1/VLOOKUP($N77,Capa!$A:$AE,BK$5,0))))</f>
        <v/>
      </c>
      <c r="BL77" s="118" t="str">
        <f>IF(BL$6="","",IF(BL$3="Maior",IFERROR(IF(VLOOKUP($N77,Capa!$A:$AE,BL$5,0)="",0,VLOOKUP($N77,Capa!$A:$AE,BL$5,0)),0),IF(ISERROR(1/VLOOKUP($N77,Capa!$A:$AE,BL$5,0)),0,1/VLOOKUP($N77,Capa!$A:$AE,BL$5,0))))</f>
        <v/>
      </c>
      <c r="BM77" s="118" t="str">
        <f>IF(BM$6="","",IF(BM$3="Maior",IFERROR(IF(VLOOKUP($N77,Capa!$A:$AE,BM$5,0)="",0,VLOOKUP($N77,Capa!$A:$AE,BM$5,0)),0),IF(ISERROR(1/VLOOKUP($N77,Capa!$A:$AE,BM$5,0)),0,1/VLOOKUP($N77,Capa!$A:$AE,BM$5,0))))</f>
        <v/>
      </c>
      <c r="BN77" s="118" t="str">
        <f>IF(BN$6="","",IF(BN$3="Maior",IFERROR(IF(VLOOKUP($N77,Capa!$A:$AE,BN$5,0)="",0,VLOOKUP($N77,Capa!$A:$AE,BN$5,0)),0),IF(ISERROR(1/VLOOKUP($N77,Capa!$A:$AE,BN$5,0)),0,1/VLOOKUP($N77,Capa!$A:$AE,BN$5,0))))</f>
        <v/>
      </c>
      <c r="BO77" s="92"/>
    </row>
    <row r="78">
      <c r="G78" s="11"/>
      <c r="H78" s="8">
        <v>72.0</v>
      </c>
      <c r="I78" s="110" t="str">
        <f t="shared" si="6"/>
        <v>WEGE3</v>
      </c>
      <c r="J78" s="111" t="str">
        <f>VLOOKUP(left(I78,4),Setor!A:D,3,0)&amp;" | "&amp;VLOOKUP(left(I78,4),Setor!A:D,4,0)</f>
        <v>Bens Industriais | Máquinas e Equipamentos</v>
      </c>
      <c r="K78" s="112">
        <f t="shared" si="7"/>
        <v>339606045.2</v>
      </c>
      <c r="L78" s="11"/>
      <c r="M78" s="11"/>
      <c r="N78" s="10" t="s">
        <v>124</v>
      </c>
      <c r="O78" s="113">
        <f t="shared" si="8"/>
        <v>407.0033</v>
      </c>
      <c r="P78" s="114">
        <f>VLOOKUP(N78,'Dados StatusInvest'!A:Z,26,0)</f>
        <v>73591376.71</v>
      </c>
      <c r="Q78" s="115">
        <f t="shared" si="9"/>
        <v>33.0033</v>
      </c>
      <c r="R78" s="116">
        <f t="shared" ref="R78:AO78" si="81">IF(AQ78="","", RANK(AQ78,AQ$7:AQ$503,0))</f>
        <v>217</v>
      </c>
      <c r="S78" s="115">
        <f t="shared" si="81"/>
        <v>157</v>
      </c>
      <c r="T78" s="115" t="str">
        <f t="shared" si="81"/>
        <v/>
      </c>
      <c r="U78" s="115" t="str">
        <f t="shared" si="81"/>
        <v/>
      </c>
      <c r="V78" s="115" t="str">
        <f t="shared" si="81"/>
        <v/>
      </c>
      <c r="W78" s="115" t="str">
        <f t="shared" si="81"/>
        <v/>
      </c>
      <c r="X78" s="115" t="str">
        <f t="shared" si="81"/>
        <v/>
      </c>
      <c r="Y78" s="115" t="str">
        <f t="shared" si="81"/>
        <v/>
      </c>
      <c r="Z78" s="115" t="str">
        <f t="shared" si="81"/>
        <v/>
      </c>
      <c r="AA78" s="115" t="str">
        <f t="shared" si="81"/>
        <v/>
      </c>
      <c r="AB78" s="115" t="str">
        <f t="shared" si="81"/>
        <v/>
      </c>
      <c r="AC78" s="115" t="str">
        <f t="shared" si="81"/>
        <v/>
      </c>
      <c r="AD78" s="115" t="str">
        <f t="shared" si="81"/>
        <v/>
      </c>
      <c r="AE78" s="115" t="str">
        <f t="shared" si="81"/>
        <v/>
      </c>
      <c r="AF78" s="115" t="str">
        <f t="shared" si="81"/>
        <v/>
      </c>
      <c r="AG78" s="115" t="str">
        <f t="shared" si="81"/>
        <v/>
      </c>
      <c r="AH78" s="115" t="str">
        <f t="shared" si="81"/>
        <v/>
      </c>
      <c r="AI78" s="115" t="str">
        <f t="shared" si="81"/>
        <v/>
      </c>
      <c r="AJ78" s="115" t="str">
        <f t="shared" si="81"/>
        <v/>
      </c>
      <c r="AK78" s="115" t="str">
        <f t="shared" si="81"/>
        <v/>
      </c>
      <c r="AL78" s="115" t="str">
        <f t="shared" si="81"/>
        <v/>
      </c>
      <c r="AM78" s="115" t="str">
        <f t="shared" si="81"/>
        <v/>
      </c>
      <c r="AN78" s="115" t="str">
        <f t="shared" si="81"/>
        <v/>
      </c>
      <c r="AO78" s="115" t="str">
        <f t="shared" si="81"/>
        <v/>
      </c>
      <c r="AP78" s="117">
        <f>IF(AP$6="","",IF(AP$3="Maior",IFERROR(IF(VLOOKUP($N78,Capa!$A:$AE,AP$5,0)="",0,VLOOKUP($N78,Capa!$A:$AE,AP$5,0)),0),IF(ISERROR(1/VLOOKUP($N78,Capa!$A:$AE,AP$5,0)),0,1/VLOOKUP($N78,Capa!$A:$AE,AP$5,0))))</f>
        <v>0.3033676094</v>
      </c>
      <c r="AQ78" s="118">
        <f>IF(AQ$6="","",IF(AQ$3="Maior",IFERROR(IF(VLOOKUP($N78,Capa!$A:$AE,AQ$5,0)="",0,VLOOKUP($N78,Capa!$A:$AE,AQ$5,0)),0),IF(ISERROR(1/VLOOKUP($N78,Capa!$A:$AE,AQ$5,0)),0,1/VLOOKUP($N78,Capa!$A:$AE,AQ$5,0))))</f>
        <v>10.34</v>
      </c>
      <c r="AR78" s="118">
        <f>IF(AR$6="","",IF(AR$3="Maior",IFERROR(IF(VLOOKUP($N78,Capa!$A:$AE,AR$5,0)="",0,VLOOKUP($N78,Capa!$A:$AE,AR$5,0)),0),IF(ISERROR(1/VLOOKUP($N78,Capa!$A:$AE,AR$5,0)),0,1/VLOOKUP($N78,Capa!$A:$AE,AR$5,0))))</f>
        <v>11.91</v>
      </c>
      <c r="AS78" s="118" t="str">
        <f>IF(AS$6="","",IF(AS$3="Maior",IFERROR(IF(VLOOKUP($N78,Capa!$A:$AE,AS$5,0)="",0,VLOOKUP($N78,Capa!$A:$AE,AS$5,0)),0),IF(ISERROR(1/VLOOKUP($N78,Capa!$A:$AE,AS$5,0)),0,1/VLOOKUP($N78,Capa!$A:$AE,AS$5,0))))</f>
        <v/>
      </c>
      <c r="AT78" s="118" t="str">
        <f>IF(AT$6="","",IF(AT$3="Maior",IFERROR(IF(VLOOKUP($N78,Capa!$A:$AE,AT$5,0)="",0,VLOOKUP($N78,Capa!$A:$AE,AT$5,0)),0),IF(ISERROR(1/VLOOKUP($N78,Capa!$A:$AE,AT$5,0)),0,1/VLOOKUP($N78,Capa!$A:$AE,AT$5,0))))</f>
        <v/>
      </c>
      <c r="AU78" s="118" t="str">
        <f>IF(AU$6="","",IF(AU$3="Maior",IFERROR(IF(VLOOKUP($N78,Capa!$A:$AE,AU$5,0)="",0,VLOOKUP($N78,Capa!$A:$AE,AU$5,0)),0),IF(ISERROR(1/VLOOKUP($N78,Capa!$A:$AE,AU$5,0)),0,1/VLOOKUP($N78,Capa!$A:$AE,AU$5,0))))</f>
        <v/>
      </c>
      <c r="AV78" s="118" t="str">
        <f>IF(AV$6="","",IF(AV$3="Maior",IFERROR(IF(VLOOKUP($N78,Capa!$A:$AE,AV$5,0)="",0,VLOOKUP($N78,Capa!$A:$AE,AV$5,0)),0),IF(ISERROR(1/VLOOKUP($N78,Capa!$A:$AE,AV$5,0)),0,1/VLOOKUP($N78,Capa!$A:$AE,AV$5,0))))</f>
        <v/>
      </c>
      <c r="AW78" s="118" t="str">
        <f>IF(AW$6="","",IF(AW$3="Maior",IFERROR(IF(VLOOKUP($N78,Capa!$A:$AE,AW$5,0)="",0,VLOOKUP($N78,Capa!$A:$AE,AW$5,0)),0),IF(ISERROR(1/VLOOKUP($N78,Capa!$A:$AE,AW$5,0)),0,1/VLOOKUP($N78,Capa!$A:$AE,AW$5,0))))</f>
        <v/>
      </c>
      <c r="AX78" s="118" t="str">
        <f>IF(AX$6="","",IF(AX$3="Maior",IFERROR(IF(VLOOKUP($N78,Capa!$A:$AE,AX$5,0)="",0,VLOOKUP($N78,Capa!$A:$AE,AX$5,0)),0),IF(ISERROR(1/VLOOKUP($N78,Capa!$A:$AE,AX$5,0)),0,1/VLOOKUP($N78,Capa!$A:$AE,AX$5,0))))</f>
        <v/>
      </c>
      <c r="AY78" s="118" t="str">
        <f>IF(AY$6="","",IF(AY$3="Maior",IFERROR(IF(VLOOKUP($N78,Capa!$A:$AE,AY$5,0)="",0,VLOOKUP($N78,Capa!$A:$AE,AY$5,0)),0),IF(ISERROR(1/VLOOKUP($N78,Capa!$A:$AE,AY$5,0)),0,1/VLOOKUP($N78,Capa!$A:$AE,AY$5,0))))</f>
        <v/>
      </c>
      <c r="AZ78" s="118" t="str">
        <f>IF(AZ$6="","",IF(AZ$3="Maior",IFERROR(IF(VLOOKUP($N78,Capa!$A:$AE,AZ$5,0)="",0,VLOOKUP($N78,Capa!$A:$AE,AZ$5,0)),0),IF(ISERROR(1/VLOOKUP($N78,Capa!$A:$AE,AZ$5,0)),0,1/VLOOKUP($N78,Capa!$A:$AE,AZ$5,0))))</f>
        <v/>
      </c>
      <c r="BA78" s="118" t="str">
        <f>IF(BA$6="","",IF(BA$3="Maior",IFERROR(IF(VLOOKUP($N78,Capa!$A:$AE,BA$5,0)="",0,VLOOKUP($N78,Capa!$A:$AE,BA$5,0)),0),IF(ISERROR(1/VLOOKUP($N78,Capa!$A:$AE,BA$5,0)),0,1/VLOOKUP($N78,Capa!$A:$AE,BA$5,0))))</f>
        <v/>
      </c>
      <c r="BB78" s="118" t="str">
        <f>IF(BB$6="","",IF(BB$3="Maior",IFERROR(IF(VLOOKUP($N78,Capa!$A:$AE,BB$5,0)="",0,VLOOKUP($N78,Capa!$A:$AE,BB$5,0)),0),IF(ISERROR(1/VLOOKUP($N78,Capa!$A:$AE,BB$5,0)),0,1/VLOOKUP($N78,Capa!$A:$AE,BB$5,0))))</f>
        <v/>
      </c>
      <c r="BC78" s="118" t="str">
        <f>IF(BC$6="","",IF(BC$3="Maior",IFERROR(IF(VLOOKUP($N78,Capa!$A:$AE,BC$5,0)="",0,VLOOKUP($N78,Capa!$A:$AE,BC$5,0)),0),IF(ISERROR(1/VLOOKUP($N78,Capa!$A:$AE,BC$5,0)),0,1/VLOOKUP($N78,Capa!$A:$AE,BC$5,0))))</f>
        <v/>
      </c>
      <c r="BD78" s="118" t="str">
        <f>IF(BD$6="","",IF(BD$3="Maior",IFERROR(IF(VLOOKUP($N78,Capa!$A:$AE,BD$5,0)="",0,VLOOKUP($N78,Capa!$A:$AE,BD$5,0)),0),IF(ISERROR(1/VLOOKUP($N78,Capa!$A:$AE,BD$5,0)),0,1/VLOOKUP($N78,Capa!$A:$AE,BD$5,0))))</f>
        <v/>
      </c>
      <c r="BE78" s="118" t="str">
        <f>IF(BE$6="","",IF(BE$3="Maior",IFERROR(IF(VLOOKUP($N78,Capa!$A:$AE,BE$5,0)="",0,VLOOKUP($N78,Capa!$A:$AE,BE$5,0)),0),IF(ISERROR(1/VLOOKUP($N78,Capa!$A:$AE,BE$5,0)),0,1/VLOOKUP($N78,Capa!$A:$AE,BE$5,0))))</f>
        <v/>
      </c>
      <c r="BF78" s="118" t="str">
        <f>IF(BF$6="","",IF(BF$3="Maior",IFERROR(IF(VLOOKUP($N78,Capa!$A:$AE,BF$5,0)="",0,VLOOKUP($N78,Capa!$A:$AE,BF$5,0)),0),IF(ISERROR(1/VLOOKUP($N78,Capa!$A:$AE,BF$5,0)),0,1/VLOOKUP($N78,Capa!$A:$AE,BF$5,0))))</f>
        <v/>
      </c>
      <c r="BG78" s="118" t="str">
        <f>IF(BG$6="","",IF(BG$3="Maior",IFERROR(IF(VLOOKUP($N78,Capa!$A:$AE,BG$5,0)="",0,VLOOKUP($N78,Capa!$A:$AE,BG$5,0)),0),IF(ISERROR(1/VLOOKUP($N78,Capa!$A:$AE,BG$5,0)),0,1/VLOOKUP($N78,Capa!$A:$AE,BG$5,0))))</f>
        <v/>
      </c>
      <c r="BH78" s="118" t="str">
        <f>IF(BH$6="","",IF(BH$3="Maior",IFERROR(IF(VLOOKUP($N78,Capa!$A:$AE,BH$5,0)="",0,VLOOKUP($N78,Capa!$A:$AE,BH$5,0)),0),IF(ISERROR(1/VLOOKUP($N78,Capa!$A:$AE,BH$5,0)),0,1/VLOOKUP($N78,Capa!$A:$AE,BH$5,0))))</f>
        <v/>
      </c>
      <c r="BI78" s="118" t="str">
        <f>IF(BI$6="","",IF(BI$3="Maior",IFERROR(IF(VLOOKUP($N78,Capa!$A:$AE,BI$5,0)="",0,VLOOKUP($N78,Capa!$A:$AE,BI$5,0)),0),IF(ISERROR(1/VLOOKUP($N78,Capa!$A:$AE,BI$5,0)),0,1/VLOOKUP($N78,Capa!$A:$AE,BI$5,0))))</f>
        <v/>
      </c>
      <c r="BJ78" s="118" t="str">
        <f>IF(BJ$6="","",IF(BJ$3="Maior",IFERROR(IF(VLOOKUP($N78,Capa!$A:$AE,BJ$5,0)="",0,VLOOKUP($N78,Capa!$A:$AE,BJ$5,0)),0),IF(ISERROR(1/VLOOKUP($N78,Capa!$A:$AE,BJ$5,0)),0,1/VLOOKUP($N78,Capa!$A:$AE,BJ$5,0))))</f>
        <v/>
      </c>
      <c r="BK78" s="118" t="str">
        <f>IF(BK$6="","",IF(BK$3="Maior",IFERROR(IF(VLOOKUP($N78,Capa!$A:$AE,BK$5,0)="",0,VLOOKUP($N78,Capa!$A:$AE,BK$5,0)),0),IF(ISERROR(1/VLOOKUP($N78,Capa!$A:$AE,BK$5,0)),0,1/VLOOKUP($N78,Capa!$A:$AE,BK$5,0))))</f>
        <v/>
      </c>
      <c r="BL78" s="118" t="str">
        <f>IF(BL$6="","",IF(BL$3="Maior",IFERROR(IF(VLOOKUP($N78,Capa!$A:$AE,BL$5,0)="",0,VLOOKUP($N78,Capa!$A:$AE,BL$5,0)),0),IF(ISERROR(1/VLOOKUP($N78,Capa!$A:$AE,BL$5,0)),0,1/VLOOKUP($N78,Capa!$A:$AE,BL$5,0))))</f>
        <v/>
      </c>
      <c r="BM78" s="118" t="str">
        <f>IF(BM$6="","",IF(BM$3="Maior",IFERROR(IF(VLOOKUP($N78,Capa!$A:$AE,BM$5,0)="",0,VLOOKUP($N78,Capa!$A:$AE,BM$5,0)),0),IF(ISERROR(1/VLOOKUP($N78,Capa!$A:$AE,BM$5,0)),0,1/VLOOKUP($N78,Capa!$A:$AE,BM$5,0))))</f>
        <v/>
      </c>
      <c r="BN78" s="118" t="str">
        <f>IF(BN$6="","",IF(BN$3="Maior",IFERROR(IF(VLOOKUP($N78,Capa!$A:$AE,BN$5,0)="",0,VLOOKUP($N78,Capa!$A:$AE,BN$5,0)),0),IF(ISERROR(1/VLOOKUP($N78,Capa!$A:$AE,BN$5,0)),0,1/VLOOKUP($N78,Capa!$A:$AE,BN$5,0))))</f>
        <v/>
      </c>
      <c r="BO78" s="92"/>
    </row>
    <row r="79">
      <c r="G79" s="11"/>
      <c r="H79" s="8">
        <v>73.0</v>
      </c>
      <c r="I79" s="110" t="str">
        <f t="shared" si="6"/>
        <v>SIMH3</v>
      </c>
      <c r="J79" s="111" t="str">
        <f>VLOOKUP(left(I79,4),Setor!A:D,3,0)&amp;" | "&amp;VLOOKUP(left(I79,4),Setor!A:D,4,0)</f>
        <v>Financeiro | Holdings Diversificadas</v>
      </c>
      <c r="K79" s="112">
        <f t="shared" si="7"/>
        <v>32281784.29</v>
      </c>
      <c r="L79" s="11"/>
      <c r="M79" s="11"/>
      <c r="N79" s="10" t="s">
        <v>125</v>
      </c>
      <c r="O79" s="113">
        <f t="shared" si="8"/>
        <v>577.0295</v>
      </c>
      <c r="P79" s="114">
        <f>VLOOKUP(N79,'Dados StatusInvest'!A:Z,26,0)</f>
        <v>71557817.25</v>
      </c>
      <c r="Q79" s="115">
        <f t="shared" si="9"/>
        <v>295.0295</v>
      </c>
      <c r="R79" s="116">
        <f t="shared" ref="R79:AO79" si="82">IF(AQ79="","", RANK(AQ79,AQ$7:AQ$503,0))</f>
        <v>270</v>
      </c>
      <c r="S79" s="115">
        <f t="shared" si="82"/>
        <v>12</v>
      </c>
      <c r="T79" s="115" t="str">
        <f t="shared" si="82"/>
        <v/>
      </c>
      <c r="U79" s="115" t="str">
        <f t="shared" si="82"/>
        <v/>
      </c>
      <c r="V79" s="115" t="str">
        <f t="shared" si="82"/>
        <v/>
      </c>
      <c r="W79" s="115" t="str">
        <f t="shared" si="82"/>
        <v/>
      </c>
      <c r="X79" s="115" t="str">
        <f t="shared" si="82"/>
        <v/>
      </c>
      <c r="Y79" s="115" t="str">
        <f t="shared" si="82"/>
        <v/>
      </c>
      <c r="Z79" s="115" t="str">
        <f t="shared" si="82"/>
        <v/>
      </c>
      <c r="AA79" s="115" t="str">
        <f t="shared" si="82"/>
        <v/>
      </c>
      <c r="AB79" s="115" t="str">
        <f t="shared" si="82"/>
        <v/>
      </c>
      <c r="AC79" s="115" t="str">
        <f t="shared" si="82"/>
        <v/>
      </c>
      <c r="AD79" s="115" t="str">
        <f t="shared" si="82"/>
        <v/>
      </c>
      <c r="AE79" s="115" t="str">
        <f t="shared" si="82"/>
        <v/>
      </c>
      <c r="AF79" s="115" t="str">
        <f t="shared" si="82"/>
        <v/>
      </c>
      <c r="AG79" s="115" t="str">
        <f t="shared" si="82"/>
        <v/>
      </c>
      <c r="AH79" s="115" t="str">
        <f t="shared" si="82"/>
        <v/>
      </c>
      <c r="AI79" s="115" t="str">
        <f t="shared" si="82"/>
        <v/>
      </c>
      <c r="AJ79" s="115" t="str">
        <f t="shared" si="82"/>
        <v/>
      </c>
      <c r="AK79" s="115" t="str">
        <f t="shared" si="82"/>
        <v/>
      </c>
      <c r="AL79" s="115" t="str">
        <f t="shared" si="82"/>
        <v/>
      </c>
      <c r="AM79" s="115" t="str">
        <f t="shared" si="82"/>
        <v/>
      </c>
      <c r="AN79" s="115" t="str">
        <f t="shared" si="82"/>
        <v/>
      </c>
      <c r="AO79" s="115" t="str">
        <f t="shared" si="82"/>
        <v/>
      </c>
      <c r="AP79" s="117">
        <f>IF(AP$6="","",IF(AP$3="Maior",IFERROR(IF(VLOOKUP($N79,Capa!$A:$AE,AP$5,0)="",0,VLOOKUP($N79,Capa!$A:$AE,AP$5,0)),0),IF(ISERROR(1/VLOOKUP($N79,Capa!$A:$AE,AP$5,0)),0,1/VLOOKUP($N79,Capa!$A:$AE,AP$5,0))))</f>
        <v>0.05764245974</v>
      </c>
      <c r="AQ79" s="118">
        <f>IF(AQ$6="","",IF(AQ$3="Maior",IFERROR(IF(VLOOKUP($N79,Capa!$A:$AE,AQ$5,0)="",0,VLOOKUP($N79,Capa!$A:$AE,AQ$5,0)),0),IF(ISERROR(1/VLOOKUP($N79,Capa!$A:$AE,AQ$5,0)),0,1/VLOOKUP($N79,Capa!$A:$AE,AQ$5,0))))</f>
        <v>6.89</v>
      </c>
      <c r="AR79" s="118">
        <f>IF(AR$6="","",IF(AR$3="Maior",IFERROR(IF(VLOOKUP($N79,Capa!$A:$AE,AR$5,0)="",0,VLOOKUP($N79,Capa!$A:$AE,AR$5,0)),0),IF(ISERROR(1/VLOOKUP($N79,Capa!$A:$AE,AR$5,0)),0,1/VLOOKUP($N79,Capa!$A:$AE,AR$5,0))))</f>
        <v>97.68</v>
      </c>
      <c r="AS79" s="118" t="str">
        <f>IF(AS$6="","",IF(AS$3="Maior",IFERROR(IF(VLOOKUP($N79,Capa!$A:$AE,AS$5,0)="",0,VLOOKUP($N79,Capa!$A:$AE,AS$5,0)),0),IF(ISERROR(1/VLOOKUP($N79,Capa!$A:$AE,AS$5,0)),0,1/VLOOKUP($N79,Capa!$A:$AE,AS$5,0))))</f>
        <v/>
      </c>
      <c r="AT79" s="118" t="str">
        <f>IF(AT$6="","",IF(AT$3="Maior",IFERROR(IF(VLOOKUP($N79,Capa!$A:$AE,AT$5,0)="",0,VLOOKUP($N79,Capa!$A:$AE,AT$5,0)),0),IF(ISERROR(1/VLOOKUP($N79,Capa!$A:$AE,AT$5,0)),0,1/VLOOKUP($N79,Capa!$A:$AE,AT$5,0))))</f>
        <v/>
      </c>
      <c r="AU79" s="118" t="str">
        <f>IF(AU$6="","",IF(AU$3="Maior",IFERROR(IF(VLOOKUP($N79,Capa!$A:$AE,AU$5,0)="",0,VLOOKUP($N79,Capa!$A:$AE,AU$5,0)),0),IF(ISERROR(1/VLOOKUP($N79,Capa!$A:$AE,AU$5,0)),0,1/VLOOKUP($N79,Capa!$A:$AE,AU$5,0))))</f>
        <v/>
      </c>
      <c r="AV79" s="118" t="str">
        <f>IF(AV$6="","",IF(AV$3="Maior",IFERROR(IF(VLOOKUP($N79,Capa!$A:$AE,AV$5,0)="",0,VLOOKUP($N79,Capa!$A:$AE,AV$5,0)),0),IF(ISERROR(1/VLOOKUP($N79,Capa!$A:$AE,AV$5,0)),0,1/VLOOKUP($N79,Capa!$A:$AE,AV$5,0))))</f>
        <v/>
      </c>
      <c r="AW79" s="118" t="str">
        <f>IF(AW$6="","",IF(AW$3="Maior",IFERROR(IF(VLOOKUP($N79,Capa!$A:$AE,AW$5,0)="",0,VLOOKUP($N79,Capa!$A:$AE,AW$5,0)),0),IF(ISERROR(1/VLOOKUP($N79,Capa!$A:$AE,AW$5,0)),0,1/VLOOKUP($N79,Capa!$A:$AE,AW$5,0))))</f>
        <v/>
      </c>
      <c r="AX79" s="118" t="str">
        <f>IF(AX$6="","",IF(AX$3="Maior",IFERROR(IF(VLOOKUP($N79,Capa!$A:$AE,AX$5,0)="",0,VLOOKUP($N79,Capa!$A:$AE,AX$5,0)),0),IF(ISERROR(1/VLOOKUP($N79,Capa!$A:$AE,AX$5,0)),0,1/VLOOKUP($N79,Capa!$A:$AE,AX$5,0))))</f>
        <v/>
      </c>
      <c r="AY79" s="118" t="str">
        <f>IF(AY$6="","",IF(AY$3="Maior",IFERROR(IF(VLOOKUP($N79,Capa!$A:$AE,AY$5,0)="",0,VLOOKUP($N79,Capa!$A:$AE,AY$5,0)),0),IF(ISERROR(1/VLOOKUP($N79,Capa!$A:$AE,AY$5,0)),0,1/VLOOKUP($N79,Capa!$A:$AE,AY$5,0))))</f>
        <v/>
      </c>
      <c r="AZ79" s="118" t="str">
        <f>IF(AZ$6="","",IF(AZ$3="Maior",IFERROR(IF(VLOOKUP($N79,Capa!$A:$AE,AZ$5,0)="",0,VLOOKUP($N79,Capa!$A:$AE,AZ$5,0)),0),IF(ISERROR(1/VLOOKUP($N79,Capa!$A:$AE,AZ$5,0)),0,1/VLOOKUP($N79,Capa!$A:$AE,AZ$5,0))))</f>
        <v/>
      </c>
      <c r="BA79" s="118" t="str">
        <f>IF(BA$6="","",IF(BA$3="Maior",IFERROR(IF(VLOOKUP($N79,Capa!$A:$AE,BA$5,0)="",0,VLOOKUP($N79,Capa!$A:$AE,BA$5,0)),0),IF(ISERROR(1/VLOOKUP($N79,Capa!$A:$AE,BA$5,0)),0,1/VLOOKUP($N79,Capa!$A:$AE,BA$5,0))))</f>
        <v/>
      </c>
      <c r="BB79" s="118" t="str">
        <f>IF(BB$6="","",IF(BB$3="Maior",IFERROR(IF(VLOOKUP($N79,Capa!$A:$AE,BB$5,0)="",0,VLOOKUP($N79,Capa!$A:$AE,BB$5,0)),0),IF(ISERROR(1/VLOOKUP($N79,Capa!$A:$AE,BB$5,0)),0,1/VLOOKUP($N79,Capa!$A:$AE,BB$5,0))))</f>
        <v/>
      </c>
      <c r="BC79" s="118" t="str">
        <f>IF(BC$6="","",IF(BC$3="Maior",IFERROR(IF(VLOOKUP($N79,Capa!$A:$AE,BC$5,0)="",0,VLOOKUP($N79,Capa!$A:$AE,BC$5,0)),0),IF(ISERROR(1/VLOOKUP($N79,Capa!$A:$AE,BC$5,0)),0,1/VLOOKUP($N79,Capa!$A:$AE,BC$5,0))))</f>
        <v/>
      </c>
      <c r="BD79" s="118" t="str">
        <f>IF(BD$6="","",IF(BD$3="Maior",IFERROR(IF(VLOOKUP($N79,Capa!$A:$AE,BD$5,0)="",0,VLOOKUP($N79,Capa!$A:$AE,BD$5,0)),0),IF(ISERROR(1/VLOOKUP($N79,Capa!$A:$AE,BD$5,0)),0,1/VLOOKUP($N79,Capa!$A:$AE,BD$5,0))))</f>
        <v/>
      </c>
      <c r="BE79" s="118" t="str">
        <f>IF(BE$6="","",IF(BE$3="Maior",IFERROR(IF(VLOOKUP($N79,Capa!$A:$AE,BE$5,0)="",0,VLOOKUP($N79,Capa!$A:$AE,BE$5,0)),0),IF(ISERROR(1/VLOOKUP($N79,Capa!$A:$AE,BE$5,0)),0,1/VLOOKUP($N79,Capa!$A:$AE,BE$5,0))))</f>
        <v/>
      </c>
      <c r="BF79" s="118" t="str">
        <f>IF(BF$6="","",IF(BF$3="Maior",IFERROR(IF(VLOOKUP($N79,Capa!$A:$AE,BF$5,0)="",0,VLOOKUP($N79,Capa!$A:$AE,BF$5,0)),0),IF(ISERROR(1/VLOOKUP($N79,Capa!$A:$AE,BF$5,0)),0,1/VLOOKUP($N79,Capa!$A:$AE,BF$5,0))))</f>
        <v/>
      </c>
      <c r="BG79" s="118" t="str">
        <f>IF(BG$6="","",IF(BG$3="Maior",IFERROR(IF(VLOOKUP($N79,Capa!$A:$AE,BG$5,0)="",0,VLOOKUP($N79,Capa!$A:$AE,BG$5,0)),0),IF(ISERROR(1/VLOOKUP($N79,Capa!$A:$AE,BG$5,0)),0,1/VLOOKUP($N79,Capa!$A:$AE,BG$5,0))))</f>
        <v/>
      </c>
      <c r="BH79" s="118" t="str">
        <f>IF(BH$6="","",IF(BH$3="Maior",IFERROR(IF(VLOOKUP($N79,Capa!$A:$AE,BH$5,0)="",0,VLOOKUP($N79,Capa!$A:$AE,BH$5,0)),0),IF(ISERROR(1/VLOOKUP($N79,Capa!$A:$AE,BH$5,0)),0,1/VLOOKUP($N79,Capa!$A:$AE,BH$5,0))))</f>
        <v/>
      </c>
      <c r="BI79" s="118" t="str">
        <f>IF(BI$6="","",IF(BI$3="Maior",IFERROR(IF(VLOOKUP($N79,Capa!$A:$AE,BI$5,0)="",0,VLOOKUP($N79,Capa!$A:$AE,BI$5,0)),0),IF(ISERROR(1/VLOOKUP($N79,Capa!$A:$AE,BI$5,0)),0,1/VLOOKUP($N79,Capa!$A:$AE,BI$5,0))))</f>
        <v/>
      </c>
      <c r="BJ79" s="118" t="str">
        <f>IF(BJ$6="","",IF(BJ$3="Maior",IFERROR(IF(VLOOKUP($N79,Capa!$A:$AE,BJ$5,0)="",0,VLOOKUP($N79,Capa!$A:$AE,BJ$5,0)),0),IF(ISERROR(1/VLOOKUP($N79,Capa!$A:$AE,BJ$5,0)),0,1/VLOOKUP($N79,Capa!$A:$AE,BJ$5,0))))</f>
        <v/>
      </c>
      <c r="BK79" s="118" t="str">
        <f>IF(BK$6="","",IF(BK$3="Maior",IFERROR(IF(VLOOKUP($N79,Capa!$A:$AE,BK$5,0)="",0,VLOOKUP($N79,Capa!$A:$AE,BK$5,0)),0),IF(ISERROR(1/VLOOKUP($N79,Capa!$A:$AE,BK$5,0)),0,1/VLOOKUP($N79,Capa!$A:$AE,BK$5,0))))</f>
        <v/>
      </c>
      <c r="BL79" s="118" t="str">
        <f>IF(BL$6="","",IF(BL$3="Maior",IFERROR(IF(VLOOKUP($N79,Capa!$A:$AE,BL$5,0)="",0,VLOOKUP($N79,Capa!$A:$AE,BL$5,0)),0),IF(ISERROR(1/VLOOKUP($N79,Capa!$A:$AE,BL$5,0)),0,1/VLOOKUP($N79,Capa!$A:$AE,BL$5,0))))</f>
        <v/>
      </c>
      <c r="BM79" s="118" t="str">
        <f>IF(BM$6="","",IF(BM$3="Maior",IFERROR(IF(VLOOKUP($N79,Capa!$A:$AE,BM$5,0)="",0,VLOOKUP($N79,Capa!$A:$AE,BM$5,0)),0),IF(ISERROR(1/VLOOKUP($N79,Capa!$A:$AE,BM$5,0)),0,1/VLOOKUP($N79,Capa!$A:$AE,BM$5,0))))</f>
        <v/>
      </c>
      <c r="BN79" s="118" t="str">
        <f>IF(BN$6="","",IF(BN$3="Maior",IFERROR(IF(VLOOKUP($N79,Capa!$A:$AE,BN$5,0)="",0,VLOOKUP($N79,Capa!$A:$AE,BN$5,0)),0),IF(ISERROR(1/VLOOKUP($N79,Capa!$A:$AE,BN$5,0)),0,1/VLOOKUP($N79,Capa!$A:$AE,BN$5,0))))</f>
        <v/>
      </c>
      <c r="BO79" s="92"/>
    </row>
    <row r="80">
      <c r="G80" s="11"/>
      <c r="H80" s="8">
        <v>74.0</v>
      </c>
      <c r="I80" s="110" t="str">
        <f t="shared" si="6"/>
        <v>VIIA3</v>
      </c>
      <c r="J80" s="111" t="str">
        <f>VLOOKUP(left(I80,4),Setor!A:D,3,0)&amp;" | "&amp;VLOOKUP(left(I80,4),Setor!A:D,4,0)</f>
        <v>#N/A</v>
      </c>
      <c r="K80" s="112">
        <f t="shared" si="7"/>
        <v>325922620</v>
      </c>
      <c r="L80" s="11"/>
      <c r="M80" s="11"/>
      <c r="N80" s="10" t="s">
        <v>126</v>
      </c>
      <c r="O80" s="113">
        <f t="shared" si="8"/>
        <v>999.0351</v>
      </c>
      <c r="P80" s="114">
        <f>VLOOKUP(N80,'Dados StatusInvest'!A:Z,26,0)</f>
        <v>78201210.33</v>
      </c>
      <c r="Q80" s="115">
        <f t="shared" si="9"/>
        <v>351.0351</v>
      </c>
      <c r="R80" s="116">
        <f t="shared" ref="R80:AO80" si="83">IF(AQ80="","", RANK(AQ80,AQ$7:AQ$503,0))</f>
        <v>429</v>
      </c>
      <c r="S80" s="115">
        <f t="shared" si="83"/>
        <v>219</v>
      </c>
      <c r="T80" s="115" t="str">
        <f t="shared" si="83"/>
        <v/>
      </c>
      <c r="U80" s="115" t="str">
        <f t="shared" si="83"/>
        <v/>
      </c>
      <c r="V80" s="115" t="str">
        <f t="shared" si="83"/>
        <v/>
      </c>
      <c r="W80" s="115" t="str">
        <f t="shared" si="83"/>
        <v/>
      </c>
      <c r="X80" s="115" t="str">
        <f t="shared" si="83"/>
        <v/>
      </c>
      <c r="Y80" s="115" t="str">
        <f t="shared" si="83"/>
        <v/>
      </c>
      <c r="Z80" s="115" t="str">
        <f t="shared" si="83"/>
        <v/>
      </c>
      <c r="AA80" s="115" t="str">
        <f t="shared" si="83"/>
        <v/>
      </c>
      <c r="AB80" s="115" t="str">
        <f t="shared" si="83"/>
        <v/>
      </c>
      <c r="AC80" s="115" t="str">
        <f t="shared" si="83"/>
        <v/>
      </c>
      <c r="AD80" s="115" t="str">
        <f t="shared" si="83"/>
        <v/>
      </c>
      <c r="AE80" s="115" t="str">
        <f t="shared" si="83"/>
        <v/>
      </c>
      <c r="AF80" s="115" t="str">
        <f t="shared" si="83"/>
        <v/>
      </c>
      <c r="AG80" s="115" t="str">
        <f t="shared" si="83"/>
        <v/>
      </c>
      <c r="AH80" s="115" t="str">
        <f t="shared" si="83"/>
        <v/>
      </c>
      <c r="AI80" s="115" t="str">
        <f t="shared" si="83"/>
        <v/>
      </c>
      <c r="AJ80" s="115" t="str">
        <f t="shared" si="83"/>
        <v/>
      </c>
      <c r="AK80" s="115" t="str">
        <f t="shared" si="83"/>
        <v/>
      </c>
      <c r="AL80" s="115" t="str">
        <f t="shared" si="83"/>
        <v/>
      </c>
      <c r="AM80" s="115" t="str">
        <f t="shared" si="83"/>
        <v/>
      </c>
      <c r="AN80" s="115" t="str">
        <f t="shared" si="83"/>
        <v/>
      </c>
      <c r="AO80" s="115" t="str">
        <f t="shared" si="83"/>
        <v/>
      </c>
      <c r="AP80" s="117">
        <f>IF(AP$6="","",IF(AP$3="Maior",IFERROR(IF(VLOOKUP($N80,Capa!$A:$AE,AP$5,0)="",0,VLOOKUP($N80,Capa!$A:$AE,AP$5,0)),0),IF(ISERROR(1/VLOOKUP($N80,Capa!$A:$AE,AP$5,0)),0,1/VLOOKUP($N80,Capa!$A:$AE,AP$5,0))))</f>
        <v>0.03084407713</v>
      </c>
      <c r="AQ80" s="118">
        <f>IF(AQ$6="","",IF(AQ$3="Maior",IFERROR(IF(VLOOKUP($N80,Capa!$A:$AE,AQ$5,0)="",0,VLOOKUP($N80,Capa!$A:$AE,AQ$5,0)),0),IF(ISERROR(1/VLOOKUP($N80,Capa!$A:$AE,AQ$5,0)),0,1/VLOOKUP($N80,Capa!$A:$AE,AQ$5,0))))</f>
        <v>-0.5</v>
      </c>
      <c r="AR80" s="118">
        <f>IF(AR$6="","",IF(AR$3="Maior",IFERROR(IF(VLOOKUP($N80,Capa!$A:$AE,AR$5,0)="",0,VLOOKUP($N80,Capa!$A:$AE,AR$5,0)),0),IF(ISERROR(1/VLOOKUP($N80,Capa!$A:$AE,AR$5,0)),0,1/VLOOKUP($N80,Capa!$A:$AE,AR$5,0))))</f>
        <v>0</v>
      </c>
      <c r="AS80" s="118" t="str">
        <f>IF(AS$6="","",IF(AS$3="Maior",IFERROR(IF(VLOOKUP($N80,Capa!$A:$AE,AS$5,0)="",0,VLOOKUP($N80,Capa!$A:$AE,AS$5,0)),0),IF(ISERROR(1/VLOOKUP($N80,Capa!$A:$AE,AS$5,0)),0,1/VLOOKUP($N80,Capa!$A:$AE,AS$5,0))))</f>
        <v/>
      </c>
      <c r="AT80" s="118" t="str">
        <f>IF(AT$6="","",IF(AT$3="Maior",IFERROR(IF(VLOOKUP($N80,Capa!$A:$AE,AT$5,0)="",0,VLOOKUP($N80,Capa!$A:$AE,AT$5,0)),0),IF(ISERROR(1/VLOOKUP($N80,Capa!$A:$AE,AT$5,0)),0,1/VLOOKUP($N80,Capa!$A:$AE,AT$5,0))))</f>
        <v/>
      </c>
      <c r="AU80" s="118" t="str">
        <f>IF(AU$6="","",IF(AU$3="Maior",IFERROR(IF(VLOOKUP($N80,Capa!$A:$AE,AU$5,0)="",0,VLOOKUP($N80,Capa!$A:$AE,AU$5,0)),0),IF(ISERROR(1/VLOOKUP($N80,Capa!$A:$AE,AU$5,0)),0,1/VLOOKUP($N80,Capa!$A:$AE,AU$5,0))))</f>
        <v/>
      </c>
      <c r="AV80" s="118" t="str">
        <f>IF(AV$6="","",IF(AV$3="Maior",IFERROR(IF(VLOOKUP($N80,Capa!$A:$AE,AV$5,0)="",0,VLOOKUP($N80,Capa!$A:$AE,AV$5,0)),0),IF(ISERROR(1/VLOOKUP($N80,Capa!$A:$AE,AV$5,0)),0,1/VLOOKUP($N80,Capa!$A:$AE,AV$5,0))))</f>
        <v/>
      </c>
      <c r="AW80" s="118" t="str">
        <f>IF(AW$6="","",IF(AW$3="Maior",IFERROR(IF(VLOOKUP($N80,Capa!$A:$AE,AW$5,0)="",0,VLOOKUP($N80,Capa!$A:$AE,AW$5,0)),0),IF(ISERROR(1/VLOOKUP($N80,Capa!$A:$AE,AW$5,0)),0,1/VLOOKUP($N80,Capa!$A:$AE,AW$5,0))))</f>
        <v/>
      </c>
      <c r="AX80" s="118" t="str">
        <f>IF(AX$6="","",IF(AX$3="Maior",IFERROR(IF(VLOOKUP($N80,Capa!$A:$AE,AX$5,0)="",0,VLOOKUP($N80,Capa!$A:$AE,AX$5,0)),0),IF(ISERROR(1/VLOOKUP($N80,Capa!$A:$AE,AX$5,0)),0,1/VLOOKUP($N80,Capa!$A:$AE,AX$5,0))))</f>
        <v/>
      </c>
      <c r="AY80" s="118" t="str">
        <f>IF(AY$6="","",IF(AY$3="Maior",IFERROR(IF(VLOOKUP($N80,Capa!$A:$AE,AY$5,0)="",0,VLOOKUP($N80,Capa!$A:$AE,AY$5,0)),0),IF(ISERROR(1/VLOOKUP($N80,Capa!$A:$AE,AY$5,0)),0,1/VLOOKUP($N80,Capa!$A:$AE,AY$5,0))))</f>
        <v/>
      </c>
      <c r="AZ80" s="118" t="str">
        <f>IF(AZ$6="","",IF(AZ$3="Maior",IFERROR(IF(VLOOKUP($N80,Capa!$A:$AE,AZ$5,0)="",0,VLOOKUP($N80,Capa!$A:$AE,AZ$5,0)),0),IF(ISERROR(1/VLOOKUP($N80,Capa!$A:$AE,AZ$5,0)),0,1/VLOOKUP($N80,Capa!$A:$AE,AZ$5,0))))</f>
        <v/>
      </c>
      <c r="BA80" s="118" t="str">
        <f>IF(BA$6="","",IF(BA$3="Maior",IFERROR(IF(VLOOKUP($N80,Capa!$A:$AE,BA$5,0)="",0,VLOOKUP($N80,Capa!$A:$AE,BA$5,0)),0),IF(ISERROR(1/VLOOKUP($N80,Capa!$A:$AE,BA$5,0)),0,1/VLOOKUP($N80,Capa!$A:$AE,BA$5,0))))</f>
        <v/>
      </c>
      <c r="BB80" s="118" t="str">
        <f>IF(BB$6="","",IF(BB$3="Maior",IFERROR(IF(VLOOKUP($N80,Capa!$A:$AE,BB$5,0)="",0,VLOOKUP($N80,Capa!$A:$AE,BB$5,0)),0),IF(ISERROR(1/VLOOKUP($N80,Capa!$A:$AE,BB$5,0)),0,1/VLOOKUP($N80,Capa!$A:$AE,BB$5,0))))</f>
        <v/>
      </c>
      <c r="BC80" s="118" t="str">
        <f>IF(BC$6="","",IF(BC$3="Maior",IFERROR(IF(VLOOKUP($N80,Capa!$A:$AE,BC$5,0)="",0,VLOOKUP($N80,Capa!$A:$AE,BC$5,0)),0),IF(ISERROR(1/VLOOKUP($N80,Capa!$A:$AE,BC$5,0)),0,1/VLOOKUP($N80,Capa!$A:$AE,BC$5,0))))</f>
        <v/>
      </c>
      <c r="BD80" s="118" t="str">
        <f>IF(BD$6="","",IF(BD$3="Maior",IFERROR(IF(VLOOKUP($N80,Capa!$A:$AE,BD$5,0)="",0,VLOOKUP($N80,Capa!$A:$AE,BD$5,0)),0),IF(ISERROR(1/VLOOKUP($N80,Capa!$A:$AE,BD$5,0)),0,1/VLOOKUP($N80,Capa!$A:$AE,BD$5,0))))</f>
        <v/>
      </c>
      <c r="BE80" s="118" t="str">
        <f>IF(BE$6="","",IF(BE$3="Maior",IFERROR(IF(VLOOKUP($N80,Capa!$A:$AE,BE$5,0)="",0,VLOOKUP($N80,Capa!$A:$AE,BE$5,0)),0),IF(ISERROR(1/VLOOKUP($N80,Capa!$A:$AE,BE$5,0)),0,1/VLOOKUP($N80,Capa!$A:$AE,BE$5,0))))</f>
        <v/>
      </c>
      <c r="BF80" s="118" t="str">
        <f>IF(BF$6="","",IF(BF$3="Maior",IFERROR(IF(VLOOKUP($N80,Capa!$A:$AE,BF$5,0)="",0,VLOOKUP($N80,Capa!$A:$AE,BF$5,0)),0),IF(ISERROR(1/VLOOKUP($N80,Capa!$A:$AE,BF$5,0)),0,1/VLOOKUP($N80,Capa!$A:$AE,BF$5,0))))</f>
        <v/>
      </c>
      <c r="BG80" s="118" t="str">
        <f>IF(BG$6="","",IF(BG$3="Maior",IFERROR(IF(VLOOKUP($N80,Capa!$A:$AE,BG$5,0)="",0,VLOOKUP($N80,Capa!$A:$AE,BG$5,0)),0),IF(ISERROR(1/VLOOKUP($N80,Capa!$A:$AE,BG$5,0)),0,1/VLOOKUP($N80,Capa!$A:$AE,BG$5,0))))</f>
        <v/>
      </c>
      <c r="BH80" s="118" t="str">
        <f>IF(BH$6="","",IF(BH$3="Maior",IFERROR(IF(VLOOKUP($N80,Capa!$A:$AE,BH$5,0)="",0,VLOOKUP($N80,Capa!$A:$AE,BH$5,0)),0),IF(ISERROR(1/VLOOKUP($N80,Capa!$A:$AE,BH$5,0)),0,1/VLOOKUP($N80,Capa!$A:$AE,BH$5,0))))</f>
        <v/>
      </c>
      <c r="BI80" s="118" t="str">
        <f>IF(BI$6="","",IF(BI$3="Maior",IFERROR(IF(VLOOKUP($N80,Capa!$A:$AE,BI$5,0)="",0,VLOOKUP($N80,Capa!$A:$AE,BI$5,0)),0),IF(ISERROR(1/VLOOKUP($N80,Capa!$A:$AE,BI$5,0)),0,1/VLOOKUP($N80,Capa!$A:$AE,BI$5,0))))</f>
        <v/>
      </c>
      <c r="BJ80" s="118" t="str">
        <f>IF(BJ$6="","",IF(BJ$3="Maior",IFERROR(IF(VLOOKUP($N80,Capa!$A:$AE,BJ$5,0)="",0,VLOOKUP($N80,Capa!$A:$AE,BJ$5,0)),0),IF(ISERROR(1/VLOOKUP($N80,Capa!$A:$AE,BJ$5,0)),0,1/VLOOKUP($N80,Capa!$A:$AE,BJ$5,0))))</f>
        <v/>
      </c>
      <c r="BK80" s="118" t="str">
        <f>IF(BK$6="","",IF(BK$3="Maior",IFERROR(IF(VLOOKUP($N80,Capa!$A:$AE,BK$5,0)="",0,VLOOKUP($N80,Capa!$A:$AE,BK$5,0)),0),IF(ISERROR(1/VLOOKUP($N80,Capa!$A:$AE,BK$5,0)),0,1/VLOOKUP($N80,Capa!$A:$AE,BK$5,0))))</f>
        <v/>
      </c>
      <c r="BL80" s="118" t="str">
        <f>IF(BL$6="","",IF(BL$3="Maior",IFERROR(IF(VLOOKUP($N80,Capa!$A:$AE,BL$5,0)="",0,VLOOKUP($N80,Capa!$A:$AE,BL$5,0)),0),IF(ISERROR(1/VLOOKUP($N80,Capa!$A:$AE,BL$5,0)),0,1/VLOOKUP($N80,Capa!$A:$AE,BL$5,0))))</f>
        <v/>
      </c>
      <c r="BM80" s="118" t="str">
        <f>IF(BM$6="","",IF(BM$3="Maior",IFERROR(IF(VLOOKUP($N80,Capa!$A:$AE,BM$5,0)="",0,VLOOKUP($N80,Capa!$A:$AE,BM$5,0)),0),IF(ISERROR(1/VLOOKUP($N80,Capa!$A:$AE,BM$5,0)),0,1/VLOOKUP($N80,Capa!$A:$AE,BM$5,0))))</f>
        <v/>
      </c>
      <c r="BN80" s="118" t="str">
        <f>IF(BN$6="","",IF(BN$3="Maior",IFERROR(IF(VLOOKUP($N80,Capa!$A:$AE,BN$5,0)="",0,VLOOKUP($N80,Capa!$A:$AE,BN$5,0)),0),IF(ISERROR(1/VLOOKUP($N80,Capa!$A:$AE,BN$5,0)),0,1/VLOOKUP($N80,Capa!$A:$AE,BN$5,0))))</f>
        <v/>
      </c>
      <c r="BO80" s="92"/>
    </row>
    <row r="81">
      <c r="G81" s="11"/>
      <c r="H81" s="8">
        <v>75.0</v>
      </c>
      <c r="I81" s="110" t="str">
        <f t="shared" si="6"/>
        <v>MOVI3</v>
      </c>
      <c r="J81" s="111" t="str">
        <f>VLOOKUP(left(I81,4),Setor!A:D,3,0)&amp;" | "&amp;VLOOKUP(left(I81,4),Setor!A:D,4,0)</f>
        <v>Consumo Cíclico | Diversos</v>
      </c>
      <c r="K81" s="112">
        <f t="shared" si="7"/>
        <v>46169447.83</v>
      </c>
      <c r="L81" s="11"/>
      <c r="M81" s="11"/>
      <c r="N81" s="10" t="s">
        <v>127</v>
      </c>
      <c r="O81" s="113">
        <f t="shared" si="8"/>
        <v>538.0216</v>
      </c>
      <c r="P81" s="114">
        <f>VLOOKUP(N81,'Dados StatusInvest'!A:Z,26,0)</f>
        <v>62817564.33</v>
      </c>
      <c r="Q81" s="115">
        <f t="shared" si="9"/>
        <v>216.0216</v>
      </c>
      <c r="R81" s="116">
        <f t="shared" ref="R81:AO81" si="84">IF(AQ81="","", RANK(AQ81,AQ$7:AQ$503,0))</f>
        <v>166</v>
      </c>
      <c r="S81" s="115">
        <f t="shared" si="84"/>
        <v>156</v>
      </c>
      <c r="T81" s="115" t="str">
        <f t="shared" si="84"/>
        <v/>
      </c>
      <c r="U81" s="115" t="str">
        <f t="shared" si="84"/>
        <v/>
      </c>
      <c r="V81" s="115" t="str">
        <f t="shared" si="84"/>
        <v/>
      </c>
      <c r="W81" s="115" t="str">
        <f t="shared" si="84"/>
        <v/>
      </c>
      <c r="X81" s="115" t="str">
        <f t="shared" si="84"/>
        <v/>
      </c>
      <c r="Y81" s="115" t="str">
        <f t="shared" si="84"/>
        <v/>
      </c>
      <c r="Z81" s="115" t="str">
        <f t="shared" si="84"/>
        <v/>
      </c>
      <c r="AA81" s="115" t="str">
        <f t="shared" si="84"/>
        <v/>
      </c>
      <c r="AB81" s="115" t="str">
        <f t="shared" si="84"/>
        <v/>
      </c>
      <c r="AC81" s="115" t="str">
        <f t="shared" si="84"/>
        <v/>
      </c>
      <c r="AD81" s="115" t="str">
        <f t="shared" si="84"/>
        <v/>
      </c>
      <c r="AE81" s="115" t="str">
        <f t="shared" si="84"/>
        <v/>
      </c>
      <c r="AF81" s="115" t="str">
        <f t="shared" si="84"/>
        <v/>
      </c>
      <c r="AG81" s="115" t="str">
        <f t="shared" si="84"/>
        <v/>
      </c>
      <c r="AH81" s="115" t="str">
        <f t="shared" si="84"/>
        <v/>
      </c>
      <c r="AI81" s="115" t="str">
        <f t="shared" si="84"/>
        <v/>
      </c>
      <c r="AJ81" s="115" t="str">
        <f t="shared" si="84"/>
        <v/>
      </c>
      <c r="AK81" s="115" t="str">
        <f t="shared" si="84"/>
        <v/>
      </c>
      <c r="AL81" s="115" t="str">
        <f t="shared" si="84"/>
        <v/>
      </c>
      <c r="AM81" s="115" t="str">
        <f t="shared" si="84"/>
        <v/>
      </c>
      <c r="AN81" s="115" t="str">
        <f t="shared" si="84"/>
        <v/>
      </c>
      <c r="AO81" s="115" t="str">
        <f t="shared" si="84"/>
        <v/>
      </c>
      <c r="AP81" s="117">
        <f>IF(AP$6="","",IF(AP$3="Maior",IFERROR(IF(VLOOKUP($N81,Capa!$A:$AE,AP$5,0)="",0,VLOOKUP($N81,Capa!$A:$AE,AP$5,0)),0),IF(ISERROR(1/VLOOKUP($N81,Capa!$A:$AE,AP$5,0)),0,1/VLOOKUP($N81,Capa!$A:$AE,AP$5,0))))</f>
        <v>0.09777465507</v>
      </c>
      <c r="AQ81" s="118">
        <f>IF(AQ$6="","",IF(AQ$3="Maior",IFERROR(IF(VLOOKUP($N81,Capa!$A:$AE,AQ$5,0)="",0,VLOOKUP($N81,Capa!$A:$AE,AQ$5,0)),0),IF(ISERROR(1/VLOOKUP($N81,Capa!$A:$AE,AQ$5,0)),0,1/VLOOKUP($N81,Capa!$A:$AE,AQ$5,0))))</f>
        <v>13.27</v>
      </c>
      <c r="AR81" s="118">
        <f>IF(AR$6="","",IF(AR$3="Maior",IFERROR(IF(VLOOKUP($N81,Capa!$A:$AE,AR$5,0)="",0,VLOOKUP($N81,Capa!$A:$AE,AR$5,0)),0),IF(ISERROR(1/VLOOKUP($N81,Capa!$A:$AE,AR$5,0)),0,1/VLOOKUP($N81,Capa!$A:$AE,AR$5,0))))</f>
        <v>12.01</v>
      </c>
      <c r="AS81" s="118" t="str">
        <f>IF(AS$6="","",IF(AS$3="Maior",IFERROR(IF(VLOOKUP($N81,Capa!$A:$AE,AS$5,0)="",0,VLOOKUP($N81,Capa!$A:$AE,AS$5,0)),0),IF(ISERROR(1/VLOOKUP($N81,Capa!$A:$AE,AS$5,0)),0,1/VLOOKUP($N81,Capa!$A:$AE,AS$5,0))))</f>
        <v/>
      </c>
      <c r="AT81" s="118" t="str">
        <f>IF(AT$6="","",IF(AT$3="Maior",IFERROR(IF(VLOOKUP($N81,Capa!$A:$AE,AT$5,0)="",0,VLOOKUP($N81,Capa!$A:$AE,AT$5,0)),0),IF(ISERROR(1/VLOOKUP($N81,Capa!$A:$AE,AT$5,0)),0,1/VLOOKUP($N81,Capa!$A:$AE,AT$5,0))))</f>
        <v/>
      </c>
      <c r="AU81" s="118" t="str">
        <f>IF(AU$6="","",IF(AU$3="Maior",IFERROR(IF(VLOOKUP($N81,Capa!$A:$AE,AU$5,0)="",0,VLOOKUP($N81,Capa!$A:$AE,AU$5,0)),0),IF(ISERROR(1/VLOOKUP($N81,Capa!$A:$AE,AU$5,0)),0,1/VLOOKUP($N81,Capa!$A:$AE,AU$5,0))))</f>
        <v/>
      </c>
      <c r="AV81" s="118" t="str">
        <f>IF(AV$6="","",IF(AV$3="Maior",IFERROR(IF(VLOOKUP($N81,Capa!$A:$AE,AV$5,0)="",0,VLOOKUP($N81,Capa!$A:$AE,AV$5,0)),0),IF(ISERROR(1/VLOOKUP($N81,Capa!$A:$AE,AV$5,0)),0,1/VLOOKUP($N81,Capa!$A:$AE,AV$5,0))))</f>
        <v/>
      </c>
      <c r="AW81" s="118" t="str">
        <f>IF(AW$6="","",IF(AW$3="Maior",IFERROR(IF(VLOOKUP($N81,Capa!$A:$AE,AW$5,0)="",0,VLOOKUP($N81,Capa!$A:$AE,AW$5,0)),0),IF(ISERROR(1/VLOOKUP($N81,Capa!$A:$AE,AW$5,0)),0,1/VLOOKUP($N81,Capa!$A:$AE,AW$5,0))))</f>
        <v/>
      </c>
      <c r="AX81" s="118" t="str">
        <f>IF(AX$6="","",IF(AX$3="Maior",IFERROR(IF(VLOOKUP($N81,Capa!$A:$AE,AX$5,0)="",0,VLOOKUP($N81,Capa!$A:$AE,AX$5,0)),0),IF(ISERROR(1/VLOOKUP($N81,Capa!$A:$AE,AX$5,0)),0,1/VLOOKUP($N81,Capa!$A:$AE,AX$5,0))))</f>
        <v/>
      </c>
      <c r="AY81" s="118" t="str">
        <f>IF(AY$6="","",IF(AY$3="Maior",IFERROR(IF(VLOOKUP($N81,Capa!$A:$AE,AY$5,0)="",0,VLOOKUP($N81,Capa!$A:$AE,AY$5,0)),0),IF(ISERROR(1/VLOOKUP($N81,Capa!$A:$AE,AY$5,0)),0,1/VLOOKUP($N81,Capa!$A:$AE,AY$5,0))))</f>
        <v/>
      </c>
      <c r="AZ81" s="118" t="str">
        <f>IF(AZ$6="","",IF(AZ$3="Maior",IFERROR(IF(VLOOKUP($N81,Capa!$A:$AE,AZ$5,0)="",0,VLOOKUP($N81,Capa!$A:$AE,AZ$5,0)),0),IF(ISERROR(1/VLOOKUP($N81,Capa!$A:$AE,AZ$5,0)),0,1/VLOOKUP($N81,Capa!$A:$AE,AZ$5,0))))</f>
        <v/>
      </c>
      <c r="BA81" s="118" t="str">
        <f>IF(BA$6="","",IF(BA$3="Maior",IFERROR(IF(VLOOKUP($N81,Capa!$A:$AE,BA$5,0)="",0,VLOOKUP($N81,Capa!$A:$AE,BA$5,0)),0),IF(ISERROR(1/VLOOKUP($N81,Capa!$A:$AE,BA$5,0)),0,1/VLOOKUP($N81,Capa!$A:$AE,BA$5,0))))</f>
        <v/>
      </c>
      <c r="BB81" s="118" t="str">
        <f>IF(BB$6="","",IF(BB$3="Maior",IFERROR(IF(VLOOKUP($N81,Capa!$A:$AE,BB$5,0)="",0,VLOOKUP($N81,Capa!$A:$AE,BB$5,0)),0),IF(ISERROR(1/VLOOKUP($N81,Capa!$A:$AE,BB$5,0)),0,1/VLOOKUP($N81,Capa!$A:$AE,BB$5,0))))</f>
        <v/>
      </c>
      <c r="BC81" s="118" t="str">
        <f>IF(BC$6="","",IF(BC$3="Maior",IFERROR(IF(VLOOKUP($N81,Capa!$A:$AE,BC$5,0)="",0,VLOOKUP($N81,Capa!$A:$AE,BC$5,0)),0),IF(ISERROR(1/VLOOKUP($N81,Capa!$A:$AE,BC$5,0)),0,1/VLOOKUP($N81,Capa!$A:$AE,BC$5,0))))</f>
        <v/>
      </c>
      <c r="BD81" s="118" t="str">
        <f>IF(BD$6="","",IF(BD$3="Maior",IFERROR(IF(VLOOKUP($N81,Capa!$A:$AE,BD$5,0)="",0,VLOOKUP($N81,Capa!$A:$AE,BD$5,0)),0),IF(ISERROR(1/VLOOKUP($N81,Capa!$A:$AE,BD$5,0)),0,1/VLOOKUP($N81,Capa!$A:$AE,BD$5,0))))</f>
        <v/>
      </c>
      <c r="BE81" s="118" t="str">
        <f>IF(BE$6="","",IF(BE$3="Maior",IFERROR(IF(VLOOKUP($N81,Capa!$A:$AE,BE$5,0)="",0,VLOOKUP($N81,Capa!$A:$AE,BE$5,0)),0),IF(ISERROR(1/VLOOKUP($N81,Capa!$A:$AE,BE$5,0)),0,1/VLOOKUP($N81,Capa!$A:$AE,BE$5,0))))</f>
        <v/>
      </c>
      <c r="BF81" s="118" t="str">
        <f>IF(BF$6="","",IF(BF$3="Maior",IFERROR(IF(VLOOKUP($N81,Capa!$A:$AE,BF$5,0)="",0,VLOOKUP($N81,Capa!$A:$AE,BF$5,0)),0),IF(ISERROR(1/VLOOKUP($N81,Capa!$A:$AE,BF$5,0)),0,1/VLOOKUP($N81,Capa!$A:$AE,BF$5,0))))</f>
        <v/>
      </c>
      <c r="BG81" s="118" t="str">
        <f>IF(BG$6="","",IF(BG$3="Maior",IFERROR(IF(VLOOKUP($N81,Capa!$A:$AE,BG$5,0)="",0,VLOOKUP($N81,Capa!$A:$AE,BG$5,0)),0),IF(ISERROR(1/VLOOKUP($N81,Capa!$A:$AE,BG$5,0)),0,1/VLOOKUP($N81,Capa!$A:$AE,BG$5,0))))</f>
        <v/>
      </c>
      <c r="BH81" s="118" t="str">
        <f>IF(BH$6="","",IF(BH$3="Maior",IFERROR(IF(VLOOKUP($N81,Capa!$A:$AE,BH$5,0)="",0,VLOOKUP($N81,Capa!$A:$AE,BH$5,0)),0),IF(ISERROR(1/VLOOKUP($N81,Capa!$A:$AE,BH$5,0)),0,1/VLOOKUP($N81,Capa!$A:$AE,BH$5,0))))</f>
        <v/>
      </c>
      <c r="BI81" s="118" t="str">
        <f>IF(BI$6="","",IF(BI$3="Maior",IFERROR(IF(VLOOKUP($N81,Capa!$A:$AE,BI$5,0)="",0,VLOOKUP($N81,Capa!$A:$AE,BI$5,0)),0),IF(ISERROR(1/VLOOKUP($N81,Capa!$A:$AE,BI$5,0)),0,1/VLOOKUP($N81,Capa!$A:$AE,BI$5,0))))</f>
        <v/>
      </c>
      <c r="BJ81" s="118" t="str">
        <f>IF(BJ$6="","",IF(BJ$3="Maior",IFERROR(IF(VLOOKUP($N81,Capa!$A:$AE,BJ$5,0)="",0,VLOOKUP($N81,Capa!$A:$AE,BJ$5,0)),0),IF(ISERROR(1/VLOOKUP($N81,Capa!$A:$AE,BJ$5,0)),0,1/VLOOKUP($N81,Capa!$A:$AE,BJ$5,0))))</f>
        <v/>
      </c>
      <c r="BK81" s="118" t="str">
        <f>IF(BK$6="","",IF(BK$3="Maior",IFERROR(IF(VLOOKUP($N81,Capa!$A:$AE,BK$5,0)="",0,VLOOKUP($N81,Capa!$A:$AE,BK$5,0)),0),IF(ISERROR(1/VLOOKUP($N81,Capa!$A:$AE,BK$5,0)),0,1/VLOOKUP($N81,Capa!$A:$AE,BK$5,0))))</f>
        <v/>
      </c>
      <c r="BL81" s="118" t="str">
        <f>IF(BL$6="","",IF(BL$3="Maior",IFERROR(IF(VLOOKUP($N81,Capa!$A:$AE,BL$5,0)="",0,VLOOKUP($N81,Capa!$A:$AE,BL$5,0)),0),IF(ISERROR(1/VLOOKUP($N81,Capa!$A:$AE,BL$5,0)),0,1/VLOOKUP($N81,Capa!$A:$AE,BL$5,0))))</f>
        <v/>
      </c>
      <c r="BM81" s="118" t="str">
        <f>IF(BM$6="","",IF(BM$3="Maior",IFERROR(IF(VLOOKUP($N81,Capa!$A:$AE,BM$5,0)="",0,VLOOKUP($N81,Capa!$A:$AE,BM$5,0)),0),IF(ISERROR(1/VLOOKUP($N81,Capa!$A:$AE,BM$5,0)),0,1/VLOOKUP($N81,Capa!$A:$AE,BM$5,0))))</f>
        <v/>
      </c>
      <c r="BN81" s="118" t="str">
        <f>IF(BN$6="","",IF(BN$3="Maior",IFERROR(IF(VLOOKUP($N81,Capa!$A:$AE,BN$5,0)="",0,VLOOKUP($N81,Capa!$A:$AE,BN$5,0)),0),IF(ISERROR(1/VLOOKUP($N81,Capa!$A:$AE,BN$5,0)),0,1/VLOOKUP($N81,Capa!$A:$AE,BN$5,0))))</f>
        <v/>
      </c>
      <c r="BO81" s="92"/>
    </row>
    <row r="82">
      <c r="G82" s="11"/>
      <c r="H82" s="8">
        <v>76.0</v>
      </c>
      <c r="I82" s="110" t="str">
        <f t="shared" si="6"/>
        <v>CXSE3</v>
      </c>
      <c r="J82" s="111" t="str">
        <f>VLOOKUP(left(I82,4),Setor!A:D,3,0)&amp;" | "&amp;VLOOKUP(left(I82,4),Setor!A:D,4,0)</f>
        <v>#N/A</v>
      </c>
      <c r="K82" s="112">
        <f t="shared" si="7"/>
        <v>24833876.54</v>
      </c>
      <c r="L82" s="11"/>
      <c r="M82" s="11"/>
      <c r="N82" s="10" t="s">
        <v>128</v>
      </c>
      <c r="O82" s="113">
        <f t="shared" si="8"/>
        <v>1066.0472</v>
      </c>
      <c r="P82" s="114">
        <f>VLOOKUP(N82,'Dados StatusInvest'!A:Z,26,0)</f>
        <v>62307613.58</v>
      </c>
      <c r="Q82" s="115">
        <f t="shared" si="9"/>
        <v>472.0472</v>
      </c>
      <c r="R82" s="116">
        <f t="shared" ref="R82:AO82" si="85">IF(AQ82="","", RANK(AQ82,AQ$7:AQ$503,0))</f>
        <v>375</v>
      </c>
      <c r="S82" s="115">
        <f t="shared" si="85"/>
        <v>219</v>
      </c>
      <c r="T82" s="115" t="str">
        <f t="shared" si="85"/>
        <v/>
      </c>
      <c r="U82" s="115" t="str">
        <f t="shared" si="85"/>
        <v/>
      </c>
      <c r="V82" s="115" t="str">
        <f t="shared" si="85"/>
        <v/>
      </c>
      <c r="W82" s="115" t="str">
        <f t="shared" si="85"/>
        <v/>
      </c>
      <c r="X82" s="115" t="str">
        <f t="shared" si="85"/>
        <v/>
      </c>
      <c r="Y82" s="115" t="str">
        <f t="shared" si="85"/>
        <v/>
      </c>
      <c r="Z82" s="115" t="str">
        <f t="shared" si="85"/>
        <v/>
      </c>
      <c r="AA82" s="115" t="str">
        <f t="shared" si="85"/>
        <v/>
      </c>
      <c r="AB82" s="115" t="str">
        <f t="shared" si="85"/>
        <v/>
      </c>
      <c r="AC82" s="115" t="str">
        <f t="shared" si="85"/>
        <v/>
      </c>
      <c r="AD82" s="115" t="str">
        <f t="shared" si="85"/>
        <v/>
      </c>
      <c r="AE82" s="115" t="str">
        <f t="shared" si="85"/>
        <v/>
      </c>
      <c r="AF82" s="115" t="str">
        <f t="shared" si="85"/>
        <v/>
      </c>
      <c r="AG82" s="115" t="str">
        <f t="shared" si="85"/>
        <v/>
      </c>
      <c r="AH82" s="115" t="str">
        <f t="shared" si="85"/>
        <v/>
      </c>
      <c r="AI82" s="115" t="str">
        <f t="shared" si="85"/>
        <v/>
      </c>
      <c r="AJ82" s="115" t="str">
        <f t="shared" si="85"/>
        <v/>
      </c>
      <c r="AK82" s="115" t="str">
        <f t="shared" si="85"/>
        <v/>
      </c>
      <c r="AL82" s="115" t="str">
        <f t="shared" si="85"/>
        <v/>
      </c>
      <c r="AM82" s="115" t="str">
        <f t="shared" si="85"/>
        <v/>
      </c>
      <c r="AN82" s="115" t="str">
        <f t="shared" si="85"/>
        <v/>
      </c>
      <c r="AO82" s="115" t="str">
        <f t="shared" si="85"/>
        <v/>
      </c>
      <c r="AP82" s="117">
        <f>IF(AP$6="","",IF(AP$3="Maior",IFERROR(IF(VLOOKUP($N82,Capa!$A:$AE,AP$5,0)="",0,VLOOKUP($N82,Capa!$A:$AE,AP$5,0)),0),IF(ISERROR(1/VLOOKUP($N82,Capa!$A:$AE,AP$5,0)),0,1/VLOOKUP($N82,Capa!$A:$AE,AP$5,0))))</f>
        <v>-0.2038083037</v>
      </c>
      <c r="AQ82" s="118">
        <f>IF(AQ$6="","",IF(AQ$3="Maior",IFERROR(IF(VLOOKUP($N82,Capa!$A:$AE,AQ$5,0)="",0,VLOOKUP($N82,Capa!$A:$AE,AQ$5,0)),0),IF(ISERROR(1/VLOOKUP($N82,Capa!$A:$AE,AQ$5,0)),0,1/VLOOKUP($N82,Capa!$A:$AE,AQ$5,0))))</f>
        <v>0</v>
      </c>
      <c r="AR82" s="118">
        <f>IF(AR$6="","",IF(AR$3="Maior",IFERROR(IF(VLOOKUP($N82,Capa!$A:$AE,AR$5,0)="",0,VLOOKUP($N82,Capa!$A:$AE,AR$5,0)),0),IF(ISERROR(1/VLOOKUP($N82,Capa!$A:$AE,AR$5,0)),0,1/VLOOKUP($N82,Capa!$A:$AE,AR$5,0))))</f>
        <v>0</v>
      </c>
      <c r="AS82" s="118" t="str">
        <f>IF(AS$6="","",IF(AS$3="Maior",IFERROR(IF(VLOOKUP($N82,Capa!$A:$AE,AS$5,0)="",0,VLOOKUP($N82,Capa!$A:$AE,AS$5,0)),0),IF(ISERROR(1/VLOOKUP($N82,Capa!$A:$AE,AS$5,0)),0,1/VLOOKUP($N82,Capa!$A:$AE,AS$5,0))))</f>
        <v/>
      </c>
      <c r="AT82" s="118" t="str">
        <f>IF(AT$6="","",IF(AT$3="Maior",IFERROR(IF(VLOOKUP($N82,Capa!$A:$AE,AT$5,0)="",0,VLOOKUP($N82,Capa!$A:$AE,AT$5,0)),0),IF(ISERROR(1/VLOOKUP($N82,Capa!$A:$AE,AT$5,0)),0,1/VLOOKUP($N82,Capa!$A:$AE,AT$5,0))))</f>
        <v/>
      </c>
      <c r="AU82" s="118" t="str">
        <f>IF(AU$6="","",IF(AU$3="Maior",IFERROR(IF(VLOOKUP($N82,Capa!$A:$AE,AU$5,0)="",0,VLOOKUP($N82,Capa!$A:$AE,AU$5,0)),0),IF(ISERROR(1/VLOOKUP($N82,Capa!$A:$AE,AU$5,0)),0,1/VLOOKUP($N82,Capa!$A:$AE,AU$5,0))))</f>
        <v/>
      </c>
      <c r="AV82" s="118" t="str">
        <f>IF(AV$6="","",IF(AV$3="Maior",IFERROR(IF(VLOOKUP($N82,Capa!$A:$AE,AV$5,0)="",0,VLOOKUP($N82,Capa!$A:$AE,AV$5,0)),0),IF(ISERROR(1/VLOOKUP($N82,Capa!$A:$AE,AV$5,0)),0,1/VLOOKUP($N82,Capa!$A:$AE,AV$5,0))))</f>
        <v/>
      </c>
      <c r="AW82" s="118" t="str">
        <f>IF(AW$6="","",IF(AW$3="Maior",IFERROR(IF(VLOOKUP($N82,Capa!$A:$AE,AW$5,0)="",0,VLOOKUP($N82,Capa!$A:$AE,AW$5,0)),0),IF(ISERROR(1/VLOOKUP($N82,Capa!$A:$AE,AW$5,0)),0,1/VLOOKUP($N82,Capa!$A:$AE,AW$5,0))))</f>
        <v/>
      </c>
      <c r="AX82" s="118" t="str">
        <f>IF(AX$6="","",IF(AX$3="Maior",IFERROR(IF(VLOOKUP($N82,Capa!$A:$AE,AX$5,0)="",0,VLOOKUP($N82,Capa!$A:$AE,AX$5,0)),0),IF(ISERROR(1/VLOOKUP($N82,Capa!$A:$AE,AX$5,0)),0,1/VLOOKUP($N82,Capa!$A:$AE,AX$5,0))))</f>
        <v/>
      </c>
      <c r="AY82" s="118" t="str">
        <f>IF(AY$6="","",IF(AY$3="Maior",IFERROR(IF(VLOOKUP($N82,Capa!$A:$AE,AY$5,0)="",0,VLOOKUP($N82,Capa!$A:$AE,AY$5,0)),0),IF(ISERROR(1/VLOOKUP($N82,Capa!$A:$AE,AY$5,0)),0,1/VLOOKUP($N82,Capa!$A:$AE,AY$5,0))))</f>
        <v/>
      </c>
      <c r="AZ82" s="118" t="str">
        <f>IF(AZ$6="","",IF(AZ$3="Maior",IFERROR(IF(VLOOKUP($N82,Capa!$A:$AE,AZ$5,0)="",0,VLOOKUP($N82,Capa!$A:$AE,AZ$5,0)),0),IF(ISERROR(1/VLOOKUP($N82,Capa!$A:$AE,AZ$5,0)),0,1/VLOOKUP($N82,Capa!$A:$AE,AZ$5,0))))</f>
        <v/>
      </c>
      <c r="BA82" s="118" t="str">
        <f>IF(BA$6="","",IF(BA$3="Maior",IFERROR(IF(VLOOKUP($N82,Capa!$A:$AE,BA$5,0)="",0,VLOOKUP($N82,Capa!$A:$AE,BA$5,0)),0),IF(ISERROR(1/VLOOKUP($N82,Capa!$A:$AE,BA$5,0)),0,1/VLOOKUP($N82,Capa!$A:$AE,BA$5,0))))</f>
        <v/>
      </c>
      <c r="BB82" s="118" t="str">
        <f>IF(BB$6="","",IF(BB$3="Maior",IFERROR(IF(VLOOKUP($N82,Capa!$A:$AE,BB$5,0)="",0,VLOOKUP($N82,Capa!$A:$AE,BB$5,0)),0),IF(ISERROR(1/VLOOKUP($N82,Capa!$A:$AE,BB$5,0)),0,1/VLOOKUP($N82,Capa!$A:$AE,BB$5,0))))</f>
        <v/>
      </c>
      <c r="BC82" s="118" t="str">
        <f>IF(BC$6="","",IF(BC$3="Maior",IFERROR(IF(VLOOKUP($N82,Capa!$A:$AE,BC$5,0)="",0,VLOOKUP($N82,Capa!$A:$AE,BC$5,0)),0),IF(ISERROR(1/VLOOKUP($N82,Capa!$A:$AE,BC$5,0)),0,1/VLOOKUP($N82,Capa!$A:$AE,BC$5,0))))</f>
        <v/>
      </c>
      <c r="BD82" s="118" t="str">
        <f>IF(BD$6="","",IF(BD$3="Maior",IFERROR(IF(VLOOKUP($N82,Capa!$A:$AE,BD$5,0)="",0,VLOOKUP($N82,Capa!$A:$AE,BD$5,0)),0),IF(ISERROR(1/VLOOKUP($N82,Capa!$A:$AE,BD$5,0)),0,1/VLOOKUP($N82,Capa!$A:$AE,BD$5,0))))</f>
        <v/>
      </c>
      <c r="BE82" s="118" t="str">
        <f>IF(BE$6="","",IF(BE$3="Maior",IFERROR(IF(VLOOKUP($N82,Capa!$A:$AE,BE$5,0)="",0,VLOOKUP($N82,Capa!$A:$AE,BE$5,0)),0),IF(ISERROR(1/VLOOKUP($N82,Capa!$A:$AE,BE$5,0)),0,1/VLOOKUP($N82,Capa!$A:$AE,BE$5,0))))</f>
        <v/>
      </c>
      <c r="BF82" s="118" t="str">
        <f>IF(BF$6="","",IF(BF$3="Maior",IFERROR(IF(VLOOKUP($N82,Capa!$A:$AE,BF$5,0)="",0,VLOOKUP($N82,Capa!$A:$AE,BF$5,0)),0),IF(ISERROR(1/VLOOKUP($N82,Capa!$A:$AE,BF$5,0)),0,1/VLOOKUP($N82,Capa!$A:$AE,BF$5,0))))</f>
        <v/>
      </c>
      <c r="BG82" s="118" t="str">
        <f>IF(BG$6="","",IF(BG$3="Maior",IFERROR(IF(VLOOKUP($N82,Capa!$A:$AE,BG$5,0)="",0,VLOOKUP($N82,Capa!$A:$AE,BG$5,0)),0),IF(ISERROR(1/VLOOKUP($N82,Capa!$A:$AE,BG$5,0)),0,1/VLOOKUP($N82,Capa!$A:$AE,BG$5,0))))</f>
        <v/>
      </c>
      <c r="BH82" s="118" t="str">
        <f>IF(BH$6="","",IF(BH$3="Maior",IFERROR(IF(VLOOKUP($N82,Capa!$A:$AE,BH$5,0)="",0,VLOOKUP($N82,Capa!$A:$AE,BH$5,0)),0),IF(ISERROR(1/VLOOKUP($N82,Capa!$A:$AE,BH$5,0)),0,1/VLOOKUP($N82,Capa!$A:$AE,BH$5,0))))</f>
        <v/>
      </c>
      <c r="BI82" s="118" t="str">
        <f>IF(BI$6="","",IF(BI$3="Maior",IFERROR(IF(VLOOKUP($N82,Capa!$A:$AE,BI$5,0)="",0,VLOOKUP($N82,Capa!$A:$AE,BI$5,0)),0),IF(ISERROR(1/VLOOKUP($N82,Capa!$A:$AE,BI$5,0)),0,1/VLOOKUP($N82,Capa!$A:$AE,BI$5,0))))</f>
        <v/>
      </c>
      <c r="BJ82" s="118" t="str">
        <f>IF(BJ$6="","",IF(BJ$3="Maior",IFERROR(IF(VLOOKUP($N82,Capa!$A:$AE,BJ$5,0)="",0,VLOOKUP($N82,Capa!$A:$AE,BJ$5,0)),0),IF(ISERROR(1/VLOOKUP($N82,Capa!$A:$AE,BJ$5,0)),0,1/VLOOKUP($N82,Capa!$A:$AE,BJ$5,0))))</f>
        <v/>
      </c>
      <c r="BK82" s="118" t="str">
        <f>IF(BK$6="","",IF(BK$3="Maior",IFERROR(IF(VLOOKUP($N82,Capa!$A:$AE,BK$5,0)="",0,VLOOKUP($N82,Capa!$A:$AE,BK$5,0)),0),IF(ISERROR(1/VLOOKUP($N82,Capa!$A:$AE,BK$5,0)),0,1/VLOOKUP($N82,Capa!$A:$AE,BK$5,0))))</f>
        <v/>
      </c>
      <c r="BL82" s="118" t="str">
        <f>IF(BL$6="","",IF(BL$3="Maior",IFERROR(IF(VLOOKUP($N82,Capa!$A:$AE,BL$5,0)="",0,VLOOKUP($N82,Capa!$A:$AE,BL$5,0)),0),IF(ISERROR(1/VLOOKUP($N82,Capa!$A:$AE,BL$5,0)),0,1/VLOOKUP($N82,Capa!$A:$AE,BL$5,0))))</f>
        <v/>
      </c>
      <c r="BM82" s="118" t="str">
        <f>IF(BM$6="","",IF(BM$3="Maior",IFERROR(IF(VLOOKUP($N82,Capa!$A:$AE,BM$5,0)="",0,VLOOKUP($N82,Capa!$A:$AE,BM$5,0)),0),IF(ISERROR(1/VLOOKUP($N82,Capa!$A:$AE,BM$5,0)),0,1/VLOOKUP($N82,Capa!$A:$AE,BM$5,0))))</f>
        <v/>
      </c>
      <c r="BN82" s="118" t="str">
        <f>IF(BN$6="","",IF(BN$3="Maior",IFERROR(IF(VLOOKUP($N82,Capa!$A:$AE,BN$5,0)="",0,VLOOKUP($N82,Capa!$A:$AE,BN$5,0)),0),IF(ISERROR(1/VLOOKUP($N82,Capa!$A:$AE,BN$5,0)),0,1/VLOOKUP($N82,Capa!$A:$AE,BN$5,0))))</f>
        <v/>
      </c>
      <c r="BO82" s="92"/>
    </row>
    <row r="83">
      <c r="G83" s="11"/>
      <c r="H83" s="8">
        <v>77.0</v>
      </c>
      <c r="I83" s="110" t="str">
        <f t="shared" si="6"/>
        <v>LCAM3</v>
      </c>
      <c r="J83" s="111" t="str">
        <f>VLOOKUP(left(I83,4),Setor!A:D,3,0)&amp;" | "&amp;VLOOKUP(left(I83,4),Setor!A:D,4,0)</f>
        <v>Consumo Cíclico | Diversos</v>
      </c>
      <c r="K83" s="112">
        <f t="shared" si="7"/>
        <v>71557817.25</v>
      </c>
      <c r="L83" s="11"/>
      <c r="M83" s="11"/>
      <c r="N83" s="10" t="s">
        <v>129</v>
      </c>
      <c r="O83" s="113">
        <f t="shared" si="8"/>
        <v>961.0386</v>
      </c>
      <c r="P83" s="114">
        <f>VLOOKUP(N83,'Dados StatusInvest'!A:Z,26,0)</f>
        <v>57636954.42</v>
      </c>
      <c r="Q83" s="115">
        <f t="shared" si="9"/>
        <v>386.0386</v>
      </c>
      <c r="R83" s="116">
        <f t="shared" ref="R83:AO83" si="86">IF(AQ83="","", RANK(AQ83,AQ$7:AQ$503,0))</f>
        <v>356</v>
      </c>
      <c r="S83" s="115">
        <f t="shared" si="86"/>
        <v>219</v>
      </c>
      <c r="T83" s="115" t="str">
        <f t="shared" si="86"/>
        <v/>
      </c>
      <c r="U83" s="115" t="str">
        <f t="shared" si="86"/>
        <v/>
      </c>
      <c r="V83" s="115" t="str">
        <f t="shared" si="86"/>
        <v/>
      </c>
      <c r="W83" s="115" t="str">
        <f t="shared" si="86"/>
        <v/>
      </c>
      <c r="X83" s="115" t="str">
        <f t="shared" si="86"/>
        <v/>
      </c>
      <c r="Y83" s="115" t="str">
        <f t="shared" si="86"/>
        <v/>
      </c>
      <c r="Z83" s="115" t="str">
        <f t="shared" si="86"/>
        <v/>
      </c>
      <c r="AA83" s="115" t="str">
        <f t="shared" si="86"/>
        <v/>
      </c>
      <c r="AB83" s="115" t="str">
        <f t="shared" si="86"/>
        <v/>
      </c>
      <c r="AC83" s="115" t="str">
        <f t="shared" si="86"/>
        <v/>
      </c>
      <c r="AD83" s="115" t="str">
        <f t="shared" si="86"/>
        <v/>
      </c>
      <c r="AE83" s="115" t="str">
        <f t="shared" si="86"/>
        <v/>
      </c>
      <c r="AF83" s="115" t="str">
        <f t="shared" si="86"/>
        <v/>
      </c>
      <c r="AG83" s="115" t="str">
        <f t="shared" si="86"/>
        <v/>
      </c>
      <c r="AH83" s="115" t="str">
        <f t="shared" si="86"/>
        <v/>
      </c>
      <c r="AI83" s="115" t="str">
        <f t="shared" si="86"/>
        <v/>
      </c>
      <c r="AJ83" s="115" t="str">
        <f t="shared" si="86"/>
        <v/>
      </c>
      <c r="AK83" s="115" t="str">
        <f t="shared" si="86"/>
        <v/>
      </c>
      <c r="AL83" s="115" t="str">
        <f t="shared" si="86"/>
        <v/>
      </c>
      <c r="AM83" s="115" t="str">
        <f t="shared" si="86"/>
        <v/>
      </c>
      <c r="AN83" s="115" t="str">
        <f t="shared" si="86"/>
        <v/>
      </c>
      <c r="AO83" s="115" t="str">
        <f t="shared" si="86"/>
        <v/>
      </c>
      <c r="AP83" s="117">
        <f>IF(AP$6="","",IF(AP$3="Maior",IFERROR(IF(VLOOKUP($N83,Capa!$A:$AE,AP$5,0)="",0,VLOOKUP($N83,Capa!$A:$AE,AP$5,0)),0),IF(ISERROR(1/VLOOKUP($N83,Capa!$A:$AE,AP$5,0)),0,1/VLOOKUP($N83,Capa!$A:$AE,AP$5,0))))</f>
        <v>0.01111473335</v>
      </c>
      <c r="AQ83" s="118">
        <f>IF(AQ$6="","",IF(AQ$3="Maior",IFERROR(IF(VLOOKUP($N83,Capa!$A:$AE,AQ$5,0)="",0,VLOOKUP($N83,Capa!$A:$AE,AQ$5,0)),0),IF(ISERROR(1/VLOOKUP($N83,Capa!$A:$AE,AQ$5,0)),0,1/VLOOKUP($N83,Capa!$A:$AE,AQ$5,0))))</f>
        <v>1.69</v>
      </c>
      <c r="AR83" s="118">
        <f>IF(AR$6="","",IF(AR$3="Maior",IFERROR(IF(VLOOKUP($N83,Capa!$A:$AE,AR$5,0)="",0,VLOOKUP($N83,Capa!$A:$AE,AR$5,0)),0),IF(ISERROR(1/VLOOKUP($N83,Capa!$A:$AE,AR$5,0)),0,1/VLOOKUP($N83,Capa!$A:$AE,AR$5,0))))</f>
        <v>0</v>
      </c>
      <c r="AS83" s="118" t="str">
        <f>IF(AS$6="","",IF(AS$3="Maior",IFERROR(IF(VLOOKUP($N83,Capa!$A:$AE,AS$5,0)="",0,VLOOKUP($N83,Capa!$A:$AE,AS$5,0)),0),IF(ISERROR(1/VLOOKUP($N83,Capa!$A:$AE,AS$5,0)),0,1/VLOOKUP($N83,Capa!$A:$AE,AS$5,0))))</f>
        <v/>
      </c>
      <c r="AT83" s="118" t="str">
        <f>IF(AT$6="","",IF(AT$3="Maior",IFERROR(IF(VLOOKUP($N83,Capa!$A:$AE,AT$5,0)="",0,VLOOKUP($N83,Capa!$A:$AE,AT$5,0)),0),IF(ISERROR(1/VLOOKUP($N83,Capa!$A:$AE,AT$5,0)),0,1/VLOOKUP($N83,Capa!$A:$AE,AT$5,0))))</f>
        <v/>
      </c>
      <c r="AU83" s="118" t="str">
        <f>IF(AU$6="","",IF(AU$3="Maior",IFERROR(IF(VLOOKUP($N83,Capa!$A:$AE,AU$5,0)="",0,VLOOKUP($N83,Capa!$A:$AE,AU$5,0)),0),IF(ISERROR(1/VLOOKUP($N83,Capa!$A:$AE,AU$5,0)),0,1/VLOOKUP($N83,Capa!$A:$AE,AU$5,0))))</f>
        <v/>
      </c>
      <c r="AV83" s="118" t="str">
        <f>IF(AV$6="","",IF(AV$3="Maior",IFERROR(IF(VLOOKUP($N83,Capa!$A:$AE,AV$5,0)="",0,VLOOKUP($N83,Capa!$A:$AE,AV$5,0)),0),IF(ISERROR(1/VLOOKUP($N83,Capa!$A:$AE,AV$5,0)),0,1/VLOOKUP($N83,Capa!$A:$AE,AV$5,0))))</f>
        <v/>
      </c>
      <c r="AW83" s="118" t="str">
        <f>IF(AW$6="","",IF(AW$3="Maior",IFERROR(IF(VLOOKUP($N83,Capa!$A:$AE,AW$5,0)="",0,VLOOKUP($N83,Capa!$A:$AE,AW$5,0)),0),IF(ISERROR(1/VLOOKUP($N83,Capa!$A:$AE,AW$5,0)),0,1/VLOOKUP($N83,Capa!$A:$AE,AW$5,0))))</f>
        <v/>
      </c>
      <c r="AX83" s="118" t="str">
        <f>IF(AX$6="","",IF(AX$3="Maior",IFERROR(IF(VLOOKUP($N83,Capa!$A:$AE,AX$5,0)="",0,VLOOKUP($N83,Capa!$A:$AE,AX$5,0)),0),IF(ISERROR(1/VLOOKUP($N83,Capa!$A:$AE,AX$5,0)),0,1/VLOOKUP($N83,Capa!$A:$AE,AX$5,0))))</f>
        <v/>
      </c>
      <c r="AY83" s="118" t="str">
        <f>IF(AY$6="","",IF(AY$3="Maior",IFERROR(IF(VLOOKUP($N83,Capa!$A:$AE,AY$5,0)="",0,VLOOKUP($N83,Capa!$A:$AE,AY$5,0)),0),IF(ISERROR(1/VLOOKUP($N83,Capa!$A:$AE,AY$5,0)),0,1/VLOOKUP($N83,Capa!$A:$AE,AY$5,0))))</f>
        <v/>
      </c>
      <c r="AZ83" s="118" t="str">
        <f>IF(AZ$6="","",IF(AZ$3="Maior",IFERROR(IF(VLOOKUP($N83,Capa!$A:$AE,AZ$5,0)="",0,VLOOKUP($N83,Capa!$A:$AE,AZ$5,0)),0),IF(ISERROR(1/VLOOKUP($N83,Capa!$A:$AE,AZ$5,0)),0,1/VLOOKUP($N83,Capa!$A:$AE,AZ$5,0))))</f>
        <v/>
      </c>
      <c r="BA83" s="118" t="str">
        <f>IF(BA$6="","",IF(BA$3="Maior",IFERROR(IF(VLOOKUP($N83,Capa!$A:$AE,BA$5,0)="",0,VLOOKUP($N83,Capa!$A:$AE,BA$5,0)),0),IF(ISERROR(1/VLOOKUP($N83,Capa!$A:$AE,BA$5,0)),0,1/VLOOKUP($N83,Capa!$A:$AE,BA$5,0))))</f>
        <v/>
      </c>
      <c r="BB83" s="118" t="str">
        <f>IF(BB$6="","",IF(BB$3="Maior",IFERROR(IF(VLOOKUP($N83,Capa!$A:$AE,BB$5,0)="",0,VLOOKUP($N83,Capa!$A:$AE,BB$5,0)),0),IF(ISERROR(1/VLOOKUP($N83,Capa!$A:$AE,BB$5,0)),0,1/VLOOKUP($N83,Capa!$A:$AE,BB$5,0))))</f>
        <v/>
      </c>
      <c r="BC83" s="118" t="str">
        <f>IF(BC$6="","",IF(BC$3="Maior",IFERROR(IF(VLOOKUP($N83,Capa!$A:$AE,BC$5,0)="",0,VLOOKUP($N83,Capa!$A:$AE,BC$5,0)),0),IF(ISERROR(1/VLOOKUP($N83,Capa!$A:$AE,BC$5,0)),0,1/VLOOKUP($N83,Capa!$A:$AE,BC$5,0))))</f>
        <v/>
      </c>
      <c r="BD83" s="118" t="str">
        <f>IF(BD$6="","",IF(BD$3="Maior",IFERROR(IF(VLOOKUP($N83,Capa!$A:$AE,BD$5,0)="",0,VLOOKUP($N83,Capa!$A:$AE,BD$5,0)),0),IF(ISERROR(1/VLOOKUP($N83,Capa!$A:$AE,BD$5,0)),0,1/VLOOKUP($N83,Capa!$A:$AE,BD$5,0))))</f>
        <v/>
      </c>
      <c r="BE83" s="118" t="str">
        <f>IF(BE$6="","",IF(BE$3="Maior",IFERROR(IF(VLOOKUP($N83,Capa!$A:$AE,BE$5,0)="",0,VLOOKUP($N83,Capa!$A:$AE,BE$5,0)),0),IF(ISERROR(1/VLOOKUP($N83,Capa!$A:$AE,BE$5,0)),0,1/VLOOKUP($N83,Capa!$A:$AE,BE$5,0))))</f>
        <v/>
      </c>
      <c r="BF83" s="118" t="str">
        <f>IF(BF$6="","",IF(BF$3="Maior",IFERROR(IF(VLOOKUP($N83,Capa!$A:$AE,BF$5,0)="",0,VLOOKUP($N83,Capa!$A:$AE,BF$5,0)),0),IF(ISERROR(1/VLOOKUP($N83,Capa!$A:$AE,BF$5,0)),0,1/VLOOKUP($N83,Capa!$A:$AE,BF$5,0))))</f>
        <v/>
      </c>
      <c r="BG83" s="118" t="str">
        <f>IF(BG$6="","",IF(BG$3="Maior",IFERROR(IF(VLOOKUP($N83,Capa!$A:$AE,BG$5,0)="",0,VLOOKUP($N83,Capa!$A:$AE,BG$5,0)),0),IF(ISERROR(1/VLOOKUP($N83,Capa!$A:$AE,BG$5,0)),0,1/VLOOKUP($N83,Capa!$A:$AE,BG$5,0))))</f>
        <v/>
      </c>
      <c r="BH83" s="118" t="str">
        <f>IF(BH$6="","",IF(BH$3="Maior",IFERROR(IF(VLOOKUP($N83,Capa!$A:$AE,BH$5,0)="",0,VLOOKUP($N83,Capa!$A:$AE,BH$5,0)),0),IF(ISERROR(1/VLOOKUP($N83,Capa!$A:$AE,BH$5,0)),0,1/VLOOKUP($N83,Capa!$A:$AE,BH$5,0))))</f>
        <v/>
      </c>
      <c r="BI83" s="118" t="str">
        <f>IF(BI$6="","",IF(BI$3="Maior",IFERROR(IF(VLOOKUP($N83,Capa!$A:$AE,BI$5,0)="",0,VLOOKUP($N83,Capa!$A:$AE,BI$5,0)),0),IF(ISERROR(1/VLOOKUP($N83,Capa!$A:$AE,BI$5,0)),0,1/VLOOKUP($N83,Capa!$A:$AE,BI$5,0))))</f>
        <v/>
      </c>
      <c r="BJ83" s="118" t="str">
        <f>IF(BJ$6="","",IF(BJ$3="Maior",IFERROR(IF(VLOOKUP($N83,Capa!$A:$AE,BJ$5,0)="",0,VLOOKUP($N83,Capa!$A:$AE,BJ$5,0)),0),IF(ISERROR(1/VLOOKUP($N83,Capa!$A:$AE,BJ$5,0)),0,1/VLOOKUP($N83,Capa!$A:$AE,BJ$5,0))))</f>
        <v/>
      </c>
      <c r="BK83" s="118" t="str">
        <f>IF(BK$6="","",IF(BK$3="Maior",IFERROR(IF(VLOOKUP($N83,Capa!$A:$AE,BK$5,0)="",0,VLOOKUP($N83,Capa!$A:$AE,BK$5,0)),0),IF(ISERROR(1/VLOOKUP($N83,Capa!$A:$AE,BK$5,0)),0,1/VLOOKUP($N83,Capa!$A:$AE,BK$5,0))))</f>
        <v/>
      </c>
      <c r="BL83" s="118" t="str">
        <f>IF(BL$6="","",IF(BL$3="Maior",IFERROR(IF(VLOOKUP($N83,Capa!$A:$AE,BL$5,0)="",0,VLOOKUP($N83,Capa!$A:$AE,BL$5,0)),0),IF(ISERROR(1/VLOOKUP($N83,Capa!$A:$AE,BL$5,0)),0,1/VLOOKUP($N83,Capa!$A:$AE,BL$5,0))))</f>
        <v/>
      </c>
      <c r="BM83" s="118" t="str">
        <f>IF(BM$6="","",IF(BM$3="Maior",IFERROR(IF(VLOOKUP($N83,Capa!$A:$AE,BM$5,0)="",0,VLOOKUP($N83,Capa!$A:$AE,BM$5,0)),0),IF(ISERROR(1/VLOOKUP($N83,Capa!$A:$AE,BM$5,0)),0,1/VLOOKUP($N83,Capa!$A:$AE,BM$5,0))))</f>
        <v/>
      </c>
      <c r="BN83" s="118" t="str">
        <f>IF(BN$6="","",IF(BN$3="Maior",IFERROR(IF(VLOOKUP($N83,Capa!$A:$AE,BN$5,0)="",0,VLOOKUP($N83,Capa!$A:$AE,BN$5,0)),0),IF(ISERROR(1/VLOOKUP($N83,Capa!$A:$AE,BN$5,0)),0,1/VLOOKUP($N83,Capa!$A:$AE,BN$5,0))))</f>
        <v/>
      </c>
      <c r="BO83" s="92"/>
    </row>
    <row r="84">
      <c r="G84" s="11"/>
      <c r="H84" s="8">
        <v>78.0</v>
      </c>
      <c r="I84" s="110" t="str">
        <f t="shared" si="6"/>
        <v>DIRR3</v>
      </c>
      <c r="J84" s="111" t="str">
        <f>VLOOKUP(left(I84,4),Setor!A:D,3,0)&amp;" | "&amp;VLOOKUP(left(I84,4),Setor!A:D,4,0)</f>
        <v>Consumo Cíclico | Construção Civil</v>
      </c>
      <c r="K84" s="112">
        <f t="shared" si="7"/>
        <v>16245135</v>
      </c>
      <c r="L84" s="11"/>
      <c r="M84" s="11"/>
      <c r="N84" s="10" t="s">
        <v>130</v>
      </c>
      <c r="O84" s="113">
        <f t="shared" si="8"/>
        <v>431.0189</v>
      </c>
      <c r="P84" s="114">
        <f>VLOOKUP(N84,'Dados StatusInvest'!A:Z,26,0)</f>
        <v>91569616.75</v>
      </c>
      <c r="Q84" s="115">
        <f t="shared" si="9"/>
        <v>189.0189</v>
      </c>
      <c r="R84" s="116">
        <f t="shared" ref="R84:AO84" si="87">IF(AQ84="","", RANK(AQ84,AQ$7:AQ$503,0))</f>
        <v>153</v>
      </c>
      <c r="S84" s="115">
        <f t="shared" si="87"/>
        <v>89</v>
      </c>
      <c r="T84" s="115" t="str">
        <f t="shared" si="87"/>
        <v/>
      </c>
      <c r="U84" s="115" t="str">
        <f t="shared" si="87"/>
        <v/>
      </c>
      <c r="V84" s="115" t="str">
        <f t="shared" si="87"/>
        <v/>
      </c>
      <c r="W84" s="115" t="str">
        <f t="shared" si="87"/>
        <v/>
      </c>
      <c r="X84" s="115" t="str">
        <f t="shared" si="87"/>
        <v/>
      </c>
      <c r="Y84" s="115" t="str">
        <f t="shared" si="87"/>
        <v/>
      </c>
      <c r="Z84" s="115" t="str">
        <f t="shared" si="87"/>
        <v/>
      </c>
      <c r="AA84" s="115" t="str">
        <f t="shared" si="87"/>
        <v/>
      </c>
      <c r="AB84" s="115" t="str">
        <f t="shared" si="87"/>
        <v/>
      </c>
      <c r="AC84" s="115" t="str">
        <f t="shared" si="87"/>
        <v/>
      </c>
      <c r="AD84" s="115" t="str">
        <f t="shared" si="87"/>
        <v/>
      </c>
      <c r="AE84" s="115" t="str">
        <f t="shared" si="87"/>
        <v/>
      </c>
      <c r="AF84" s="115" t="str">
        <f t="shared" si="87"/>
        <v/>
      </c>
      <c r="AG84" s="115" t="str">
        <f t="shared" si="87"/>
        <v/>
      </c>
      <c r="AH84" s="115" t="str">
        <f t="shared" si="87"/>
        <v/>
      </c>
      <c r="AI84" s="115" t="str">
        <f t="shared" si="87"/>
        <v/>
      </c>
      <c r="AJ84" s="115" t="str">
        <f t="shared" si="87"/>
        <v/>
      </c>
      <c r="AK84" s="115" t="str">
        <f t="shared" si="87"/>
        <v/>
      </c>
      <c r="AL84" s="115" t="str">
        <f t="shared" si="87"/>
        <v/>
      </c>
      <c r="AM84" s="115" t="str">
        <f t="shared" si="87"/>
        <v/>
      </c>
      <c r="AN84" s="115" t="str">
        <f t="shared" si="87"/>
        <v/>
      </c>
      <c r="AO84" s="115" t="str">
        <f t="shared" si="87"/>
        <v/>
      </c>
      <c r="AP84" s="117">
        <f>IF(AP$6="","",IF(AP$3="Maior",IFERROR(IF(VLOOKUP($N84,Capa!$A:$AE,AP$5,0)="",0,VLOOKUP($N84,Capa!$A:$AE,AP$5,0)),0),IF(ISERROR(1/VLOOKUP($N84,Capa!$A:$AE,AP$5,0)),0,1/VLOOKUP($N84,Capa!$A:$AE,AP$5,0))))</f>
        <v>0.1127029073</v>
      </c>
      <c r="AQ84" s="118">
        <f>IF(AQ$6="","",IF(AQ$3="Maior",IFERROR(IF(VLOOKUP($N84,Capa!$A:$AE,AQ$5,0)="",0,VLOOKUP($N84,Capa!$A:$AE,AQ$5,0)),0),IF(ISERROR(1/VLOOKUP($N84,Capa!$A:$AE,AQ$5,0)),0,1/VLOOKUP($N84,Capa!$A:$AE,AQ$5,0))))</f>
        <v>14.13</v>
      </c>
      <c r="AR84" s="118">
        <f>IF(AR$6="","",IF(AR$3="Maior",IFERROR(IF(VLOOKUP($N84,Capa!$A:$AE,AR$5,0)="",0,VLOOKUP($N84,Capa!$A:$AE,AR$5,0)),0),IF(ISERROR(1/VLOOKUP($N84,Capa!$A:$AE,AR$5,0)),0,1/VLOOKUP($N84,Capa!$A:$AE,AR$5,0))))</f>
        <v>32.35</v>
      </c>
      <c r="AS84" s="118" t="str">
        <f>IF(AS$6="","",IF(AS$3="Maior",IFERROR(IF(VLOOKUP($N84,Capa!$A:$AE,AS$5,0)="",0,VLOOKUP($N84,Capa!$A:$AE,AS$5,0)),0),IF(ISERROR(1/VLOOKUP($N84,Capa!$A:$AE,AS$5,0)),0,1/VLOOKUP($N84,Capa!$A:$AE,AS$5,0))))</f>
        <v/>
      </c>
      <c r="AT84" s="118" t="str">
        <f>IF(AT$6="","",IF(AT$3="Maior",IFERROR(IF(VLOOKUP($N84,Capa!$A:$AE,AT$5,0)="",0,VLOOKUP($N84,Capa!$A:$AE,AT$5,0)),0),IF(ISERROR(1/VLOOKUP($N84,Capa!$A:$AE,AT$5,0)),0,1/VLOOKUP($N84,Capa!$A:$AE,AT$5,0))))</f>
        <v/>
      </c>
      <c r="AU84" s="118" t="str">
        <f>IF(AU$6="","",IF(AU$3="Maior",IFERROR(IF(VLOOKUP($N84,Capa!$A:$AE,AU$5,0)="",0,VLOOKUP($N84,Capa!$A:$AE,AU$5,0)),0),IF(ISERROR(1/VLOOKUP($N84,Capa!$A:$AE,AU$5,0)),0,1/VLOOKUP($N84,Capa!$A:$AE,AU$5,0))))</f>
        <v/>
      </c>
      <c r="AV84" s="118" t="str">
        <f>IF(AV$6="","",IF(AV$3="Maior",IFERROR(IF(VLOOKUP($N84,Capa!$A:$AE,AV$5,0)="",0,VLOOKUP($N84,Capa!$A:$AE,AV$5,0)),0),IF(ISERROR(1/VLOOKUP($N84,Capa!$A:$AE,AV$5,0)),0,1/VLOOKUP($N84,Capa!$A:$AE,AV$5,0))))</f>
        <v/>
      </c>
      <c r="AW84" s="118" t="str">
        <f>IF(AW$6="","",IF(AW$3="Maior",IFERROR(IF(VLOOKUP($N84,Capa!$A:$AE,AW$5,0)="",0,VLOOKUP($N84,Capa!$A:$AE,AW$5,0)),0),IF(ISERROR(1/VLOOKUP($N84,Capa!$A:$AE,AW$5,0)),0,1/VLOOKUP($N84,Capa!$A:$AE,AW$5,0))))</f>
        <v/>
      </c>
      <c r="AX84" s="118" t="str">
        <f>IF(AX$6="","",IF(AX$3="Maior",IFERROR(IF(VLOOKUP($N84,Capa!$A:$AE,AX$5,0)="",0,VLOOKUP($N84,Capa!$A:$AE,AX$5,0)),0),IF(ISERROR(1/VLOOKUP($N84,Capa!$A:$AE,AX$5,0)),0,1/VLOOKUP($N84,Capa!$A:$AE,AX$5,0))))</f>
        <v/>
      </c>
      <c r="AY84" s="118" t="str">
        <f>IF(AY$6="","",IF(AY$3="Maior",IFERROR(IF(VLOOKUP($N84,Capa!$A:$AE,AY$5,0)="",0,VLOOKUP($N84,Capa!$A:$AE,AY$5,0)),0),IF(ISERROR(1/VLOOKUP($N84,Capa!$A:$AE,AY$5,0)),0,1/VLOOKUP($N84,Capa!$A:$AE,AY$5,0))))</f>
        <v/>
      </c>
      <c r="AZ84" s="118" t="str">
        <f>IF(AZ$6="","",IF(AZ$3="Maior",IFERROR(IF(VLOOKUP($N84,Capa!$A:$AE,AZ$5,0)="",0,VLOOKUP($N84,Capa!$A:$AE,AZ$5,0)),0),IF(ISERROR(1/VLOOKUP($N84,Capa!$A:$AE,AZ$5,0)),0,1/VLOOKUP($N84,Capa!$A:$AE,AZ$5,0))))</f>
        <v/>
      </c>
      <c r="BA84" s="118" t="str">
        <f>IF(BA$6="","",IF(BA$3="Maior",IFERROR(IF(VLOOKUP($N84,Capa!$A:$AE,BA$5,0)="",0,VLOOKUP($N84,Capa!$A:$AE,BA$5,0)),0),IF(ISERROR(1/VLOOKUP($N84,Capa!$A:$AE,BA$5,0)),0,1/VLOOKUP($N84,Capa!$A:$AE,BA$5,0))))</f>
        <v/>
      </c>
      <c r="BB84" s="118" t="str">
        <f>IF(BB$6="","",IF(BB$3="Maior",IFERROR(IF(VLOOKUP($N84,Capa!$A:$AE,BB$5,0)="",0,VLOOKUP($N84,Capa!$A:$AE,BB$5,0)),0),IF(ISERROR(1/VLOOKUP($N84,Capa!$A:$AE,BB$5,0)),0,1/VLOOKUP($N84,Capa!$A:$AE,BB$5,0))))</f>
        <v/>
      </c>
      <c r="BC84" s="118" t="str">
        <f>IF(BC$6="","",IF(BC$3="Maior",IFERROR(IF(VLOOKUP($N84,Capa!$A:$AE,BC$5,0)="",0,VLOOKUP($N84,Capa!$A:$AE,BC$5,0)),0),IF(ISERROR(1/VLOOKUP($N84,Capa!$A:$AE,BC$5,0)),0,1/VLOOKUP($N84,Capa!$A:$AE,BC$5,0))))</f>
        <v/>
      </c>
      <c r="BD84" s="118" t="str">
        <f>IF(BD$6="","",IF(BD$3="Maior",IFERROR(IF(VLOOKUP($N84,Capa!$A:$AE,BD$5,0)="",0,VLOOKUP($N84,Capa!$A:$AE,BD$5,0)),0),IF(ISERROR(1/VLOOKUP($N84,Capa!$A:$AE,BD$5,0)),0,1/VLOOKUP($N84,Capa!$A:$AE,BD$5,0))))</f>
        <v/>
      </c>
      <c r="BE84" s="118" t="str">
        <f>IF(BE$6="","",IF(BE$3="Maior",IFERROR(IF(VLOOKUP($N84,Capa!$A:$AE,BE$5,0)="",0,VLOOKUP($N84,Capa!$A:$AE,BE$5,0)),0),IF(ISERROR(1/VLOOKUP($N84,Capa!$A:$AE,BE$5,0)),0,1/VLOOKUP($N84,Capa!$A:$AE,BE$5,0))))</f>
        <v/>
      </c>
      <c r="BF84" s="118" t="str">
        <f>IF(BF$6="","",IF(BF$3="Maior",IFERROR(IF(VLOOKUP($N84,Capa!$A:$AE,BF$5,0)="",0,VLOOKUP($N84,Capa!$A:$AE,BF$5,0)),0),IF(ISERROR(1/VLOOKUP($N84,Capa!$A:$AE,BF$5,0)),0,1/VLOOKUP($N84,Capa!$A:$AE,BF$5,0))))</f>
        <v/>
      </c>
      <c r="BG84" s="118" t="str">
        <f>IF(BG$6="","",IF(BG$3="Maior",IFERROR(IF(VLOOKUP($N84,Capa!$A:$AE,BG$5,0)="",0,VLOOKUP($N84,Capa!$A:$AE,BG$5,0)),0),IF(ISERROR(1/VLOOKUP($N84,Capa!$A:$AE,BG$5,0)),0,1/VLOOKUP($N84,Capa!$A:$AE,BG$5,0))))</f>
        <v/>
      </c>
      <c r="BH84" s="118" t="str">
        <f>IF(BH$6="","",IF(BH$3="Maior",IFERROR(IF(VLOOKUP($N84,Capa!$A:$AE,BH$5,0)="",0,VLOOKUP($N84,Capa!$A:$AE,BH$5,0)),0),IF(ISERROR(1/VLOOKUP($N84,Capa!$A:$AE,BH$5,0)),0,1/VLOOKUP($N84,Capa!$A:$AE,BH$5,0))))</f>
        <v/>
      </c>
      <c r="BI84" s="118" t="str">
        <f>IF(BI$6="","",IF(BI$3="Maior",IFERROR(IF(VLOOKUP($N84,Capa!$A:$AE,BI$5,0)="",0,VLOOKUP($N84,Capa!$A:$AE,BI$5,0)),0),IF(ISERROR(1/VLOOKUP($N84,Capa!$A:$AE,BI$5,0)),0,1/VLOOKUP($N84,Capa!$A:$AE,BI$5,0))))</f>
        <v/>
      </c>
      <c r="BJ84" s="118" t="str">
        <f>IF(BJ$6="","",IF(BJ$3="Maior",IFERROR(IF(VLOOKUP($N84,Capa!$A:$AE,BJ$5,0)="",0,VLOOKUP($N84,Capa!$A:$AE,BJ$5,0)),0),IF(ISERROR(1/VLOOKUP($N84,Capa!$A:$AE,BJ$5,0)),0,1/VLOOKUP($N84,Capa!$A:$AE,BJ$5,0))))</f>
        <v/>
      </c>
      <c r="BK84" s="118" t="str">
        <f>IF(BK$6="","",IF(BK$3="Maior",IFERROR(IF(VLOOKUP($N84,Capa!$A:$AE,BK$5,0)="",0,VLOOKUP($N84,Capa!$A:$AE,BK$5,0)),0),IF(ISERROR(1/VLOOKUP($N84,Capa!$A:$AE,BK$5,0)),0,1/VLOOKUP($N84,Capa!$A:$AE,BK$5,0))))</f>
        <v/>
      </c>
      <c r="BL84" s="118" t="str">
        <f>IF(BL$6="","",IF(BL$3="Maior",IFERROR(IF(VLOOKUP($N84,Capa!$A:$AE,BL$5,0)="",0,VLOOKUP($N84,Capa!$A:$AE,BL$5,0)),0),IF(ISERROR(1/VLOOKUP($N84,Capa!$A:$AE,BL$5,0)),0,1/VLOOKUP($N84,Capa!$A:$AE,BL$5,0))))</f>
        <v/>
      </c>
      <c r="BM84" s="118" t="str">
        <f>IF(BM$6="","",IF(BM$3="Maior",IFERROR(IF(VLOOKUP($N84,Capa!$A:$AE,BM$5,0)="",0,VLOOKUP($N84,Capa!$A:$AE,BM$5,0)),0),IF(ISERROR(1/VLOOKUP($N84,Capa!$A:$AE,BM$5,0)),0,1/VLOOKUP($N84,Capa!$A:$AE,BM$5,0))))</f>
        <v/>
      </c>
      <c r="BN84" s="118" t="str">
        <f>IF(BN$6="","",IF(BN$3="Maior",IFERROR(IF(VLOOKUP($N84,Capa!$A:$AE,BN$5,0)="",0,VLOOKUP($N84,Capa!$A:$AE,BN$5,0)),0),IF(ISERROR(1/VLOOKUP($N84,Capa!$A:$AE,BN$5,0)),0,1/VLOOKUP($N84,Capa!$A:$AE,BN$5,0))))</f>
        <v/>
      </c>
      <c r="BO84" s="92"/>
    </row>
    <row r="85">
      <c r="G85" s="11"/>
      <c r="H85" s="8">
        <v>79.0</v>
      </c>
      <c r="I85" s="110" t="str">
        <f t="shared" si="6"/>
        <v>RADL3</v>
      </c>
      <c r="J85" s="111" t="str">
        <f>VLOOKUP(left(I85,4),Setor!A:D,3,0)&amp;" | "&amp;VLOOKUP(left(I85,4),Setor!A:D,4,0)</f>
        <v>Saúde | Comércio e Distribuição</v>
      </c>
      <c r="K85" s="112">
        <f t="shared" si="7"/>
        <v>143698854.5</v>
      </c>
      <c r="L85" s="11"/>
      <c r="M85" s="11"/>
      <c r="N85" s="10" t="s">
        <v>131</v>
      </c>
      <c r="O85" s="113">
        <f t="shared" si="8"/>
        <v>466.0113</v>
      </c>
      <c r="P85" s="114">
        <f>VLOOKUP(N85,'Dados StatusInvest'!A:Z,26,0)</f>
        <v>106823220.7</v>
      </c>
      <c r="Q85" s="115">
        <f t="shared" si="9"/>
        <v>113.0113</v>
      </c>
      <c r="R85" s="116">
        <f t="shared" ref="R85:AO85" si="88">IF(AQ85="","", RANK(AQ85,AQ$7:AQ$503,0))</f>
        <v>134</v>
      </c>
      <c r="S85" s="115">
        <f t="shared" si="88"/>
        <v>219</v>
      </c>
      <c r="T85" s="115" t="str">
        <f t="shared" si="88"/>
        <v/>
      </c>
      <c r="U85" s="115" t="str">
        <f t="shared" si="88"/>
        <v/>
      </c>
      <c r="V85" s="115" t="str">
        <f t="shared" si="88"/>
        <v/>
      </c>
      <c r="W85" s="115" t="str">
        <f t="shared" si="88"/>
        <v/>
      </c>
      <c r="X85" s="115" t="str">
        <f t="shared" si="88"/>
        <v/>
      </c>
      <c r="Y85" s="115" t="str">
        <f t="shared" si="88"/>
        <v/>
      </c>
      <c r="Z85" s="115" t="str">
        <f t="shared" si="88"/>
        <v/>
      </c>
      <c r="AA85" s="115" t="str">
        <f t="shared" si="88"/>
        <v/>
      </c>
      <c r="AB85" s="115" t="str">
        <f t="shared" si="88"/>
        <v/>
      </c>
      <c r="AC85" s="115" t="str">
        <f t="shared" si="88"/>
        <v/>
      </c>
      <c r="AD85" s="115" t="str">
        <f t="shared" si="88"/>
        <v/>
      </c>
      <c r="AE85" s="115" t="str">
        <f t="shared" si="88"/>
        <v/>
      </c>
      <c r="AF85" s="115" t="str">
        <f t="shared" si="88"/>
        <v/>
      </c>
      <c r="AG85" s="115" t="str">
        <f t="shared" si="88"/>
        <v/>
      </c>
      <c r="AH85" s="115" t="str">
        <f t="shared" si="88"/>
        <v/>
      </c>
      <c r="AI85" s="115" t="str">
        <f t="shared" si="88"/>
        <v/>
      </c>
      <c r="AJ85" s="115" t="str">
        <f t="shared" si="88"/>
        <v/>
      </c>
      <c r="AK85" s="115" t="str">
        <f t="shared" si="88"/>
        <v/>
      </c>
      <c r="AL85" s="115" t="str">
        <f t="shared" si="88"/>
        <v/>
      </c>
      <c r="AM85" s="115" t="str">
        <f t="shared" si="88"/>
        <v/>
      </c>
      <c r="AN85" s="115" t="str">
        <f t="shared" si="88"/>
        <v/>
      </c>
      <c r="AO85" s="115" t="str">
        <f t="shared" si="88"/>
        <v/>
      </c>
      <c r="AP85" s="117">
        <f>IF(AP$6="","",IF(AP$3="Maior",IFERROR(IF(VLOOKUP($N85,Capa!$A:$AE,AP$5,0)="",0,VLOOKUP($N85,Capa!$A:$AE,AP$5,0)),0),IF(ISERROR(1/VLOOKUP($N85,Capa!$A:$AE,AP$5,0)),0,1/VLOOKUP($N85,Capa!$A:$AE,AP$5,0))))</f>
        <v>0.1639050375</v>
      </c>
      <c r="AQ85" s="118">
        <f>IF(AQ$6="","",IF(AQ$3="Maior",IFERROR(IF(VLOOKUP($N85,Capa!$A:$AE,AQ$5,0)="",0,VLOOKUP($N85,Capa!$A:$AE,AQ$5,0)),0),IF(ISERROR(1/VLOOKUP($N85,Capa!$A:$AE,AQ$5,0)),0,1/VLOOKUP($N85,Capa!$A:$AE,AQ$5,0))))</f>
        <v>14.99</v>
      </c>
      <c r="AR85" s="118">
        <f>IF(AR$6="","",IF(AR$3="Maior",IFERROR(IF(VLOOKUP($N85,Capa!$A:$AE,AR$5,0)="",0,VLOOKUP($N85,Capa!$A:$AE,AR$5,0)),0),IF(ISERROR(1/VLOOKUP($N85,Capa!$A:$AE,AR$5,0)),0,1/VLOOKUP($N85,Capa!$A:$AE,AR$5,0))))</f>
        <v>0</v>
      </c>
      <c r="AS85" s="118" t="str">
        <f>IF(AS$6="","",IF(AS$3="Maior",IFERROR(IF(VLOOKUP($N85,Capa!$A:$AE,AS$5,0)="",0,VLOOKUP($N85,Capa!$A:$AE,AS$5,0)),0),IF(ISERROR(1/VLOOKUP($N85,Capa!$A:$AE,AS$5,0)),0,1/VLOOKUP($N85,Capa!$A:$AE,AS$5,0))))</f>
        <v/>
      </c>
      <c r="AT85" s="118" t="str">
        <f>IF(AT$6="","",IF(AT$3="Maior",IFERROR(IF(VLOOKUP($N85,Capa!$A:$AE,AT$5,0)="",0,VLOOKUP($N85,Capa!$A:$AE,AT$5,0)),0),IF(ISERROR(1/VLOOKUP($N85,Capa!$A:$AE,AT$5,0)),0,1/VLOOKUP($N85,Capa!$A:$AE,AT$5,0))))</f>
        <v/>
      </c>
      <c r="AU85" s="118" t="str">
        <f>IF(AU$6="","",IF(AU$3="Maior",IFERROR(IF(VLOOKUP($N85,Capa!$A:$AE,AU$5,0)="",0,VLOOKUP($N85,Capa!$A:$AE,AU$5,0)),0),IF(ISERROR(1/VLOOKUP($N85,Capa!$A:$AE,AU$5,0)),0,1/VLOOKUP($N85,Capa!$A:$AE,AU$5,0))))</f>
        <v/>
      </c>
      <c r="AV85" s="118" t="str">
        <f>IF(AV$6="","",IF(AV$3="Maior",IFERROR(IF(VLOOKUP($N85,Capa!$A:$AE,AV$5,0)="",0,VLOOKUP($N85,Capa!$A:$AE,AV$5,0)),0),IF(ISERROR(1/VLOOKUP($N85,Capa!$A:$AE,AV$5,0)),0,1/VLOOKUP($N85,Capa!$A:$AE,AV$5,0))))</f>
        <v/>
      </c>
      <c r="AW85" s="118" t="str">
        <f>IF(AW$6="","",IF(AW$3="Maior",IFERROR(IF(VLOOKUP($N85,Capa!$A:$AE,AW$5,0)="",0,VLOOKUP($N85,Capa!$A:$AE,AW$5,0)),0),IF(ISERROR(1/VLOOKUP($N85,Capa!$A:$AE,AW$5,0)),0,1/VLOOKUP($N85,Capa!$A:$AE,AW$5,0))))</f>
        <v/>
      </c>
      <c r="AX85" s="118" t="str">
        <f>IF(AX$6="","",IF(AX$3="Maior",IFERROR(IF(VLOOKUP($N85,Capa!$A:$AE,AX$5,0)="",0,VLOOKUP($N85,Capa!$A:$AE,AX$5,0)),0),IF(ISERROR(1/VLOOKUP($N85,Capa!$A:$AE,AX$5,0)),0,1/VLOOKUP($N85,Capa!$A:$AE,AX$5,0))))</f>
        <v/>
      </c>
      <c r="AY85" s="118" t="str">
        <f>IF(AY$6="","",IF(AY$3="Maior",IFERROR(IF(VLOOKUP($N85,Capa!$A:$AE,AY$5,0)="",0,VLOOKUP($N85,Capa!$A:$AE,AY$5,0)),0),IF(ISERROR(1/VLOOKUP($N85,Capa!$A:$AE,AY$5,0)),0,1/VLOOKUP($N85,Capa!$A:$AE,AY$5,0))))</f>
        <v/>
      </c>
      <c r="AZ85" s="118" t="str">
        <f>IF(AZ$6="","",IF(AZ$3="Maior",IFERROR(IF(VLOOKUP($N85,Capa!$A:$AE,AZ$5,0)="",0,VLOOKUP($N85,Capa!$A:$AE,AZ$5,0)),0),IF(ISERROR(1/VLOOKUP($N85,Capa!$A:$AE,AZ$5,0)),0,1/VLOOKUP($N85,Capa!$A:$AE,AZ$5,0))))</f>
        <v/>
      </c>
      <c r="BA85" s="118" t="str">
        <f>IF(BA$6="","",IF(BA$3="Maior",IFERROR(IF(VLOOKUP($N85,Capa!$A:$AE,BA$5,0)="",0,VLOOKUP($N85,Capa!$A:$AE,BA$5,0)),0),IF(ISERROR(1/VLOOKUP($N85,Capa!$A:$AE,BA$5,0)),0,1/VLOOKUP($N85,Capa!$A:$AE,BA$5,0))))</f>
        <v/>
      </c>
      <c r="BB85" s="118" t="str">
        <f>IF(BB$6="","",IF(BB$3="Maior",IFERROR(IF(VLOOKUP($N85,Capa!$A:$AE,BB$5,0)="",0,VLOOKUP($N85,Capa!$A:$AE,BB$5,0)),0),IF(ISERROR(1/VLOOKUP($N85,Capa!$A:$AE,BB$5,0)),0,1/VLOOKUP($N85,Capa!$A:$AE,BB$5,0))))</f>
        <v/>
      </c>
      <c r="BC85" s="118" t="str">
        <f>IF(BC$6="","",IF(BC$3="Maior",IFERROR(IF(VLOOKUP($N85,Capa!$A:$AE,BC$5,0)="",0,VLOOKUP($N85,Capa!$A:$AE,BC$5,0)),0),IF(ISERROR(1/VLOOKUP($N85,Capa!$A:$AE,BC$5,0)),0,1/VLOOKUP($N85,Capa!$A:$AE,BC$5,0))))</f>
        <v/>
      </c>
      <c r="BD85" s="118" t="str">
        <f>IF(BD$6="","",IF(BD$3="Maior",IFERROR(IF(VLOOKUP($N85,Capa!$A:$AE,BD$5,0)="",0,VLOOKUP($N85,Capa!$A:$AE,BD$5,0)),0),IF(ISERROR(1/VLOOKUP($N85,Capa!$A:$AE,BD$5,0)),0,1/VLOOKUP($N85,Capa!$A:$AE,BD$5,0))))</f>
        <v/>
      </c>
      <c r="BE85" s="118" t="str">
        <f>IF(BE$6="","",IF(BE$3="Maior",IFERROR(IF(VLOOKUP($N85,Capa!$A:$AE,BE$5,0)="",0,VLOOKUP($N85,Capa!$A:$AE,BE$5,0)),0),IF(ISERROR(1/VLOOKUP($N85,Capa!$A:$AE,BE$5,0)),0,1/VLOOKUP($N85,Capa!$A:$AE,BE$5,0))))</f>
        <v/>
      </c>
      <c r="BF85" s="118" t="str">
        <f>IF(BF$6="","",IF(BF$3="Maior",IFERROR(IF(VLOOKUP($N85,Capa!$A:$AE,BF$5,0)="",0,VLOOKUP($N85,Capa!$A:$AE,BF$5,0)),0),IF(ISERROR(1/VLOOKUP($N85,Capa!$A:$AE,BF$5,0)),0,1/VLOOKUP($N85,Capa!$A:$AE,BF$5,0))))</f>
        <v/>
      </c>
      <c r="BG85" s="118" t="str">
        <f>IF(BG$6="","",IF(BG$3="Maior",IFERROR(IF(VLOOKUP($N85,Capa!$A:$AE,BG$5,0)="",0,VLOOKUP($N85,Capa!$A:$AE,BG$5,0)),0),IF(ISERROR(1/VLOOKUP($N85,Capa!$A:$AE,BG$5,0)),0,1/VLOOKUP($N85,Capa!$A:$AE,BG$5,0))))</f>
        <v/>
      </c>
      <c r="BH85" s="118" t="str">
        <f>IF(BH$6="","",IF(BH$3="Maior",IFERROR(IF(VLOOKUP($N85,Capa!$A:$AE,BH$5,0)="",0,VLOOKUP($N85,Capa!$A:$AE,BH$5,0)),0),IF(ISERROR(1/VLOOKUP($N85,Capa!$A:$AE,BH$5,0)),0,1/VLOOKUP($N85,Capa!$A:$AE,BH$5,0))))</f>
        <v/>
      </c>
      <c r="BI85" s="118" t="str">
        <f>IF(BI$6="","",IF(BI$3="Maior",IFERROR(IF(VLOOKUP($N85,Capa!$A:$AE,BI$5,0)="",0,VLOOKUP($N85,Capa!$A:$AE,BI$5,0)),0),IF(ISERROR(1/VLOOKUP($N85,Capa!$A:$AE,BI$5,0)),0,1/VLOOKUP($N85,Capa!$A:$AE,BI$5,0))))</f>
        <v/>
      </c>
      <c r="BJ85" s="118" t="str">
        <f>IF(BJ$6="","",IF(BJ$3="Maior",IFERROR(IF(VLOOKUP($N85,Capa!$A:$AE,BJ$5,0)="",0,VLOOKUP($N85,Capa!$A:$AE,BJ$5,0)),0),IF(ISERROR(1/VLOOKUP($N85,Capa!$A:$AE,BJ$5,0)),0,1/VLOOKUP($N85,Capa!$A:$AE,BJ$5,0))))</f>
        <v/>
      </c>
      <c r="BK85" s="118" t="str">
        <f>IF(BK$6="","",IF(BK$3="Maior",IFERROR(IF(VLOOKUP($N85,Capa!$A:$AE,BK$5,0)="",0,VLOOKUP($N85,Capa!$A:$AE,BK$5,0)),0),IF(ISERROR(1/VLOOKUP($N85,Capa!$A:$AE,BK$5,0)),0,1/VLOOKUP($N85,Capa!$A:$AE,BK$5,0))))</f>
        <v/>
      </c>
      <c r="BL85" s="118" t="str">
        <f>IF(BL$6="","",IF(BL$3="Maior",IFERROR(IF(VLOOKUP($N85,Capa!$A:$AE,BL$5,0)="",0,VLOOKUP($N85,Capa!$A:$AE,BL$5,0)),0),IF(ISERROR(1/VLOOKUP($N85,Capa!$A:$AE,BL$5,0)),0,1/VLOOKUP($N85,Capa!$A:$AE,BL$5,0))))</f>
        <v/>
      </c>
      <c r="BM85" s="118" t="str">
        <f>IF(BM$6="","",IF(BM$3="Maior",IFERROR(IF(VLOOKUP($N85,Capa!$A:$AE,BM$5,0)="",0,VLOOKUP($N85,Capa!$A:$AE,BM$5,0)),0),IF(ISERROR(1/VLOOKUP($N85,Capa!$A:$AE,BM$5,0)),0,1/VLOOKUP($N85,Capa!$A:$AE,BM$5,0))))</f>
        <v/>
      </c>
      <c r="BN85" s="118" t="str">
        <f>IF(BN$6="","",IF(BN$3="Maior",IFERROR(IF(VLOOKUP($N85,Capa!$A:$AE,BN$5,0)="",0,VLOOKUP($N85,Capa!$A:$AE,BN$5,0)),0),IF(ISERROR(1/VLOOKUP($N85,Capa!$A:$AE,BN$5,0)),0,1/VLOOKUP($N85,Capa!$A:$AE,BN$5,0))))</f>
        <v/>
      </c>
      <c r="BO85" s="92"/>
    </row>
    <row r="86">
      <c r="G86" s="11"/>
      <c r="H86" s="8">
        <v>80.0</v>
      </c>
      <c r="I86" s="110" t="str">
        <f t="shared" si="6"/>
        <v>MLAS3</v>
      </c>
      <c r="J86" s="111" t="str">
        <f>VLOOKUP(left(I86,4),Setor!A:D,3,0)&amp;" | "&amp;VLOOKUP(left(I86,4),Setor!A:D,4,0)</f>
        <v>#N/A</v>
      </c>
      <c r="K86" s="112">
        <f t="shared" si="7"/>
        <v>15202737.88</v>
      </c>
      <c r="L86" s="11"/>
      <c r="M86" s="11"/>
      <c r="N86" s="10" t="s">
        <v>132</v>
      </c>
      <c r="O86" s="113">
        <f t="shared" si="8"/>
        <v>302.0079</v>
      </c>
      <c r="P86" s="114">
        <f>VLOOKUP(N86,'Dados StatusInvest'!A:Z,26,0)</f>
        <v>90573863</v>
      </c>
      <c r="Q86" s="115">
        <f t="shared" si="9"/>
        <v>79.0079</v>
      </c>
      <c r="R86" s="116">
        <f t="shared" ref="R86:AO86" si="89">IF(AQ86="","", RANK(AQ86,AQ$7:AQ$503,0))</f>
        <v>4</v>
      </c>
      <c r="S86" s="115">
        <f t="shared" si="89"/>
        <v>219</v>
      </c>
      <c r="T86" s="115" t="str">
        <f t="shared" si="89"/>
        <v/>
      </c>
      <c r="U86" s="115" t="str">
        <f t="shared" si="89"/>
        <v/>
      </c>
      <c r="V86" s="115" t="str">
        <f t="shared" si="89"/>
        <v/>
      </c>
      <c r="W86" s="115" t="str">
        <f t="shared" si="89"/>
        <v/>
      </c>
      <c r="X86" s="115" t="str">
        <f t="shared" si="89"/>
        <v/>
      </c>
      <c r="Y86" s="115" t="str">
        <f t="shared" si="89"/>
        <v/>
      </c>
      <c r="Z86" s="115" t="str">
        <f t="shared" si="89"/>
        <v/>
      </c>
      <c r="AA86" s="115" t="str">
        <f t="shared" si="89"/>
        <v/>
      </c>
      <c r="AB86" s="115" t="str">
        <f t="shared" si="89"/>
        <v/>
      </c>
      <c r="AC86" s="115" t="str">
        <f t="shared" si="89"/>
        <v/>
      </c>
      <c r="AD86" s="115" t="str">
        <f t="shared" si="89"/>
        <v/>
      </c>
      <c r="AE86" s="115" t="str">
        <f t="shared" si="89"/>
        <v/>
      </c>
      <c r="AF86" s="115" t="str">
        <f t="shared" si="89"/>
        <v/>
      </c>
      <c r="AG86" s="115" t="str">
        <f t="shared" si="89"/>
        <v/>
      </c>
      <c r="AH86" s="115" t="str">
        <f t="shared" si="89"/>
        <v/>
      </c>
      <c r="AI86" s="115" t="str">
        <f t="shared" si="89"/>
        <v/>
      </c>
      <c r="AJ86" s="115" t="str">
        <f t="shared" si="89"/>
        <v/>
      </c>
      <c r="AK86" s="115" t="str">
        <f t="shared" si="89"/>
        <v/>
      </c>
      <c r="AL86" s="115" t="str">
        <f t="shared" si="89"/>
        <v/>
      </c>
      <c r="AM86" s="115" t="str">
        <f t="shared" si="89"/>
        <v/>
      </c>
      <c r="AN86" s="115" t="str">
        <f t="shared" si="89"/>
        <v/>
      </c>
      <c r="AO86" s="115" t="str">
        <f t="shared" si="89"/>
        <v/>
      </c>
      <c r="AP86" s="117">
        <f>IF(AP$6="","",IF(AP$3="Maior",IFERROR(IF(VLOOKUP($N86,Capa!$A:$AE,AP$5,0)="",0,VLOOKUP($N86,Capa!$A:$AE,AP$5,0)),0),IF(ISERROR(1/VLOOKUP($N86,Capa!$A:$AE,AP$5,0)),0,1/VLOOKUP($N86,Capa!$A:$AE,AP$5,0))))</f>
        <v>0.2112642131</v>
      </c>
      <c r="AQ86" s="118">
        <f>IF(AQ$6="","",IF(AQ$3="Maior",IFERROR(IF(VLOOKUP($N86,Capa!$A:$AE,AQ$5,0)="",0,VLOOKUP($N86,Capa!$A:$AE,AQ$5,0)),0),IF(ISERROR(1/VLOOKUP($N86,Capa!$A:$AE,AQ$5,0)),0,1/VLOOKUP($N86,Capa!$A:$AE,AQ$5,0))))</f>
        <v>143.07</v>
      </c>
      <c r="AR86" s="118">
        <f>IF(AR$6="","",IF(AR$3="Maior",IFERROR(IF(VLOOKUP($N86,Capa!$A:$AE,AR$5,0)="",0,VLOOKUP($N86,Capa!$A:$AE,AR$5,0)),0),IF(ISERROR(1/VLOOKUP($N86,Capa!$A:$AE,AR$5,0)),0,1/VLOOKUP($N86,Capa!$A:$AE,AR$5,0))))</f>
        <v>0</v>
      </c>
      <c r="AS86" s="118" t="str">
        <f>IF(AS$6="","",IF(AS$3="Maior",IFERROR(IF(VLOOKUP($N86,Capa!$A:$AE,AS$5,0)="",0,VLOOKUP($N86,Capa!$A:$AE,AS$5,0)),0),IF(ISERROR(1/VLOOKUP($N86,Capa!$A:$AE,AS$5,0)),0,1/VLOOKUP($N86,Capa!$A:$AE,AS$5,0))))</f>
        <v/>
      </c>
      <c r="AT86" s="118" t="str">
        <f>IF(AT$6="","",IF(AT$3="Maior",IFERROR(IF(VLOOKUP($N86,Capa!$A:$AE,AT$5,0)="",0,VLOOKUP($N86,Capa!$A:$AE,AT$5,0)),0),IF(ISERROR(1/VLOOKUP($N86,Capa!$A:$AE,AT$5,0)),0,1/VLOOKUP($N86,Capa!$A:$AE,AT$5,0))))</f>
        <v/>
      </c>
      <c r="AU86" s="118" t="str">
        <f>IF(AU$6="","",IF(AU$3="Maior",IFERROR(IF(VLOOKUP($N86,Capa!$A:$AE,AU$5,0)="",0,VLOOKUP($N86,Capa!$A:$AE,AU$5,0)),0),IF(ISERROR(1/VLOOKUP($N86,Capa!$A:$AE,AU$5,0)),0,1/VLOOKUP($N86,Capa!$A:$AE,AU$5,0))))</f>
        <v/>
      </c>
      <c r="AV86" s="118" t="str">
        <f>IF(AV$6="","",IF(AV$3="Maior",IFERROR(IF(VLOOKUP($N86,Capa!$A:$AE,AV$5,0)="",0,VLOOKUP($N86,Capa!$A:$AE,AV$5,0)),0),IF(ISERROR(1/VLOOKUP($N86,Capa!$A:$AE,AV$5,0)),0,1/VLOOKUP($N86,Capa!$A:$AE,AV$5,0))))</f>
        <v/>
      </c>
      <c r="AW86" s="118" t="str">
        <f>IF(AW$6="","",IF(AW$3="Maior",IFERROR(IF(VLOOKUP($N86,Capa!$A:$AE,AW$5,0)="",0,VLOOKUP($N86,Capa!$A:$AE,AW$5,0)),0),IF(ISERROR(1/VLOOKUP($N86,Capa!$A:$AE,AW$5,0)),0,1/VLOOKUP($N86,Capa!$A:$AE,AW$5,0))))</f>
        <v/>
      </c>
      <c r="AX86" s="118" t="str">
        <f>IF(AX$6="","",IF(AX$3="Maior",IFERROR(IF(VLOOKUP($N86,Capa!$A:$AE,AX$5,0)="",0,VLOOKUP($N86,Capa!$A:$AE,AX$5,0)),0),IF(ISERROR(1/VLOOKUP($N86,Capa!$A:$AE,AX$5,0)),0,1/VLOOKUP($N86,Capa!$A:$AE,AX$5,0))))</f>
        <v/>
      </c>
      <c r="AY86" s="118" t="str">
        <f>IF(AY$6="","",IF(AY$3="Maior",IFERROR(IF(VLOOKUP($N86,Capa!$A:$AE,AY$5,0)="",0,VLOOKUP($N86,Capa!$A:$AE,AY$5,0)),0),IF(ISERROR(1/VLOOKUP($N86,Capa!$A:$AE,AY$5,0)),0,1/VLOOKUP($N86,Capa!$A:$AE,AY$5,0))))</f>
        <v/>
      </c>
      <c r="AZ86" s="118" t="str">
        <f>IF(AZ$6="","",IF(AZ$3="Maior",IFERROR(IF(VLOOKUP($N86,Capa!$A:$AE,AZ$5,0)="",0,VLOOKUP($N86,Capa!$A:$AE,AZ$5,0)),0),IF(ISERROR(1/VLOOKUP($N86,Capa!$A:$AE,AZ$5,0)),0,1/VLOOKUP($N86,Capa!$A:$AE,AZ$5,0))))</f>
        <v/>
      </c>
      <c r="BA86" s="118" t="str">
        <f>IF(BA$6="","",IF(BA$3="Maior",IFERROR(IF(VLOOKUP($N86,Capa!$A:$AE,BA$5,0)="",0,VLOOKUP($N86,Capa!$A:$AE,BA$5,0)),0),IF(ISERROR(1/VLOOKUP($N86,Capa!$A:$AE,BA$5,0)),0,1/VLOOKUP($N86,Capa!$A:$AE,BA$5,0))))</f>
        <v/>
      </c>
      <c r="BB86" s="118" t="str">
        <f>IF(BB$6="","",IF(BB$3="Maior",IFERROR(IF(VLOOKUP($N86,Capa!$A:$AE,BB$5,0)="",0,VLOOKUP($N86,Capa!$A:$AE,BB$5,0)),0),IF(ISERROR(1/VLOOKUP($N86,Capa!$A:$AE,BB$5,0)),0,1/VLOOKUP($N86,Capa!$A:$AE,BB$5,0))))</f>
        <v/>
      </c>
      <c r="BC86" s="118" t="str">
        <f>IF(BC$6="","",IF(BC$3="Maior",IFERROR(IF(VLOOKUP($N86,Capa!$A:$AE,BC$5,0)="",0,VLOOKUP($N86,Capa!$A:$AE,BC$5,0)),0),IF(ISERROR(1/VLOOKUP($N86,Capa!$A:$AE,BC$5,0)),0,1/VLOOKUP($N86,Capa!$A:$AE,BC$5,0))))</f>
        <v/>
      </c>
      <c r="BD86" s="118" t="str">
        <f>IF(BD$6="","",IF(BD$3="Maior",IFERROR(IF(VLOOKUP($N86,Capa!$A:$AE,BD$5,0)="",0,VLOOKUP($N86,Capa!$A:$AE,BD$5,0)),0),IF(ISERROR(1/VLOOKUP($N86,Capa!$A:$AE,BD$5,0)),0,1/VLOOKUP($N86,Capa!$A:$AE,BD$5,0))))</f>
        <v/>
      </c>
      <c r="BE86" s="118" t="str">
        <f>IF(BE$6="","",IF(BE$3="Maior",IFERROR(IF(VLOOKUP($N86,Capa!$A:$AE,BE$5,0)="",0,VLOOKUP($N86,Capa!$A:$AE,BE$5,0)),0),IF(ISERROR(1/VLOOKUP($N86,Capa!$A:$AE,BE$5,0)),0,1/VLOOKUP($N86,Capa!$A:$AE,BE$5,0))))</f>
        <v/>
      </c>
      <c r="BF86" s="118" t="str">
        <f>IF(BF$6="","",IF(BF$3="Maior",IFERROR(IF(VLOOKUP($N86,Capa!$A:$AE,BF$5,0)="",0,VLOOKUP($N86,Capa!$A:$AE,BF$5,0)),0),IF(ISERROR(1/VLOOKUP($N86,Capa!$A:$AE,BF$5,0)),0,1/VLOOKUP($N86,Capa!$A:$AE,BF$5,0))))</f>
        <v/>
      </c>
      <c r="BG86" s="118" t="str">
        <f>IF(BG$6="","",IF(BG$3="Maior",IFERROR(IF(VLOOKUP($N86,Capa!$A:$AE,BG$5,0)="",0,VLOOKUP($N86,Capa!$A:$AE,BG$5,0)),0),IF(ISERROR(1/VLOOKUP($N86,Capa!$A:$AE,BG$5,0)),0,1/VLOOKUP($N86,Capa!$A:$AE,BG$5,0))))</f>
        <v/>
      </c>
      <c r="BH86" s="118" t="str">
        <f>IF(BH$6="","",IF(BH$3="Maior",IFERROR(IF(VLOOKUP($N86,Capa!$A:$AE,BH$5,0)="",0,VLOOKUP($N86,Capa!$A:$AE,BH$5,0)),0),IF(ISERROR(1/VLOOKUP($N86,Capa!$A:$AE,BH$5,0)),0,1/VLOOKUP($N86,Capa!$A:$AE,BH$5,0))))</f>
        <v/>
      </c>
      <c r="BI86" s="118" t="str">
        <f>IF(BI$6="","",IF(BI$3="Maior",IFERROR(IF(VLOOKUP($N86,Capa!$A:$AE,BI$5,0)="",0,VLOOKUP($N86,Capa!$A:$AE,BI$5,0)),0),IF(ISERROR(1/VLOOKUP($N86,Capa!$A:$AE,BI$5,0)),0,1/VLOOKUP($N86,Capa!$A:$AE,BI$5,0))))</f>
        <v/>
      </c>
      <c r="BJ86" s="118" t="str">
        <f>IF(BJ$6="","",IF(BJ$3="Maior",IFERROR(IF(VLOOKUP($N86,Capa!$A:$AE,BJ$5,0)="",0,VLOOKUP($N86,Capa!$A:$AE,BJ$5,0)),0),IF(ISERROR(1/VLOOKUP($N86,Capa!$A:$AE,BJ$5,0)),0,1/VLOOKUP($N86,Capa!$A:$AE,BJ$5,0))))</f>
        <v/>
      </c>
      <c r="BK86" s="118" t="str">
        <f>IF(BK$6="","",IF(BK$3="Maior",IFERROR(IF(VLOOKUP($N86,Capa!$A:$AE,BK$5,0)="",0,VLOOKUP($N86,Capa!$A:$AE,BK$5,0)),0),IF(ISERROR(1/VLOOKUP($N86,Capa!$A:$AE,BK$5,0)),0,1/VLOOKUP($N86,Capa!$A:$AE,BK$5,0))))</f>
        <v/>
      </c>
      <c r="BL86" s="118" t="str">
        <f>IF(BL$6="","",IF(BL$3="Maior",IFERROR(IF(VLOOKUP($N86,Capa!$A:$AE,BL$5,0)="",0,VLOOKUP($N86,Capa!$A:$AE,BL$5,0)),0),IF(ISERROR(1/VLOOKUP($N86,Capa!$A:$AE,BL$5,0)),0,1/VLOOKUP($N86,Capa!$A:$AE,BL$5,0))))</f>
        <v/>
      </c>
      <c r="BM86" s="118" t="str">
        <f>IF(BM$6="","",IF(BM$3="Maior",IFERROR(IF(VLOOKUP($N86,Capa!$A:$AE,BM$5,0)="",0,VLOOKUP($N86,Capa!$A:$AE,BM$5,0)),0),IF(ISERROR(1/VLOOKUP($N86,Capa!$A:$AE,BM$5,0)),0,1/VLOOKUP($N86,Capa!$A:$AE,BM$5,0))))</f>
        <v/>
      </c>
      <c r="BN86" s="118" t="str">
        <f>IF(BN$6="","",IF(BN$3="Maior",IFERROR(IF(VLOOKUP($N86,Capa!$A:$AE,BN$5,0)="",0,VLOOKUP($N86,Capa!$A:$AE,BN$5,0)),0),IF(ISERROR(1/VLOOKUP($N86,Capa!$A:$AE,BN$5,0)),0,1/VLOOKUP($N86,Capa!$A:$AE,BN$5,0))))</f>
        <v/>
      </c>
      <c r="BO86" s="92"/>
    </row>
    <row r="87">
      <c r="G87" s="11"/>
      <c r="H87" s="8">
        <v>81.0</v>
      </c>
      <c r="I87" s="110" t="str">
        <f t="shared" si="6"/>
        <v>LJQQ3</v>
      </c>
      <c r="J87" s="111" t="str">
        <f>VLOOKUP(left(I87,4),Setor!A:D,3,0)&amp;" | "&amp;VLOOKUP(left(I87,4),Setor!A:D,4,0)</f>
        <v>Consumo Cíclico | Comércio</v>
      </c>
      <c r="K87" s="112">
        <f t="shared" si="7"/>
        <v>29848059.38</v>
      </c>
      <c r="L87" s="11"/>
      <c r="M87" s="11"/>
      <c r="N87" s="10" t="s">
        <v>133</v>
      </c>
      <c r="O87" s="113">
        <f t="shared" si="8"/>
        <v>725.0247</v>
      </c>
      <c r="P87" s="114">
        <f>VLOOKUP(N87,'Dados StatusInvest'!A:Z,26,0)</f>
        <v>88404221.96</v>
      </c>
      <c r="Q87" s="115">
        <f t="shared" si="9"/>
        <v>247.0247</v>
      </c>
      <c r="R87" s="116">
        <f t="shared" ref="R87:AO87" si="90">IF(AQ87="","", RANK(AQ87,AQ$7:AQ$503,0))</f>
        <v>284</v>
      </c>
      <c r="S87" s="115">
        <f t="shared" si="90"/>
        <v>194</v>
      </c>
      <c r="T87" s="115" t="str">
        <f t="shared" si="90"/>
        <v/>
      </c>
      <c r="U87" s="115" t="str">
        <f t="shared" si="90"/>
        <v/>
      </c>
      <c r="V87" s="115" t="str">
        <f t="shared" si="90"/>
        <v/>
      </c>
      <c r="W87" s="115" t="str">
        <f t="shared" si="90"/>
        <v/>
      </c>
      <c r="X87" s="115" t="str">
        <f t="shared" si="90"/>
        <v/>
      </c>
      <c r="Y87" s="115" t="str">
        <f t="shared" si="90"/>
        <v/>
      </c>
      <c r="Z87" s="115" t="str">
        <f t="shared" si="90"/>
        <v/>
      </c>
      <c r="AA87" s="115" t="str">
        <f t="shared" si="90"/>
        <v/>
      </c>
      <c r="AB87" s="115" t="str">
        <f t="shared" si="90"/>
        <v/>
      </c>
      <c r="AC87" s="115" t="str">
        <f t="shared" si="90"/>
        <v/>
      </c>
      <c r="AD87" s="115" t="str">
        <f t="shared" si="90"/>
        <v/>
      </c>
      <c r="AE87" s="115" t="str">
        <f t="shared" si="90"/>
        <v/>
      </c>
      <c r="AF87" s="115" t="str">
        <f t="shared" si="90"/>
        <v/>
      </c>
      <c r="AG87" s="115" t="str">
        <f t="shared" si="90"/>
        <v/>
      </c>
      <c r="AH87" s="115" t="str">
        <f t="shared" si="90"/>
        <v/>
      </c>
      <c r="AI87" s="115" t="str">
        <f t="shared" si="90"/>
        <v/>
      </c>
      <c r="AJ87" s="115" t="str">
        <f t="shared" si="90"/>
        <v/>
      </c>
      <c r="AK87" s="115" t="str">
        <f t="shared" si="90"/>
        <v/>
      </c>
      <c r="AL87" s="115" t="str">
        <f t="shared" si="90"/>
        <v/>
      </c>
      <c r="AM87" s="115" t="str">
        <f t="shared" si="90"/>
        <v/>
      </c>
      <c r="AN87" s="115" t="str">
        <f t="shared" si="90"/>
        <v/>
      </c>
      <c r="AO87" s="115" t="str">
        <f t="shared" si="90"/>
        <v/>
      </c>
      <c r="AP87" s="117">
        <f>IF(AP$6="","",IF(AP$3="Maior",IFERROR(IF(VLOOKUP($N87,Capa!$A:$AE,AP$5,0)="",0,VLOOKUP($N87,Capa!$A:$AE,AP$5,0)),0),IF(ISERROR(1/VLOOKUP($N87,Capa!$A:$AE,AP$5,0)),0,1/VLOOKUP($N87,Capa!$A:$AE,AP$5,0))))</f>
        <v>0.08253738792</v>
      </c>
      <c r="AQ87" s="118">
        <f>IF(AQ$6="","",IF(AQ$3="Maior",IFERROR(IF(VLOOKUP($N87,Capa!$A:$AE,AQ$5,0)="",0,VLOOKUP($N87,Capa!$A:$AE,AQ$5,0)),0),IF(ISERROR(1/VLOOKUP($N87,Capa!$A:$AE,AQ$5,0)),0,1/VLOOKUP($N87,Capa!$A:$AE,AQ$5,0))))</f>
        <v>5.96</v>
      </c>
      <c r="AR87" s="118">
        <f>IF(AR$6="","",IF(AR$3="Maior",IFERROR(IF(VLOOKUP($N87,Capa!$A:$AE,AR$5,0)="",0,VLOOKUP($N87,Capa!$A:$AE,AR$5,0)),0),IF(ISERROR(1/VLOOKUP($N87,Capa!$A:$AE,AR$5,0)),0,1/VLOOKUP($N87,Capa!$A:$AE,AR$5,0))))</f>
        <v>4.31</v>
      </c>
      <c r="AS87" s="118" t="str">
        <f>IF(AS$6="","",IF(AS$3="Maior",IFERROR(IF(VLOOKUP($N87,Capa!$A:$AE,AS$5,0)="",0,VLOOKUP($N87,Capa!$A:$AE,AS$5,0)),0),IF(ISERROR(1/VLOOKUP($N87,Capa!$A:$AE,AS$5,0)),0,1/VLOOKUP($N87,Capa!$A:$AE,AS$5,0))))</f>
        <v/>
      </c>
      <c r="AT87" s="118" t="str">
        <f>IF(AT$6="","",IF(AT$3="Maior",IFERROR(IF(VLOOKUP($N87,Capa!$A:$AE,AT$5,0)="",0,VLOOKUP($N87,Capa!$A:$AE,AT$5,0)),0),IF(ISERROR(1/VLOOKUP($N87,Capa!$A:$AE,AT$5,0)),0,1/VLOOKUP($N87,Capa!$A:$AE,AT$5,0))))</f>
        <v/>
      </c>
      <c r="AU87" s="118" t="str">
        <f>IF(AU$6="","",IF(AU$3="Maior",IFERROR(IF(VLOOKUP($N87,Capa!$A:$AE,AU$5,0)="",0,VLOOKUP($N87,Capa!$A:$AE,AU$5,0)),0),IF(ISERROR(1/VLOOKUP($N87,Capa!$A:$AE,AU$5,0)),0,1/VLOOKUP($N87,Capa!$A:$AE,AU$5,0))))</f>
        <v/>
      </c>
      <c r="AV87" s="118" t="str">
        <f>IF(AV$6="","",IF(AV$3="Maior",IFERROR(IF(VLOOKUP($N87,Capa!$A:$AE,AV$5,0)="",0,VLOOKUP($N87,Capa!$A:$AE,AV$5,0)),0),IF(ISERROR(1/VLOOKUP($N87,Capa!$A:$AE,AV$5,0)),0,1/VLOOKUP($N87,Capa!$A:$AE,AV$5,0))))</f>
        <v/>
      </c>
      <c r="AW87" s="118" t="str">
        <f>IF(AW$6="","",IF(AW$3="Maior",IFERROR(IF(VLOOKUP($N87,Capa!$A:$AE,AW$5,0)="",0,VLOOKUP($N87,Capa!$A:$AE,AW$5,0)),0),IF(ISERROR(1/VLOOKUP($N87,Capa!$A:$AE,AW$5,0)),0,1/VLOOKUP($N87,Capa!$A:$AE,AW$5,0))))</f>
        <v/>
      </c>
      <c r="AX87" s="118" t="str">
        <f>IF(AX$6="","",IF(AX$3="Maior",IFERROR(IF(VLOOKUP($N87,Capa!$A:$AE,AX$5,0)="",0,VLOOKUP($N87,Capa!$A:$AE,AX$5,0)),0),IF(ISERROR(1/VLOOKUP($N87,Capa!$A:$AE,AX$5,0)),0,1/VLOOKUP($N87,Capa!$A:$AE,AX$5,0))))</f>
        <v/>
      </c>
      <c r="AY87" s="118" t="str">
        <f>IF(AY$6="","",IF(AY$3="Maior",IFERROR(IF(VLOOKUP($N87,Capa!$A:$AE,AY$5,0)="",0,VLOOKUP($N87,Capa!$A:$AE,AY$5,0)),0),IF(ISERROR(1/VLOOKUP($N87,Capa!$A:$AE,AY$5,0)),0,1/VLOOKUP($N87,Capa!$A:$AE,AY$5,0))))</f>
        <v/>
      </c>
      <c r="AZ87" s="118" t="str">
        <f>IF(AZ$6="","",IF(AZ$3="Maior",IFERROR(IF(VLOOKUP($N87,Capa!$A:$AE,AZ$5,0)="",0,VLOOKUP($N87,Capa!$A:$AE,AZ$5,0)),0),IF(ISERROR(1/VLOOKUP($N87,Capa!$A:$AE,AZ$5,0)),0,1/VLOOKUP($N87,Capa!$A:$AE,AZ$5,0))))</f>
        <v/>
      </c>
      <c r="BA87" s="118" t="str">
        <f>IF(BA$6="","",IF(BA$3="Maior",IFERROR(IF(VLOOKUP($N87,Capa!$A:$AE,BA$5,0)="",0,VLOOKUP($N87,Capa!$A:$AE,BA$5,0)),0),IF(ISERROR(1/VLOOKUP($N87,Capa!$A:$AE,BA$5,0)),0,1/VLOOKUP($N87,Capa!$A:$AE,BA$5,0))))</f>
        <v/>
      </c>
      <c r="BB87" s="118" t="str">
        <f>IF(BB$6="","",IF(BB$3="Maior",IFERROR(IF(VLOOKUP($N87,Capa!$A:$AE,BB$5,0)="",0,VLOOKUP($N87,Capa!$A:$AE,BB$5,0)),0),IF(ISERROR(1/VLOOKUP($N87,Capa!$A:$AE,BB$5,0)),0,1/VLOOKUP($N87,Capa!$A:$AE,BB$5,0))))</f>
        <v/>
      </c>
      <c r="BC87" s="118" t="str">
        <f>IF(BC$6="","",IF(BC$3="Maior",IFERROR(IF(VLOOKUP($N87,Capa!$A:$AE,BC$5,0)="",0,VLOOKUP($N87,Capa!$A:$AE,BC$5,0)),0),IF(ISERROR(1/VLOOKUP($N87,Capa!$A:$AE,BC$5,0)),0,1/VLOOKUP($N87,Capa!$A:$AE,BC$5,0))))</f>
        <v/>
      </c>
      <c r="BD87" s="118" t="str">
        <f>IF(BD$6="","",IF(BD$3="Maior",IFERROR(IF(VLOOKUP($N87,Capa!$A:$AE,BD$5,0)="",0,VLOOKUP($N87,Capa!$A:$AE,BD$5,0)),0),IF(ISERROR(1/VLOOKUP($N87,Capa!$A:$AE,BD$5,0)),0,1/VLOOKUP($N87,Capa!$A:$AE,BD$5,0))))</f>
        <v/>
      </c>
      <c r="BE87" s="118" t="str">
        <f>IF(BE$6="","",IF(BE$3="Maior",IFERROR(IF(VLOOKUP($N87,Capa!$A:$AE,BE$5,0)="",0,VLOOKUP($N87,Capa!$A:$AE,BE$5,0)),0),IF(ISERROR(1/VLOOKUP($N87,Capa!$A:$AE,BE$5,0)),0,1/VLOOKUP($N87,Capa!$A:$AE,BE$5,0))))</f>
        <v/>
      </c>
      <c r="BF87" s="118" t="str">
        <f>IF(BF$6="","",IF(BF$3="Maior",IFERROR(IF(VLOOKUP($N87,Capa!$A:$AE,BF$5,0)="",0,VLOOKUP($N87,Capa!$A:$AE,BF$5,0)),0),IF(ISERROR(1/VLOOKUP($N87,Capa!$A:$AE,BF$5,0)),0,1/VLOOKUP($N87,Capa!$A:$AE,BF$5,0))))</f>
        <v/>
      </c>
      <c r="BG87" s="118" t="str">
        <f>IF(BG$6="","",IF(BG$3="Maior",IFERROR(IF(VLOOKUP($N87,Capa!$A:$AE,BG$5,0)="",0,VLOOKUP($N87,Capa!$A:$AE,BG$5,0)),0),IF(ISERROR(1/VLOOKUP($N87,Capa!$A:$AE,BG$5,0)),0,1/VLOOKUP($N87,Capa!$A:$AE,BG$5,0))))</f>
        <v/>
      </c>
      <c r="BH87" s="118" t="str">
        <f>IF(BH$6="","",IF(BH$3="Maior",IFERROR(IF(VLOOKUP($N87,Capa!$A:$AE,BH$5,0)="",0,VLOOKUP($N87,Capa!$A:$AE,BH$5,0)),0),IF(ISERROR(1/VLOOKUP($N87,Capa!$A:$AE,BH$5,0)),0,1/VLOOKUP($N87,Capa!$A:$AE,BH$5,0))))</f>
        <v/>
      </c>
      <c r="BI87" s="118" t="str">
        <f>IF(BI$6="","",IF(BI$3="Maior",IFERROR(IF(VLOOKUP($N87,Capa!$A:$AE,BI$5,0)="",0,VLOOKUP($N87,Capa!$A:$AE,BI$5,0)),0),IF(ISERROR(1/VLOOKUP($N87,Capa!$A:$AE,BI$5,0)),0,1/VLOOKUP($N87,Capa!$A:$AE,BI$5,0))))</f>
        <v/>
      </c>
      <c r="BJ87" s="118" t="str">
        <f>IF(BJ$6="","",IF(BJ$3="Maior",IFERROR(IF(VLOOKUP($N87,Capa!$A:$AE,BJ$5,0)="",0,VLOOKUP($N87,Capa!$A:$AE,BJ$5,0)),0),IF(ISERROR(1/VLOOKUP($N87,Capa!$A:$AE,BJ$5,0)),0,1/VLOOKUP($N87,Capa!$A:$AE,BJ$5,0))))</f>
        <v/>
      </c>
      <c r="BK87" s="118" t="str">
        <f>IF(BK$6="","",IF(BK$3="Maior",IFERROR(IF(VLOOKUP($N87,Capa!$A:$AE,BK$5,0)="",0,VLOOKUP($N87,Capa!$A:$AE,BK$5,0)),0),IF(ISERROR(1/VLOOKUP($N87,Capa!$A:$AE,BK$5,0)),0,1/VLOOKUP($N87,Capa!$A:$AE,BK$5,0))))</f>
        <v/>
      </c>
      <c r="BL87" s="118" t="str">
        <f>IF(BL$6="","",IF(BL$3="Maior",IFERROR(IF(VLOOKUP($N87,Capa!$A:$AE,BL$5,0)="",0,VLOOKUP($N87,Capa!$A:$AE,BL$5,0)),0),IF(ISERROR(1/VLOOKUP($N87,Capa!$A:$AE,BL$5,0)),0,1/VLOOKUP($N87,Capa!$A:$AE,BL$5,0))))</f>
        <v/>
      </c>
      <c r="BM87" s="118" t="str">
        <f>IF(BM$6="","",IF(BM$3="Maior",IFERROR(IF(VLOOKUP($N87,Capa!$A:$AE,BM$5,0)="",0,VLOOKUP($N87,Capa!$A:$AE,BM$5,0)),0),IF(ISERROR(1/VLOOKUP($N87,Capa!$A:$AE,BM$5,0)),0,1/VLOOKUP($N87,Capa!$A:$AE,BM$5,0))))</f>
        <v/>
      </c>
      <c r="BN87" s="118" t="str">
        <f>IF(BN$6="","",IF(BN$3="Maior",IFERROR(IF(VLOOKUP($N87,Capa!$A:$AE,BN$5,0)="",0,VLOOKUP($N87,Capa!$A:$AE,BN$5,0)),0),IF(ISERROR(1/VLOOKUP($N87,Capa!$A:$AE,BN$5,0)),0,1/VLOOKUP($N87,Capa!$A:$AE,BN$5,0))))</f>
        <v/>
      </c>
      <c r="BO87" s="92"/>
    </row>
    <row r="88">
      <c r="G88" s="11"/>
      <c r="H88" s="8">
        <v>82.0</v>
      </c>
      <c r="I88" s="110" t="str">
        <f t="shared" si="6"/>
        <v>BLAU3</v>
      </c>
      <c r="J88" s="111" t="str">
        <f>VLOOKUP(left(I88,4),Setor!A:D,3,0)&amp;" | "&amp;VLOOKUP(left(I88,4),Setor!A:D,4,0)</f>
        <v>#N/A</v>
      </c>
      <c r="K88" s="112">
        <f t="shared" si="7"/>
        <v>14903444.5</v>
      </c>
      <c r="L88" s="11"/>
      <c r="M88" s="11"/>
      <c r="N88" s="10" t="s">
        <v>134</v>
      </c>
      <c r="O88" s="113">
        <f t="shared" si="8"/>
        <v>820.0286</v>
      </c>
      <c r="P88" s="114">
        <f>VLOOKUP(N88,'Dados StatusInvest'!A:Z,26,0)</f>
        <v>91953297.58</v>
      </c>
      <c r="Q88" s="115">
        <f t="shared" si="9"/>
        <v>286.0286</v>
      </c>
      <c r="R88" s="116">
        <f t="shared" ref="R88:AO88" si="91">IF(AQ88="","", RANK(AQ88,AQ$7:AQ$503,0))</f>
        <v>315</v>
      </c>
      <c r="S88" s="115">
        <f t="shared" si="91"/>
        <v>219</v>
      </c>
      <c r="T88" s="115" t="str">
        <f t="shared" si="91"/>
        <v/>
      </c>
      <c r="U88" s="115" t="str">
        <f t="shared" si="91"/>
        <v/>
      </c>
      <c r="V88" s="115" t="str">
        <f t="shared" si="91"/>
        <v/>
      </c>
      <c r="W88" s="115" t="str">
        <f t="shared" si="91"/>
        <v/>
      </c>
      <c r="X88" s="115" t="str">
        <f t="shared" si="91"/>
        <v/>
      </c>
      <c r="Y88" s="115" t="str">
        <f t="shared" si="91"/>
        <v/>
      </c>
      <c r="Z88" s="115" t="str">
        <f t="shared" si="91"/>
        <v/>
      </c>
      <c r="AA88" s="115" t="str">
        <f t="shared" si="91"/>
        <v/>
      </c>
      <c r="AB88" s="115" t="str">
        <f t="shared" si="91"/>
        <v/>
      </c>
      <c r="AC88" s="115" t="str">
        <f t="shared" si="91"/>
        <v/>
      </c>
      <c r="AD88" s="115" t="str">
        <f t="shared" si="91"/>
        <v/>
      </c>
      <c r="AE88" s="115" t="str">
        <f t="shared" si="91"/>
        <v/>
      </c>
      <c r="AF88" s="115" t="str">
        <f t="shared" si="91"/>
        <v/>
      </c>
      <c r="AG88" s="115" t="str">
        <f t="shared" si="91"/>
        <v/>
      </c>
      <c r="AH88" s="115" t="str">
        <f t="shared" si="91"/>
        <v/>
      </c>
      <c r="AI88" s="115" t="str">
        <f t="shared" si="91"/>
        <v/>
      </c>
      <c r="AJ88" s="115" t="str">
        <f t="shared" si="91"/>
        <v/>
      </c>
      <c r="AK88" s="115" t="str">
        <f t="shared" si="91"/>
        <v/>
      </c>
      <c r="AL88" s="115" t="str">
        <f t="shared" si="91"/>
        <v/>
      </c>
      <c r="AM88" s="115" t="str">
        <f t="shared" si="91"/>
        <v/>
      </c>
      <c r="AN88" s="115" t="str">
        <f t="shared" si="91"/>
        <v/>
      </c>
      <c r="AO88" s="115" t="str">
        <f t="shared" si="91"/>
        <v/>
      </c>
      <c r="AP88" s="117">
        <f>IF(AP$6="","",IF(AP$3="Maior",IFERROR(IF(VLOOKUP($N88,Capa!$A:$AE,AP$5,0)="",0,VLOOKUP($N88,Capa!$A:$AE,AP$5,0)),0),IF(ISERROR(1/VLOOKUP($N88,Capa!$A:$AE,AP$5,0)),0,1/VLOOKUP($N88,Capa!$A:$AE,AP$5,0))))</f>
        <v>0.06307699679</v>
      </c>
      <c r="AQ88" s="118">
        <f>IF(AQ$6="","",IF(AQ$3="Maior",IFERROR(IF(VLOOKUP($N88,Capa!$A:$AE,AQ$5,0)="",0,VLOOKUP($N88,Capa!$A:$AE,AQ$5,0)),0),IF(ISERROR(1/VLOOKUP($N88,Capa!$A:$AE,AQ$5,0)),0,1/VLOOKUP($N88,Capa!$A:$AE,AQ$5,0))))</f>
        <v>3.68</v>
      </c>
      <c r="AR88" s="118">
        <f>IF(AR$6="","",IF(AR$3="Maior",IFERROR(IF(VLOOKUP($N88,Capa!$A:$AE,AR$5,0)="",0,VLOOKUP($N88,Capa!$A:$AE,AR$5,0)),0),IF(ISERROR(1/VLOOKUP($N88,Capa!$A:$AE,AR$5,0)),0,1/VLOOKUP($N88,Capa!$A:$AE,AR$5,0))))</f>
        <v>0</v>
      </c>
      <c r="AS88" s="118" t="str">
        <f>IF(AS$6="","",IF(AS$3="Maior",IFERROR(IF(VLOOKUP($N88,Capa!$A:$AE,AS$5,0)="",0,VLOOKUP($N88,Capa!$A:$AE,AS$5,0)),0),IF(ISERROR(1/VLOOKUP($N88,Capa!$A:$AE,AS$5,0)),0,1/VLOOKUP($N88,Capa!$A:$AE,AS$5,0))))</f>
        <v/>
      </c>
      <c r="AT88" s="118" t="str">
        <f>IF(AT$6="","",IF(AT$3="Maior",IFERROR(IF(VLOOKUP($N88,Capa!$A:$AE,AT$5,0)="",0,VLOOKUP($N88,Capa!$A:$AE,AT$5,0)),0),IF(ISERROR(1/VLOOKUP($N88,Capa!$A:$AE,AT$5,0)),0,1/VLOOKUP($N88,Capa!$A:$AE,AT$5,0))))</f>
        <v/>
      </c>
      <c r="AU88" s="118" t="str">
        <f>IF(AU$6="","",IF(AU$3="Maior",IFERROR(IF(VLOOKUP($N88,Capa!$A:$AE,AU$5,0)="",0,VLOOKUP($N88,Capa!$A:$AE,AU$5,0)),0),IF(ISERROR(1/VLOOKUP($N88,Capa!$A:$AE,AU$5,0)),0,1/VLOOKUP($N88,Capa!$A:$AE,AU$5,0))))</f>
        <v/>
      </c>
      <c r="AV88" s="118" t="str">
        <f>IF(AV$6="","",IF(AV$3="Maior",IFERROR(IF(VLOOKUP($N88,Capa!$A:$AE,AV$5,0)="",0,VLOOKUP($N88,Capa!$A:$AE,AV$5,0)),0),IF(ISERROR(1/VLOOKUP($N88,Capa!$A:$AE,AV$5,0)),0,1/VLOOKUP($N88,Capa!$A:$AE,AV$5,0))))</f>
        <v/>
      </c>
      <c r="AW88" s="118" t="str">
        <f>IF(AW$6="","",IF(AW$3="Maior",IFERROR(IF(VLOOKUP($N88,Capa!$A:$AE,AW$5,0)="",0,VLOOKUP($N88,Capa!$A:$AE,AW$5,0)),0),IF(ISERROR(1/VLOOKUP($N88,Capa!$A:$AE,AW$5,0)),0,1/VLOOKUP($N88,Capa!$A:$AE,AW$5,0))))</f>
        <v/>
      </c>
      <c r="AX88" s="118" t="str">
        <f>IF(AX$6="","",IF(AX$3="Maior",IFERROR(IF(VLOOKUP($N88,Capa!$A:$AE,AX$5,0)="",0,VLOOKUP($N88,Capa!$A:$AE,AX$5,0)),0),IF(ISERROR(1/VLOOKUP($N88,Capa!$A:$AE,AX$5,0)),0,1/VLOOKUP($N88,Capa!$A:$AE,AX$5,0))))</f>
        <v/>
      </c>
      <c r="AY88" s="118" t="str">
        <f>IF(AY$6="","",IF(AY$3="Maior",IFERROR(IF(VLOOKUP($N88,Capa!$A:$AE,AY$5,0)="",0,VLOOKUP($N88,Capa!$A:$AE,AY$5,0)),0),IF(ISERROR(1/VLOOKUP($N88,Capa!$A:$AE,AY$5,0)),0,1/VLOOKUP($N88,Capa!$A:$AE,AY$5,0))))</f>
        <v/>
      </c>
      <c r="AZ88" s="118" t="str">
        <f>IF(AZ$6="","",IF(AZ$3="Maior",IFERROR(IF(VLOOKUP($N88,Capa!$A:$AE,AZ$5,0)="",0,VLOOKUP($N88,Capa!$A:$AE,AZ$5,0)),0),IF(ISERROR(1/VLOOKUP($N88,Capa!$A:$AE,AZ$5,0)),0,1/VLOOKUP($N88,Capa!$A:$AE,AZ$5,0))))</f>
        <v/>
      </c>
      <c r="BA88" s="118" t="str">
        <f>IF(BA$6="","",IF(BA$3="Maior",IFERROR(IF(VLOOKUP($N88,Capa!$A:$AE,BA$5,0)="",0,VLOOKUP($N88,Capa!$A:$AE,BA$5,0)),0),IF(ISERROR(1/VLOOKUP($N88,Capa!$A:$AE,BA$5,0)),0,1/VLOOKUP($N88,Capa!$A:$AE,BA$5,0))))</f>
        <v/>
      </c>
      <c r="BB88" s="118" t="str">
        <f>IF(BB$6="","",IF(BB$3="Maior",IFERROR(IF(VLOOKUP($N88,Capa!$A:$AE,BB$5,0)="",0,VLOOKUP($N88,Capa!$A:$AE,BB$5,0)),0),IF(ISERROR(1/VLOOKUP($N88,Capa!$A:$AE,BB$5,0)),0,1/VLOOKUP($N88,Capa!$A:$AE,BB$5,0))))</f>
        <v/>
      </c>
      <c r="BC88" s="118" t="str">
        <f>IF(BC$6="","",IF(BC$3="Maior",IFERROR(IF(VLOOKUP($N88,Capa!$A:$AE,BC$5,0)="",0,VLOOKUP($N88,Capa!$A:$AE,BC$5,0)),0),IF(ISERROR(1/VLOOKUP($N88,Capa!$A:$AE,BC$5,0)),0,1/VLOOKUP($N88,Capa!$A:$AE,BC$5,0))))</f>
        <v/>
      </c>
      <c r="BD88" s="118" t="str">
        <f>IF(BD$6="","",IF(BD$3="Maior",IFERROR(IF(VLOOKUP($N88,Capa!$A:$AE,BD$5,0)="",0,VLOOKUP($N88,Capa!$A:$AE,BD$5,0)),0),IF(ISERROR(1/VLOOKUP($N88,Capa!$A:$AE,BD$5,0)),0,1/VLOOKUP($N88,Capa!$A:$AE,BD$5,0))))</f>
        <v/>
      </c>
      <c r="BE88" s="118" t="str">
        <f>IF(BE$6="","",IF(BE$3="Maior",IFERROR(IF(VLOOKUP($N88,Capa!$A:$AE,BE$5,0)="",0,VLOOKUP($N88,Capa!$A:$AE,BE$5,0)),0),IF(ISERROR(1/VLOOKUP($N88,Capa!$A:$AE,BE$5,0)),0,1/VLOOKUP($N88,Capa!$A:$AE,BE$5,0))))</f>
        <v/>
      </c>
      <c r="BF88" s="118" t="str">
        <f>IF(BF$6="","",IF(BF$3="Maior",IFERROR(IF(VLOOKUP($N88,Capa!$A:$AE,BF$5,0)="",0,VLOOKUP($N88,Capa!$A:$AE,BF$5,0)),0),IF(ISERROR(1/VLOOKUP($N88,Capa!$A:$AE,BF$5,0)),0,1/VLOOKUP($N88,Capa!$A:$AE,BF$5,0))))</f>
        <v/>
      </c>
      <c r="BG88" s="118" t="str">
        <f>IF(BG$6="","",IF(BG$3="Maior",IFERROR(IF(VLOOKUP($N88,Capa!$A:$AE,BG$5,0)="",0,VLOOKUP($N88,Capa!$A:$AE,BG$5,0)),0),IF(ISERROR(1/VLOOKUP($N88,Capa!$A:$AE,BG$5,0)),0,1/VLOOKUP($N88,Capa!$A:$AE,BG$5,0))))</f>
        <v/>
      </c>
      <c r="BH88" s="118" t="str">
        <f>IF(BH$6="","",IF(BH$3="Maior",IFERROR(IF(VLOOKUP($N88,Capa!$A:$AE,BH$5,0)="",0,VLOOKUP($N88,Capa!$A:$AE,BH$5,0)),0),IF(ISERROR(1/VLOOKUP($N88,Capa!$A:$AE,BH$5,0)),0,1/VLOOKUP($N88,Capa!$A:$AE,BH$5,0))))</f>
        <v/>
      </c>
      <c r="BI88" s="118" t="str">
        <f>IF(BI$6="","",IF(BI$3="Maior",IFERROR(IF(VLOOKUP($N88,Capa!$A:$AE,BI$5,0)="",0,VLOOKUP($N88,Capa!$A:$AE,BI$5,0)),0),IF(ISERROR(1/VLOOKUP($N88,Capa!$A:$AE,BI$5,0)),0,1/VLOOKUP($N88,Capa!$A:$AE,BI$5,0))))</f>
        <v/>
      </c>
      <c r="BJ88" s="118" t="str">
        <f>IF(BJ$6="","",IF(BJ$3="Maior",IFERROR(IF(VLOOKUP($N88,Capa!$A:$AE,BJ$5,0)="",0,VLOOKUP($N88,Capa!$A:$AE,BJ$5,0)),0),IF(ISERROR(1/VLOOKUP($N88,Capa!$A:$AE,BJ$5,0)),0,1/VLOOKUP($N88,Capa!$A:$AE,BJ$5,0))))</f>
        <v/>
      </c>
      <c r="BK88" s="118" t="str">
        <f>IF(BK$6="","",IF(BK$3="Maior",IFERROR(IF(VLOOKUP($N88,Capa!$A:$AE,BK$5,0)="",0,VLOOKUP($N88,Capa!$A:$AE,BK$5,0)),0),IF(ISERROR(1/VLOOKUP($N88,Capa!$A:$AE,BK$5,0)),0,1/VLOOKUP($N88,Capa!$A:$AE,BK$5,0))))</f>
        <v/>
      </c>
      <c r="BL88" s="118" t="str">
        <f>IF(BL$6="","",IF(BL$3="Maior",IFERROR(IF(VLOOKUP($N88,Capa!$A:$AE,BL$5,0)="",0,VLOOKUP($N88,Capa!$A:$AE,BL$5,0)),0),IF(ISERROR(1/VLOOKUP($N88,Capa!$A:$AE,BL$5,0)),0,1/VLOOKUP($N88,Capa!$A:$AE,BL$5,0))))</f>
        <v/>
      </c>
      <c r="BM88" s="118" t="str">
        <f>IF(BM$6="","",IF(BM$3="Maior",IFERROR(IF(VLOOKUP($N88,Capa!$A:$AE,BM$5,0)="",0,VLOOKUP($N88,Capa!$A:$AE,BM$5,0)),0),IF(ISERROR(1/VLOOKUP($N88,Capa!$A:$AE,BM$5,0)),0,1/VLOOKUP($N88,Capa!$A:$AE,BM$5,0))))</f>
        <v/>
      </c>
      <c r="BN88" s="118" t="str">
        <f>IF(BN$6="","",IF(BN$3="Maior",IFERROR(IF(VLOOKUP($N88,Capa!$A:$AE,BN$5,0)="",0,VLOOKUP($N88,Capa!$A:$AE,BN$5,0)),0),IF(ISERROR(1/VLOOKUP($N88,Capa!$A:$AE,BN$5,0)),0,1/VLOOKUP($N88,Capa!$A:$AE,BN$5,0))))</f>
        <v/>
      </c>
      <c r="BO88" s="92"/>
    </row>
    <row r="89">
      <c r="G89" s="11"/>
      <c r="H89" s="8">
        <v>83.0</v>
      </c>
      <c r="I89" s="110" t="str">
        <f t="shared" si="6"/>
        <v>RENT3</v>
      </c>
      <c r="J89" s="111" t="str">
        <f>VLOOKUP(left(I89,4),Setor!A:D,3,0)&amp;" | "&amp;VLOOKUP(left(I89,4),Setor!A:D,4,0)</f>
        <v>Consumo Cíclico | Diversos</v>
      </c>
      <c r="K89" s="112">
        <f t="shared" si="7"/>
        <v>358915154.1</v>
      </c>
      <c r="L89" s="11"/>
      <c r="M89" s="11"/>
      <c r="N89" s="10" t="s">
        <v>135</v>
      </c>
      <c r="O89" s="113">
        <f t="shared" si="8"/>
        <v>1117.0325</v>
      </c>
      <c r="P89" s="114">
        <f>VLOOKUP(N89,'Dados StatusInvest'!A:Z,26,0)</f>
        <v>58460596.33</v>
      </c>
      <c r="Q89" s="115">
        <f t="shared" si="9"/>
        <v>325.0325</v>
      </c>
      <c r="R89" s="116">
        <f t="shared" ref="R89:AO89" si="92">IF(AQ89="","", RANK(AQ89,AQ$7:AQ$503,0))</f>
        <v>302</v>
      </c>
      <c r="S89" s="115">
        <f t="shared" si="92"/>
        <v>490</v>
      </c>
      <c r="T89" s="115" t="str">
        <f t="shared" si="92"/>
        <v/>
      </c>
      <c r="U89" s="115" t="str">
        <f t="shared" si="92"/>
        <v/>
      </c>
      <c r="V89" s="115" t="str">
        <f t="shared" si="92"/>
        <v/>
      </c>
      <c r="W89" s="115" t="str">
        <f t="shared" si="92"/>
        <v/>
      </c>
      <c r="X89" s="115" t="str">
        <f t="shared" si="92"/>
        <v/>
      </c>
      <c r="Y89" s="115" t="str">
        <f t="shared" si="92"/>
        <v/>
      </c>
      <c r="Z89" s="115" t="str">
        <f t="shared" si="92"/>
        <v/>
      </c>
      <c r="AA89" s="115" t="str">
        <f t="shared" si="92"/>
        <v/>
      </c>
      <c r="AB89" s="115" t="str">
        <f t="shared" si="92"/>
        <v/>
      </c>
      <c r="AC89" s="115" t="str">
        <f t="shared" si="92"/>
        <v/>
      </c>
      <c r="AD89" s="115" t="str">
        <f t="shared" si="92"/>
        <v/>
      </c>
      <c r="AE89" s="115" t="str">
        <f t="shared" si="92"/>
        <v/>
      </c>
      <c r="AF89" s="115" t="str">
        <f t="shared" si="92"/>
        <v/>
      </c>
      <c r="AG89" s="115" t="str">
        <f t="shared" si="92"/>
        <v/>
      </c>
      <c r="AH89" s="115" t="str">
        <f t="shared" si="92"/>
        <v/>
      </c>
      <c r="AI89" s="115" t="str">
        <f t="shared" si="92"/>
        <v/>
      </c>
      <c r="AJ89" s="115" t="str">
        <f t="shared" si="92"/>
        <v/>
      </c>
      <c r="AK89" s="115" t="str">
        <f t="shared" si="92"/>
        <v/>
      </c>
      <c r="AL89" s="115" t="str">
        <f t="shared" si="92"/>
        <v/>
      </c>
      <c r="AM89" s="115" t="str">
        <f t="shared" si="92"/>
        <v/>
      </c>
      <c r="AN89" s="115" t="str">
        <f t="shared" si="92"/>
        <v/>
      </c>
      <c r="AO89" s="115" t="str">
        <f t="shared" si="92"/>
        <v/>
      </c>
      <c r="AP89" s="117">
        <f>IF(AP$6="","",IF(AP$3="Maior",IFERROR(IF(VLOOKUP($N89,Capa!$A:$AE,AP$5,0)="",0,VLOOKUP($N89,Capa!$A:$AE,AP$5,0)),0),IF(ISERROR(1/VLOOKUP($N89,Capa!$A:$AE,AP$5,0)),0,1/VLOOKUP($N89,Capa!$A:$AE,AP$5,0))))</f>
        <v>0.0419568639</v>
      </c>
      <c r="AQ89" s="118">
        <f>IF(AQ$6="","",IF(AQ$3="Maior",IFERROR(IF(VLOOKUP($N89,Capa!$A:$AE,AQ$5,0)="",0,VLOOKUP($N89,Capa!$A:$AE,AQ$5,0)),0),IF(ISERROR(1/VLOOKUP($N89,Capa!$A:$AE,AQ$5,0)),0,1/VLOOKUP($N89,Capa!$A:$AE,AQ$5,0))))</f>
        <v>4.84</v>
      </c>
      <c r="AR89" s="118">
        <f>IF(AR$6="","",IF(AR$3="Maior",IFERROR(IF(VLOOKUP($N89,Capa!$A:$AE,AR$5,0)="",0,VLOOKUP($N89,Capa!$A:$AE,AR$5,0)),0),IF(ISERROR(1/VLOOKUP($N89,Capa!$A:$AE,AR$5,0)),0,1/VLOOKUP($N89,Capa!$A:$AE,AR$5,0))))</f>
        <v>-17.38</v>
      </c>
      <c r="AS89" s="118" t="str">
        <f>IF(AS$6="","",IF(AS$3="Maior",IFERROR(IF(VLOOKUP($N89,Capa!$A:$AE,AS$5,0)="",0,VLOOKUP($N89,Capa!$A:$AE,AS$5,0)),0),IF(ISERROR(1/VLOOKUP($N89,Capa!$A:$AE,AS$5,0)),0,1/VLOOKUP($N89,Capa!$A:$AE,AS$5,0))))</f>
        <v/>
      </c>
      <c r="AT89" s="118" t="str">
        <f>IF(AT$6="","",IF(AT$3="Maior",IFERROR(IF(VLOOKUP($N89,Capa!$A:$AE,AT$5,0)="",0,VLOOKUP($N89,Capa!$A:$AE,AT$5,0)),0),IF(ISERROR(1/VLOOKUP($N89,Capa!$A:$AE,AT$5,0)),0,1/VLOOKUP($N89,Capa!$A:$AE,AT$5,0))))</f>
        <v/>
      </c>
      <c r="AU89" s="118" t="str">
        <f>IF(AU$6="","",IF(AU$3="Maior",IFERROR(IF(VLOOKUP($N89,Capa!$A:$AE,AU$5,0)="",0,VLOOKUP($N89,Capa!$A:$AE,AU$5,0)),0),IF(ISERROR(1/VLOOKUP($N89,Capa!$A:$AE,AU$5,0)),0,1/VLOOKUP($N89,Capa!$A:$AE,AU$5,0))))</f>
        <v/>
      </c>
      <c r="AV89" s="118" t="str">
        <f>IF(AV$6="","",IF(AV$3="Maior",IFERROR(IF(VLOOKUP($N89,Capa!$A:$AE,AV$5,0)="",0,VLOOKUP($N89,Capa!$A:$AE,AV$5,0)),0),IF(ISERROR(1/VLOOKUP($N89,Capa!$A:$AE,AV$5,0)),0,1/VLOOKUP($N89,Capa!$A:$AE,AV$5,0))))</f>
        <v/>
      </c>
      <c r="AW89" s="118" t="str">
        <f>IF(AW$6="","",IF(AW$3="Maior",IFERROR(IF(VLOOKUP($N89,Capa!$A:$AE,AW$5,0)="",0,VLOOKUP($N89,Capa!$A:$AE,AW$5,0)),0),IF(ISERROR(1/VLOOKUP($N89,Capa!$A:$AE,AW$5,0)),0,1/VLOOKUP($N89,Capa!$A:$AE,AW$5,0))))</f>
        <v/>
      </c>
      <c r="AX89" s="118" t="str">
        <f>IF(AX$6="","",IF(AX$3="Maior",IFERROR(IF(VLOOKUP($N89,Capa!$A:$AE,AX$5,0)="",0,VLOOKUP($N89,Capa!$A:$AE,AX$5,0)),0),IF(ISERROR(1/VLOOKUP($N89,Capa!$A:$AE,AX$5,0)),0,1/VLOOKUP($N89,Capa!$A:$AE,AX$5,0))))</f>
        <v/>
      </c>
      <c r="AY89" s="118" t="str">
        <f>IF(AY$6="","",IF(AY$3="Maior",IFERROR(IF(VLOOKUP($N89,Capa!$A:$AE,AY$5,0)="",0,VLOOKUP($N89,Capa!$A:$AE,AY$5,0)),0),IF(ISERROR(1/VLOOKUP($N89,Capa!$A:$AE,AY$5,0)),0,1/VLOOKUP($N89,Capa!$A:$AE,AY$5,0))))</f>
        <v/>
      </c>
      <c r="AZ89" s="118" t="str">
        <f>IF(AZ$6="","",IF(AZ$3="Maior",IFERROR(IF(VLOOKUP($N89,Capa!$A:$AE,AZ$5,0)="",0,VLOOKUP($N89,Capa!$A:$AE,AZ$5,0)),0),IF(ISERROR(1/VLOOKUP($N89,Capa!$A:$AE,AZ$5,0)),0,1/VLOOKUP($N89,Capa!$A:$AE,AZ$5,0))))</f>
        <v/>
      </c>
      <c r="BA89" s="118" t="str">
        <f>IF(BA$6="","",IF(BA$3="Maior",IFERROR(IF(VLOOKUP($N89,Capa!$A:$AE,BA$5,0)="",0,VLOOKUP($N89,Capa!$A:$AE,BA$5,0)),0),IF(ISERROR(1/VLOOKUP($N89,Capa!$A:$AE,BA$5,0)),0,1/VLOOKUP($N89,Capa!$A:$AE,BA$5,0))))</f>
        <v/>
      </c>
      <c r="BB89" s="118" t="str">
        <f>IF(BB$6="","",IF(BB$3="Maior",IFERROR(IF(VLOOKUP($N89,Capa!$A:$AE,BB$5,0)="",0,VLOOKUP($N89,Capa!$A:$AE,BB$5,0)),0),IF(ISERROR(1/VLOOKUP($N89,Capa!$A:$AE,BB$5,0)),0,1/VLOOKUP($N89,Capa!$A:$AE,BB$5,0))))</f>
        <v/>
      </c>
      <c r="BC89" s="118" t="str">
        <f>IF(BC$6="","",IF(BC$3="Maior",IFERROR(IF(VLOOKUP($N89,Capa!$A:$AE,BC$5,0)="",0,VLOOKUP($N89,Capa!$A:$AE,BC$5,0)),0),IF(ISERROR(1/VLOOKUP($N89,Capa!$A:$AE,BC$5,0)),0,1/VLOOKUP($N89,Capa!$A:$AE,BC$5,0))))</f>
        <v/>
      </c>
      <c r="BD89" s="118" t="str">
        <f>IF(BD$6="","",IF(BD$3="Maior",IFERROR(IF(VLOOKUP($N89,Capa!$A:$AE,BD$5,0)="",0,VLOOKUP($N89,Capa!$A:$AE,BD$5,0)),0),IF(ISERROR(1/VLOOKUP($N89,Capa!$A:$AE,BD$5,0)),0,1/VLOOKUP($N89,Capa!$A:$AE,BD$5,0))))</f>
        <v/>
      </c>
      <c r="BE89" s="118" t="str">
        <f>IF(BE$6="","",IF(BE$3="Maior",IFERROR(IF(VLOOKUP($N89,Capa!$A:$AE,BE$5,0)="",0,VLOOKUP($N89,Capa!$A:$AE,BE$5,0)),0),IF(ISERROR(1/VLOOKUP($N89,Capa!$A:$AE,BE$5,0)),0,1/VLOOKUP($N89,Capa!$A:$AE,BE$5,0))))</f>
        <v/>
      </c>
      <c r="BF89" s="118" t="str">
        <f>IF(BF$6="","",IF(BF$3="Maior",IFERROR(IF(VLOOKUP($N89,Capa!$A:$AE,BF$5,0)="",0,VLOOKUP($N89,Capa!$A:$AE,BF$5,0)),0),IF(ISERROR(1/VLOOKUP($N89,Capa!$A:$AE,BF$5,0)),0,1/VLOOKUP($N89,Capa!$A:$AE,BF$5,0))))</f>
        <v/>
      </c>
      <c r="BG89" s="118" t="str">
        <f>IF(BG$6="","",IF(BG$3="Maior",IFERROR(IF(VLOOKUP($N89,Capa!$A:$AE,BG$5,0)="",0,VLOOKUP($N89,Capa!$A:$AE,BG$5,0)),0),IF(ISERROR(1/VLOOKUP($N89,Capa!$A:$AE,BG$5,0)),0,1/VLOOKUP($N89,Capa!$A:$AE,BG$5,0))))</f>
        <v/>
      </c>
      <c r="BH89" s="118" t="str">
        <f>IF(BH$6="","",IF(BH$3="Maior",IFERROR(IF(VLOOKUP($N89,Capa!$A:$AE,BH$5,0)="",0,VLOOKUP($N89,Capa!$A:$AE,BH$5,0)),0),IF(ISERROR(1/VLOOKUP($N89,Capa!$A:$AE,BH$5,0)),0,1/VLOOKUP($N89,Capa!$A:$AE,BH$5,0))))</f>
        <v/>
      </c>
      <c r="BI89" s="118" t="str">
        <f>IF(BI$6="","",IF(BI$3="Maior",IFERROR(IF(VLOOKUP($N89,Capa!$A:$AE,BI$5,0)="",0,VLOOKUP($N89,Capa!$A:$AE,BI$5,0)),0),IF(ISERROR(1/VLOOKUP($N89,Capa!$A:$AE,BI$5,0)),0,1/VLOOKUP($N89,Capa!$A:$AE,BI$5,0))))</f>
        <v/>
      </c>
      <c r="BJ89" s="118" t="str">
        <f>IF(BJ$6="","",IF(BJ$3="Maior",IFERROR(IF(VLOOKUP($N89,Capa!$A:$AE,BJ$5,0)="",0,VLOOKUP($N89,Capa!$A:$AE,BJ$5,0)),0),IF(ISERROR(1/VLOOKUP($N89,Capa!$A:$AE,BJ$5,0)),0,1/VLOOKUP($N89,Capa!$A:$AE,BJ$5,0))))</f>
        <v/>
      </c>
      <c r="BK89" s="118" t="str">
        <f>IF(BK$6="","",IF(BK$3="Maior",IFERROR(IF(VLOOKUP($N89,Capa!$A:$AE,BK$5,0)="",0,VLOOKUP($N89,Capa!$A:$AE,BK$5,0)),0),IF(ISERROR(1/VLOOKUP($N89,Capa!$A:$AE,BK$5,0)),0,1/VLOOKUP($N89,Capa!$A:$AE,BK$5,0))))</f>
        <v/>
      </c>
      <c r="BL89" s="118" t="str">
        <f>IF(BL$6="","",IF(BL$3="Maior",IFERROR(IF(VLOOKUP($N89,Capa!$A:$AE,BL$5,0)="",0,VLOOKUP($N89,Capa!$A:$AE,BL$5,0)),0),IF(ISERROR(1/VLOOKUP($N89,Capa!$A:$AE,BL$5,0)),0,1/VLOOKUP($N89,Capa!$A:$AE,BL$5,0))))</f>
        <v/>
      </c>
      <c r="BM89" s="118" t="str">
        <f>IF(BM$6="","",IF(BM$3="Maior",IFERROR(IF(VLOOKUP($N89,Capa!$A:$AE,BM$5,0)="",0,VLOOKUP($N89,Capa!$A:$AE,BM$5,0)),0),IF(ISERROR(1/VLOOKUP($N89,Capa!$A:$AE,BM$5,0)),0,1/VLOOKUP($N89,Capa!$A:$AE,BM$5,0))))</f>
        <v/>
      </c>
      <c r="BN89" s="118" t="str">
        <f>IF(BN$6="","",IF(BN$3="Maior",IFERROR(IF(VLOOKUP($N89,Capa!$A:$AE,BN$5,0)="",0,VLOOKUP($N89,Capa!$A:$AE,BN$5,0)),0),IF(ISERROR(1/VLOOKUP($N89,Capa!$A:$AE,BN$5,0)),0,1/VLOOKUP($N89,Capa!$A:$AE,BN$5,0))))</f>
        <v/>
      </c>
      <c r="BO89" s="92"/>
    </row>
    <row r="90">
      <c r="G90" s="11"/>
      <c r="H90" s="8">
        <v>84.0</v>
      </c>
      <c r="I90" s="110" t="str">
        <f t="shared" si="6"/>
        <v>ASAI3</v>
      </c>
      <c r="J90" s="111" t="str">
        <f>VLOOKUP(left(I90,4),Setor!A:D,3,0)&amp;" | "&amp;VLOOKUP(left(I90,4),Setor!A:D,4,0)</f>
        <v>#N/A</v>
      </c>
      <c r="K90" s="112">
        <f t="shared" si="7"/>
        <v>238021866.2</v>
      </c>
      <c r="L90" s="11"/>
      <c r="M90" s="11"/>
      <c r="N90" s="10" t="s">
        <v>136</v>
      </c>
      <c r="O90" s="113">
        <f t="shared" si="8"/>
        <v>1123.0434</v>
      </c>
      <c r="P90" s="114">
        <f>VLOOKUP(N90,'Dados StatusInvest'!A:Z,26,0)</f>
        <v>65659213.58</v>
      </c>
      <c r="Q90" s="115">
        <f t="shared" si="9"/>
        <v>434.0434</v>
      </c>
      <c r="R90" s="116">
        <f t="shared" ref="R90:AO90" si="93">IF(AQ90="","", RANK(AQ90,AQ$7:AQ$503,0))</f>
        <v>470</v>
      </c>
      <c r="S90" s="115">
        <f t="shared" si="93"/>
        <v>219</v>
      </c>
      <c r="T90" s="115" t="str">
        <f t="shared" si="93"/>
        <v/>
      </c>
      <c r="U90" s="115" t="str">
        <f t="shared" si="93"/>
        <v/>
      </c>
      <c r="V90" s="115" t="str">
        <f t="shared" si="93"/>
        <v/>
      </c>
      <c r="W90" s="115" t="str">
        <f t="shared" si="93"/>
        <v/>
      </c>
      <c r="X90" s="115" t="str">
        <f t="shared" si="93"/>
        <v/>
      </c>
      <c r="Y90" s="115" t="str">
        <f t="shared" si="93"/>
        <v/>
      </c>
      <c r="Z90" s="115" t="str">
        <f t="shared" si="93"/>
        <v/>
      </c>
      <c r="AA90" s="115" t="str">
        <f t="shared" si="93"/>
        <v/>
      </c>
      <c r="AB90" s="115" t="str">
        <f t="shared" si="93"/>
        <v/>
      </c>
      <c r="AC90" s="115" t="str">
        <f t="shared" si="93"/>
        <v/>
      </c>
      <c r="AD90" s="115" t="str">
        <f t="shared" si="93"/>
        <v/>
      </c>
      <c r="AE90" s="115" t="str">
        <f t="shared" si="93"/>
        <v/>
      </c>
      <c r="AF90" s="115" t="str">
        <f t="shared" si="93"/>
        <v/>
      </c>
      <c r="AG90" s="115" t="str">
        <f t="shared" si="93"/>
        <v/>
      </c>
      <c r="AH90" s="115" t="str">
        <f t="shared" si="93"/>
        <v/>
      </c>
      <c r="AI90" s="115" t="str">
        <f t="shared" si="93"/>
        <v/>
      </c>
      <c r="AJ90" s="115" t="str">
        <f t="shared" si="93"/>
        <v/>
      </c>
      <c r="AK90" s="115" t="str">
        <f t="shared" si="93"/>
        <v/>
      </c>
      <c r="AL90" s="115" t="str">
        <f t="shared" si="93"/>
        <v/>
      </c>
      <c r="AM90" s="115" t="str">
        <f t="shared" si="93"/>
        <v/>
      </c>
      <c r="AN90" s="115" t="str">
        <f t="shared" si="93"/>
        <v/>
      </c>
      <c r="AO90" s="115" t="str">
        <f t="shared" si="93"/>
        <v/>
      </c>
      <c r="AP90" s="117">
        <f>IF(AP$6="","",IF(AP$3="Maior",IFERROR(IF(VLOOKUP($N90,Capa!$A:$AE,AP$5,0)="",0,VLOOKUP($N90,Capa!$A:$AE,AP$5,0)),0),IF(ISERROR(1/VLOOKUP($N90,Capa!$A:$AE,AP$5,0)),0,1/VLOOKUP($N90,Capa!$A:$AE,AP$5,0))))</f>
        <v>-0.05442772335</v>
      </c>
      <c r="AQ90" s="118">
        <f>IF(AQ$6="","",IF(AQ$3="Maior",IFERROR(IF(VLOOKUP($N90,Capa!$A:$AE,AQ$5,0)="",0,VLOOKUP($N90,Capa!$A:$AE,AQ$5,0)),0),IF(ISERROR(1/VLOOKUP($N90,Capa!$A:$AE,AQ$5,0)),0,1/VLOOKUP($N90,Capa!$A:$AE,AQ$5,0))))</f>
        <v>-15.96</v>
      </c>
      <c r="AR90" s="118">
        <f>IF(AR$6="","",IF(AR$3="Maior",IFERROR(IF(VLOOKUP($N90,Capa!$A:$AE,AR$5,0)="",0,VLOOKUP($N90,Capa!$A:$AE,AR$5,0)),0),IF(ISERROR(1/VLOOKUP($N90,Capa!$A:$AE,AR$5,0)),0,1/VLOOKUP($N90,Capa!$A:$AE,AR$5,0))))</f>
        <v>0</v>
      </c>
      <c r="AS90" s="118" t="str">
        <f>IF(AS$6="","",IF(AS$3="Maior",IFERROR(IF(VLOOKUP($N90,Capa!$A:$AE,AS$5,0)="",0,VLOOKUP($N90,Capa!$A:$AE,AS$5,0)),0),IF(ISERROR(1/VLOOKUP($N90,Capa!$A:$AE,AS$5,0)),0,1/VLOOKUP($N90,Capa!$A:$AE,AS$5,0))))</f>
        <v/>
      </c>
      <c r="AT90" s="118" t="str">
        <f>IF(AT$6="","",IF(AT$3="Maior",IFERROR(IF(VLOOKUP($N90,Capa!$A:$AE,AT$5,0)="",0,VLOOKUP($N90,Capa!$A:$AE,AT$5,0)),0),IF(ISERROR(1/VLOOKUP($N90,Capa!$A:$AE,AT$5,0)),0,1/VLOOKUP($N90,Capa!$A:$AE,AT$5,0))))</f>
        <v/>
      </c>
      <c r="AU90" s="118" t="str">
        <f>IF(AU$6="","",IF(AU$3="Maior",IFERROR(IF(VLOOKUP($N90,Capa!$A:$AE,AU$5,0)="",0,VLOOKUP($N90,Capa!$A:$AE,AU$5,0)),0),IF(ISERROR(1/VLOOKUP($N90,Capa!$A:$AE,AU$5,0)),0,1/VLOOKUP($N90,Capa!$A:$AE,AU$5,0))))</f>
        <v/>
      </c>
      <c r="AV90" s="118" t="str">
        <f>IF(AV$6="","",IF(AV$3="Maior",IFERROR(IF(VLOOKUP($N90,Capa!$A:$AE,AV$5,0)="",0,VLOOKUP($N90,Capa!$A:$AE,AV$5,0)),0),IF(ISERROR(1/VLOOKUP($N90,Capa!$A:$AE,AV$5,0)),0,1/VLOOKUP($N90,Capa!$A:$AE,AV$5,0))))</f>
        <v/>
      </c>
      <c r="AW90" s="118" t="str">
        <f>IF(AW$6="","",IF(AW$3="Maior",IFERROR(IF(VLOOKUP($N90,Capa!$A:$AE,AW$5,0)="",0,VLOOKUP($N90,Capa!$A:$AE,AW$5,0)),0),IF(ISERROR(1/VLOOKUP($N90,Capa!$A:$AE,AW$5,0)),0,1/VLOOKUP($N90,Capa!$A:$AE,AW$5,0))))</f>
        <v/>
      </c>
      <c r="AX90" s="118" t="str">
        <f>IF(AX$6="","",IF(AX$3="Maior",IFERROR(IF(VLOOKUP($N90,Capa!$A:$AE,AX$5,0)="",0,VLOOKUP($N90,Capa!$A:$AE,AX$5,0)),0),IF(ISERROR(1/VLOOKUP($N90,Capa!$A:$AE,AX$5,0)),0,1/VLOOKUP($N90,Capa!$A:$AE,AX$5,0))))</f>
        <v/>
      </c>
      <c r="AY90" s="118" t="str">
        <f>IF(AY$6="","",IF(AY$3="Maior",IFERROR(IF(VLOOKUP($N90,Capa!$A:$AE,AY$5,0)="",0,VLOOKUP($N90,Capa!$A:$AE,AY$5,0)),0),IF(ISERROR(1/VLOOKUP($N90,Capa!$A:$AE,AY$5,0)),0,1/VLOOKUP($N90,Capa!$A:$AE,AY$5,0))))</f>
        <v/>
      </c>
      <c r="AZ90" s="118" t="str">
        <f>IF(AZ$6="","",IF(AZ$3="Maior",IFERROR(IF(VLOOKUP($N90,Capa!$A:$AE,AZ$5,0)="",0,VLOOKUP($N90,Capa!$A:$AE,AZ$5,0)),0),IF(ISERROR(1/VLOOKUP($N90,Capa!$A:$AE,AZ$5,0)),0,1/VLOOKUP($N90,Capa!$A:$AE,AZ$5,0))))</f>
        <v/>
      </c>
      <c r="BA90" s="118" t="str">
        <f>IF(BA$6="","",IF(BA$3="Maior",IFERROR(IF(VLOOKUP($N90,Capa!$A:$AE,BA$5,0)="",0,VLOOKUP($N90,Capa!$A:$AE,BA$5,0)),0),IF(ISERROR(1/VLOOKUP($N90,Capa!$A:$AE,BA$5,0)),0,1/VLOOKUP($N90,Capa!$A:$AE,BA$5,0))))</f>
        <v/>
      </c>
      <c r="BB90" s="118" t="str">
        <f>IF(BB$6="","",IF(BB$3="Maior",IFERROR(IF(VLOOKUP($N90,Capa!$A:$AE,BB$5,0)="",0,VLOOKUP($N90,Capa!$A:$AE,BB$5,0)),0),IF(ISERROR(1/VLOOKUP($N90,Capa!$A:$AE,BB$5,0)),0,1/VLOOKUP($N90,Capa!$A:$AE,BB$5,0))))</f>
        <v/>
      </c>
      <c r="BC90" s="118" t="str">
        <f>IF(BC$6="","",IF(BC$3="Maior",IFERROR(IF(VLOOKUP($N90,Capa!$A:$AE,BC$5,0)="",0,VLOOKUP($N90,Capa!$A:$AE,BC$5,0)),0),IF(ISERROR(1/VLOOKUP($N90,Capa!$A:$AE,BC$5,0)),0,1/VLOOKUP($N90,Capa!$A:$AE,BC$5,0))))</f>
        <v/>
      </c>
      <c r="BD90" s="118" t="str">
        <f>IF(BD$6="","",IF(BD$3="Maior",IFERROR(IF(VLOOKUP($N90,Capa!$A:$AE,BD$5,0)="",0,VLOOKUP($N90,Capa!$A:$AE,BD$5,0)),0),IF(ISERROR(1/VLOOKUP($N90,Capa!$A:$AE,BD$5,0)),0,1/VLOOKUP($N90,Capa!$A:$AE,BD$5,0))))</f>
        <v/>
      </c>
      <c r="BE90" s="118" t="str">
        <f>IF(BE$6="","",IF(BE$3="Maior",IFERROR(IF(VLOOKUP($N90,Capa!$A:$AE,BE$5,0)="",0,VLOOKUP($N90,Capa!$A:$AE,BE$5,0)),0),IF(ISERROR(1/VLOOKUP($N90,Capa!$A:$AE,BE$5,0)),0,1/VLOOKUP($N90,Capa!$A:$AE,BE$5,0))))</f>
        <v/>
      </c>
      <c r="BF90" s="118" t="str">
        <f>IF(BF$6="","",IF(BF$3="Maior",IFERROR(IF(VLOOKUP($N90,Capa!$A:$AE,BF$5,0)="",0,VLOOKUP($N90,Capa!$A:$AE,BF$5,0)),0),IF(ISERROR(1/VLOOKUP($N90,Capa!$A:$AE,BF$5,0)),0,1/VLOOKUP($N90,Capa!$A:$AE,BF$5,0))))</f>
        <v/>
      </c>
      <c r="BG90" s="118" t="str">
        <f>IF(BG$6="","",IF(BG$3="Maior",IFERROR(IF(VLOOKUP($N90,Capa!$A:$AE,BG$5,0)="",0,VLOOKUP($N90,Capa!$A:$AE,BG$5,0)),0),IF(ISERROR(1/VLOOKUP($N90,Capa!$A:$AE,BG$5,0)),0,1/VLOOKUP($N90,Capa!$A:$AE,BG$5,0))))</f>
        <v/>
      </c>
      <c r="BH90" s="118" t="str">
        <f>IF(BH$6="","",IF(BH$3="Maior",IFERROR(IF(VLOOKUP($N90,Capa!$A:$AE,BH$5,0)="",0,VLOOKUP($N90,Capa!$A:$AE,BH$5,0)),0),IF(ISERROR(1/VLOOKUP($N90,Capa!$A:$AE,BH$5,0)),0,1/VLOOKUP($N90,Capa!$A:$AE,BH$5,0))))</f>
        <v/>
      </c>
      <c r="BI90" s="118" t="str">
        <f>IF(BI$6="","",IF(BI$3="Maior",IFERROR(IF(VLOOKUP($N90,Capa!$A:$AE,BI$5,0)="",0,VLOOKUP($N90,Capa!$A:$AE,BI$5,0)),0),IF(ISERROR(1/VLOOKUP($N90,Capa!$A:$AE,BI$5,0)),0,1/VLOOKUP($N90,Capa!$A:$AE,BI$5,0))))</f>
        <v/>
      </c>
      <c r="BJ90" s="118" t="str">
        <f>IF(BJ$6="","",IF(BJ$3="Maior",IFERROR(IF(VLOOKUP($N90,Capa!$A:$AE,BJ$5,0)="",0,VLOOKUP($N90,Capa!$A:$AE,BJ$5,0)),0),IF(ISERROR(1/VLOOKUP($N90,Capa!$A:$AE,BJ$5,0)),0,1/VLOOKUP($N90,Capa!$A:$AE,BJ$5,0))))</f>
        <v/>
      </c>
      <c r="BK90" s="118" t="str">
        <f>IF(BK$6="","",IF(BK$3="Maior",IFERROR(IF(VLOOKUP($N90,Capa!$A:$AE,BK$5,0)="",0,VLOOKUP($N90,Capa!$A:$AE,BK$5,0)),0),IF(ISERROR(1/VLOOKUP($N90,Capa!$A:$AE,BK$5,0)),0,1/VLOOKUP($N90,Capa!$A:$AE,BK$5,0))))</f>
        <v/>
      </c>
      <c r="BL90" s="118" t="str">
        <f>IF(BL$6="","",IF(BL$3="Maior",IFERROR(IF(VLOOKUP($N90,Capa!$A:$AE,BL$5,0)="",0,VLOOKUP($N90,Capa!$A:$AE,BL$5,0)),0),IF(ISERROR(1/VLOOKUP($N90,Capa!$A:$AE,BL$5,0)),0,1/VLOOKUP($N90,Capa!$A:$AE,BL$5,0))))</f>
        <v/>
      </c>
      <c r="BM90" s="118" t="str">
        <f>IF(BM$6="","",IF(BM$3="Maior",IFERROR(IF(VLOOKUP($N90,Capa!$A:$AE,BM$5,0)="",0,VLOOKUP($N90,Capa!$A:$AE,BM$5,0)),0),IF(ISERROR(1/VLOOKUP($N90,Capa!$A:$AE,BM$5,0)),0,1/VLOOKUP($N90,Capa!$A:$AE,BM$5,0))))</f>
        <v/>
      </c>
      <c r="BN90" s="118" t="str">
        <f>IF(BN$6="","",IF(BN$3="Maior",IFERROR(IF(VLOOKUP($N90,Capa!$A:$AE,BN$5,0)="",0,VLOOKUP($N90,Capa!$A:$AE,BN$5,0)),0),IF(ISERROR(1/VLOOKUP($N90,Capa!$A:$AE,BN$5,0)),0,1/VLOOKUP($N90,Capa!$A:$AE,BN$5,0))))</f>
        <v/>
      </c>
      <c r="BO90" s="92"/>
    </row>
    <row r="91">
      <c r="G91" s="11"/>
      <c r="H91" s="8">
        <v>85.0</v>
      </c>
      <c r="I91" s="110" t="str">
        <f t="shared" si="6"/>
        <v>INTB3</v>
      </c>
      <c r="J91" s="111" t="str">
        <f>VLOOKUP(left(I91,4),Setor!A:D,3,0)&amp;" | "&amp;VLOOKUP(left(I91,4),Setor!A:D,4,0)</f>
        <v>#N/A</v>
      </c>
      <c r="K91" s="112">
        <f t="shared" si="7"/>
        <v>66371291.25</v>
      </c>
      <c r="L91" s="11"/>
      <c r="M91" s="11"/>
      <c r="N91" s="10" t="s">
        <v>137</v>
      </c>
      <c r="O91" s="113">
        <f t="shared" si="8"/>
        <v>989.04</v>
      </c>
      <c r="P91" s="114">
        <f>VLOOKUP(N91,'Dados StatusInvest'!A:Z,26,0)</f>
        <v>87878739.54</v>
      </c>
      <c r="Q91" s="115">
        <f t="shared" si="9"/>
        <v>400.04</v>
      </c>
      <c r="R91" s="116">
        <f t="shared" ref="R91:AO91" si="94">IF(AQ91="","", RANK(AQ91,AQ$7:AQ$503,0))</f>
        <v>370</v>
      </c>
      <c r="S91" s="115">
        <f t="shared" si="94"/>
        <v>219</v>
      </c>
      <c r="T91" s="115" t="str">
        <f t="shared" si="94"/>
        <v/>
      </c>
      <c r="U91" s="115" t="str">
        <f t="shared" si="94"/>
        <v/>
      </c>
      <c r="V91" s="115" t="str">
        <f t="shared" si="94"/>
        <v/>
      </c>
      <c r="W91" s="115" t="str">
        <f t="shared" si="94"/>
        <v/>
      </c>
      <c r="X91" s="115" t="str">
        <f t="shared" si="94"/>
        <v/>
      </c>
      <c r="Y91" s="115" t="str">
        <f t="shared" si="94"/>
        <v/>
      </c>
      <c r="Z91" s="115" t="str">
        <f t="shared" si="94"/>
        <v/>
      </c>
      <c r="AA91" s="115" t="str">
        <f t="shared" si="94"/>
        <v/>
      </c>
      <c r="AB91" s="115" t="str">
        <f t="shared" si="94"/>
        <v/>
      </c>
      <c r="AC91" s="115" t="str">
        <f t="shared" si="94"/>
        <v/>
      </c>
      <c r="AD91" s="115" t="str">
        <f t="shared" si="94"/>
        <v/>
      </c>
      <c r="AE91" s="115" t="str">
        <f t="shared" si="94"/>
        <v/>
      </c>
      <c r="AF91" s="115" t="str">
        <f t="shared" si="94"/>
        <v/>
      </c>
      <c r="AG91" s="115" t="str">
        <f t="shared" si="94"/>
        <v/>
      </c>
      <c r="AH91" s="115" t="str">
        <f t="shared" si="94"/>
        <v/>
      </c>
      <c r="AI91" s="115" t="str">
        <f t="shared" si="94"/>
        <v/>
      </c>
      <c r="AJ91" s="115" t="str">
        <f t="shared" si="94"/>
        <v/>
      </c>
      <c r="AK91" s="115" t="str">
        <f t="shared" si="94"/>
        <v/>
      </c>
      <c r="AL91" s="115" t="str">
        <f t="shared" si="94"/>
        <v/>
      </c>
      <c r="AM91" s="115" t="str">
        <f t="shared" si="94"/>
        <v/>
      </c>
      <c r="AN91" s="115" t="str">
        <f t="shared" si="94"/>
        <v/>
      </c>
      <c r="AO91" s="115" t="str">
        <f t="shared" si="94"/>
        <v/>
      </c>
      <c r="AP91" s="117">
        <f>IF(AP$6="","",IF(AP$3="Maior",IFERROR(IF(VLOOKUP($N91,Capa!$A:$AE,AP$5,0)="",0,VLOOKUP($N91,Capa!$A:$AE,AP$5,0)),0),IF(ISERROR(1/VLOOKUP($N91,Capa!$A:$AE,AP$5,0)),0,1/VLOOKUP($N91,Capa!$A:$AE,AP$5,0))))</f>
        <v>0.007046676971</v>
      </c>
      <c r="AQ91" s="118">
        <f>IF(AQ$6="","",IF(AQ$3="Maior",IFERROR(IF(VLOOKUP($N91,Capa!$A:$AE,AQ$5,0)="",0,VLOOKUP($N91,Capa!$A:$AE,AQ$5,0)),0),IF(ISERROR(1/VLOOKUP($N91,Capa!$A:$AE,AQ$5,0)),0,1/VLOOKUP($N91,Capa!$A:$AE,AQ$5,0))))</f>
        <v>0.63</v>
      </c>
      <c r="AR91" s="118">
        <f>IF(AR$6="","",IF(AR$3="Maior",IFERROR(IF(VLOOKUP($N91,Capa!$A:$AE,AR$5,0)="",0,VLOOKUP($N91,Capa!$A:$AE,AR$5,0)),0),IF(ISERROR(1/VLOOKUP($N91,Capa!$A:$AE,AR$5,0)),0,1/VLOOKUP($N91,Capa!$A:$AE,AR$5,0))))</f>
        <v>0</v>
      </c>
      <c r="AS91" s="118" t="str">
        <f>IF(AS$6="","",IF(AS$3="Maior",IFERROR(IF(VLOOKUP($N91,Capa!$A:$AE,AS$5,0)="",0,VLOOKUP($N91,Capa!$A:$AE,AS$5,0)),0),IF(ISERROR(1/VLOOKUP($N91,Capa!$A:$AE,AS$5,0)),0,1/VLOOKUP($N91,Capa!$A:$AE,AS$5,0))))</f>
        <v/>
      </c>
      <c r="AT91" s="118" t="str">
        <f>IF(AT$6="","",IF(AT$3="Maior",IFERROR(IF(VLOOKUP($N91,Capa!$A:$AE,AT$5,0)="",0,VLOOKUP($N91,Capa!$A:$AE,AT$5,0)),0),IF(ISERROR(1/VLOOKUP($N91,Capa!$A:$AE,AT$5,0)),0,1/VLOOKUP($N91,Capa!$A:$AE,AT$5,0))))</f>
        <v/>
      </c>
      <c r="AU91" s="118" t="str">
        <f>IF(AU$6="","",IF(AU$3="Maior",IFERROR(IF(VLOOKUP($N91,Capa!$A:$AE,AU$5,0)="",0,VLOOKUP($N91,Capa!$A:$AE,AU$5,0)),0),IF(ISERROR(1/VLOOKUP($N91,Capa!$A:$AE,AU$5,0)),0,1/VLOOKUP($N91,Capa!$A:$AE,AU$5,0))))</f>
        <v/>
      </c>
      <c r="AV91" s="118" t="str">
        <f>IF(AV$6="","",IF(AV$3="Maior",IFERROR(IF(VLOOKUP($N91,Capa!$A:$AE,AV$5,0)="",0,VLOOKUP($N91,Capa!$A:$AE,AV$5,0)),0),IF(ISERROR(1/VLOOKUP($N91,Capa!$A:$AE,AV$5,0)),0,1/VLOOKUP($N91,Capa!$A:$AE,AV$5,0))))</f>
        <v/>
      </c>
      <c r="AW91" s="118" t="str">
        <f>IF(AW$6="","",IF(AW$3="Maior",IFERROR(IF(VLOOKUP($N91,Capa!$A:$AE,AW$5,0)="",0,VLOOKUP($N91,Capa!$A:$AE,AW$5,0)),0),IF(ISERROR(1/VLOOKUP($N91,Capa!$A:$AE,AW$5,0)),0,1/VLOOKUP($N91,Capa!$A:$AE,AW$5,0))))</f>
        <v/>
      </c>
      <c r="AX91" s="118" t="str">
        <f>IF(AX$6="","",IF(AX$3="Maior",IFERROR(IF(VLOOKUP($N91,Capa!$A:$AE,AX$5,0)="",0,VLOOKUP($N91,Capa!$A:$AE,AX$5,0)),0),IF(ISERROR(1/VLOOKUP($N91,Capa!$A:$AE,AX$5,0)),0,1/VLOOKUP($N91,Capa!$A:$AE,AX$5,0))))</f>
        <v/>
      </c>
      <c r="AY91" s="118" t="str">
        <f>IF(AY$6="","",IF(AY$3="Maior",IFERROR(IF(VLOOKUP($N91,Capa!$A:$AE,AY$5,0)="",0,VLOOKUP($N91,Capa!$A:$AE,AY$5,0)),0),IF(ISERROR(1/VLOOKUP($N91,Capa!$A:$AE,AY$5,0)),0,1/VLOOKUP($N91,Capa!$A:$AE,AY$5,0))))</f>
        <v/>
      </c>
      <c r="AZ91" s="118" t="str">
        <f>IF(AZ$6="","",IF(AZ$3="Maior",IFERROR(IF(VLOOKUP($N91,Capa!$A:$AE,AZ$5,0)="",0,VLOOKUP($N91,Capa!$A:$AE,AZ$5,0)),0),IF(ISERROR(1/VLOOKUP($N91,Capa!$A:$AE,AZ$5,0)),0,1/VLOOKUP($N91,Capa!$A:$AE,AZ$5,0))))</f>
        <v/>
      </c>
      <c r="BA91" s="118" t="str">
        <f>IF(BA$6="","",IF(BA$3="Maior",IFERROR(IF(VLOOKUP($N91,Capa!$A:$AE,BA$5,0)="",0,VLOOKUP($N91,Capa!$A:$AE,BA$5,0)),0),IF(ISERROR(1/VLOOKUP($N91,Capa!$A:$AE,BA$5,0)),0,1/VLOOKUP($N91,Capa!$A:$AE,BA$5,0))))</f>
        <v/>
      </c>
      <c r="BB91" s="118" t="str">
        <f>IF(BB$6="","",IF(BB$3="Maior",IFERROR(IF(VLOOKUP($N91,Capa!$A:$AE,BB$5,0)="",0,VLOOKUP($N91,Capa!$A:$AE,BB$5,0)),0),IF(ISERROR(1/VLOOKUP($N91,Capa!$A:$AE,BB$5,0)),0,1/VLOOKUP($N91,Capa!$A:$AE,BB$5,0))))</f>
        <v/>
      </c>
      <c r="BC91" s="118" t="str">
        <f>IF(BC$6="","",IF(BC$3="Maior",IFERROR(IF(VLOOKUP($N91,Capa!$A:$AE,BC$5,0)="",0,VLOOKUP($N91,Capa!$A:$AE,BC$5,0)),0),IF(ISERROR(1/VLOOKUP($N91,Capa!$A:$AE,BC$5,0)),0,1/VLOOKUP($N91,Capa!$A:$AE,BC$5,0))))</f>
        <v/>
      </c>
      <c r="BD91" s="118" t="str">
        <f>IF(BD$6="","",IF(BD$3="Maior",IFERROR(IF(VLOOKUP($N91,Capa!$A:$AE,BD$5,0)="",0,VLOOKUP($N91,Capa!$A:$AE,BD$5,0)),0),IF(ISERROR(1/VLOOKUP($N91,Capa!$A:$AE,BD$5,0)),0,1/VLOOKUP($N91,Capa!$A:$AE,BD$5,0))))</f>
        <v/>
      </c>
      <c r="BE91" s="118" t="str">
        <f>IF(BE$6="","",IF(BE$3="Maior",IFERROR(IF(VLOOKUP($N91,Capa!$A:$AE,BE$5,0)="",0,VLOOKUP($N91,Capa!$A:$AE,BE$5,0)),0),IF(ISERROR(1/VLOOKUP($N91,Capa!$A:$AE,BE$5,0)),0,1/VLOOKUP($N91,Capa!$A:$AE,BE$5,0))))</f>
        <v/>
      </c>
      <c r="BF91" s="118" t="str">
        <f>IF(BF$6="","",IF(BF$3="Maior",IFERROR(IF(VLOOKUP($N91,Capa!$A:$AE,BF$5,0)="",0,VLOOKUP($N91,Capa!$A:$AE,BF$5,0)),0),IF(ISERROR(1/VLOOKUP($N91,Capa!$A:$AE,BF$5,0)),0,1/VLOOKUP($N91,Capa!$A:$AE,BF$5,0))))</f>
        <v/>
      </c>
      <c r="BG91" s="118" t="str">
        <f>IF(BG$6="","",IF(BG$3="Maior",IFERROR(IF(VLOOKUP($N91,Capa!$A:$AE,BG$5,0)="",0,VLOOKUP($N91,Capa!$A:$AE,BG$5,0)),0),IF(ISERROR(1/VLOOKUP($N91,Capa!$A:$AE,BG$5,0)),0,1/VLOOKUP($N91,Capa!$A:$AE,BG$5,0))))</f>
        <v/>
      </c>
      <c r="BH91" s="118" t="str">
        <f>IF(BH$6="","",IF(BH$3="Maior",IFERROR(IF(VLOOKUP($N91,Capa!$A:$AE,BH$5,0)="",0,VLOOKUP($N91,Capa!$A:$AE,BH$5,0)),0),IF(ISERROR(1/VLOOKUP($N91,Capa!$A:$AE,BH$5,0)),0,1/VLOOKUP($N91,Capa!$A:$AE,BH$5,0))))</f>
        <v/>
      </c>
      <c r="BI91" s="118" t="str">
        <f>IF(BI$6="","",IF(BI$3="Maior",IFERROR(IF(VLOOKUP($N91,Capa!$A:$AE,BI$5,0)="",0,VLOOKUP($N91,Capa!$A:$AE,BI$5,0)),0),IF(ISERROR(1/VLOOKUP($N91,Capa!$A:$AE,BI$5,0)),0,1/VLOOKUP($N91,Capa!$A:$AE,BI$5,0))))</f>
        <v/>
      </c>
      <c r="BJ91" s="118" t="str">
        <f>IF(BJ$6="","",IF(BJ$3="Maior",IFERROR(IF(VLOOKUP($N91,Capa!$A:$AE,BJ$5,0)="",0,VLOOKUP($N91,Capa!$A:$AE,BJ$5,0)),0),IF(ISERROR(1/VLOOKUP($N91,Capa!$A:$AE,BJ$5,0)),0,1/VLOOKUP($N91,Capa!$A:$AE,BJ$5,0))))</f>
        <v/>
      </c>
      <c r="BK91" s="118" t="str">
        <f>IF(BK$6="","",IF(BK$3="Maior",IFERROR(IF(VLOOKUP($N91,Capa!$A:$AE,BK$5,0)="",0,VLOOKUP($N91,Capa!$A:$AE,BK$5,0)),0),IF(ISERROR(1/VLOOKUP($N91,Capa!$A:$AE,BK$5,0)),0,1/VLOOKUP($N91,Capa!$A:$AE,BK$5,0))))</f>
        <v/>
      </c>
      <c r="BL91" s="118" t="str">
        <f>IF(BL$6="","",IF(BL$3="Maior",IFERROR(IF(VLOOKUP($N91,Capa!$A:$AE,BL$5,0)="",0,VLOOKUP($N91,Capa!$A:$AE,BL$5,0)),0),IF(ISERROR(1/VLOOKUP($N91,Capa!$A:$AE,BL$5,0)),0,1/VLOOKUP($N91,Capa!$A:$AE,BL$5,0))))</f>
        <v/>
      </c>
      <c r="BM91" s="118" t="str">
        <f>IF(BM$6="","",IF(BM$3="Maior",IFERROR(IF(VLOOKUP($N91,Capa!$A:$AE,BM$5,0)="",0,VLOOKUP($N91,Capa!$A:$AE,BM$5,0)),0),IF(ISERROR(1/VLOOKUP($N91,Capa!$A:$AE,BM$5,0)),0,1/VLOOKUP($N91,Capa!$A:$AE,BM$5,0))))</f>
        <v/>
      </c>
      <c r="BN91" s="118" t="str">
        <f>IF(BN$6="","",IF(BN$3="Maior",IFERROR(IF(VLOOKUP($N91,Capa!$A:$AE,BN$5,0)="",0,VLOOKUP($N91,Capa!$A:$AE,BN$5,0)),0),IF(ISERROR(1/VLOOKUP($N91,Capa!$A:$AE,BN$5,0)),0,1/VLOOKUP($N91,Capa!$A:$AE,BN$5,0))))</f>
        <v/>
      </c>
      <c r="BO91" s="92"/>
    </row>
    <row r="92">
      <c r="G92" s="11"/>
      <c r="H92" s="8">
        <v>86.0</v>
      </c>
      <c r="I92" s="110" t="str">
        <f t="shared" si="6"/>
        <v>ARZZ3</v>
      </c>
      <c r="J92" s="111" t="str">
        <f>VLOOKUP(left(I92,4),Setor!A:D,3,0)&amp;" | "&amp;VLOOKUP(left(I92,4),Setor!A:D,4,0)</f>
        <v>Consumo Cíclico | Comércio</v>
      </c>
      <c r="K92" s="112">
        <f t="shared" si="7"/>
        <v>60051827.33</v>
      </c>
      <c r="L92" s="11"/>
      <c r="M92" s="11"/>
      <c r="N92" s="10" t="s">
        <v>138</v>
      </c>
      <c r="O92" s="113">
        <f t="shared" si="8"/>
        <v>683.023</v>
      </c>
      <c r="P92" s="114">
        <f>VLOOKUP(N92,'Dados StatusInvest'!A:Z,26,0)</f>
        <v>66876863.21</v>
      </c>
      <c r="Q92" s="115">
        <f t="shared" si="9"/>
        <v>230.023</v>
      </c>
      <c r="R92" s="116">
        <f t="shared" ref="R92:AO92" si="95">IF(AQ92="","", RANK(AQ92,AQ$7:AQ$503,0))</f>
        <v>253</v>
      </c>
      <c r="S92" s="115">
        <f t="shared" si="95"/>
        <v>200</v>
      </c>
      <c r="T92" s="115" t="str">
        <f t="shared" si="95"/>
        <v/>
      </c>
      <c r="U92" s="115" t="str">
        <f t="shared" si="95"/>
        <v/>
      </c>
      <c r="V92" s="115" t="str">
        <f t="shared" si="95"/>
        <v/>
      </c>
      <c r="W92" s="115" t="str">
        <f t="shared" si="95"/>
        <v/>
      </c>
      <c r="X92" s="115" t="str">
        <f t="shared" si="95"/>
        <v/>
      </c>
      <c r="Y92" s="115" t="str">
        <f t="shared" si="95"/>
        <v/>
      </c>
      <c r="Z92" s="115" t="str">
        <f t="shared" si="95"/>
        <v/>
      </c>
      <c r="AA92" s="115" t="str">
        <f t="shared" si="95"/>
        <v/>
      </c>
      <c r="AB92" s="115" t="str">
        <f t="shared" si="95"/>
        <v/>
      </c>
      <c r="AC92" s="115" t="str">
        <f t="shared" si="95"/>
        <v/>
      </c>
      <c r="AD92" s="115" t="str">
        <f t="shared" si="95"/>
        <v/>
      </c>
      <c r="AE92" s="115" t="str">
        <f t="shared" si="95"/>
        <v/>
      </c>
      <c r="AF92" s="115" t="str">
        <f t="shared" si="95"/>
        <v/>
      </c>
      <c r="AG92" s="115" t="str">
        <f t="shared" si="95"/>
        <v/>
      </c>
      <c r="AH92" s="115" t="str">
        <f t="shared" si="95"/>
        <v/>
      </c>
      <c r="AI92" s="115" t="str">
        <f t="shared" si="95"/>
        <v/>
      </c>
      <c r="AJ92" s="115" t="str">
        <f t="shared" si="95"/>
        <v/>
      </c>
      <c r="AK92" s="115" t="str">
        <f t="shared" si="95"/>
        <v/>
      </c>
      <c r="AL92" s="115" t="str">
        <f t="shared" si="95"/>
        <v/>
      </c>
      <c r="AM92" s="115" t="str">
        <f t="shared" si="95"/>
        <v/>
      </c>
      <c r="AN92" s="115" t="str">
        <f t="shared" si="95"/>
        <v/>
      </c>
      <c r="AO92" s="115" t="str">
        <f t="shared" si="95"/>
        <v/>
      </c>
      <c r="AP92" s="117">
        <f>IF(AP$6="","",IF(AP$3="Maior",IFERROR(IF(VLOOKUP($N92,Capa!$A:$AE,AP$5,0)="",0,VLOOKUP($N92,Capa!$A:$AE,AP$5,0)),0),IF(ISERROR(1/VLOOKUP($N92,Capa!$A:$AE,AP$5,0)),0,1/VLOOKUP($N92,Capa!$A:$AE,AP$5,0))))</f>
        <v>0.08716295009</v>
      </c>
      <c r="AQ92" s="118">
        <f>IF(AQ$6="","",IF(AQ$3="Maior",IFERROR(IF(VLOOKUP($N92,Capa!$A:$AE,AQ$5,0)="",0,VLOOKUP($N92,Capa!$A:$AE,AQ$5,0)),0),IF(ISERROR(1/VLOOKUP($N92,Capa!$A:$AE,AQ$5,0)),0,1/VLOOKUP($N92,Capa!$A:$AE,AQ$5,0))))</f>
        <v>8.15</v>
      </c>
      <c r="AR92" s="118">
        <f>IF(AR$6="","",IF(AR$3="Maior",IFERROR(IF(VLOOKUP($N92,Capa!$A:$AE,AR$5,0)="",0,VLOOKUP($N92,Capa!$A:$AE,AR$5,0)),0),IF(ISERROR(1/VLOOKUP($N92,Capa!$A:$AE,AR$5,0)),0,1/VLOOKUP($N92,Capa!$A:$AE,AR$5,0))))</f>
        <v>2.6</v>
      </c>
      <c r="AS92" s="118" t="str">
        <f>IF(AS$6="","",IF(AS$3="Maior",IFERROR(IF(VLOOKUP($N92,Capa!$A:$AE,AS$5,0)="",0,VLOOKUP($N92,Capa!$A:$AE,AS$5,0)),0),IF(ISERROR(1/VLOOKUP($N92,Capa!$A:$AE,AS$5,0)),0,1/VLOOKUP($N92,Capa!$A:$AE,AS$5,0))))</f>
        <v/>
      </c>
      <c r="AT92" s="118" t="str">
        <f>IF(AT$6="","",IF(AT$3="Maior",IFERROR(IF(VLOOKUP($N92,Capa!$A:$AE,AT$5,0)="",0,VLOOKUP($N92,Capa!$A:$AE,AT$5,0)),0),IF(ISERROR(1/VLOOKUP($N92,Capa!$A:$AE,AT$5,0)),0,1/VLOOKUP($N92,Capa!$A:$AE,AT$5,0))))</f>
        <v/>
      </c>
      <c r="AU92" s="118" t="str">
        <f>IF(AU$6="","",IF(AU$3="Maior",IFERROR(IF(VLOOKUP($N92,Capa!$A:$AE,AU$5,0)="",0,VLOOKUP($N92,Capa!$A:$AE,AU$5,0)),0),IF(ISERROR(1/VLOOKUP($N92,Capa!$A:$AE,AU$5,0)),0,1/VLOOKUP($N92,Capa!$A:$AE,AU$5,0))))</f>
        <v/>
      </c>
      <c r="AV92" s="118" t="str">
        <f>IF(AV$6="","",IF(AV$3="Maior",IFERROR(IF(VLOOKUP($N92,Capa!$A:$AE,AV$5,0)="",0,VLOOKUP($N92,Capa!$A:$AE,AV$5,0)),0),IF(ISERROR(1/VLOOKUP($N92,Capa!$A:$AE,AV$5,0)),0,1/VLOOKUP($N92,Capa!$A:$AE,AV$5,0))))</f>
        <v/>
      </c>
      <c r="AW92" s="118" t="str">
        <f>IF(AW$6="","",IF(AW$3="Maior",IFERROR(IF(VLOOKUP($N92,Capa!$A:$AE,AW$5,0)="",0,VLOOKUP($N92,Capa!$A:$AE,AW$5,0)),0),IF(ISERROR(1/VLOOKUP($N92,Capa!$A:$AE,AW$5,0)),0,1/VLOOKUP($N92,Capa!$A:$AE,AW$5,0))))</f>
        <v/>
      </c>
      <c r="AX92" s="118" t="str">
        <f>IF(AX$6="","",IF(AX$3="Maior",IFERROR(IF(VLOOKUP($N92,Capa!$A:$AE,AX$5,0)="",0,VLOOKUP($N92,Capa!$A:$AE,AX$5,0)),0),IF(ISERROR(1/VLOOKUP($N92,Capa!$A:$AE,AX$5,0)),0,1/VLOOKUP($N92,Capa!$A:$AE,AX$5,0))))</f>
        <v/>
      </c>
      <c r="AY92" s="118" t="str">
        <f>IF(AY$6="","",IF(AY$3="Maior",IFERROR(IF(VLOOKUP($N92,Capa!$A:$AE,AY$5,0)="",0,VLOOKUP($N92,Capa!$A:$AE,AY$5,0)),0),IF(ISERROR(1/VLOOKUP($N92,Capa!$A:$AE,AY$5,0)),0,1/VLOOKUP($N92,Capa!$A:$AE,AY$5,0))))</f>
        <v/>
      </c>
      <c r="AZ92" s="118" t="str">
        <f>IF(AZ$6="","",IF(AZ$3="Maior",IFERROR(IF(VLOOKUP($N92,Capa!$A:$AE,AZ$5,0)="",0,VLOOKUP($N92,Capa!$A:$AE,AZ$5,0)),0),IF(ISERROR(1/VLOOKUP($N92,Capa!$A:$AE,AZ$5,0)),0,1/VLOOKUP($N92,Capa!$A:$AE,AZ$5,0))))</f>
        <v/>
      </c>
      <c r="BA92" s="118" t="str">
        <f>IF(BA$6="","",IF(BA$3="Maior",IFERROR(IF(VLOOKUP($N92,Capa!$A:$AE,BA$5,0)="",0,VLOOKUP($N92,Capa!$A:$AE,BA$5,0)),0),IF(ISERROR(1/VLOOKUP($N92,Capa!$A:$AE,BA$5,0)),0,1/VLOOKUP($N92,Capa!$A:$AE,BA$5,0))))</f>
        <v/>
      </c>
      <c r="BB92" s="118" t="str">
        <f>IF(BB$6="","",IF(BB$3="Maior",IFERROR(IF(VLOOKUP($N92,Capa!$A:$AE,BB$5,0)="",0,VLOOKUP($N92,Capa!$A:$AE,BB$5,0)),0),IF(ISERROR(1/VLOOKUP($N92,Capa!$A:$AE,BB$5,0)),0,1/VLOOKUP($N92,Capa!$A:$AE,BB$5,0))))</f>
        <v/>
      </c>
      <c r="BC92" s="118" t="str">
        <f>IF(BC$6="","",IF(BC$3="Maior",IFERROR(IF(VLOOKUP($N92,Capa!$A:$AE,BC$5,0)="",0,VLOOKUP($N92,Capa!$A:$AE,BC$5,0)),0),IF(ISERROR(1/VLOOKUP($N92,Capa!$A:$AE,BC$5,0)),0,1/VLOOKUP($N92,Capa!$A:$AE,BC$5,0))))</f>
        <v/>
      </c>
      <c r="BD92" s="118" t="str">
        <f>IF(BD$6="","",IF(BD$3="Maior",IFERROR(IF(VLOOKUP($N92,Capa!$A:$AE,BD$5,0)="",0,VLOOKUP($N92,Capa!$A:$AE,BD$5,0)),0),IF(ISERROR(1/VLOOKUP($N92,Capa!$A:$AE,BD$5,0)),0,1/VLOOKUP($N92,Capa!$A:$AE,BD$5,0))))</f>
        <v/>
      </c>
      <c r="BE92" s="118" t="str">
        <f>IF(BE$6="","",IF(BE$3="Maior",IFERROR(IF(VLOOKUP($N92,Capa!$A:$AE,BE$5,0)="",0,VLOOKUP($N92,Capa!$A:$AE,BE$5,0)),0),IF(ISERROR(1/VLOOKUP($N92,Capa!$A:$AE,BE$5,0)),0,1/VLOOKUP($N92,Capa!$A:$AE,BE$5,0))))</f>
        <v/>
      </c>
      <c r="BF92" s="118" t="str">
        <f>IF(BF$6="","",IF(BF$3="Maior",IFERROR(IF(VLOOKUP($N92,Capa!$A:$AE,BF$5,0)="",0,VLOOKUP($N92,Capa!$A:$AE,BF$5,0)),0),IF(ISERROR(1/VLOOKUP($N92,Capa!$A:$AE,BF$5,0)),0,1/VLOOKUP($N92,Capa!$A:$AE,BF$5,0))))</f>
        <v/>
      </c>
      <c r="BG92" s="118" t="str">
        <f>IF(BG$6="","",IF(BG$3="Maior",IFERROR(IF(VLOOKUP($N92,Capa!$A:$AE,BG$5,0)="",0,VLOOKUP($N92,Capa!$A:$AE,BG$5,0)),0),IF(ISERROR(1/VLOOKUP($N92,Capa!$A:$AE,BG$5,0)),0,1/VLOOKUP($N92,Capa!$A:$AE,BG$5,0))))</f>
        <v/>
      </c>
      <c r="BH92" s="118" t="str">
        <f>IF(BH$6="","",IF(BH$3="Maior",IFERROR(IF(VLOOKUP($N92,Capa!$A:$AE,BH$5,0)="",0,VLOOKUP($N92,Capa!$A:$AE,BH$5,0)),0),IF(ISERROR(1/VLOOKUP($N92,Capa!$A:$AE,BH$5,0)),0,1/VLOOKUP($N92,Capa!$A:$AE,BH$5,0))))</f>
        <v/>
      </c>
      <c r="BI92" s="118" t="str">
        <f>IF(BI$6="","",IF(BI$3="Maior",IFERROR(IF(VLOOKUP($N92,Capa!$A:$AE,BI$5,0)="",0,VLOOKUP($N92,Capa!$A:$AE,BI$5,0)),0),IF(ISERROR(1/VLOOKUP($N92,Capa!$A:$AE,BI$5,0)),0,1/VLOOKUP($N92,Capa!$A:$AE,BI$5,0))))</f>
        <v/>
      </c>
      <c r="BJ92" s="118" t="str">
        <f>IF(BJ$6="","",IF(BJ$3="Maior",IFERROR(IF(VLOOKUP($N92,Capa!$A:$AE,BJ$5,0)="",0,VLOOKUP($N92,Capa!$A:$AE,BJ$5,0)),0),IF(ISERROR(1/VLOOKUP($N92,Capa!$A:$AE,BJ$5,0)),0,1/VLOOKUP($N92,Capa!$A:$AE,BJ$5,0))))</f>
        <v/>
      </c>
      <c r="BK92" s="118" t="str">
        <f>IF(BK$6="","",IF(BK$3="Maior",IFERROR(IF(VLOOKUP($N92,Capa!$A:$AE,BK$5,0)="",0,VLOOKUP($N92,Capa!$A:$AE,BK$5,0)),0),IF(ISERROR(1/VLOOKUP($N92,Capa!$A:$AE,BK$5,0)),0,1/VLOOKUP($N92,Capa!$A:$AE,BK$5,0))))</f>
        <v/>
      </c>
      <c r="BL92" s="118" t="str">
        <f>IF(BL$6="","",IF(BL$3="Maior",IFERROR(IF(VLOOKUP($N92,Capa!$A:$AE,BL$5,0)="",0,VLOOKUP($N92,Capa!$A:$AE,BL$5,0)),0),IF(ISERROR(1/VLOOKUP($N92,Capa!$A:$AE,BL$5,0)),0,1/VLOOKUP($N92,Capa!$A:$AE,BL$5,0))))</f>
        <v/>
      </c>
      <c r="BM92" s="118" t="str">
        <f>IF(BM$6="","",IF(BM$3="Maior",IFERROR(IF(VLOOKUP($N92,Capa!$A:$AE,BM$5,0)="",0,VLOOKUP($N92,Capa!$A:$AE,BM$5,0)),0),IF(ISERROR(1/VLOOKUP($N92,Capa!$A:$AE,BM$5,0)),0,1/VLOOKUP($N92,Capa!$A:$AE,BM$5,0))))</f>
        <v/>
      </c>
      <c r="BN92" s="118" t="str">
        <f>IF(BN$6="","",IF(BN$3="Maior",IFERROR(IF(VLOOKUP($N92,Capa!$A:$AE,BN$5,0)="",0,VLOOKUP($N92,Capa!$A:$AE,BN$5,0)),0),IF(ISERROR(1/VLOOKUP($N92,Capa!$A:$AE,BN$5,0)),0,1/VLOOKUP($N92,Capa!$A:$AE,BN$5,0))))</f>
        <v/>
      </c>
      <c r="BO92" s="92"/>
    </row>
    <row r="93">
      <c r="G93" s="11"/>
      <c r="H93" s="8">
        <v>87.0</v>
      </c>
      <c r="I93" s="110" t="str">
        <f t="shared" si="6"/>
        <v>SANB11</v>
      </c>
      <c r="J93" s="111" t="str">
        <f>VLOOKUP(left(I93,4),Setor!A:D,3,0)&amp;" | "&amp;VLOOKUP(left(I93,4),Setor!A:D,4,0)</f>
        <v>Financeiro | Intermediários Financeiros</v>
      </c>
      <c r="K93" s="112">
        <f t="shared" si="7"/>
        <v>97882700.58</v>
      </c>
      <c r="L93" s="11"/>
      <c r="M93" s="11"/>
      <c r="N93" s="10" t="s">
        <v>139</v>
      </c>
      <c r="O93" s="113">
        <f t="shared" si="8"/>
        <v>422.0167</v>
      </c>
      <c r="P93" s="114">
        <f>VLOOKUP(N93,'Dados StatusInvest'!A:Z,26,0)</f>
        <v>68576696.25</v>
      </c>
      <c r="Q93" s="115">
        <f t="shared" si="9"/>
        <v>167.0167</v>
      </c>
      <c r="R93" s="116">
        <f t="shared" ref="R93:AO93" si="96">IF(AQ93="","", RANK(AQ93,AQ$7:AQ$503,0))</f>
        <v>212</v>
      </c>
      <c r="S93" s="115">
        <f t="shared" si="96"/>
        <v>43</v>
      </c>
      <c r="T93" s="115" t="str">
        <f t="shared" si="96"/>
        <v/>
      </c>
      <c r="U93" s="115" t="str">
        <f t="shared" si="96"/>
        <v/>
      </c>
      <c r="V93" s="115" t="str">
        <f t="shared" si="96"/>
        <v/>
      </c>
      <c r="W93" s="115" t="str">
        <f t="shared" si="96"/>
        <v/>
      </c>
      <c r="X93" s="115" t="str">
        <f t="shared" si="96"/>
        <v/>
      </c>
      <c r="Y93" s="115" t="str">
        <f t="shared" si="96"/>
        <v/>
      </c>
      <c r="Z93" s="115" t="str">
        <f t="shared" si="96"/>
        <v/>
      </c>
      <c r="AA93" s="115" t="str">
        <f t="shared" si="96"/>
        <v/>
      </c>
      <c r="AB93" s="115" t="str">
        <f t="shared" si="96"/>
        <v/>
      </c>
      <c r="AC93" s="115" t="str">
        <f t="shared" si="96"/>
        <v/>
      </c>
      <c r="AD93" s="115" t="str">
        <f t="shared" si="96"/>
        <v/>
      </c>
      <c r="AE93" s="115" t="str">
        <f t="shared" si="96"/>
        <v/>
      </c>
      <c r="AF93" s="115" t="str">
        <f t="shared" si="96"/>
        <v/>
      </c>
      <c r="AG93" s="115" t="str">
        <f t="shared" si="96"/>
        <v/>
      </c>
      <c r="AH93" s="115" t="str">
        <f t="shared" si="96"/>
        <v/>
      </c>
      <c r="AI93" s="115" t="str">
        <f t="shared" si="96"/>
        <v/>
      </c>
      <c r="AJ93" s="115" t="str">
        <f t="shared" si="96"/>
        <v/>
      </c>
      <c r="AK93" s="115" t="str">
        <f t="shared" si="96"/>
        <v/>
      </c>
      <c r="AL93" s="115" t="str">
        <f t="shared" si="96"/>
        <v/>
      </c>
      <c r="AM93" s="115" t="str">
        <f t="shared" si="96"/>
        <v/>
      </c>
      <c r="AN93" s="115" t="str">
        <f t="shared" si="96"/>
        <v/>
      </c>
      <c r="AO93" s="115" t="str">
        <f t="shared" si="96"/>
        <v/>
      </c>
      <c r="AP93" s="117">
        <f>IF(AP$6="","",IF(AP$3="Maior",IFERROR(IF(VLOOKUP($N93,Capa!$A:$AE,AP$5,0)="",0,VLOOKUP($N93,Capa!$A:$AE,AP$5,0)),0),IF(ISERROR(1/VLOOKUP($N93,Capa!$A:$AE,AP$5,0)),0,1/VLOOKUP($N93,Capa!$A:$AE,AP$5,0))))</f>
        <v>0.1237989095</v>
      </c>
      <c r="AQ93" s="118">
        <f>IF(AQ$6="","",IF(AQ$3="Maior",IFERROR(IF(VLOOKUP($N93,Capa!$A:$AE,AQ$5,0)="",0,VLOOKUP($N93,Capa!$A:$AE,AQ$5,0)),0),IF(ISERROR(1/VLOOKUP($N93,Capa!$A:$AE,AQ$5,0)),0,1/VLOOKUP($N93,Capa!$A:$AE,AQ$5,0))))</f>
        <v>10.44</v>
      </c>
      <c r="AR93" s="118">
        <f>IF(AR$6="","",IF(AR$3="Maior",IFERROR(IF(VLOOKUP($N93,Capa!$A:$AE,AR$5,0)="",0,VLOOKUP($N93,Capa!$A:$AE,AR$5,0)),0),IF(ISERROR(1/VLOOKUP($N93,Capa!$A:$AE,AR$5,0)),0,1/VLOOKUP($N93,Capa!$A:$AE,AR$5,0))))</f>
        <v>50.4</v>
      </c>
      <c r="AS93" s="118" t="str">
        <f>IF(AS$6="","",IF(AS$3="Maior",IFERROR(IF(VLOOKUP($N93,Capa!$A:$AE,AS$5,0)="",0,VLOOKUP($N93,Capa!$A:$AE,AS$5,0)),0),IF(ISERROR(1/VLOOKUP($N93,Capa!$A:$AE,AS$5,0)),0,1/VLOOKUP($N93,Capa!$A:$AE,AS$5,0))))</f>
        <v/>
      </c>
      <c r="AT93" s="118" t="str">
        <f>IF(AT$6="","",IF(AT$3="Maior",IFERROR(IF(VLOOKUP($N93,Capa!$A:$AE,AT$5,0)="",0,VLOOKUP($N93,Capa!$A:$AE,AT$5,0)),0),IF(ISERROR(1/VLOOKUP($N93,Capa!$A:$AE,AT$5,0)),0,1/VLOOKUP($N93,Capa!$A:$AE,AT$5,0))))</f>
        <v/>
      </c>
      <c r="AU93" s="118" t="str">
        <f>IF(AU$6="","",IF(AU$3="Maior",IFERROR(IF(VLOOKUP($N93,Capa!$A:$AE,AU$5,0)="",0,VLOOKUP($N93,Capa!$A:$AE,AU$5,0)),0),IF(ISERROR(1/VLOOKUP($N93,Capa!$A:$AE,AU$5,0)),0,1/VLOOKUP($N93,Capa!$A:$AE,AU$5,0))))</f>
        <v/>
      </c>
      <c r="AV93" s="118" t="str">
        <f>IF(AV$6="","",IF(AV$3="Maior",IFERROR(IF(VLOOKUP($N93,Capa!$A:$AE,AV$5,0)="",0,VLOOKUP($N93,Capa!$A:$AE,AV$5,0)),0),IF(ISERROR(1/VLOOKUP($N93,Capa!$A:$AE,AV$5,0)),0,1/VLOOKUP($N93,Capa!$A:$AE,AV$5,0))))</f>
        <v/>
      </c>
      <c r="AW93" s="118" t="str">
        <f>IF(AW$6="","",IF(AW$3="Maior",IFERROR(IF(VLOOKUP($N93,Capa!$A:$AE,AW$5,0)="",0,VLOOKUP($N93,Capa!$A:$AE,AW$5,0)),0),IF(ISERROR(1/VLOOKUP($N93,Capa!$A:$AE,AW$5,0)),0,1/VLOOKUP($N93,Capa!$A:$AE,AW$5,0))))</f>
        <v/>
      </c>
      <c r="AX93" s="118" t="str">
        <f>IF(AX$6="","",IF(AX$3="Maior",IFERROR(IF(VLOOKUP($N93,Capa!$A:$AE,AX$5,0)="",0,VLOOKUP($N93,Capa!$A:$AE,AX$5,0)),0),IF(ISERROR(1/VLOOKUP($N93,Capa!$A:$AE,AX$5,0)),0,1/VLOOKUP($N93,Capa!$A:$AE,AX$5,0))))</f>
        <v/>
      </c>
      <c r="AY93" s="118" t="str">
        <f>IF(AY$6="","",IF(AY$3="Maior",IFERROR(IF(VLOOKUP($N93,Capa!$A:$AE,AY$5,0)="",0,VLOOKUP($N93,Capa!$A:$AE,AY$5,0)),0),IF(ISERROR(1/VLOOKUP($N93,Capa!$A:$AE,AY$5,0)),0,1/VLOOKUP($N93,Capa!$A:$AE,AY$5,0))))</f>
        <v/>
      </c>
      <c r="AZ93" s="118" t="str">
        <f>IF(AZ$6="","",IF(AZ$3="Maior",IFERROR(IF(VLOOKUP($N93,Capa!$A:$AE,AZ$5,0)="",0,VLOOKUP($N93,Capa!$A:$AE,AZ$5,0)),0),IF(ISERROR(1/VLOOKUP($N93,Capa!$A:$AE,AZ$5,0)),0,1/VLOOKUP($N93,Capa!$A:$AE,AZ$5,0))))</f>
        <v/>
      </c>
      <c r="BA93" s="118" t="str">
        <f>IF(BA$6="","",IF(BA$3="Maior",IFERROR(IF(VLOOKUP($N93,Capa!$A:$AE,BA$5,0)="",0,VLOOKUP($N93,Capa!$A:$AE,BA$5,0)),0),IF(ISERROR(1/VLOOKUP($N93,Capa!$A:$AE,BA$5,0)),0,1/VLOOKUP($N93,Capa!$A:$AE,BA$5,0))))</f>
        <v/>
      </c>
      <c r="BB93" s="118" t="str">
        <f>IF(BB$6="","",IF(BB$3="Maior",IFERROR(IF(VLOOKUP($N93,Capa!$A:$AE,BB$5,0)="",0,VLOOKUP($N93,Capa!$A:$AE,BB$5,0)),0),IF(ISERROR(1/VLOOKUP($N93,Capa!$A:$AE,BB$5,0)),0,1/VLOOKUP($N93,Capa!$A:$AE,BB$5,0))))</f>
        <v/>
      </c>
      <c r="BC93" s="118" t="str">
        <f>IF(BC$6="","",IF(BC$3="Maior",IFERROR(IF(VLOOKUP($N93,Capa!$A:$AE,BC$5,0)="",0,VLOOKUP($N93,Capa!$A:$AE,BC$5,0)),0),IF(ISERROR(1/VLOOKUP($N93,Capa!$A:$AE,BC$5,0)),0,1/VLOOKUP($N93,Capa!$A:$AE,BC$5,0))))</f>
        <v/>
      </c>
      <c r="BD93" s="118" t="str">
        <f>IF(BD$6="","",IF(BD$3="Maior",IFERROR(IF(VLOOKUP($N93,Capa!$A:$AE,BD$5,0)="",0,VLOOKUP($N93,Capa!$A:$AE,BD$5,0)),0),IF(ISERROR(1/VLOOKUP($N93,Capa!$A:$AE,BD$5,0)),0,1/VLOOKUP($N93,Capa!$A:$AE,BD$5,0))))</f>
        <v/>
      </c>
      <c r="BE93" s="118" t="str">
        <f>IF(BE$6="","",IF(BE$3="Maior",IFERROR(IF(VLOOKUP($N93,Capa!$A:$AE,BE$5,0)="",0,VLOOKUP($N93,Capa!$A:$AE,BE$5,0)),0),IF(ISERROR(1/VLOOKUP($N93,Capa!$A:$AE,BE$5,0)),0,1/VLOOKUP($N93,Capa!$A:$AE,BE$5,0))))</f>
        <v/>
      </c>
      <c r="BF93" s="118" t="str">
        <f>IF(BF$6="","",IF(BF$3="Maior",IFERROR(IF(VLOOKUP($N93,Capa!$A:$AE,BF$5,0)="",0,VLOOKUP($N93,Capa!$A:$AE,BF$5,0)),0),IF(ISERROR(1/VLOOKUP($N93,Capa!$A:$AE,BF$5,0)),0,1/VLOOKUP($N93,Capa!$A:$AE,BF$5,0))))</f>
        <v/>
      </c>
      <c r="BG93" s="118" t="str">
        <f>IF(BG$6="","",IF(BG$3="Maior",IFERROR(IF(VLOOKUP($N93,Capa!$A:$AE,BG$5,0)="",0,VLOOKUP($N93,Capa!$A:$AE,BG$5,0)),0),IF(ISERROR(1/VLOOKUP($N93,Capa!$A:$AE,BG$5,0)),0,1/VLOOKUP($N93,Capa!$A:$AE,BG$5,0))))</f>
        <v/>
      </c>
      <c r="BH93" s="118" t="str">
        <f>IF(BH$6="","",IF(BH$3="Maior",IFERROR(IF(VLOOKUP($N93,Capa!$A:$AE,BH$5,0)="",0,VLOOKUP($N93,Capa!$A:$AE,BH$5,0)),0),IF(ISERROR(1/VLOOKUP($N93,Capa!$A:$AE,BH$5,0)),0,1/VLOOKUP($N93,Capa!$A:$AE,BH$5,0))))</f>
        <v/>
      </c>
      <c r="BI93" s="118" t="str">
        <f>IF(BI$6="","",IF(BI$3="Maior",IFERROR(IF(VLOOKUP($N93,Capa!$A:$AE,BI$5,0)="",0,VLOOKUP($N93,Capa!$A:$AE,BI$5,0)),0),IF(ISERROR(1/VLOOKUP($N93,Capa!$A:$AE,BI$5,0)),0,1/VLOOKUP($N93,Capa!$A:$AE,BI$5,0))))</f>
        <v/>
      </c>
      <c r="BJ93" s="118" t="str">
        <f>IF(BJ$6="","",IF(BJ$3="Maior",IFERROR(IF(VLOOKUP($N93,Capa!$A:$AE,BJ$5,0)="",0,VLOOKUP($N93,Capa!$A:$AE,BJ$5,0)),0),IF(ISERROR(1/VLOOKUP($N93,Capa!$A:$AE,BJ$5,0)),0,1/VLOOKUP($N93,Capa!$A:$AE,BJ$5,0))))</f>
        <v/>
      </c>
      <c r="BK93" s="118" t="str">
        <f>IF(BK$6="","",IF(BK$3="Maior",IFERROR(IF(VLOOKUP($N93,Capa!$A:$AE,BK$5,0)="",0,VLOOKUP($N93,Capa!$A:$AE,BK$5,0)),0),IF(ISERROR(1/VLOOKUP($N93,Capa!$A:$AE,BK$5,0)),0,1/VLOOKUP($N93,Capa!$A:$AE,BK$5,0))))</f>
        <v/>
      </c>
      <c r="BL93" s="118" t="str">
        <f>IF(BL$6="","",IF(BL$3="Maior",IFERROR(IF(VLOOKUP($N93,Capa!$A:$AE,BL$5,0)="",0,VLOOKUP($N93,Capa!$A:$AE,BL$5,0)),0),IF(ISERROR(1/VLOOKUP($N93,Capa!$A:$AE,BL$5,0)),0,1/VLOOKUP($N93,Capa!$A:$AE,BL$5,0))))</f>
        <v/>
      </c>
      <c r="BM93" s="118" t="str">
        <f>IF(BM$6="","",IF(BM$3="Maior",IFERROR(IF(VLOOKUP($N93,Capa!$A:$AE,BM$5,0)="",0,VLOOKUP($N93,Capa!$A:$AE,BM$5,0)),0),IF(ISERROR(1/VLOOKUP($N93,Capa!$A:$AE,BM$5,0)),0,1/VLOOKUP($N93,Capa!$A:$AE,BM$5,0))))</f>
        <v/>
      </c>
      <c r="BN93" s="118" t="str">
        <f>IF(BN$6="","",IF(BN$3="Maior",IFERROR(IF(VLOOKUP($N93,Capa!$A:$AE,BN$5,0)="",0,VLOOKUP($N93,Capa!$A:$AE,BN$5,0)),0),IF(ISERROR(1/VLOOKUP($N93,Capa!$A:$AE,BN$5,0)),0,1/VLOOKUP($N93,Capa!$A:$AE,BN$5,0))))</f>
        <v/>
      </c>
      <c r="BO93" s="92"/>
    </row>
    <row r="94">
      <c r="G94" s="11"/>
      <c r="H94" s="8">
        <v>88.0</v>
      </c>
      <c r="I94" s="110" t="str">
        <f t="shared" si="6"/>
        <v>TUPY3</v>
      </c>
      <c r="J94" s="111" t="str">
        <f>VLOOKUP(left(I94,4),Setor!A:D,3,0)&amp;" | "&amp;VLOOKUP(left(I94,4),Setor!A:D,4,0)</f>
        <v>Bens Industriais | Material de Transporte</v>
      </c>
      <c r="K94" s="112">
        <f t="shared" si="7"/>
        <v>17619515.67</v>
      </c>
      <c r="L94" s="11"/>
      <c r="M94" s="11"/>
      <c r="N94" s="10" t="s">
        <v>140</v>
      </c>
      <c r="O94" s="113">
        <f t="shared" si="8"/>
        <v>806.0322</v>
      </c>
      <c r="P94" s="114">
        <f>VLOOKUP(N94,'Dados StatusInvest'!A:Z,26,0)</f>
        <v>59295793.29</v>
      </c>
      <c r="Q94" s="115">
        <f t="shared" si="9"/>
        <v>322.0322</v>
      </c>
      <c r="R94" s="116">
        <f t="shared" ref="R94:AO94" si="97">IF(AQ94="","", RANK(AQ94,AQ$7:AQ$503,0))</f>
        <v>352</v>
      </c>
      <c r="S94" s="115">
        <f t="shared" si="97"/>
        <v>132</v>
      </c>
      <c r="T94" s="115" t="str">
        <f t="shared" si="97"/>
        <v/>
      </c>
      <c r="U94" s="115" t="str">
        <f t="shared" si="97"/>
        <v/>
      </c>
      <c r="V94" s="115" t="str">
        <f t="shared" si="97"/>
        <v/>
      </c>
      <c r="W94" s="115" t="str">
        <f t="shared" si="97"/>
        <v/>
      </c>
      <c r="X94" s="115" t="str">
        <f t="shared" si="97"/>
        <v/>
      </c>
      <c r="Y94" s="115" t="str">
        <f t="shared" si="97"/>
        <v/>
      </c>
      <c r="Z94" s="115" t="str">
        <f t="shared" si="97"/>
        <v/>
      </c>
      <c r="AA94" s="115" t="str">
        <f t="shared" si="97"/>
        <v/>
      </c>
      <c r="AB94" s="115" t="str">
        <f t="shared" si="97"/>
        <v/>
      </c>
      <c r="AC94" s="115" t="str">
        <f t="shared" si="97"/>
        <v/>
      </c>
      <c r="AD94" s="115" t="str">
        <f t="shared" si="97"/>
        <v/>
      </c>
      <c r="AE94" s="115" t="str">
        <f t="shared" si="97"/>
        <v/>
      </c>
      <c r="AF94" s="115" t="str">
        <f t="shared" si="97"/>
        <v/>
      </c>
      <c r="AG94" s="115" t="str">
        <f t="shared" si="97"/>
        <v/>
      </c>
      <c r="AH94" s="115" t="str">
        <f t="shared" si="97"/>
        <v/>
      </c>
      <c r="AI94" s="115" t="str">
        <f t="shared" si="97"/>
        <v/>
      </c>
      <c r="AJ94" s="115" t="str">
        <f t="shared" si="97"/>
        <v/>
      </c>
      <c r="AK94" s="115" t="str">
        <f t="shared" si="97"/>
        <v/>
      </c>
      <c r="AL94" s="115" t="str">
        <f t="shared" si="97"/>
        <v/>
      </c>
      <c r="AM94" s="115" t="str">
        <f t="shared" si="97"/>
        <v/>
      </c>
      <c r="AN94" s="115" t="str">
        <f t="shared" si="97"/>
        <v/>
      </c>
      <c r="AO94" s="115" t="str">
        <f t="shared" si="97"/>
        <v/>
      </c>
      <c r="AP94" s="117">
        <f>IF(AP$6="","",IF(AP$3="Maior",IFERROR(IF(VLOOKUP($N94,Capa!$A:$AE,AP$5,0)="",0,VLOOKUP($N94,Capa!$A:$AE,AP$5,0)),0),IF(ISERROR(1/VLOOKUP($N94,Capa!$A:$AE,AP$5,0)),0,1/VLOOKUP($N94,Capa!$A:$AE,AP$5,0))))</f>
        <v>0.04518163888</v>
      </c>
      <c r="AQ94" s="118">
        <f>IF(AQ$6="","",IF(AQ$3="Maior",IFERROR(IF(VLOOKUP($N94,Capa!$A:$AE,AQ$5,0)="",0,VLOOKUP($N94,Capa!$A:$AE,AQ$5,0)),0),IF(ISERROR(1/VLOOKUP($N94,Capa!$A:$AE,AQ$5,0)),0,1/VLOOKUP($N94,Capa!$A:$AE,AQ$5,0))))</f>
        <v>2.23</v>
      </c>
      <c r="AR94" s="118">
        <f>IF(AR$6="","",IF(AR$3="Maior",IFERROR(IF(VLOOKUP($N94,Capa!$A:$AE,AR$5,0)="",0,VLOOKUP($N94,Capa!$A:$AE,AR$5,0)),0),IF(ISERROR(1/VLOOKUP($N94,Capa!$A:$AE,AR$5,0)),0,1/VLOOKUP($N94,Capa!$A:$AE,AR$5,0))))</f>
        <v>19.33</v>
      </c>
      <c r="AS94" s="118" t="str">
        <f>IF(AS$6="","",IF(AS$3="Maior",IFERROR(IF(VLOOKUP($N94,Capa!$A:$AE,AS$5,0)="",0,VLOOKUP($N94,Capa!$A:$AE,AS$5,0)),0),IF(ISERROR(1/VLOOKUP($N94,Capa!$A:$AE,AS$5,0)),0,1/VLOOKUP($N94,Capa!$A:$AE,AS$5,0))))</f>
        <v/>
      </c>
      <c r="AT94" s="118" t="str">
        <f>IF(AT$6="","",IF(AT$3="Maior",IFERROR(IF(VLOOKUP($N94,Capa!$A:$AE,AT$5,0)="",0,VLOOKUP($N94,Capa!$A:$AE,AT$5,0)),0),IF(ISERROR(1/VLOOKUP($N94,Capa!$A:$AE,AT$5,0)),0,1/VLOOKUP($N94,Capa!$A:$AE,AT$5,0))))</f>
        <v/>
      </c>
      <c r="AU94" s="118" t="str">
        <f>IF(AU$6="","",IF(AU$3="Maior",IFERROR(IF(VLOOKUP($N94,Capa!$A:$AE,AU$5,0)="",0,VLOOKUP($N94,Capa!$A:$AE,AU$5,0)),0),IF(ISERROR(1/VLOOKUP($N94,Capa!$A:$AE,AU$5,0)),0,1/VLOOKUP($N94,Capa!$A:$AE,AU$5,0))))</f>
        <v/>
      </c>
      <c r="AV94" s="118" t="str">
        <f>IF(AV$6="","",IF(AV$3="Maior",IFERROR(IF(VLOOKUP($N94,Capa!$A:$AE,AV$5,0)="",0,VLOOKUP($N94,Capa!$A:$AE,AV$5,0)),0),IF(ISERROR(1/VLOOKUP($N94,Capa!$A:$AE,AV$5,0)),0,1/VLOOKUP($N94,Capa!$A:$AE,AV$5,0))))</f>
        <v/>
      </c>
      <c r="AW94" s="118" t="str">
        <f>IF(AW$6="","",IF(AW$3="Maior",IFERROR(IF(VLOOKUP($N94,Capa!$A:$AE,AW$5,0)="",0,VLOOKUP($N94,Capa!$A:$AE,AW$5,0)),0),IF(ISERROR(1/VLOOKUP($N94,Capa!$A:$AE,AW$5,0)),0,1/VLOOKUP($N94,Capa!$A:$AE,AW$5,0))))</f>
        <v/>
      </c>
      <c r="AX94" s="118" t="str">
        <f>IF(AX$6="","",IF(AX$3="Maior",IFERROR(IF(VLOOKUP($N94,Capa!$A:$AE,AX$5,0)="",0,VLOOKUP($N94,Capa!$A:$AE,AX$5,0)),0),IF(ISERROR(1/VLOOKUP($N94,Capa!$A:$AE,AX$5,0)),0,1/VLOOKUP($N94,Capa!$A:$AE,AX$5,0))))</f>
        <v/>
      </c>
      <c r="AY94" s="118" t="str">
        <f>IF(AY$6="","",IF(AY$3="Maior",IFERROR(IF(VLOOKUP($N94,Capa!$A:$AE,AY$5,0)="",0,VLOOKUP($N94,Capa!$A:$AE,AY$5,0)),0),IF(ISERROR(1/VLOOKUP($N94,Capa!$A:$AE,AY$5,0)),0,1/VLOOKUP($N94,Capa!$A:$AE,AY$5,0))))</f>
        <v/>
      </c>
      <c r="AZ94" s="118" t="str">
        <f>IF(AZ$6="","",IF(AZ$3="Maior",IFERROR(IF(VLOOKUP($N94,Capa!$A:$AE,AZ$5,0)="",0,VLOOKUP($N94,Capa!$A:$AE,AZ$5,0)),0),IF(ISERROR(1/VLOOKUP($N94,Capa!$A:$AE,AZ$5,0)),0,1/VLOOKUP($N94,Capa!$A:$AE,AZ$5,0))))</f>
        <v/>
      </c>
      <c r="BA94" s="118" t="str">
        <f>IF(BA$6="","",IF(BA$3="Maior",IFERROR(IF(VLOOKUP($N94,Capa!$A:$AE,BA$5,0)="",0,VLOOKUP($N94,Capa!$A:$AE,BA$5,0)),0),IF(ISERROR(1/VLOOKUP($N94,Capa!$A:$AE,BA$5,0)),0,1/VLOOKUP($N94,Capa!$A:$AE,BA$5,0))))</f>
        <v/>
      </c>
      <c r="BB94" s="118" t="str">
        <f>IF(BB$6="","",IF(BB$3="Maior",IFERROR(IF(VLOOKUP($N94,Capa!$A:$AE,BB$5,0)="",0,VLOOKUP($N94,Capa!$A:$AE,BB$5,0)),0),IF(ISERROR(1/VLOOKUP($N94,Capa!$A:$AE,BB$5,0)),0,1/VLOOKUP($N94,Capa!$A:$AE,BB$5,0))))</f>
        <v/>
      </c>
      <c r="BC94" s="118" t="str">
        <f>IF(BC$6="","",IF(BC$3="Maior",IFERROR(IF(VLOOKUP($N94,Capa!$A:$AE,BC$5,0)="",0,VLOOKUP($N94,Capa!$A:$AE,BC$5,0)),0),IF(ISERROR(1/VLOOKUP($N94,Capa!$A:$AE,BC$5,0)),0,1/VLOOKUP($N94,Capa!$A:$AE,BC$5,0))))</f>
        <v/>
      </c>
      <c r="BD94" s="118" t="str">
        <f>IF(BD$6="","",IF(BD$3="Maior",IFERROR(IF(VLOOKUP($N94,Capa!$A:$AE,BD$5,0)="",0,VLOOKUP($N94,Capa!$A:$AE,BD$5,0)),0),IF(ISERROR(1/VLOOKUP($N94,Capa!$A:$AE,BD$5,0)),0,1/VLOOKUP($N94,Capa!$A:$AE,BD$5,0))))</f>
        <v/>
      </c>
      <c r="BE94" s="118" t="str">
        <f>IF(BE$6="","",IF(BE$3="Maior",IFERROR(IF(VLOOKUP($N94,Capa!$A:$AE,BE$5,0)="",0,VLOOKUP($N94,Capa!$A:$AE,BE$5,0)),0),IF(ISERROR(1/VLOOKUP($N94,Capa!$A:$AE,BE$5,0)),0,1/VLOOKUP($N94,Capa!$A:$AE,BE$5,0))))</f>
        <v/>
      </c>
      <c r="BF94" s="118" t="str">
        <f>IF(BF$6="","",IF(BF$3="Maior",IFERROR(IF(VLOOKUP($N94,Capa!$A:$AE,BF$5,0)="",0,VLOOKUP($N94,Capa!$A:$AE,BF$5,0)),0),IF(ISERROR(1/VLOOKUP($N94,Capa!$A:$AE,BF$5,0)),0,1/VLOOKUP($N94,Capa!$A:$AE,BF$5,0))))</f>
        <v/>
      </c>
      <c r="BG94" s="118" t="str">
        <f>IF(BG$6="","",IF(BG$3="Maior",IFERROR(IF(VLOOKUP($N94,Capa!$A:$AE,BG$5,0)="",0,VLOOKUP($N94,Capa!$A:$AE,BG$5,0)),0),IF(ISERROR(1/VLOOKUP($N94,Capa!$A:$AE,BG$5,0)),0,1/VLOOKUP($N94,Capa!$A:$AE,BG$5,0))))</f>
        <v/>
      </c>
      <c r="BH94" s="118" t="str">
        <f>IF(BH$6="","",IF(BH$3="Maior",IFERROR(IF(VLOOKUP($N94,Capa!$A:$AE,BH$5,0)="",0,VLOOKUP($N94,Capa!$A:$AE,BH$5,0)),0),IF(ISERROR(1/VLOOKUP($N94,Capa!$A:$AE,BH$5,0)),0,1/VLOOKUP($N94,Capa!$A:$AE,BH$5,0))))</f>
        <v/>
      </c>
      <c r="BI94" s="118" t="str">
        <f>IF(BI$6="","",IF(BI$3="Maior",IFERROR(IF(VLOOKUP($N94,Capa!$A:$AE,BI$5,0)="",0,VLOOKUP($N94,Capa!$A:$AE,BI$5,0)),0),IF(ISERROR(1/VLOOKUP($N94,Capa!$A:$AE,BI$5,0)),0,1/VLOOKUP($N94,Capa!$A:$AE,BI$5,0))))</f>
        <v/>
      </c>
      <c r="BJ94" s="118" t="str">
        <f>IF(BJ$6="","",IF(BJ$3="Maior",IFERROR(IF(VLOOKUP($N94,Capa!$A:$AE,BJ$5,0)="",0,VLOOKUP($N94,Capa!$A:$AE,BJ$5,0)),0),IF(ISERROR(1/VLOOKUP($N94,Capa!$A:$AE,BJ$5,0)),0,1/VLOOKUP($N94,Capa!$A:$AE,BJ$5,0))))</f>
        <v/>
      </c>
      <c r="BK94" s="118" t="str">
        <f>IF(BK$6="","",IF(BK$3="Maior",IFERROR(IF(VLOOKUP($N94,Capa!$A:$AE,BK$5,0)="",0,VLOOKUP($N94,Capa!$A:$AE,BK$5,0)),0),IF(ISERROR(1/VLOOKUP($N94,Capa!$A:$AE,BK$5,0)),0,1/VLOOKUP($N94,Capa!$A:$AE,BK$5,0))))</f>
        <v/>
      </c>
      <c r="BL94" s="118" t="str">
        <f>IF(BL$6="","",IF(BL$3="Maior",IFERROR(IF(VLOOKUP($N94,Capa!$A:$AE,BL$5,0)="",0,VLOOKUP($N94,Capa!$A:$AE,BL$5,0)),0),IF(ISERROR(1/VLOOKUP($N94,Capa!$A:$AE,BL$5,0)),0,1/VLOOKUP($N94,Capa!$A:$AE,BL$5,0))))</f>
        <v/>
      </c>
      <c r="BM94" s="118" t="str">
        <f>IF(BM$6="","",IF(BM$3="Maior",IFERROR(IF(VLOOKUP($N94,Capa!$A:$AE,BM$5,0)="",0,VLOOKUP($N94,Capa!$A:$AE,BM$5,0)),0),IF(ISERROR(1/VLOOKUP($N94,Capa!$A:$AE,BM$5,0)),0,1/VLOOKUP($N94,Capa!$A:$AE,BM$5,0))))</f>
        <v/>
      </c>
      <c r="BN94" s="118" t="str">
        <f>IF(BN$6="","",IF(BN$3="Maior",IFERROR(IF(VLOOKUP($N94,Capa!$A:$AE,BN$5,0)="",0,VLOOKUP($N94,Capa!$A:$AE,BN$5,0)),0),IF(ISERROR(1/VLOOKUP($N94,Capa!$A:$AE,BN$5,0)),0,1/VLOOKUP($N94,Capa!$A:$AE,BN$5,0))))</f>
        <v/>
      </c>
      <c r="BO94" s="92"/>
    </row>
    <row r="95">
      <c r="G95" s="11"/>
      <c r="H95" s="8">
        <v>89.0</v>
      </c>
      <c r="I95" s="110" t="str">
        <f t="shared" si="6"/>
        <v>SUZB3</v>
      </c>
      <c r="J95" s="111" t="str">
        <f>VLOOKUP(left(I95,4),Setor!A:D,3,0)&amp;" | "&amp;VLOOKUP(left(I95,4),Setor!A:D,4,0)</f>
        <v>Materiais Básicos | Madeira e Papel</v>
      </c>
      <c r="K95" s="112">
        <f t="shared" si="7"/>
        <v>472551404.8</v>
      </c>
      <c r="L95" s="11"/>
      <c r="M95" s="11"/>
      <c r="N95" s="10" t="s">
        <v>141</v>
      </c>
      <c r="O95" s="113">
        <f t="shared" si="8"/>
        <v>1195.0482</v>
      </c>
      <c r="P95" s="114">
        <f>VLOOKUP(N95,'Dados StatusInvest'!A:Z,26,0)</f>
        <v>52027963.29</v>
      </c>
      <c r="Q95" s="115">
        <f t="shared" si="9"/>
        <v>482.0482</v>
      </c>
      <c r="R95" s="116">
        <f t="shared" ref="R95:AO95" si="98">IF(AQ95="","", RANK(AQ95,AQ$7:AQ$503,0))</f>
        <v>494</v>
      </c>
      <c r="S95" s="115">
        <f t="shared" si="98"/>
        <v>219</v>
      </c>
      <c r="T95" s="115" t="str">
        <f t="shared" si="98"/>
        <v/>
      </c>
      <c r="U95" s="115" t="str">
        <f t="shared" si="98"/>
        <v/>
      </c>
      <c r="V95" s="115" t="str">
        <f t="shared" si="98"/>
        <v/>
      </c>
      <c r="W95" s="115" t="str">
        <f t="shared" si="98"/>
        <v/>
      </c>
      <c r="X95" s="115" t="str">
        <f t="shared" si="98"/>
        <v/>
      </c>
      <c r="Y95" s="115" t="str">
        <f t="shared" si="98"/>
        <v/>
      </c>
      <c r="Z95" s="115" t="str">
        <f t="shared" si="98"/>
        <v/>
      </c>
      <c r="AA95" s="115" t="str">
        <f t="shared" si="98"/>
        <v/>
      </c>
      <c r="AB95" s="115" t="str">
        <f t="shared" si="98"/>
        <v/>
      </c>
      <c r="AC95" s="115" t="str">
        <f t="shared" si="98"/>
        <v/>
      </c>
      <c r="AD95" s="115" t="str">
        <f t="shared" si="98"/>
        <v/>
      </c>
      <c r="AE95" s="115" t="str">
        <f t="shared" si="98"/>
        <v/>
      </c>
      <c r="AF95" s="115" t="str">
        <f t="shared" si="98"/>
        <v/>
      </c>
      <c r="AG95" s="115" t="str">
        <f t="shared" si="98"/>
        <v/>
      </c>
      <c r="AH95" s="115" t="str">
        <f t="shared" si="98"/>
        <v/>
      </c>
      <c r="AI95" s="115" t="str">
        <f t="shared" si="98"/>
        <v/>
      </c>
      <c r="AJ95" s="115" t="str">
        <f t="shared" si="98"/>
        <v/>
      </c>
      <c r="AK95" s="115" t="str">
        <f t="shared" si="98"/>
        <v/>
      </c>
      <c r="AL95" s="115" t="str">
        <f t="shared" si="98"/>
        <v/>
      </c>
      <c r="AM95" s="115" t="str">
        <f t="shared" si="98"/>
        <v/>
      </c>
      <c r="AN95" s="115" t="str">
        <f t="shared" si="98"/>
        <v/>
      </c>
      <c r="AO95" s="115" t="str">
        <f t="shared" si="98"/>
        <v/>
      </c>
      <c r="AP95" s="117">
        <f>IF(AP$6="","",IF(AP$3="Maior",IFERROR(IF(VLOOKUP($N95,Capa!$A:$AE,AP$5,0)="",0,VLOOKUP($N95,Capa!$A:$AE,AP$5,0)),0),IF(ISERROR(1/VLOOKUP($N95,Capa!$A:$AE,AP$5,0)),0,1/VLOOKUP($N95,Capa!$A:$AE,AP$5,0))))</f>
        <v>-0.2453850305</v>
      </c>
      <c r="AQ95" s="118">
        <f>IF(AQ$6="","",IF(AQ$3="Maior",IFERROR(IF(VLOOKUP($N95,Capa!$A:$AE,AQ$5,0)="",0,VLOOKUP($N95,Capa!$A:$AE,AQ$5,0)),0),IF(ISERROR(1/VLOOKUP($N95,Capa!$A:$AE,AQ$5,0)),0,1/VLOOKUP($N95,Capa!$A:$AE,AQ$5,0))))</f>
        <v>-297.69</v>
      </c>
      <c r="AR95" s="118">
        <f>IF(AR$6="","",IF(AR$3="Maior",IFERROR(IF(VLOOKUP($N95,Capa!$A:$AE,AR$5,0)="",0,VLOOKUP($N95,Capa!$A:$AE,AR$5,0)),0),IF(ISERROR(1/VLOOKUP($N95,Capa!$A:$AE,AR$5,0)),0,1/VLOOKUP($N95,Capa!$A:$AE,AR$5,0))))</f>
        <v>0</v>
      </c>
      <c r="AS95" s="118" t="str">
        <f>IF(AS$6="","",IF(AS$3="Maior",IFERROR(IF(VLOOKUP($N95,Capa!$A:$AE,AS$5,0)="",0,VLOOKUP($N95,Capa!$A:$AE,AS$5,0)),0),IF(ISERROR(1/VLOOKUP($N95,Capa!$A:$AE,AS$5,0)),0,1/VLOOKUP($N95,Capa!$A:$AE,AS$5,0))))</f>
        <v/>
      </c>
      <c r="AT95" s="118" t="str">
        <f>IF(AT$6="","",IF(AT$3="Maior",IFERROR(IF(VLOOKUP($N95,Capa!$A:$AE,AT$5,0)="",0,VLOOKUP($N95,Capa!$A:$AE,AT$5,0)),0),IF(ISERROR(1/VLOOKUP($N95,Capa!$A:$AE,AT$5,0)),0,1/VLOOKUP($N95,Capa!$A:$AE,AT$5,0))))</f>
        <v/>
      </c>
      <c r="AU95" s="118" t="str">
        <f>IF(AU$6="","",IF(AU$3="Maior",IFERROR(IF(VLOOKUP($N95,Capa!$A:$AE,AU$5,0)="",0,VLOOKUP($N95,Capa!$A:$AE,AU$5,0)),0),IF(ISERROR(1/VLOOKUP($N95,Capa!$A:$AE,AU$5,0)),0,1/VLOOKUP($N95,Capa!$A:$AE,AU$5,0))))</f>
        <v/>
      </c>
      <c r="AV95" s="118" t="str">
        <f>IF(AV$6="","",IF(AV$3="Maior",IFERROR(IF(VLOOKUP($N95,Capa!$A:$AE,AV$5,0)="",0,VLOOKUP($N95,Capa!$A:$AE,AV$5,0)),0),IF(ISERROR(1/VLOOKUP($N95,Capa!$A:$AE,AV$5,0)),0,1/VLOOKUP($N95,Capa!$A:$AE,AV$5,0))))</f>
        <v/>
      </c>
      <c r="AW95" s="118" t="str">
        <f>IF(AW$6="","",IF(AW$3="Maior",IFERROR(IF(VLOOKUP($N95,Capa!$A:$AE,AW$5,0)="",0,VLOOKUP($N95,Capa!$A:$AE,AW$5,0)),0),IF(ISERROR(1/VLOOKUP($N95,Capa!$A:$AE,AW$5,0)),0,1/VLOOKUP($N95,Capa!$A:$AE,AW$5,0))))</f>
        <v/>
      </c>
      <c r="AX95" s="118" t="str">
        <f>IF(AX$6="","",IF(AX$3="Maior",IFERROR(IF(VLOOKUP($N95,Capa!$A:$AE,AX$5,0)="",0,VLOOKUP($N95,Capa!$A:$AE,AX$5,0)),0),IF(ISERROR(1/VLOOKUP($N95,Capa!$A:$AE,AX$5,0)),0,1/VLOOKUP($N95,Capa!$A:$AE,AX$5,0))))</f>
        <v/>
      </c>
      <c r="AY95" s="118" t="str">
        <f>IF(AY$6="","",IF(AY$3="Maior",IFERROR(IF(VLOOKUP($N95,Capa!$A:$AE,AY$5,0)="",0,VLOOKUP($N95,Capa!$A:$AE,AY$5,0)),0),IF(ISERROR(1/VLOOKUP($N95,Capa!$A:$AE,AY$5,0)),0,1/VLOOKUP($N95,Capa!$A:$AE,AY$5,0))))</f>
        <v/>
      </c>
      <c r="AZ95" s="118" t="str">
        <f>IF(AZ$6="","",IF(AZ$3="Maior",IFERROR(IF(VLOOKUP($N95,Capa!$A:$AE,AZ$5,0)="",0,VLOOKUP($N95,Capa!$A:$AE,AZ$5,0)),0),IF(ISERROR(1/VLOOKUP($N95,Capa!$A:$AE,AZ$5,0)),0,1/VLOOKUP($N95,Capa!$A:$AE,AZ$5,0))))</f>
        <v/>
      </c>
      <c r="BA95" s="118" t="str">
        <f>IF(BA$6="","",IF(BA$3="Maior",IFERROR(IF(VLOOKUP($N95,Capa!$A:$AE,BA$5,0)="",0,VLOOKUP($N95,Capa!$A:$AE,BA$5,0)),0),IF(ISERROR(1/VLOOKUP($N95,Capa!$A:$AE,BA$5,0)),0,1/VLOOKUP($N95,Capa!$A:$AE,BA$5,0))))</f>
        <v/>
      </c>
      <c r="BB95" s="118" t="str">
        <f>IF(BB$6="","",IF(BB$3="Maior",IFERROR(IF(VLOOKUP($N95,Capa!$A:$AE,BB$5,0)="",0,VLOOKUP($N95,Capa!$A:$AE,BB$5,0)),0),IF(ISERROR(1/VLOOKUP($N95,Capa!$A:$AE,BB$5,0)),0,1/VLOOKUP($N95,Capa!$A:$AE,BB$5,0))))</f>
        <v/>
      </c>
      <c r="BC95" s="118" t="str">
        <f>IF(BC$6="","",IF(BC$3="Maior",IFERROR(IF(VLOOKUP($N95,Capa!$A:$AE,BC$5,0)="",0,VLOOKUP($N95,Capa!$A:$AE,BC$5,0)),0),IF(ISERROR(1/VLOOKUP($N95,Capa!$A:$AE,BC$5,0)),0,1/VLOOKUP($N95,Capa!$A:$AE,BC$5,0))))</f>
        <v/>
      </c>
      <c r="BD95" s="118" t="str">
        <f>IF(BD$6="","",IF(BD$3="Maior",IFERROR(IF(VLOOKUP($N95,Capa!$A:$AE,BD$5,0)="",0,VLOOKUP($N95,Capa!$A:$AE,BD$5,0)),0),IF(ISERROR(1/VLOOKUP($N95,Capa!$A:$AE,BD$5,0)),0,1/VLOOKUP($N95,Capa!$A:$AE,BD$5,0))))</f>
        <v/>
      </c>
      <c r="BE95" s="118" t="str">
        <f>IF(BE$6="","",IF(BE$3="Maior",IFERROR(IF(VLOOKUP($N95,Capa!$A:$AE,BE$5,0)="",0,VLOOKUP($N95,Capa!$A:$AE,BE$5,0)),0),IF(ISERROR(1/VLOOKUP($N95,Capa!$A:$AE,BE$5,0)),0,1/VLOOKUP($N95,Capa!$A:$AE,BE$5,0))))</f>
        <v/>
      </c>
      <c r="BF95" s="118" t="str">
        <f>IF(BF$6="","",IF(BF$3="Maior",IFERROR(IF(VLOOKUP($N95,Capa!$A:$AE,BF$5,0)="",0,VLOOKUP($N95,Capa!$A:$AE,BF$5,0)),0),IF(ISERROR(1/VLOOKUP($N95,Capa!$A:$AE,BF$5,0)),0,1/VLOOKUP($N95,Capa!$A:$AE,BF$5,0))))</f>
        <v/>
      </c>
      <c r="BG95" s="118" t="str">
        <f>IF(BG$6="","",IF(BG$3="Maior",IFERROR(IF(VLOOKUP($N95,Capa!$A:$AE,BG$5,0)="",0,VLOOKUP($N95,Capa!$A:$AE,BG$5,0)),0),IF(ISERROR(1/VLOOKUP($N95,Capa!$A:$AE,BG$5,0)),0,1/VLOOKUP($N95,Capa!$A:$AE,BG$5,0))))</f>
        <v/>
      </c>
      <c r="BH95" s="118" t="str">
        <f>IF(BH$6="","",IF(BH$3="Maior",IFERROR(IF(VLOOKUP($N95,Capa!$A:$AE,BH$5,0)="",0,VLOOKUP($N95,Capa!$A:$AE,BH$5,0)),0),IF(ISERROR(1/VLOOKUP($N95,Capa!$A:$AE,BH$5,0)),0,1/VLOOKUP($N95,Capa!$A:$AE,BH$5,0))))</f>
        <v/>
      </c>
      <c r="BI95" s="118" t="str">
        <f>IF(BI$6="","",IF(BI$3="Maior",IFERROR(IF(VLOOKUP($N95,Capa!$A:$AE,BI$5,0)="",0,VLOOKUP($N95,Capa!$A:$AE,BI$5,0)),0),IF(ISERROR(1/VLOOKUP($N95,Capa!$A:$AE,BI$5,0)),0,1/VLOOKUP($N95,Capa!$A:$AE,BI$5,0))))</f>
        <v/>
      </c>
      <c r="BJ95" s="118" t="str">
        <f>IF(BJ$6="","",IF(BJ$3="Maior",IFERROR(IF(VLOOKUP($N95,Capa!$A:$AE,BJ$5,0)="",0,VLOOKUP($N95,Capa!$A:$AE,BJ$5,0)),0),IF(ISERROR(1/VLOOKUP($N95,Capa!$A:$AE,BJ$5,0)),0,1/VLOOKUP($N95,Capa!$A:$AE,BJ$5,0))))</f>
        <v/>
      </c>
      <c r="BK95" s="118" t="str">
        <f>IF(BK$6="","",IF(BK$3="Maior",IFERROR(IF(VLOOKUP($N95,Capa!$A:$AE,BK$5,0)="",0,VLOOKUP($N95,Capa!$A:$AE,BK$5,0)),0),IF(ISERROR(1/VLOOKUP($N95,Capa!$A:$AE,BK$5,0)),0,1/VLOOKUP($N95,Capa!$A:$AE,BK$5,0))))</f>
        <v/>
      </c>
      <c r="BL95" s="118" t="str">
        <f>IF(BL$6="","",IF(BL$3="Maior",IFERROR(IF(VLOOKUP($N95,Capa!$A:$AE,BL$5,0)="",0,VLOOKUP($N95,Capa!$A:$AE,BL$5,0)),0),IF(ISERROR(1/VLOOKUP($N95,Capa!$A:$AE,BL$5,0)),0,1/VLOOKUP($N95,Capa!$A:$AE,BL$5,0))))</f>
        <v/>
      </c>
      <c r="BM95" s="118" t="str">
        <f>IF(BM$6="","",IF(BM$3="Maior",IFERROR(IF(VLOOKUP($N95,Capa!$A:$AE,BM$5,0)="",0,VLOOKUP($N95,Capa!$A:$AE,BM$5,0)),0),IF(ISERROR(1/VLOOKUP($N95,Capa!$A:$AE,BM$5,0)),0,1/VLOOKUP($N95,Capa!$A:$AE,BM$5,0))))</f>
        <v/>
      </c>
      <c r="BN95" s="118" t="str">
        <f>IF(BN$6="","",IF(BN$3="Maior",IFERROR(IF(VLOOKUP($N95,Capa!$A:$AE,BN$5,0)="",0,VLOOKUP($N95,Capa!$A:$AE,BN$5,0)),0),IF(ISERROR(1/VLOOKUP($N95,Capa!$A:$AE,BN$5,0)),0,1/VLOOKUP($N95,Capa!$A:$AE,BN$5,0))))</f>
        <v/>
      </c>
      <c r="BO95" s="92"/>
    </row>
    <row r="96">
      <c r="G96" s="11"/>
      <c r="H96" s="8">
        <v>90.0</v>
      </c>
      <c r="I96" s="110" t="str">
        <f t="shared" si="6"/>
        <v>MYPK3</v>
      </c>
      <c r="J96" s="111" t="str">
        <f>VLOOKUP(left(I96,4),Setor!A:D,3,0)&amp;" | "&amp;VLOOKUP(left(I96,4),Setor!A:D,4,0)</f>
        <v>Consumo Cíclico | Automóveis e Motocicletas</v>
      </c>
      <c r="K96" s="112">
        <f t="shared" si="7"/>
        <v>28903185.13</v>
      </c>
      <c r="L96" s="11"/>
      <c r="M96" s="11"/>
      <c r="N96" s="10" t="s">
        <v>142</v>
      </c>
      <c r="O96" s="113">
        <f t="shared" si="8"/>
        <v>335.0138</v>
      </c>
      <c r="P96" s="114">
        <f>VLOOKUP(N96,'Dados StatusInvest'!A:Z,26,0)</f>
        <v>54702308</v>
      </c>
      <c r="Q96" s="115">
        <f t="shared" si="9"/>
        <v>138.0138</v>
      </c>
      <c r="R96" s="116">
        <f t="shared" ref="R96:AO96" si="99">IF(AQ96="","", RANK(AQ96,AQ$7:AQ$503,0))</f>
        <v>129</v>
      </c>
      <c r="S96" s="115">
        <f t="shared" si="99"/>
        <v>68</v>
      </c>
      <c r="T96" s="115" t="str">
        <f t="shared" si="99"/>
        <v/>
      </c>
      <c r="U96" s="115" t="str">
        <f t="shared" si="99"/>
        <v/>
      </c>
      <c r="V96" s="115" t="str">
        <f t="shared" si="99"/>
        <v/>
      </c>
      <c r="W96" s="115" t="str">
        <f t="shared" si="99"/>
        <v/>
      </c>
      <c r="X96" s="115" t="str">
        <f t="shared" si="99"/>
        <v/>
      </c>
      <c r="Y96" s="115" t="str">
        <f t="shared" si="99"/>
        <v/>
      </c>
      <c r="Z96" s="115" t="str">
        <f t="shared" si="99"/>
        <v/>
      </c>
      <c r="AA96" s="115" t="str">
        <f t="shared" si="99"/>
        <v/>
      </c>
      <c r="AB96" s="115" t="str">
        <f t="shared" si="99"/>
        <v/>
      </c>
      <c r="AC96" s="115" t="str">
        <f t="shared" si="99"/>
        <v/>
      </c>
      <c r="AD96" s="115" t="str">
        <f t="shared" si="99"/>
        <v/>
      </c>
      <c r="AE96" s="115" t="str">
        <f t="shared" si="99"/>
        <v/>
      </c>
      <c r="AF96" s="115" t="str">
        <f t="shared" si="99"/>
        <v/>
      </c>
      <c r="AG96" s="115" t="str">
        <f t="shared" si="99"/>
        <v/>
      </c>
      <c r="AH96" s="115" t="str">
        <f t="shared" si="99"/>
        <v/>
      </c>
      <c r="AI96" s="115" t="str">
        <f t="shared" si="99"/>
        <v/>
      </c>
      <c r="AJ96" s="115" t="str">
        <f t="shared" si="99"/>
        <v/>
      </c>
      <c r="AK96" s="115" t="str">
        <f t="shared" si="99"/>
        <v/>
      </c>
      <c r="AL96" s="115" t="str">
        <f t="shared" si="99"/>
        <v/>
      </c>
      <c r="AM96" s="115" t="str">
        <f t="shared" si="99"/>
        <v/>
      </c>
      <c r="AN96" s="115" t="str">
        <f t="shared" si="99"/>
        <v/>
      </c>
      <c r="AO96" s="115" t="str">
        <f t="shared" si="99"/>
        <v/>
      </c>
      <c r="AP96" s="117">
        <f>IF(AP$6="","",IF(AP$3="Maior",IFERROR(IF(VLOOKUP($N96,Capa!$A:$AE,AP$5,0)="",0,VLOOKUP($N96,Capa!$A:$AE,AP$5,0)),0),IF(ISERROR(1/VLOOKUP($N96,Capa!$A:$AE,AP$5,0)),0,1/VLOOKUP($N96,Capa!$A:$AE,AP$5,0))))</f>
        <v>0.1420675665</v>
      </c>
      <c r="AQ96" s="118">
        <f>IF(AQ$6="","",IF(AQ$3="Maior",IFERROR(IF(VLOOKUP($N96,Capa!$A:$AE,AQ$5,0)="",0,VLOOKUP($N96,Capa!$A:$AE,AQ$5,0)),0),IF(ISERROR(1/VLOOKUP($N96,Capa!$A:$AE,AQ$5,0)),0,1/VLOOKUP($N96,Capa!$A:$AE,AQ$5,0))))</f>
        <v>15.21</v>
      </c>
      <c r="AR96" s="118">
        <f>IF(AR$6="","",IF(AR$3="Maior",IFERROR(IF(VLOOKUP($N96,Capa!$A:$AE,AR$5,0)="",0,VLOOKUP($N96,Capa!$A:$AE,AR$5,0)),0),IF(ISERROR(1/VLOOKUP($N96,Capa!$A:$AE,AR$5,0)),0,1/VLOOKUP($N96,Capa!$A:$AE,AR$5,0))))</f>
        <v>38.17</v>
      </c>
      <c r="AS96" s="118" t="str">
        <f>IF(AS$6="","",IF(AS$3="Maior",IFERROR(IF(VLOOKUP($N96,Capa!$A:$AE,AS$5,0)="",0,VLOOKUP($N96,Capa!$A:$AE,AS$5,0)),0),IF(ISERROR(1/VLOOKUP($N96,Capa!$A:$AE,AS$5,0)),0,1/VLOOKUP($N96,Capa!$A:$AE,AS$5,0))))</f>
        <v/>
      </c>
      <c r="AT96" s="118" t="str">
        <f>IF(AT$6="","",IF(AT$3="Maior",IFERROR(IF(VLOOKUP($N96,Capa!$A:$AE,AT$5,0)="",0,VLOOKUP($N96,Capa!$A:$AE,AT$5,0)),0),IF(ISERROR(1/VLOOKUP($N96,Capa!$A:$AE,AT$5,0)),0,1/VLOOKUP($N96,Capa!$A:$AE,AT$5,0))))</f>
        <v/>
      </c>
      <c r="AU96" s="118" t="str">
        <f>IF(AU$6="","",IF(AU$3="Maior",IFERROR(IF(VLOOKUP($N96,Capa!$A:$AE,AU$5,0)="",0,VLOOKUP($N96,Capa!$A:$AE,AU$5,0)),0),IF(ISERROR(1/VLOOKUP($N96,Capa!$A:$AE,AU$5,0)),0,1/VLOOKUP($N96,Capa!$A:$AE,AU$5,0))))</f>
        <v/>
      </c>
      <c r="AV96" s="118" t="str">
        <f>IF(AV$6="","",IF(AV$3="Maior",IFERROR(IF(VLOOKUP($N96,Capa!$A:$AE,AV$5,0)="",0,VLOOKUP($N96,Capa!$A:$AE,AV$5,0)),0),IF(ISERROR(1/VLOOKUP($N96,Capa!$A:$AE,AV$5,0)),0,1/VLOOKUP($N96,Capa!$A:$AE,AV$5,0))))</f>
        <v/>
      </c>
      <c r="AW96" s="118" t="str">
        <f>IF(AW$6="","",IF(AW$3="Maior",IFERROR(IF(VLOOKUP($N96,Capa!$A:$AE,AW$5,0)="",0,VLOOKUP($N96,Capa!$A:$AE,AW$5,0)),0),IF(ISERROR(1/VLOOKUP($N96,Capa!$A:$AE,AW$5,0)),0,1/VLOOKUP($N96,Capa!$A:$AE,AW$5,0))))</f>
        <v/>
      </c>
      <c r="AX96" s="118" t="str">
        <f>IF(AX$6="","",IF(AX$3="Maior",IFERROR(IF(VLOOKUP($N96,Capa!$A:$AE,AX$5,0)="",0,VLOOKUP($N96,Capa!$A:$AE,AX$5,0)),0),IF(ISERROR(1/VLOOKUP($N96,Capa!$A:$AE,AX$5,0)),0,1/VLOOKUP($N96,Capa!$A:$AE,AX$5,0))))</f>
        <v/>
      </c>
      <c r="AY96" s="118" t="str">
        <f>IF(AY$6="","",IF(AY$3="Maior",IFERROR(IF(VLOOKUP($N96,Capa!$A:$AE,AY$5,0)="",0,VLOOKUP($N96,Capa!$A:$AE,AY$5,0)),0),IF(ISERROR(1/VLOOKUP($N96,Capa!$A:$AE,AY$5,0)),0,1/VLOOKUP($N96,Capa!$A:$AE,AY$5,0))))</f>
        <v/>
      </c>
      <c r="AZ96" s="118" t="str">
        <f>IF(AZ$6="","",IF(AZ$3="Maior",IFERROR(IF(VLOOKUP($N96,Capa!$A:$AE,AZ$5,0)="",0,VLOOKUP($N96,Capa!$A:$AE,AZ$5,0)),0),IF(ISERROR(1/VLOOKUP($N96,Capa!$A:$AE,AZ$5,0)),0,1/VLOOKUP($N96,Capa!$A:$AE,AZ$5,0))))</f>
        <v/>
      </c>
      <c r="BA96" s="118" t="str">
        <f>IF(BA$6="","",IF(BA$3="Maior",IFERROR(IF(VLOOKUP($N96,Capa!$A:$AE,BA$5,0)="",0,VLOOKUP($N96,Capa!$A:$AE,BA$5,0)),0),IF(ISERROR(1/VLOOKUP($N96,Capa!$A:$AE,BA$5,0)),0,1/VLOOKUP($N96,Capa!$A:$AE,BA$5,0))))</f>
        <v/>
      </c>
      <c r="BB96" s="118" t="str">
        <f>IF(BB$6="","",IF(BB$3="Maior",IFERROR(IF(VLOOKUP($N96,Capa!$A:$AE,BB$5,0)="",0,VLOOKUP($N96,Capa!$A:$AE,BB$5,0)),0),IF(ISERROR(1/VLOOKUP($N96,Capa!$A:$AE,BB$5,0)),0,1/VLOOKUP($N96,Capa!$A:$AE,BB$5,0))))</f>
        <v/>
      </c>
      <c r="BC96" s="118" t="str">
        <f>IF(BC$6="","",IF(BC$3="Maior",IFERROR(IF(VLOOKUP($N96,Capa!$A:$AE,BC$5,0)="",0,VLOOKUP($N96,Capa!$A:$AE,BC$5,0)),0),IF(ISERROR(1/VLOOKUP($N96,Capa!$A:$AE,BC$5,0)),0,1/VLOOKUP($N96,Capa!$A:$AE,BC$5,0))))</f>
        <v/>
      </c>
      <c r="BD96" s="118" t="str">
        <f>IF(BD$6="","",IF(BD$3="Maior",IFERROR(IF(VLOOKUP($N96,Capa!$A:$AE,BD$5,0)="",0,VLOOKUP($N96,Capa!$A:$AE,BD$5,0)),0),IF(ISERROR(1/VLOOKUP($N96,Capa!$A:$AE,BD$5,0)),0,1/VLOOKUP($N96,Capa!$A:$AE,BD$5,0))))</f>
        <v/>
      </c>
      <c r="BE96" s="118" t="str">
        <f>IF(BE$6="","",IF(BE$3="Maior",IFERROR(IF(VLOOKUP($N96,Capa!$A:$AE,BE$5,0)="",0,VLOOKUP($N96,Capa!$A:$AE,BE$5,0)),0),IF(ISERROR(1/VLOOKUP($N96,Capa!$A:$AE,BE$5,0)),0,1/VLOOKUP($N96,Capa!$A:$AE,BE$5,0))))</f>
        <v/>
      </c>
      <c r="BF96" s="118" t="str">
        <f>IF(BF$6="","",IF(BF$3="Maior",IFERROR(IF(VLOOKUP($N96,Capa!$A:$AE,BF$5,0)="",0,VLOOKUP($N96,Capa!$A:$AE,BF$5,0)),0),IF(ISERROR(1/VLOOKUP($N96,Capa!$A:$AE,BF$5,0)),0,1/VLOOKUP($N96,Capa!$A:$AE,BF$5,0))))</f>
        <v/>
      </c>
      <c r="BG96" s="118" t="str">
        <f>IF(BG$6="","",IF(BG$3="Maior",IFERROR(IF(VLOOKUP($N96,Capa!$A:$AE,BG$5,0)="",0,VLOOKUP($N96,Capa!$A:$AE,BG$5,0)),0),IF(ISERROR(1/VLOOKUP($N96,Capa!$A:$AE,BG$5,0)),0,1/VLOOKUP($N96,Capa!$A:$AE,BG$5,0))))</f>
        <v/>
      </c>
      <c r="BH96" s="118" t="str">
        <f>IF(BH$6="","",IF(BH$3="Maior",IFERROR(IF(VLOOKUP($N96,Capa!$A:$AE,BH$5,0)="",0,VLOOKUP($N96,Capa!$A:$AE,BH$5,0)),0),IF(ISERROR(1/VLOOKUP($N96,Capa!$A:$AE,BH$5,0)),0,1/VLOOKUP($N96,Capa!$A:$AE,BH$5,0))))</f>
        <v/>
      </c>
      <c r="BI96" s="118" t="str">
        <f>IF(BI$6="","",IF(BI$3="Maior",IFERROR(IF(VLOOKUP($N96,Capa!$A:$AE,BI$5,0)="",0,VLOOKUP($N96,Capa!$A:$AE,BI$5,0)),0),IF(ISERROR(1/VLOOKUP($N96,Capa!$A:$AE,BI$5,0)),0,1/VLOOKUP($N96,Capa!$A:$AE,BI$5,0))))</f>
        <v/>
      </c>
      <c r="BJ96" s="118" t="str">
        <f>IF(BJ$6="","",IF(BJ$3="Maior",IFERROR(IF(VLOOKUP($N96,Capa!$A:$AE,BJ$5,0)="",0,VLOOKUP($N96,Capa!$A:$AE,BJ$5,0)),0),IF(ISERROR(1/VLOOKUP($N96,Capa!$A:$AE,BJ$5,0)),0,1/VLOOKUP($N96,Capa!$A:$AE,BJ$5,0))))</f>
        <v/>
      </c>
      <c r="BK96" s="118" t="str">
        <f>IF(BK$6="","",IF(BK$3="Maior",IFERROR(IF(VLOOKUP($N96,Capa!$A:$AE,BK$5,0)="",0,VLOOKUP($N96,Capa!$A:$AE,BK$5,0)),0),IF(ISERROR(1/VLOOKUP($N96,Capa!$A:$AE,BK$5,0)),0,1/VLOOKUP($N96,Capa!$A:$AE,BK$5,0))))</f>
        <v/>
      </c>
      <c r="BL96" s="118" t="str">
        <f>IF(BL$6="","",IF(BL$3="Maior",IFERROR(IF(VLOOKUP($N96,Capa!$A:$AE,BL$5,0)="",0,VLOOKUP($N96,Capa!$A:$AE,BL$5,0)),0),IF(ISERROR(1/VLOOKUP($N96,Capa!$A:$AE,BL$5,0)),0,1/VLOOKUP($N96,Capa!$A:$AE,BL$5,0))))</f>
        <v/>
      </c>
      <c r="BM96" s="118" t="str">
        <f>IF(BM$6="","",IF(BM$3="Maior",IFERROR(IF(VLOOKUP($N96,Capa!$A:$AE,BM$5,0)="",0,VLOOKUP($N96,Capa!$A:$AE,BM$5,0)),0),IF(ISERROR(1/VLOOKUP($N96,Capa!$A:$AE,BM$5,0)),0,1/VLOOKUP($N96,Capa!$A:$AE,BM$5,0))))</f>
        <v/>
      </c>
      <c r="BN96" s="118" t="str">
        <f>IF(BN$6="","",IF(BN$3="Maior",IFERROR(IF(VLOOKUP($N96,Capa!$A:$AE,BN$5,0)="",0,VLOOKUP($N96,Capa!$A:$AE,BN$5,0)),0),IF(ISERROR(1/VLOOKUP($N96,Capa!$A:$AE,BN$5,0)),0,1/VLOOKUP($N96,Capa!$A:$AE,BN$5,0))))</f>
        <v/>
      </c>
      <c r="BO96" s="92"/>
    </row>
    <row r="97">
      <c r="G97" s="11"/>
      <c r="H97" s="8">
        <v>91.0</v>
      </c>
      <c r="I97" s="110" t="str">
        <f t="shared" si="6"/>
        <v>ESPA3</v>
      </c>
      <c r="J97" s="111" t="str">
        <f>VLOOKUP(left(I97,4),Setor!A:D,3,0)&amp;" | "&amp;VLOOKUP(left(I97,4),Setor!A:D,4,0)</f>
        <v>#N/A</v>
      </c>
      <c r="K97" s="112">
        <f t="shared" si="7"/>
        <v>24511374</v>
      </c>
      <c r="L97" s="11"/>
      <c r="M97" s="11"/>
      <c r="N97" s="10" t="s">
        <v>143</v>
      </c>
      <c r="O97" s="113">
        <f t="shared" si="8"/>
        <v>621.031</v>
      </c>
      <c r="P97" s="114">
        <f>VLOOKUP(N97,'Dados StatusInvest'!A:Z,26,0)</f>
        <v>66371291.25</v>
      </c>
      <c r="Q97" s="115">
        <f t="shared" si="9"/>
        <v>310.031</v>
      </c>
      <c r="R97" s="116">
        <f t="shared" ref="R97:AO97" si="100">IF(AQ97="","", RANK(AQ97,AQ$7:AQ$503,0))</f>
        <v>92</v>
      </c>
      <c r="S97" s="115">
        <f t="shared" si="100"/>
        <v>219</v>
      </c>
      <c r="T97" s="115" t="str">
        <f t="shared" si="100"/>
        <v/>
      </c>
      <c r="U97" s="115" t="str">
        <f t="shared" si="100"/>
        <v/>
      </c>
      <c r="V97" s="115" t="str">
        <f t="shared" si="100"/>
        <v/>
      </c>
      <c r="W97" s="115" t="str">
        <f t="shared" si="100"/>
        <v/>
      </c>
      <c r="X97" s="115" t="str">
        <f t="shared" si="100"/>
        <v/>
      </c>
      <c r="Y97" s="115" t="str">
        <f t="shared" si="100"/>
        <v/>
      </c>
      <c r="Z97" s="115" t="str">
        <f t="shared" si="100"/>
        <v/>
      </c>
      <c r="AA97" s="115" t="str">
        <f t="shared" si="100"/>
        <v/>
      </c>
      <c r="AB97" s="115" t="str">
        <f t="shared" si="100"/>
        <v/>
      </c>
      <c r="AC97" s="115" t="str">
        <f t="shared" si="100"/>
        <v/>
      </c>
      <c r="AD97" s="115" t="str">
        <f t="shared" si="100"/>
        <v/>
      </c>
      <c r="AE97" s="115" t="str">
        <f t="shared" si="100"/>
        <v/>
      </c>
      <c r="AF97" s="115" t="str">
        <f t="shared" si="100"/>
        <v/>
      </c>
      <c r="AG97" s="115" t="str">
        <f t="shared" si="100"/>
        <v/>
      </c>
      <c r="AH97" s="115" t="str">
        <f t="shared" si="100"/>
        <v/>
      </c>
      <c r="AI97" s="115" t="str">
        <f t="shared" si="100"/>
        <v/>
      </c>
      <c r="AJ97" s="115" t="str">
        <f t="shared" si="100"/>
        <v/>
      </c>
      <c r="AK97" s="115" t="str">
        <f t="shared" si="100"/>
        <v/>
      </c>
      <c r="AL97" s="115" t="str">
        <f t="shared" si="100"/>
        <v/>
      </c>
      <c r="AM97" s="115" t="str">
        <f t="shared" si="100"/>
        <v/>
      </c>
      <c r="AN97" s="115" t="str">
        <f t="shared" si="100"/>
        <v/>
      </c>
      <c r="AO97" s="115" t="str">
        <f t="shared" si="100"/>
        <v/>
      </c>
      <c r="AP97" s="117">
        <f>IF(AP$6="","",IF(AP$3="Maior",IFERROR(IF(VLOOKUP($N97,Capa!$A:$AE,AP$5,0)="",0,VLOOKUP($N97,Capa!$A:$AE,AP$5,0)),0),IF(ISERROR(1/VLOOKUP($N97,Capa!$A:$AE,AP$5,0)),0,1/VLOOKUP($N97,Capa!$A:$AE,AP$5,0))))</f>
        <v>0.04951845113</v>
      </c>
      <c r="AQ97" s="118">
        <f>IF(AQ$6="","",IF(AQ$3="Maior",IFERROR(IF(VLOOKUP($N97,Capa!$A:$AE,AQ$5,0)="",0,VLOOKUP($N97,Capa!$A:$AE,AQ$5,0)),0),IF(ISERROR(1/VLOOKUP($N97,Capa!$A:$AE,AQ$5,0)),0,1/VLOOKUP($N97,Capa!$A:$AE,AQ$5,0))))</f>
        <v>18.43</v>
      </c>
      <c r="AR97" s="118">
        <f>IF(AR$6="","",IF(AR$3="Maior",IFERROR(IF(VLOOKUP($N97,Capa!$A:$AE,AR$5,0)="",0,VLOOKUP($N97,Capa!$A:$AE,AR$5,0)),0),IF(ISERROR(1/VLOOKUP($N97,Capa!$A:$AE,AR$5,0)),0,1/VLOOKUP($N97,Capa!$A:$AE,AR$5,0))))</f>
        <v>0</v>
      </c>
      <c r="AS97" s="118" t="str">
        <f>IF(AS$6="","",IF(AS$3="Maior",IFERROR(IF(VLOOKUP($N97,Capa!$A:$AE,AS$5,0)="",0,VLOOKUP($N97,Capa!$A:$AE,AS$5,0)),0),IF(ISERROR(1/VLOOKUP($N97,Capa!$A:$AE,AS$5,0)),0,1/VLOOKUP($N97,Capa!$A:$AE,AS$5,0))))</f>
        <v/>
      </c>
      <c r="AT97" s="118" t="str">
        <f>IF(AT$6="","",IF(AT$3="Maior",IFERROR(IF(VLOOKUP($N97,Capa!$A:$AE,AT$5,0)="",0,VLOOKUP($N97,Capa!$A:$AE,AT$5,0)),0),IF(ISERROR(1/VLOOKUP($N97,Capa!$A:$AE,AT$5,0)),0,1/VLOOKUP($N97,Capa!$A:$AE,AT$5,0))))</f>
        <v/>
      </c>
      <c r="AU97" s="118" t="str">
        <f>IF(AU$6="","",IF(AU$3="Maior",IFERROR(IF(VLOOKUP($N97,Capa!$A:$AE,AU$5,0)="",0,VLOOKUP($N97,Capa!$A:$AE,AU$5,0)),0),IF(ISERROR(1/VLOOKUP($N97,Capa!$A:$AE,AU$5,0)),0,1/VLOOKUP($N97,Capa!$A:$AE,AU$5,0))))</f>
        <v/>
      </c>
      <c r="AV97" s="118" t="str">
        <f>IF(AV$6="","",IF(AV$3="Maior",IFERROR(IF(VLOOKUP($N97,Capa!$A:$AE,AV$5,0)="",0,VLOOKUP($N97,Capa!$A:$AE,AV$5,0)),0),IF(ISERROR(1/VLOOKUP($N97,Capa!$A:$AE,AV$5,0)),0,1/VLOOKUP($N97,Capa!$A:$AE,AV$5,0))))</f>
        <v/>
      </c>
      <c r="AW97" s="118" t="str">
        <f>IF(AW$6="","",IF(AW$3="Maior",IFERROR(IF(VLOOKUP($N97,Capa!$A:$AE,AW$5,0)="",0,VLOOKUP($N97,Capa!$A:$AE,AW$5,0)),0),IF(ISERROR(1/VLOOKUP($N97,Capa!$A:$AE,AW$5,0)),0,1/VLOOKUP($N97,Capa!$A:$AE,AW$5,0))))</f>
        <v/>
      </c>
      <c r="AX97" s="118" t="str">
        <f>IF(AX$6="","",IF(AX$3="Maior",IFERROR(IF(VLOOKUP($N97,Capa!$A:$AE,AX$5,0)="",0,VLOOKUP($N97,Capa!$A:$AE,AX$5,0)),0),IF(ISERROR(1/VLOOKUP($N97,Capa!$A:$AE,AX$5,0)),0,1/VLOOKUP($N97,Capa!$A:$AE,AX$5,0))))</f>
        <v/>
      </c>
      <c r="AY97" s="118" t="str">
        <f>IF(AY$6="","",IF(AY$3="Maior",IFERROR(IF(VLOOKUP($N97,Capa!$A:$AE,AY$5,0)="",0,VLOOKUP($N97,Capa!$A:$AE,AY$5,0)),0),IF(ISERROR(1/VLOOKUP($N97,Capa!$A:$AE,AY$5,0)),0,1/VLOOKUP($N97,Capa!$A:$AE,AY$5,0))))</f>
        <v/>
      </c>
      <c r="AZ97" s="118" t="str">
        <f>IF(AZ$6="","",IF(AZ$3="Maior",IFERROR(IF(VLOOKUP($N97,Capa!$A:$AE,AZ$5,0)="",0,VLOOKUP($N97,Capa!$A:$AE,AZ$5,0)),0),IF(ISERROR(1/VLOOKUP($N97,Capa!$A:$AE,AZ$5,0)),0,1/VLOOKUP($N97,Capa!$A:$AE,AZ$5,0))))</f>
        <v/>
      </c>
      <c r="BA97" s="118" t="str">
        <f>IF(BA$6="","",IF(BA$3="Maior",IFERROR(IF(VLOOKUP($N97,Capa!$A:$AE,BA$5,0)="",0,VLOOKUP($N97,Capa!$A:$AE,BA$5,0)),0),IF(ISERROR(1/VLOOKUP($N97,Capa!$A:$AE,BA$5,0)),0,1/VLOOKUP($N97,Capa!$A:$AE,BA$5,0))))</f>
        <v/>
      </c>
      <c r="BB97" s="118" t="str">
        <f>IF(BB$6="","",IF(BB$3="Maior",IFERROR(IF(VLOOKUP($N97,Capa!$A:$AE,BB$5,0)="",0,VLOOKUP($N97,Capa!$A:$AE,BB$5,0)),0),IF(ISERROR(1/VLOOKUP($N97,Capa!$A:$AE,BB$5,0)),0,1/VLOOKUP($N97,Capa!$A:$AE,BB$5,0))))</f>
        <v/>
      </c>
      <c r="BC97" s="118" t="str">
        <f>IF(BC$6="","",IF(BC$3="Maior",IFERROR(IF(VLOOKUP($N97,Capa!$A:$AE,BC$5,0)="",0,VLOOKUP($N97,Capa!$A:$AE,BC$5,0)),0),IF(ISERROR(1/VLOOKUP($N97,Capa!$A:$AE,BC$5,0)),0,1/VLOOKUP($N97,Capa!$A:$AE,BC$5,0))))</f>
        <v/>
      </c>
      <c r="BD97" s="118" t="str">
        <f>IF(BD$6="","",IF(BD$3="Maior",IFERROR(IF(VLOOKUP($N97,Capa!$A:$AE,BD$5,0)="",0,VLOOKUP($N97,Capa!$A:$AE,BD$5,0)),0),IF(ISERROR(1/VLOOKUP($N97,Capa!$A:$AE,BD$5,0)),0,1/VLOOKUP($N97,Capa!$A:$AE,BD$5,0))))</f>
        <v/>
      </c>
      <c r="BE97" s="118" t="str">
        <f>IF(BE$6="","",IF(BE$3="Maior",IFERROR(IF(VLOOKUP($N97,Capa!$A:$AE,BE$5,0)="",0,VLOOKUP($N97,Capa!$A:$AE,BE$5,0)),0),IF(ISERROR(1/VLOOKUP($N97,Capa!$A:$AE,BE$5,0)),0,1/VLOOKUP($N97,Capa!$A:$AE,BE$5,0))))</f>
        <v/>
      </c>
      <c r="BF97" s="118" t="str">
        <f>IF(BF$6="","",IF(BF$3="Maior",IFERROR(IF(VLOOKUP($N97,Capa!$A:$AE,BF$5,0)="",0,VLOOKUP($N97,Capa!$A:$AE,BF$5,0)),0),IF(ISERROR(1/VLOOKUP($N97,Capa!$A:$AE,BF$5,0)),0,1/VLOOKUP($N97,Capa!$A:$AE,BF$5,0))))</f>
        <v/>
      </c>
      <c r="BG97" s="118" t="str">
        <f>IF(BG$6="","",IF(BG$3="Maior",IFERROR(IF(VLOOKUP($N97,Capa!$A:$AE,BG$5,0)="",0,VLOOKUP($N97,Capa!$A:$AE,BG$5,0)),0),IF(ISERROR(1/VLOOKUP($N97,Capa!$A:$AE,BG$5,0)),0,1/VLOOKUP($N97,Capa!$A:$AE,BG$5,0))))</f>
        <v/>
      </c>
      <c r="BH97" s="118" t="str">
        <f>IF(BH$6="","",IF(BH$3="Maior",IFERROR(IF(VLOOKUP($N97,Capa!$A:$AE,BH$5,0)="",0,VLOOKUP($N97,Capa!$A:$AE,BH$5,0)),0),IF(ISERROR(1/VLOOKUP($N97,Capa!$A:$AE,BH$5,0)),0,1/VLOOKUP($N97,Capa!$A:$AE,BH$5,0))))</f>
        <v/>
      </c>
      <c r="BI97" s="118" t="str">
        <f>IF(BI$6="","",IF(BI$3="Maior",IFERROR(IF(VLOOKUP($N97,Capa!$A:$AE,BI$5,0)="",0,VLOOKUP($N97,Capa!$A:$AE,BI$5,0)),0),IF(ISERROR(1/VLOOKUP($N97,Capa!$A:$AE,BI$5,0)),0,1/VLOOKUP($N97,Capa!$A:$AE,BI$5,0))))</f>
        <v/>
      </c>
      <c r="BJ97" s="118" t="str">
        <f>IF(BJ$6="","",IF(BJ$3="Maior",IFERROR(IF(VLOOKUP($N97,Capa!$A:$AE,BJ$5,0)="",0,VLOOKUP($N97,Capa!$A:$AE,BJ$5,0)),0),IF(ISERROR(1/VLOOKUP($N97,Capa!$A:$AE,BJ$5,0)),0,1/VLOOKUP($N97,Capa!$A:$AE,BJ$5,0))))</f>
        <v/>
      </c>
      <c r="BK97" s="118" t="str">
        <f>IF(BK$6="","",IF(BK$3="Maior",IFERROR(IF(VLOOKUP($N97,Capa!$A:$AE,BK$5,0)="",0,VLOOKUP($N97,Capa!$A:$AE,BK$5,0)),0),IF(ISERROR(1/VLOOKUP($N97,Capa!$A:$AE,BK$5,0)),0,1/VLOOKUP($N97,Capa!$A:$AE,BK$5,0))))</f>
        <v/>
      </c>
      <c r="BL97" s="118" t="str">
        <f>IF(BL$6="","",IF(BL$3="Maior",IFERROR(IF(VLOOKUP($N97,Capa!$A:$AE,BL$5,0)="",0,VLOOKUP($N97,Capa!$A:$AE,BL$5,0)),0),IF(ISERROR(1/VLOOKUP($N97,Capa!$A:$AE,BL$5,0)),0,1/VLOOKUP($N97,Capa!$A:$AE,BL$5,0))))</f>
        <v/>
      </c>
      <c r="BM97" s="118" t="str">
        <f>IF(BM$6="","",IF(BM$3="Maior",IFERROR(IF(VLOOKUP($N97,Capa!$A:$AE,BM$5,0)="",0,VLOOKUP($N97,Capa!$A:$AE,BM$5,0)),0),IF(ISERROR(1/VLOOKUP($N97,Capa!$A:$AE,BM$5,0)),0,1/VLOOKUP($N97,Capa!$A:$AE,BM$5,0))))</f>
        <v/>
      </c>
      <c r="BN97" s="118" t="str">
        <f>IF(BN$6="","",IF(BN$3="Maior",IFERROR(IF(VLOOKUP($N97,Capa!$A:$AE,BN$5,0)="",0,VLOOKUP($N97,Capa!$A:$AE,BN$5,0)),0),IF(ISERROR(1/VLOOKUP($N97,Capa!$A:$AE,BN$5,0)),0,1/VLOOKUP($N97,Capa!$A:$AE,BN$5,0))))</f>
        <v/>
      </c>
      <c r="BO97" s="92"/>
    </row>
    <row r="98">
      <c r="G98" s="11"/>
      <c r="H98" s="8">
        <v>92.0</v>
      </c>
      <c r="I98" s="110" t="str">
        <f t="shared" si="6"/>
        <v>HYPE3</v>
      </c>
      <c r="J98" s="111" t="str">
        <f>VLOOKUP(left(I98,4),Setor!A:D,3,0)&amp;" | "&amp;VLOOKUP(left(I98,4),Setor!A:D,4,0)</f>
        <v>Saúde | Comércio e Distribuição</v>
      </c>
      <c r="K98" s="112">
        <f t="shared" si="7"/>
        <v>95351256.38</v>
      </c>
      <c r="L98" s="11"/>
      <c r="M98" s="11"/>
      <c r="N98" s="10" t="s">
        <v>144</v>
      </c>
      <c r="O98" s="113">
        <f t="shared" si="8"/>
        <v>424.0102</v>
      </c>
      <c r="P98" s="114">
        <f>VLOOKUP(N98,'Dados StatusInvest'!A:Z,26,0)</f>
        <v>65994714.75</v>
      </c>
      <c r="Q98" s="115">
        <f t="shared" si="9"/>
        <v>102.0102</v>
      </c>
      <c r="R98" s="116">
        <f t="shared" ref="R98:AO98" si="101">IF(AQ98="","", RANK(AQ98,AQ$7:AQ$503,0))</f>
        <v>281</v>
      </c>
      <c r="S98" s="115">
        <f t="shared" si="101"/>
        <v>41</v>
      </c>
      <c r="T98" s="115" t="str">
        <f t="shared" si="101"/>
        <v/>
      </c>
      <c r="U98" s="115" t="str">
        <f t="shared" si="101"/>
        <v/>
      </c>
      <c r="V98" s="115" t="str">
        <f t="shared" si="101"/>
        <v/>
      </c>
      <c r="W98" s="115" t="str">
        <f t="shared" si="101"/>
        <v/>
      </c>
      <c r="X98" s="115" t="str">
        <f t="shared" si="101"/>
        <v/>
      </c>
      <c r="Y98" s="115" t="str">
        <f t="shared" si="101"/>
        <v/>
      </c>
      <c r="Z98" s="115" t="str">
        <f t="shared" si="101"/>
        <v/>
      </c>
      <c r="AA98" s="115" t="str">
        <f t="shared" si="101"/>
        <v/>
      </c>
      <c r="AB98" s="115" t="str">
        <f t="shared" si="101"/>
        <v/>
      </c>
      <c r="AC98" s="115" t="str">
        <f t="shared" si="101"/>
        <v/>
      </c>
      <c r="AD98" s="115" t="str">
        <f t="shared" si="101"/>
        <v/>
      </c>
      <c r="AE98" s="115" t="str">
        <f t="shared" si="101"/>
        <v/>
      </c>
      <c r="AF98" s="115" t="str">
        <f t="shared" si="101"/>
        <v/>
      </c>
      <c r="AG98" s="115" t="str">
        <f t="shared" si="101"/>
        <v/>
      </c>
      <c r="AH98" s="115" t="str">
        <f t="shared" si="101"/>
        <v/>
      </c>
      <c r="AI98" s="115" t="str">
        <f t="shared" si="101"/>
        <v/>
      </c>
      <c r="AJ98" s="115" t="str">
        <f t="shared" si="101"/>
        <v/>
      </c>
      <c r="AK98" s="115" t="str">
        <f t="shared" si="101"/>
        <v/>
      </c>
      <c r="AL98" s="115" t="str">
        <f t="shared" si="101"/>
        <v/>
      </c>
      <c r="AM98" s="115" t="str">
        <f t="shared" si="101"/>
        <v/>
      </c>
      <c r="AN98" s="115" t="str">
        <f t="shared" si="101"/>
        <v/>
      </c>
      <c r="AO98" s="115" t="str">
        <f t="shared" si="101"/>
        <v/>
      </c>
      <c r="AP98" s="117">
        <f>IF(AP$6="","",IF(AP$3="Maior",IFERROR(IF(VLOOKUP($N98,Capa!$A:$AE,AP$5,0)="",0,VLOOKUP($N98,Capa!$A:$AE,AP$5,0)),0),IF(ISERROR(1/VLOOKUP($N98,Capa!$A:$AE,AP$5,0)),0,1/VLOOKUP($N98,Capa!$A:$AE,AP$5,0))))</f>
        <v>0.1815960643</v>
      </c>
      <c r="AQ98" s="118">
        <f>IF(AQ$6="","",IF(AQ$3="Maior",IFERROR(IF(VLOOKUP($N98,Capa!$A:$AE,AQ$5,0)="",0,VLOOKUP($N98,Capa!$A:$AE,AQ$5,0)),0),IF(ISERROR(1/VLOOKUP($N98,Capa!$A:$AE,AQ$5,0)),0,1/VLOOKUP($N98,Capa!$A:$AE,AQ$5,0))))</f>
        <v>6.14</v>
      </c>
      <c r="AR98" s="118">
        <f>IF(AR$6="","",IF(AR$3="Maior",IFERROR(IF(VLOOKUP($N98,Capa!$A:$AE,AR$5,0)="",0,VLOOKUP($N98,Capa!$A:$AE,AR$5,0)),0),IF(ISERROR(1/VLOOKUP($N98,Capa!$A:$AE,AR$5,0)),0,1/VLOOKUP($N98,Capa!$A:$AE,AR$5,0))))</f>
        <v>51.14</v>
      </c>
      <c r="AS98" s="118" t="str">
        <f>IF(AS$6="","",IF(AS$3="Maior",IFERROR(IF(VLOOKUP($N98,Capa!$A:$AE,AS$5,0)="",0,VLOOKUP($N98,Capa!$A:$AE,AS$5,0)),0),IF(ISERROR(1/VLOOKUP($N98,Capa!$A:$AE,AS$5,0)),0,1/VLOOKUP($N98,Capa!$A:$AE,AS$5,0))))</f>
        <v/>
      </c>
      <c r="AT98" s="118" t="str">
        <f>IF(AT$6="","",IF(AT$3="Maior",IFERROR(IF(VLOOKUP($N98,Capa!$A:$AE,AT$5,0)="",0,VLOOKUP($N98,Capa!$A:$AE,AT$5,0)),0),IF(ISERROR(1/VLOOKUP($N98,Capa!$A:$AE,AT$5,0)),0,1/VLOOKUP($N98,Capa!$A:$AE,AT$5,0))))</f>
        <v/>
      </c>
      <c r="AU98" s="118" t="str">
        <f>IF(AU$6="","",IF(AU$3="Maior",IFERROR(IF(VLOOKUP($N98,Capa!$A:$AE,AU$5,0)="",0,VLOOKUP($N98,Capa!$A:$AE,AU$5,0)),0),IF(ISERROR(1/VLOOKUP($N98,Capa!$A:$AE,AU$5,0)),0,1/VLOOKUP($N98,Capa!$A:$AE,AU$5,0))))</f>
        <v/>
      </c>
      <c r="AV98" s="118" t="str">
        <f>IF(AV$6="","",IF(AV$3="Maior",IFERROR(IF(VLOOKUP($N98,Capa!$A:$AE,AV$5,0)="",0,VLOOKUP($N98,Capa!$A:$AE,AV$5,0)),0),IF(ISERROR(1/VLOOKUP($N98,Capa!$A:$AE,AV$5,0)),0,1/VLOOKUP($N98,Capa!$A:$AE,AV$5,0))))</f>
        <v/>
      </c>
      <c r="AW98" s="118" t="str">
        <f>IF(AW$6="","",IF(AW$3="Maior",IFERROR(IF(VLOOKUP($N98,Capa!$A:$AE,AW$5,0)="",0,VLOOKUP($N98,Capa!$A:$AE,AW$5,0)),0),IF(ISERROR(1/VLOOKUP($N98,Capa!$A:$AE,AW$5,0)),0,1/VLOOKUP($N98,Capa!$A:$AE,AW$5,0))))</f>
        <v/>
      </c>
      <c r="AX98" s="118" t="str">
        <f>IF(AX$6="","",IF(AX$3="Maior",IFERROR(IF(VLOOKUP($N98,Capa!$A:$AE,AX$5,0)="",0,VLOOKUP($N98,Capa!$A:$AE,AX$5,0)),0),IF(ISERROR(1/VLOOKUP($N98,Capa!$A:$AE,AX$5,0)),0,1/VLOOKUP($N98,Capa!$A:$AE,AX$5,0))))</f>
        <v/>
      </c>
      <c r="AY98" s="118" t="str">
        <f>IF(AY$6="","",IF(AY$3="Maior",IFERROR(IF(VLOOKUP($N98,Capa!$A:$AE,AY$5,0)="",0,VLOOKUP($N98,Capa!$A:$AE,AY$5,0)),0),IF(ISERROR(1/VLOOKUP($N98,Capa!$A:$AE,AY$5,0)),0,1/VLOOKUP($N98,Capa!$A:$AE,AY$5,0))))</f>
        <v/>
      </c>
      <c r="AZ98" s="118" t="str">
        <f>IF(AZ$6="","",IF(AZ$3="Maior",IFERROR(IF(VLOOKUP($N98,Capa!$A:$AE,AZ$5,0)="",0,VLOOKUP($N98,Capa!$A:$AE,AZ$5,0)),0),IF(ISERROR(1/VLOOKUP($N98,Capa!$A:$AE,AZ$5,0)),0,1/VLOOKUP($N98,Capa!$A:$AE,AZ$5,0))))</f>
        <v/>
      </c>
      <c r="BA98" s="118" t="str">
        <f>IF(BA$6="","",IF(BA$3="Maior",IFERROR(IF(VLOOKUP($N98,Capa!$A:$AE,BA$5,0)="",0,VLOOKUP($N98,Capa!$A:$AE,BA$5,0)),0),IF(ISERROR(1/VLOOKUP($N98,Capa!$A:$AE,BA$5,0)),0,1/VLOOKUP($N98,Capa!$A:$AE,BA$5,0))))</f>
        <v/>
      </c>
      <c r="BB98" s="118" t="str">
        <f>IF(BB$6="","",IF(BB$3="Maior",IFERROR(IF(VLOOKUP($N98,Capa!$A:$AE,BB$5,0)="",0,VLOOKUP($N98,Capa!$A:$AE,BB$5,0)),0),IF(ISERROR(1/VLOOKUP($N98,Capa!$A:$AE,BB$5,0)),0,1/VLOOKUP($N98,Capa!$A:$AE,BB$5,0))))</f>
        <v/>
      </c>
      <c r="BC98" s="118" t="str">
        <f>IF(BC$6="","",IF(BC$3="Maior",IFERROR(IF(VLOOKUP($N98,Capa!$A:$AE,BC$5,0)="",0,VLOOKUP($N98,Capa!$A:$AE,BC$5,0)),0),IF(ISERROR(1/VLOOKUP($N98,Capa!$A:$AE,BC$5,0)),0,1/VLOOKUP($N98,Capa!$A:$AE,BC$5,0))))</f>
        <v/>
      </c>
      <c r="BD98" s="118" t="str">
        <f>IF(BD$6="","",IF(BD$3="Maior",IFERROR(IF(VLOOKUP($N98,Capa!$A:$AE,BD$5,0)="",0,VLOOKUP($N98,Capa!$A:$AE,BD$5,0)),0),IF(ISERROR(1/VLOOKUP($N98,Capa!$A:$AE,BD$5,0)),0,1/VLOOKUP($N98,Capa!$A:$AE,BD$5,0))))</f>
        <v/>
      </c>
      <c r="BE98" s="118" t="str">
        <f>IF(BE$6="","",IF(BE$3="Maior",IFERROR(IF(VLOOKUP($N98,Capa!$A:$AE,BE$5,0)="",0,VLOOKUP($N98,Capa!$A:$AE,BE$5,0)),0),IF(ISERROR(1/VLOOKUP($N98,Capa!$A:$AE,BE$5,0)),0,1/VLOOKUP($N98,Capa!$A:$AE,BE$5,0))))</f>
        <v/>
      </c>
      <c r="BF98" s="118" t="str">
        <f>IF(BF$6="","",IF(BF$3="Maior",IFERROR(IF(VLOOKUP($N98,Capa!$A:$AE,BF$5,0)="",0,VLOOKUP($N98,Capa!$A:$AE,BF$5,0)),0),IF(ISERROR(1/VLOOKUP($N98,Capa!$A:$AE,BF$5,0)),0,1/VLOOKUP($N98,Capa!$A:$AE,BF$5,0))))</f>
        <v/>
      </c>
      <c r="BG98" s="118" t="str">
        <f>IF(BG$6="","",IF(BG$3="Maior",IFERROR(IF(VLOOKUP($N98,Capa!$A:$AE,BG$5,0)="",0,VLOOKUP($N98,Capa!$A:$AE,BG$5,0)),0),IF(ISERROR(1/VLOOKUP($N98,Capa!$A:$AE,BG$5,0)),0,1/VLOOKUP($N98,Capa!$A:$AE,BG$5,0))))</f>
        <v/>
      </c>
      <c r="BH98" s="118" t="str">
        <f>IF(BH$6="","",IF(BH$3="Maior",IFERROR(IF(VLOOKUP($N98,Capa!$A:$AE,BH$5,0)="",0,VLOOKUP($N98,Capa!$A:$AE,BH$5,0)),0),IF(ISERROR(1/VLOOKUP($N98,Capa!$A:$AE,BH$5,0)),0,1/VLOOKUP($N98,Capa!$A:$AE,BH$5,0))))</f>
        <v/>
      </c>
      <c r="BI98" s="118" t="str">
        <f>IF(BI$6="","",IF(BI$3="Maior",IFERROR(IF(VLOOKUP($N98,Capa!$A:$AE,BI$5,0)="",0,VLOOKUP($N98,Capa!$A:$AE,BI$5,0)),0),IF(ISERROR(1/VLOOKUP($N98,Capa!$A:$AE,BI$5,0)),0,1/VLOOKUP($N98,Capa!$A:$AE,BI$5,0))))</f>
        <v/>
      </c>
      <c r="BJ98" s="118" t="str">
        <f>IF(BJ$6="","",IF(BJ$3="Maior",IFERROR(IF(VLOOKUP($N98,Capa!$A:$AE,BJ$5,0)="",0,VLOOKUP($N98,Capa!$A:$AE,BJ$5,0)),0),IF(ISERROR(1/VLOOKUP($N98,Capa!$A:$AE,BJ$5,0)),0,1/VLOOKUP($N98,Capa!$A:$AE,BJ$5,0))))</f>
        <v/>
      </c>
      <c r="BK98" s="118" t="str">
        <f>IF(BK$6="","",IF(BK$3="Maior",IFERROR(IF(VLOOKUP($N98,Capa!$A:$AE,BK$5,0)="",0,VLOOKUP($N98,Capa!$A:$AE,BK$5,0)),0),IF(ISERROR(1/VLOOKUP($N98,Capa!$A:$AE,BK$5,0)),0,1/VLOOKUP($N98,Capa!$A:$AE,BK$5,0))))</f>
        <v/>
      </c>
      <c r="BL98" s="118" t="str">
        <f>IF(BL$6="","",IF(BL$3="Maior",IFERROR(IF(VLOOKUP($N98,Capa!$A:$AE,BL$5,0)="",0,VLOOKUP($N98,Capa!$A:$AE,BL$5,0)),0),IF(ISERROR(1/VLOOKUP($N98,Capa!$A:$AE,BL$5,0)),0,1/VLOOKUP($N98,Capa!$A:$AE,BL$5,0))))</f>
        <v/>
      </c>
      <c r="BM98" s="118" t="str">
        <f>IF(BM$6="","",IF(BM$3="Maior",IFERROR(IF(VLOOKUP($N98,Capa!$A:$AE,BM$5,0)="",0,VLOOKUP($N98,Capa!$A:$AE,BM$5,0)),0),IF(ISERROR(1/VLOOKUP($N98,Capa!$A:$AE,BM$5,0)),0,1/VLOOKUP($N98,Capa!$A:$AE,BM$5,0))))</f>
        <v/>
      </c>
      <c r="BN98" s="118" t="str">
        <f>IF(BN$6="","",IF(BN$3="Maior",IFERROR(IF(VLOOKUP($N98,Capa!$A:$AE,BN$5,0)="",0,VLOOKUP($N98,Capa!$A:$AE,BN$5,0)),0),IF(ISERROR(1/VLOOKUP($N98,Capa!$A:$AE,BN$5,0)),0,1/VLOOKUP($N98,Capa!$A:$AE,BN$5,0))))</f>
        <v/>
      </c>
      <c r="BO98" s="92"/>
    </row>
    <row r="99">
      <c r="G99" s="11"/>
      <c r="H99" s="8">
        <v>93.0</v>
      </c>
      <c r="I99" s="110" t="str">
        <f t="shared" si="6"/>
        <v>ABCB4</v>
      </c>
      <c r="J99" s="111" t="str">
        <f>VLOOKUP(left(I99,4),Setor!A:D,3,0)&amp;" | "&amp;VLOOKUP(left(I99,4),Setor!A:D,4,0)</f>
        <v>Financeiro | Intermediários Financeiros</v>
      </c>
      <c r="K99" s="112">
        <f t="shared" si="7"/>
        <v>17570990.42</v>
      </c>
      <c r="L99" s="11"/>
      <c r="M99" s="11"/>
      <c r="N99" s="10" t="s">
        <v>145</v>
      </c>
      <c r="O99" s="113">
        <f t="shared" si="8"/>
        <v>265.0019</v>
      </c>
      <c r="P99" s="114">
        <f>VLOOKUP(N99,'Dados StatusInvest'!A:Z,26,0)</f>
        <v>62649531.25</v>
      </c>
      <c r="Q99" s="115">
        <f t="shared" si="9"/>
        <v>19.0019</v>
      </c>
      <c r="R99" s="116">
        <f t="shared" ref="R99:AO99" si="102">IF(AQ99="","", RANK(AQ99,AQ$7:AQ$503,0))</f>
        <v>27</v>
      </c>
      <c r="S99" s="115">
        <f t="shared" si="102"/>
        <v>219</v>
      </c>
      <c r="T99" s="115" t="str">
        <f t="shared" si="102"/>
        <v/>
      </c>
      <c r="U99" s="115" t="str">
        <f t="shared" si="102"/>
        <v/>
      </c>
      <c r="V99" s="115" t="str">
        <f t="shared" si="102"/>
        <v/>
      </c>
      <c r="W99" s="115" t="str">
        <f t="shared" si="102"/>
        <v/>
      </c>
      <c r="X99" s="115" t="str">
        <f t="shared" si="102"/>
        <v/>
      </c>
      <c r="Y99" s="115" t="str">
        <f t="shared" si="102"/>
        <v/>
      </c>
      <c r="Z99" s="115" t="str">
        <f t="shared" si="102"/>
        <v/>
      </c>
      <c r="AA99" s="115" t="str">
        <f t="shared" si="102"/>
        <v/>
      </c>
      <c r="AB99" s="115" t="str">
        <f t="shared" si="102"/>
        <v/>
      </c>
      <c r="AC99" s="115" t="str">
        <f t="shared" si="102"/>
        <v/>
      </c>
      <c r="AD99" s="115" t="str">
        <f t="shared" si="102"/>
        <v/>
      </c>
      <c r="AE99" s="115" t="str">
        <f t="shared" si="102"/>
        <v/>
      </c>
      <c r="AF99" s="115" t="str">
        <f t="shared" si="102"/>
        <v/>
      </c>
      <c r="AG99" s="115" t="str">
        <f t="shared" si="102"/>
        <v/>
      </c>
      <c r="AH99" s="115" t="str">
        <f t="shared" si="102"/>
        <v/>
      </c>
      <c r="AI99" s="115" t="str">
        <f t="shared" si="102"/>
        <v/>
      </c>
      <c r="AJ99" s="115" t="str">
        <f t="shared" si="102"/>
        <v/>
      </c>
      <c r="AK99" s="115" t="str">
        <f t="shared" si="102"/>
        <v/>
      </c>
      <c r="AL99" s="115" t="str">
        <f t="shared" si="102"/>
        <v/>
      </c>
      <c r="AM99" s="115" t="str">
        <f t="shared" si="102"/>
        <v/>
      </c>
      <c r="AN99" s="115" t="str">
        <f t="shared" si="102"/>
        <v/>
      </c>
      <c r="AO99" s="115" t="str">
        <f t="shared" si="102"/>
        <v/>
      </c>
      <c r="AP99" s="117">
        <f>IF(AP$6="","",IF(AP$3="Maior",IFERROR(IF(VLOOKUP($N99,Capa!$A:$AE,AP$5,0)="",0,VLOOKUP($N99,Capa!$A:$AE,AP$5,0)),0),IF(ISERROR(1/VLOOKUP($N99,Capa!$A:$AE,AP$5,0)),0,1/VLOOKUP($N99,Capa!$A:$AE,AP$5,0))))</f>
        <v>0.4179672681</v>
      </c>
      <c r="AQ99" s="118">
        <f>IF(AQ$6="","",IF(AQ$3="Maior",IFERROR(IF(VLOOKUP($N99,Capa!$A:$AE,AQ$5,0)="",0,VLOOKUP($N99,Capa!$A:$AE,AQ$5,0)),0),IF(ISERROR(1/VLOOKUP($N99,Capa!$A:$AE,AQ$5,0)),0,1/VLOOKUP($N99,Capa!$A:$AE,AQ$5,0))))</f>
        <v>46.59</v>
      </c>
      <c r="AR99" s="118">
        <f>IF(AR$6="","",IF(AR$3="Maior",IFERROR(IF(VLOOKUP($N99,Capa!$A:$AE,AR$5,0)="",0,VLOOKUP($N99,Capa!$A:$AE,AR$5,0)),0),IF(ISERROR(1/VLOOKUP($N99,Capa!$A:$AE,AR$5,0)),0,1/VLOOKUP($N99,Capa!$A:$AE,AR$5,0))))</f>
        <v>0</v>
      </c>
      <c r="AS99" s="118" t="str">
        <f>IF(AS$6="","",IF(AS$3="Maior",IFERROR(IF(VLOOKUP($N99,Capa!$A:$AE,AS$5,0)="",0,VLOOKUP($N99,Capa!$A:$AE,AS$5,0)),0),IF(ISERROR(1/VLOOKUP($N99,Capa!$A:$AE,AS$5,0)),0,1/VLOOKUP($N99,Capa!$A:$AE,AS$5,0))))</f>
        <v/>
      </c>
      <c r="AT99" s="118" t="str">
        <f>IF(AT$6="","",IF(AT$3="Maior",IFERROR(IF(VLOOKUP($N99,Capa!$A:$AE,AT$5,0)="",0,VLOOKUP($N99,Capa!$A:$AE,AT$5,0)),0),IF(ISERROR(1/VLOOKUP($N99,Capa!$A:$AE,AT$5,0)),0,1/VLOOKUP($N99,Capa!$A:$AE,AT$5,0))))</f>
        <v/>
      </c>
      <c r="AU99" s="118" t="str">
        <f>IF(AU$6="","",IF(AU$3="Maior",IFERROR(IF(VLOOKUP($N99,Capa!$A:$AE,AU$5,0)="",0,VLOOKUP($N99,Capa!$A:$AE,AU$5,0)),0),IF(ISERROR(1/VLOOKUP($N99,Capa!$A:$AE,AU$5,0)),0,1/VLOOKUP($N99,Capa!$A:$AE,AU$5,0))))</f>
        <v/>
      </c>
      <c r="AV99" s="118" t="str">
        <f>IF(AV$6="","",IF(AV$3="Maior",IFERROR(IF(VLOOKUP($N99,Capa!$A:$AE,AV$5,0)="",0,VLOOKUP($N99,Capa!$A:$AE,AV$5,0)),0),IF(ISERROR(1/VLOOKUP($N99,Capa!$A:$AE,AV$5,0)),0,1/VLOOKUP($N99,Capa!$A:$AE,AV$5,0))))</f>
        <v/>
      </c>
      <c r="AW99" s="118" t="str">
        <f>IF(AW$6="","",IF(AW$3="Maior",IFERROR(IF(VLOOKUP($N99,Capa!$A:$AE,AW$5,0)="",0,VLOOKUP($N99,Capa!$A:$AE,AW$5,0)),0),IF(ISERROR(1/VLOOKUP($N99,Capa!$A:$AE,AW$5,0)),0,1/VLOOKUP($N99,Capa!$A:$AE,AW$5,0))))</f>
        <v/>
      </c>
      <c r="AX99" s="118" t="str">
        <f>IF(AX$6="","",IF(AX$3="Maior",IFERROR(IF(VLOOKUP($N99,Capa!$A:$AE,AX$5,0)="",0,VLOOKUP($N99,Capa!$A:$AE,AX$5,0)),0),IF(ISERROR(1/VLOOKUP($N99,Capa!$A:$AE,AX$5,0)),0,1/VLOOKUP($N99,Capa!$A:$AE,AX$5,0))))</f>
        <v/>
      </c>
      <c r="AY99" s="118" t="str">
        <f>IF(AY$6="","",IF(AY$3="Maior",IFERROR(IF(VLOOKUP($N99,Capa!$A:$AE,AY$5,0)="",0,VLOOKUP($N99,Capa!$A:$AE,AY$5,0)),0),IF(ISERROR(1/VLOOKUP($N99,Capa!$A:$AE,AY$5,0)),0,1/VLOOKUP($N99,Capa!$A:$AE,AY$5,0))))</f>
        <v/>
      </c>
      <c r="AZ99" s="118" t="str">
        <f>IF(AZ$6="","",IF(AZ$3="Maior",IFERROR(IF(VLOOKUP($N99,Capa!$A:$AE,AZ$5,0)="",0,VLOOKUP($N99,Capa!$A:$AE,AZ$5,0)),0),IF(ISERROR(1/VLOOKUP($N99,Capa!$A:$AE,AZ$5,0)),0,1/VLOOKUP($N99,Capa!$A:$AE,AZ$5,0))))</f>
        <v/>
      </c>
      <c r="BA99" s="118" t="str">
        <f>IF(BA$6="","",IF(BA$3="Maior",IFERROR(IF(VLOOKUP($N99,Capa!$A:$AE,BA$5,0)="",0,VLOOKUP($N99,Capa!$A:$AE,BA$5,0)),0),IF(ISERROR(1/VLOOKUP($N99,Capa!$A:$AE,BA$5,0)),0,1/VLOOKUP($N99,Capa!$A:$AE,BA$5,0))))</f>
        <v/>
      </c>
      <c r="BB99" s="118" t="str">
        <f>IF(BB$6="","",IF(BB$3="Maior",IFERROR(IF(VLOOKUP($N99,Capa!$A:$AE,BB$5,0)="",0,VLOOKUP($N99,Capa!$A:$AE,BB$5,0)),0),IF(ISERROR(1/VLOOKUP($N99,Capa!$A:$AE,BB$5,0)),0,1/VLOOKUP($N99,Capa!$A:$AE,BB$5,0))))</f>
        <v/>
      </c>
      <c r="BC99" s="118" t="str">
        <f>IF(BC$6="","",IF(BC$3="Maior",IFERROR(IF(VLOOKUP($N99,Capa!$A:$AE,BC$5,0)="",0,VLOOKUP($N99,Capa!$A:$AE,BC$5,0)),0),IF(ISERROR(1/VLOOKUP($N99,Capa!$A:$AE,BC$5,0)),0,1/VLOOKUP($N99,Capa!$A:$AE,BC$5,0))))</f>
        <v/>
      </c>
      <c r="BD99" s="118" t="str">
        <f>IF(BD$6="","",IF(BD$3="Maior",IFERROR(IF(VLOOKUP($N99,Capa!$A:$AE,BD$5,0)="",0,VLOOKUP($N99,Capa!$A:$AE,BD$5,0)),0),IF(ISERROR(1/VLOOKUP($N99,Capa!$A:$AE,BD$5,0)),0,1/VLOOKUP($N99,Capa!$A:$AE,BD$5,0))))</f>
        <v/>
      </c>
      <c r="BE99" s="118" t="str">
        <f>IF(BE$6="","",IF(BE$3="Maior",IFERROR(IF(VLOOKUP($N99,Capa!$A:$AE,BE$5,0)="",0,VLOOKUP($N99,Capa!$A:$AE,BE$5,0)),0),IF(ISERROR(1/VLOOKUP($N99,Capa!$A:$AE,BE$5,0)),0,1/VLOOKUP($N99,Capa!$A:$AE,BE$5,0))))</f>
        <v/>
      </c>
      <c r="BF99" s="118" t="str">
        <f>IF(BF$6="","",IF(BF$3="Maior",IFERROR(IF(VLOOKUP($N99,Capa!$A:$AE,BF$5,0)="",0,VLOOKUP($N99,Capa!$A:$AE,BF$5,0)),0),IF(ISERROR(1/VLOOKUP($N99,Capa!$A:$AE,BF$5,0)),0,1/VLOOKUP($N99,Capa!$A:$AE,BF$5,0))))</f>
        <v/>
      </c>
      <c r="BG99" s="118" t="str">
        <f>IF(BG$6="","",IF(BG$3="Maior",IFERROR(IF(VLOOKUP($N99,Capa!$A:$AE,BG$5,0)="",0,VLOOKUP($N99,Capa!$A:$AE,BG$5,0)),0),IF(ISERROR(1/VLOOKUP($N99,Capa!$A:$AE,BG$5,0)),0,1/VLOOKUP($N99,Capa!$A:$AE,BG$5,0))))</f>
        <v/>
      </c>
      <c r="BH99" s="118" t="str">
        <f>IF(BH$6="","",IF(BH$3="Maior",IFERROR(IF(VLOOKUP($N99,Capa!$A:$AE,BH$5,0)="",0,VLOOKUP($N99,Capa!$A:$AE,BH$5,0)),0),IF(ISERROR(1/VLOOKUP($N99,Capa!$A:$AE,BH$5,0)),0,1/VLOOKUP($N99,Capa!$A:$AE,BH$5,0))))</f>
        <v/>
      </c>
      <c r="BI99" s="118" t="str">
        <f>IF(BI$6="","",IF(BI$3="Maior",IFERROR(IF(VLOOKUP($N99,Capa!$A:$AE,BI$5,0)="",0,VLOOKUP($N99,Capa!$A:$AE,BI$5,0)),0),IF(ISERROR(1/VLOOKUP($N99,Capa!$A:$AE,BI$5,0)),0,1/VLOOKUP($N99,Capa!$A:$AE,BI$5,0))))</f>
        <v/>
      </c>
      <c r="BJ99" s="118" t="str">
        <f>IF(BJ$6="","",IF(BJ$3="Maior",IFERROR(IF(VLOOKUP($N99,Capa!$A:$AE,BJ$5,0)="",0,VLOOKUP($N99,Capa!$A:$AE,BJ$5,0)),0),IF(ISERROR(1/VLOOKUP($N99,Capa!$A:$AE,BJ$5,0)),0,1/VLOOKUP($N99,Capa!$A:$AE,BJ$5,0))))</f>
        <v/>
      </c>
      <c r="BK99" s="118" t="str">
        <f>IF(BK$6="","",IF(BK$3="Maior",IFERROR(IF(VLOOKUP($N99,Capa!$A:$AE,BK$5,0)="",0,VLOOKUP($N99,Capa!$A:$AE,BK$5,0)),0),IF(ISERROR(1/VLOOKUP($N99,Capa!$A:$AE,BK$5,0)),0,1/VLOOKUP($N99,Capa!$A:$AE,BK$5,0))))</f>
        <v/>
      </c>
      <c r="BL99" s="118" t="str">
        <f>IF(BL$6="","",IF(BL$3="Maior",IFERROR(IF(VLOOKUP($N99,Capa!$A:$AE,BL$5,0)="",0,VLOOKUP($N99,Capa!$A:$AE,BL$5,0)),0),IF(ISERROR(1/VLOOKUP($N99,Capa!$A:$AE,BL$5,0)),0,1/VLOOKUP($N99,Capa!$A:$AE,BL$5,0))))</f>
        <v/>
      </c>
      <c r="BM99" s="118" t="str">
        <f>IF(BM$6="","",IF(BM$3="Maior",IFERROR(IF(VLOOKUP($N99,Capa!$A:$AE,BM$5,0)="",0,VLOOKUP($N99,Capa!$A:$AE,BM$5,0)),0),IF(ISERROR(1/VLOOKUP($N99,Capa!$A:$AE,BM$5,0)),0,1/VLOOKUP($N99,Capa!$A:$AE,BM$5,0))))</f>
        <v/>
      </c>
      <c r="BN99" s="118" t="str">
        <f>IF(BN$6="","",IF(BN$3="Maior",IFERROR(IF(VLOOKUP($N99,Capa!$A:$AE,BN$5,0)="",0,VLOOKUP($N99,Capa!$A:$AE,BN$5,0)),0),IF(ISERROR(1/VLOOKUP($N99,Capa!$A:$AE,BN$5,0)),0,1/VLOOKUP($N99,Capa!$A:$AE,BN$5,0))))</f>
        <v/>
      </c>
      <c r="BO99" s="92"/>
    </row>
    <row r="100">
      <c r="G100" s="11"/>
      <c r="H100" s="8">
        <v>94.0</v>
      </c>
      <c r="I100" s="110" t="str">
        <f t="shared" si="6"/>
        <v>MULT3</v>
      </c>
      <c r="J100" s="111" t="str">
        <f>VLOOKUP(left(I100,4),Setor!A:D,3,0)&amp;" | "&amp;VLOOKUP(left(I100,4),Setor!A:D,4,0)</f>
        <v>Financeiro | Exploração de Imóveis</v>
      </c>
      <c r="K100" s="112">
        <f t="shared" si="7"/>
        <v>133151875.2</v>
      </c>
      <c r="L100" s="11"/>
      <c r="M100" s="11"/>
      <c r="N100" s="10" t="s">
        <v>146</v>
      </c>
      <c r="O100" s="113">
        <f t="shared" si="8"/>
        <v>373.0173</v>
      </c>
      <c r="P100" s="114">
        <f>VLOOKUP(N100,'Dados StatusInvest'!A:Z,26,0)</f>
        <v>68771496.54</v>
      </c>
      <c r="Q100" s="115">
        <f t="shared" si="9"/>
        <v>173.0173</v>
      </c>
      <c r="R100" s="116">
        <f t="shared" ref="R100:AO100" si="103">IF(AQ100="","", RANK(AQ100,AQ$7:AQ$503,0))</f>
        <v>151</v>
      </c>
      <c r="S100" s="115">
        <f t="shared" si="103"/>
        <v>49</v>
      </c>
      <c r="T100" s="115" t="str">
        <f t="shared" si="103"/>
        <v/>
      </c>
      <c r="U100" s="115" t="str">
        <f t="shared" si="103"/>
        <v/>
      </c>
      <c r="V100" s="115" t="str">
        <f t="shared" si="103"/>
        <v/>
      </c>
      <c r="W100" s="115" t="str">
        <f t="shared" si="103"/>
        <v/>
      </c>
      <c r="X100" s="115" t="str">
        <f t="shared" si="103"/>
        <v/>
      </c>
      <c r="Y100" s="115" t="str">
        <f t="shared" si="103"/>
        <v/>
      </c>
      <c r="Z100" s="115" t="str">
        <f t="shared" si="103"/>
        <v/>
      </c>
      <c r="AA100" s="115" t="str">
        <f t="shared" si="103"/>
        <v/>
      </c>
      <c r="AB100" s="115" t="str">
        <f t="shared" si="103"/>
        <v/>
      </c>
      <c r="AC100" s="115" t="str">
        <f t="shared" si="103"/>
        <v/>
      </c>
      <c r="AD100" s="115" t="str">
        <f t="shared" si="103"/>
        <v/>
      </c>
      <c r="AE100" s="115" t="str">
        <f t="shared" si="103"/>
        <v/>
      </c>
      <c r="AF100" s="115" t="str">
        <f t="shared" si="103"/>
        <v/>
      </c>
      <c r="AG100" s="115" t="str">
        <f t="shared" si="103"/>
        <v/>
      </c>
      <c r="AH100" s="115" t="str">
        <f t="shared" si="103"/>
        <v/>
      </c>
      <c r="AI100" s="115" t="str">
        <f t="shared" si="103"/>
        <v/>
      </c>
      <c r="AJ100" s="115" t="str">
        <f t="shared" si="103"/>
        <v/>
      </c>
      <c r="AK100" s="115" t="str">
        <f t="shared" si="103"/>
        <v/>
      </c>
      <c r="AL100" s="115" t="str">
        <f t="shared" si="103"/>
        <v/>
      </c>
      <c r="AM100" s="115" t="str">
        <f t="shared" si="103"/>
        <v/>
      </c>
      <c r="AN100" s="115" t="str">
        <f t="shared" si="103"/>
        <v/>
      </c>
      <c r="AO100" s="115" t="str">
        <f t="shared" si="103"/>
        <v/>
      </c>
      <c r="AP100" s="117">
        <f>IF(AP$6="","",IF(AP$3="Maior",IFERROR(IF(VLOOKUP($N100,Capa!$A:$AE,AP$5,0)="",0,VLOOKUP($N100,Capa!$A:$AE,AP$5,0)),0),IF(ISERROR(1/VLOOKUP($N100,Capa!$A:$AE,AP$5,0)),0,1/VLOOKUP($N100,Capa!$A:$AE,AP$5,0))))</f>
        <v>0.1212761966</v>
      </c>
      <c r="AQ100" s="118">
        <f>IF(AQ$6="","",IF(AQ$3="Maior",IFERROR(IF(VLOOKUP($N100,Capa!$A:$AE,AQ$5,0)="",0,VLOOKUP($N100,Capa!$A:$AE,AQ$5,0)),0),IF(ISERROR(1/VLOOKUP($N100,Capa!$A:$AE,AQ$5,0)),0,1/VLOOKUP($N100,Capa!$A:$AE,AQ$5,0))))</f>
        <v>14.3</v>
      </c>
      <c r="AR100" s="118">
        <f>IF(AR$6="","",IF(AR$3="Maior",IFERROR(IF(VLOOKUP($N100,Capa!$A:$AE,AR$5,0)="",0,VLOOKUP($N100,Capa!$A:$AE,AR$5,0)),0),IF(ISERROR(1/VLOOKUP($N100,Capa!$A:$AE,AR$5,0)),0,1/VLOOKUP($N100,Capa!$A:$AE,AR$5,0))))</f>
        <v>48.26</v>
      </c>
      <c r="AS100" s="118" t="str">
        <f>IF(AS$6="","",IF(AS$3="Maior",IFERROR(IF(VLOOKUP($N100,Capa!$A:$AE,AS$5,0)="",0,VLOOKUP($N100,Capa!$A:$AE,AS$5,0)),0),IF(ISERROR(1/VLOOKUP($N100,Capa!$A:$AE,AS$5,0)),0,1/VLOOKUP($N100,Capa!$A:$AE,AS$5,0))))</f>
        <v/>
      </c>
      <c r="AT100" s="118" t="str">
        <f>IF(AT$6="","",IF(AT$3="Maior",IFERROR(IF(VLOOKUP($N100,Capa!$A:$AE,AT$5,0)="",0,VLOOKUP($N100,Capa!$A:$AE,AT$5,0)),0),IF(ISERROR(1/VLOOKUP($N100,Capa!$A:$AE,AT$5,0)),0,1/VLOOKUP($N100,Capa!$A:$AE,AT$5,0))))</f>
        <v/>
      </c>
      <c r="AU100" s="118" t="str">
        <f>IF(AU$6="","",IF(AU$3="Maior",IFERROR(IF(VLOOKUP($N100,Capa!$A:$AE,AU$5,0)="",0,VLOOKUP($N100,Capa!$A:$AE,AU$5,0)),0),IF(ISERROR(1/VLOOKUP($N100,Capa!$A:$AE,AU$5,0)),0,1/VLOOKUP($N100,Capa!$A:$AE,AU$5,0))))</f>
        <v/>
      </c>
      <c r="AV100" s="118" t="str">
        <f>IF(AV$6="","",IF(AV$3="Maior",IFERROR(IF(VLOOKUP($N100,Capa!$A:$AE,AV$5,0)="",0,VLOOKUP($N100,Capa!$A:$AE,AV$5,0)),0),IF(ISERROR(1/VLOOKUP($N100,Capa!$A:$AE,AV$5,0)),0,1/VLOOKUP($N100,Capa!$A:$AE,AV$5,0))))</f>
        <v/>
      </c>
      <c r="AW100" s="118" t="str">
        <f>IF(AW$6="","",IF(AW$3="Maior",IFERROR(IF(VLOOKUP($N100,Capa!$A:$AE,AW$5,0)="",0,VLOOKUP($N100,Capa!$A:$AE,AW$5,0)),0),IF(ISERROR(1/VLOOKUP($N100,Capa!$A:$AE,AW$5,0)),0,1/VLOOKUP($N100,Capa!$A:$AE,AW$5,0))))</f>
        <v/>
      </c>
      <c r="AX100" s="118" t="str">
        <f>IF(AX$6="","",IF(AX$3="Maior",IFERROR(IF(VLOOKUP($N100,Capa!$A:$AE,AX$5,0)="",0,VLOOKUP($N100,Capa!$A:$AE,AX$5,0)),0),IF(ISERROR(1/VLOOKUP($N100,Capa!$A:$AE,AX$5,0)),0,1/VLOOKUP($N100,Capa!$A:$AE,AX$5,0))))</f>
        <v/>
      </c>
      <c r="AY100" s="118" t="str">
        <f>IF(AY$6="","",IF(AY$3="Maior",IFERROR(IF(VLOOKUP($N100,Capa!$A:$AE,AY$5,0)="",0,VLOOKUP($N100,Capa!$A:$AE,AY$5,0)),0),IF(ISERROR(1/VLOOKUP($N100,Capa!$A:$AE,AY$5,0)),0,1/VLOOKUP($N100,Capa!$A:$AE,AY$5,0))))</f>
        <v/>
      </c>
      <c r="AZ100" s="118" t="str">
        <f>IF(AZ$6="","",IF(AZ$3="Maior",IFERROR(IF(VLOOKUP($N100,Capa!$A:$AE,AZ$5,0)="",0,VLOOKUP($N100,Capa!$A:$AE,AZ$5,0)),0),IF(ISERROR(1/VLOOKUP($N100,Capa!$A:$AE,AZ$5,0)),0,1/VLOOKUP($N100,Capa!$A:$AE,AZ$5,0))))</f>
        <v/>
      </c>
      <c r="BA100" s="118" t="str">
        <f>IF(BA$6="","",IF(BA$3="Maior",IFERROR(IF(VLOOKUP($N100,Capa!$A:$AE,BA$5,0)="",0,VLOOKUP($N100,Capa!$A:$AE,BA$5,0)),0),IF(ISERROR(1/VLOOKUP($N100,Capa!$A:$AE,BA$5,0)),0,1/VLOOKUP($N100,Capa!$A:$AE,BA$5,0))))</f>
        <v/>
      </c>
      <c r="BB100" s="118" t="str">
        <f>IF(BB$6="","",IF(BB$3="Maior",IFERROR(IF(VLOOKUP($N100,Capa!$A:$AE,BB$5,0)="",0,VLOOKUP($N100,Capa!$A:$AE,BB$5,0)),0),IF(ISERROR(1/VLOOKUP($N100,Capa!$A:$AE,BB$5,0)),0,1/VLOOKUP($N100,Capa!$A:$AE,BB$5,0))))</f>
        <v/>
      </c>
      <c r="BC100" s="118" t="str">
        <f>IF(BC$6="","",IF(BC$3="Maior",IFERROR(IF(VLOOKUP($N100,Capa!$A:$AE,BC$5,0)="",0,VLOOKUP($N100,Capa!$A:$AE,BC$5,0)),0),IF(ISERROR(1/VLOOKUP($N100,Capa!$A:$AE,BC$5,0)),0,1/VLOOKUP($N100,Capa!$A:$AE,BC$5,0))))</f>
        <v/>
      </c>
      <c r="BD100" s="118" t="str">
        <f>IF(BD$6="","",IF(BD$3="Maior",IFERROR(IF(VLOOKUP($N100,Capa!$A:$AE,BD$5,0)="",0,VLOOKUP($N100,Capa!$A:$AE,BD$5,0)),0),IF(ISERROR(1/VLOOKUP($N100,Capa!$A:$AE,BD$5,0)),0,1/VLOOKUP($N100,Capa!$A:$AE,BD$5,0))))</f>
        <v/>
      </c>
      <c r="BE100" s="118" t="str">
        <f>IF(BE$6="","",IF(BE$3="Maior",IFERROR(IF(VLOOKUP($N100,Capa!$A:$AE,BE$5,0)="",0,VLOOKUP($N100,Capa!$A:$AE,BE$5,0)),0),IF(ISERROR(1/VLOOKUP($N100,Capa!$A:$AE,BE$5,0)),0,1/VLOOKUP($N100,Capa!$A:$AE,BE$5,0))))</f>
        <v/>
      </c>
      <c r="BF100" s="118" t="str">
        <f>IF(BF$6="","",IF(BF$3="Maior",IFERROR(IF(VLOOKUP($N100,Capa!$A:$AE,BF$5,0)="",0,VLOOKUP($N100,Capa!$A:$AE,BF$5,0)),0),IF(ISERROR(1/VLOOKUP($N100,Capa!$A:$AE,BF$5,0)),0,1/VLOOKUP($N100,Capa!$A:$AE,BF$5,0))))</f>
        <v/>
      </c>
      <c r="BG100" s="118" t="str">
        <f>IF(BG$6="","",IF(BG$3="Maior",IFERROR(IF(VLOOKUP($N100,Capa!$A:$AE,BG$5,0)="",0,VLOOKUP($N100,Capa!$A:$AE,BG$5,0)),0),IF(ISERROR(1/VLOOKUP($N100,Capa!$A:$AE,BG$5,0)),0,1/VLOOKUP($N100,Capa!$A:$AE,BG$5,0))))</f>
        <v/>
      </c>
      <c r="BH100" s="118" t="str">
        <f>IF(BH$6="","",IF(BH$3="Maior",IFERROR(IF(VLOOKUP($N100,Capa!$A:$AE,BH$5,0)="",0,VLOOKUP($N100,Capa!$A:$AE,BH$5,0)),0),IF(ISERROR(1/VLOOKUP($N100,Capa!$A:$AE,BH$5,0)),0,1/VLOOKUP($N100,Capa!$A:$AE,BH$5,0))))</f>
        <v/>
      </c>
      <c r="BI100" s="118" t="str">
        <f>IF(BI$6="","",IF(BI$3="Maior",IFERROR(IF(VLOOKUP($N100,Capa!$A:$AE,BI$5,0)="",0,VLOOKUP($N100,Capa!$A:$AE,BI$5,0)),0),IF(ISERROR(1/VLOOKUP($N100,Capa!$A:$AE,BI$5,0)),0,1/VLOOKUP($N100,Capa!$A:$AE,BI$5,0))))</f>
        <v/>
      </c>
      <c r="BJ100" s="118" t="str">
        <f>IF(BJ$6="","",IF(BJ$3="Maior",IFERROR(IF(VLOOKUP($N100,Capa!$A:$AE,BJ$5,0)="",0,VLOOKUP($N100,Capa!$A:$AE,BJ$5,0)),0),IF(ISERROR(1/VLOOKUP($N100,Capa!$A:$AE,BJ$5,0)),0,1/VLOOKUP($N100,Capa!$A:$AE,BJ$5,0))))</f>
        <v/>
      </c>
      <c r="BK100" s="118" t="str">
        <f>IF(BK$6="","",IF(BK$3="Maior",IFERROR(IF(VLOOKUP($N100,Capa!$A:$AE,BK$5,0)="",0,VLOOKUP($N100,Capa!$A:$AE,BK$5,0)),0),IF(ISERROR(1/VLOOKUP($N100,Capa!$A:$AE,BK$5,0)),0,1/VLOOKUP($N100,Capa!$A:$AE,BK$5,0))))</f>
        <v/>
      </c>
      <c r="BL100" s="118" t="str">
        <f>IF(BL$6="","",IF(BL$3="Maior",IFERROR(IF(VLOOKUP($N100,Capa!$A:$AE,BL$5,0)="",0,VLOOKUP($N100,Capa!$A:$AE,BL$5,0)),0),IF(ISERROR(1/VLOOKUP($N100,Capa!$A:$AE,BL$5,0)),0,1/VLOOKUP($N100,Capa!$A:$AE,BL$5,0))))</f>
        <v/>
      </c>
      <c r="BM100" s="118" t="str">
        <f>IF(BM$6="","",IF(BM$3="Maior",IFERROR(IF(VLOOKUP($N100,Capa!$A:$AE,BM$5,0)="",0,VLOOKUP($N100,Capa!$A:$AE,BM$5,0)),0),IF(ISERROR(1/VLOOKUP($N100,Capa!$A:$AE,BM$5,0)),0,1/VLOOKUP($N100,Capa!$A:$AE,BM$5,0))))</f>
        <v/>
      </c>
      <c r="BN100" s="118" t="str">
        <f>IF(BN$6="","",IF(BN$3="Maior",IFERROR(IF(VLOOKUP($N100,Capa!$A:$AE,BN$5,0)="",0,VLOOKUP($N100,Capa!$A:$AE,BN$5,0)),0),IF(ISERROR(1/VLOOKUP($N100,Capa!$A:$AE,BN$5,0)),0,1/VLOOKUP($N100,Capa!$A:$AE,BN$5,0))))</f>
        <v/>
      </c>
      <c r="BO100" s="92"/>
    </row>
    <row r="101">
      <c r="G101" s="11"/>
      <c r="H101" s="8">
        <v>95.0</v>
      </c>
      <c r="I101" s="110" t="str">
        <f t="shared" si="6"/>
        <v>ENEV3</v>
      </c>
      <c r="J101" s="111" t="str">
        <f>VLOOKUP(left(I101,4),Setor!A:D,3,0)&amp;" | "&amp;VLOOKUP(left(I101,4),Setor!A:D,4,0)</f>
        <v>Utilidade Pública | Energia Elétrica</v>
      </c>
      <c r="K101" s="112">
        <f t="shared" si="7"/>
        <v>102542476</v>
      </c>
      <c r="L101" s="11"/>
      <c r="M101" s="11"/>
      <c r="N101" s="10" t="s">
        <v>147</v>
      </c>
      <c r="O101" s="113">
        <f t="shared" si="8"/>
        <v>199.0051</v>
      </c>
      <c r="P101" s="114">
        <f>VLOOKUP(N101,'Dados StatusInvest'!A:Z,26,0)</f>
        <v>57802818.04</v>
      </c>
      <c r="Q101" s="115">
        <f t="shared" si="9"/>
        <v>51.0051</v>
      </c>
      <c r="R101" s="116">
        <f t="shared" ref="R101:AO101" si="104">IF(AQ101="","", RANK(AQ101,AQ$7:AQ$503,0))</f>
        <v>17</v>
      </c>
      <c r="S101" s="115">
        <f t="shared" si="104"/>
        <v>131</v>
      </c>
      <c r="T101" s="115" t="str">
        <f t="shared" si="104"/>
        <v/>
      </c>
      <c r="U101" s="115" t="str">
        <f t="shared" si="104"/>
        <v/>
      </c>
      <c r="V101" s="115" t="str">
        <f t="shared" si="104"/>
        <v/>
      </c>
      <c r="W101" s="115" t="str">
        <f t="shared" si="104"/>
        <v/>
      </c>
      <c r="X101" s="115" t="str">
        <f t="shared" si="104"/>
        <v/>
      </c>
      <c r="Y101" s="115" t="str">
        <f t="shared" si="104"/>
        <v/>
      </c>
      <c r="Z101" s="115" t="str">
        <f t="shared" si="104"/>
        <v/>
      </c>
      <c r="AA101" s="115" t="str">
        <f t="shared" si="104"/>
        <v/>
      </c>
      <c r="AB101" s="115" t="str">
        <f t="shared" si="104"/>
        <v/>
      </c>
      <c r="AC101" s="115" t="str">
        <f t="shared" si="104"/>
        <v/>
      </c>
      <c r="AD101" s="115" t="str">
        <f t="shared" si="104"/>
        <v/>
      </c>
      <c r="AE101" s="115" t="str">
        <f t="shared" si="104"/>
        <v/>
      </c>
      <c r="AF101" s="115" t="str">
        <f t="shared" si="104"/>
        <v/>
      </c>
      <c r="AG101" s="115" t="str">
        <f t="shared" si="104"/>
        <v/>
      </c>
      <c r="AH101" s="115" t="str">
        <f t="shared" si="104"/>
        <v/>
      </c>
      <c r="AI101" s="115" t="str">
        <f t="shared" si="104"/>
        <v/>
      </c>
      <c r="AJ101" s="115" t="str">
        <f t="shared" si="104"/>
        <v/>
      </c>
      <c r="AK101" s="115" t="str">
        <f t="shared" si="104"/>
        <v/>
      </c>
      <c r="AL101" s="115" t="str">
        <f t="shared" si="104"/>
        <v/>
      </c>
      <c r="AM101" s="115" t="str">
        <f t="shared" si="104"/>
        <v/>
      </c>
      <c r="AN101" s="115" t="str">
        <f t="shared" si="104"/>
        <v/>
      </c>
      <c r="AO101" s="115" t="str">
        <f t="shared" si="104"/>
        <v/>
      </c>
      <c r="AP101" s="117">
        <f>IF(AP$6="","",IF(AP$3="Maior",IFERROR(IF(VLOOKUP($N101,Capa!$A:$AE,AP$5,0)="",0,VLOOKUP($N101,Capa!$A:$AE,AP$5,0)),0),IF(ISERROR(1/VLOOKUP($N101,Capa!$A:$AE,AP$5,0)),0,1/VLOOKUP($N101,Capa!$A:$AE,AP$5,0))))</f>
        <v>0.2436562142</v>
      </c>
      <c r="AQ101" s="118">
        <f>IF(AQ$6="","",IF(AQ$3="Maior",IFERROR(IF(VLOOKUP($N101,Capa!$A:$AE,AQ$5,0)="",0,VLOOKUP($N101,Capa!$A:$AE,AQ$5,0)),0),IF(ISERROR(1/VLOOKUP($N101,Capa!$A:$AE,AQ$5,0)),0,1/VLOOKUP($N101,Capa!$A:$AE,AQ$5,0))))</f>
        <v>63.72</v>
      </c>
      <c r="AR101" s="118">
        <f>IF(AR$6="","",IF(AR$3="Maior",IFERROR(IF(VLOOKUP($N101,Capa!$A:$AE,AR$5,0)="",0,VLOOKUP($N101,Capa!$A:$AE,AR$5,0)),0),IF(ISERROR(1/VLOOKUP($N101,Capa!$A:$AE,AR$5,0)),0,1/VLOOKUP($N101,Capa!$A:$AE,AR$5,0))))</f>
        <v>19.97</v>
      </c>
      <c r="AS101" s="118" t="str">
        <f>IF(AS$6="","",IF(AS$3="Maior",IFERROR(IF(VLOOKUP($N101,Capa!$A:$AE,AS$5,0)="",0,VLOOKUP($N101,Capa!$A:$AE,AS$5,0)),0),IF(ISERROR(1/VLOOKUP($N101,Capa!$A:$AE,AS$5,0)),0,1/VLOOKUP($N101,Capa!$A:$AE,AS$5,0))))</f>
        <v/>
      </c>
      <c r="AT101" s="118" t="str">
        <f>IF(AT$6="","",IF(AT$3="Maior",IFERROR(IF(VLOOKUP($N101,Capa!$A:$AE,AT$5,0)="",0,VLOOKUP($N101,Capa!$A:$AE,AT$5,0)),0),IF(ISERROR(1/VLOOKUP($N101,Capa!$A:$AE,AT$5,0)),0,1/VLOOKUP($N101,Capa!$A:$AE,AT$5,0))))</f>
        <v/>
      </c>
      <c r="AU101" s="118" t="str">
        <f>IF(AU$6="","",IF(AU$3="Maior",IFERROR(IF(VLOOKUP($N101,Capa!$A:$AE,AU$5,0)="",0,VLOOKUP($N101,Capa!$A:$AE,AU$5,0)),0),IF(ISERROR(1/VLOOKUP($N101,Capa!$A:$AE,AU$5,0)),0,1/VLOOKUP($N101,Capa!$A:$AE,AU$5,0))))</f>
        <v/>
      </c>
      <c r="AV101" s="118" t="str">
        <f>IF(AV$6="","",IF(AV$3="Maior",IFERROR(IF(VLOOKUP($N101,Capa!$A:$AE,AV$5,0)="",0,VLOOKUP($N101,Capa!$A:$AE,AV$5,0)),0),IF(ISERROR(1/VLOOKUP($N101,Capa!$A:$AE,AV$5,0)),0,1/VLOOKUP($N101,Capa!$A:$AE,AV$5,0))))</f>
        <v/>
      </c>
      <c r="AW101" s="118" t="str">
        <f>IF(AW$6="","",IF(AW$3="Maior",IFERROR(IF(VLOOKUP($N101,Capa!$A:$AE,AW$5,0)="",0,VLOOKUP($N101,Capa!$A:$AE,AW$5,0)),0),IF(ISERROR(1/VLOOKUP($N101,Capa!$A:$AE,AW$5,0)),0,1/VLOOKUP($N101,Capa!$A:$AE,AW$5,0))))</f>
        <v/>
      </c>
      <c r="AX101" s="118" t="str">
        <f>IF(AX$6="","",IF(AX$3="Maior",IFERROR(IF(VLOOKUP($N101,Capa!$A:$AE,AX$5,0)="",0,VLOOKUP($N101,Capa!$A:$AE,AX$5,0)),0),IF(ISERROR(1/VLOOKUP($N101,Capa!$A:$AE,AX$5,0)),0,1/VLOOKUP($N101,Capa!$A:$AE,AX$5,0))))</f>
        <v/>
      </c>
      <c r="AY101" s="118" t="str">
        <f>IF(AY$6="","",IF(AY$3="Maior",IFERROR(IF(VLOOKUP($N101,Capa!$A:$AE,AY$5,0)="",0,VLOOKUP($N101,Capa!$A:$AE,AY$5,0)),0),IF(ISERROR(1/VLOOKUP($N101,Capa!$A:$AE,AY$5,0)),0,1/VLOOKUP($N101,Capa!$A:$AE,AY$5,0))))</f>
        <v/>
      </c>
      <c r="AZ101" s="118" t="str">
        <f>IF(AZ$6="","",IF(AZ$3="Maior",IFERROR(IF(VLOOKUP($N101,Capa!$A:$AE,AZ$5,0)="",0,VLOOKUP($N101,Capa!$A:$AE,AZ$5,0)),0),IF(ISERROR(1/VLOOKUP($N101,Capa!$A:$AE,AZ$5,0)),0,1/VLOOKUP($N101,Capa!$A:$AE,AZ$5,0))))</f>
        <v/>
      </c>
      <c r="BA101" s="118" t="str">
        <f>IF(BA$6="","",IF(BA$3="Maior",IFERROR(IF(VLOOKUP($N101,Capa!$A:$AE,BA$5,0)="",0,VLOOKUP($N101,Capa!$A:$AE,BA$5,0)),0),IF(ISERROR(1/VLOOKUP($N101,Capa!$A:$AE,BA$5,0)),0,1/VLOOKUP($N101,Capa!$A:$AE,BA$5,0))))</f>
        <v/>
      </c>
      <c r="BB101" s="118" t="str">
        <f>IF(BB$6="","",IF(BB$3="Maior",IFERROR(IF(VLOOKUP($N101,Capa!$A:$AE,BB$5,0)="",0,VLOOKUP($N101,Capa!$A:$AE,BB$5,0)),0),IF(ISERROR(1/VLOOKUP($N101,Capa!$A:$AE,BB$5,0)),0,1/VLOOKUP($N101,Capa!$A:$AE,BB$5,0))))</f>
        <v/>
      </c>
      <c r="BC101" s="118" t="str">
        <f>IF(BC$6="","",IF(BC$3="Maior",IFERROR(IF(VLOOKUP($N101,Capa!$A:$AE,BC$5,0)="",0,VLOOKUP($N101,Capa!$A:$AE,BC$5,0)),0),IF(ISERROR(1/VLOOKUP($N101,Capa!$A:$AE,BC$5,0)),0,1/VLOOKUP($N101,Capa!$A:$AE,BC$5,0))))</f>
        <v/>
      </c>
      <c r="BD101" s="118" t="str">
        <f>IF(BD$6="","",IF(BD$3="Maior",IFERROR(IF(VLOOKUP($N101,Capa!$A:$AE,BD$5,0)="",0,VLOOKUP($N101,Capa!$A:$AE,BD$5,0)),0),IF(ISERROR(1/VLOOKUP($N101,Capa!$A:$AE,BD$5,0)),0,1/VLOOKUP($N101,Capa!$A:$AE,BD$5,0))))</f>
        <v/>
      </c>
      <c r="BE101" s="118" t="str">
        <f>IF(BE$6="","",IF(BE$3="Maior",IFERROR(IF(VLOOKUP($N101,Capa!$A:$AE,BE$5,0)="",0,VLOOKUP($N101,Capa!$A:$AE,BE$5,0)),0),IF(ISERROR(1/VLOOKUP($N101,Capa!$A:$AE,BE$5,0)),0,1/VLOOKUP($N101,Capa!$A:$AE,BE$5,0))))</f>
        <v/>
      </c>
      <c r="BF101" s="118" t="str">
        <f>IF(BF$6="","",IF(BF$3="Maior",IFERROR(IF(VLOOKUP($N101,Capa!$A:$AE,BF$5,0)="",0,VLOOKUP($N101,Capa!$A:$AE,BF$5,0)),0),IF(ISERROR(1/VLOOKUP($N101,Capa!$A:$AE,BF$5,0)),0,1/VLOOKUP($N101,Capa!$A:$AE,BF$5,0))))</f>
        <v/>
      </c>
      <c r="BG101" s="118" t="str">
        <f>IF(BG$6="","",IF(BG$3="Maior",IFERROR(IF(VLOOKUP($N101,Capa!$A:$AE,BG$5,0)="",0,VLOOKUP($N101,Capa!$A:$AE,BG$5,0)),0),IF(ISERROR(1/VLOOKUP($N101,Capa!$A:$AE,BG$5,0)),0,1/VLOOKUP($N101,Capa!$A:$AE,BG$5,0))))</f>
        <v/>
      </c>
      <c r="BH101" s="118" t="str">
        <f>IF(BH$6="","",IF(BH$3="Maior",IFERROR(IF(VLOOKUP($N101,Capa!$A:$AE,BH$5,0)="",0,VLOOKUP($N101,Capa!$A:$AE,BH$5,0)),0),IF(ISERROR(1/VLOOKUP($N101,Capa!$A:$AE,BH$5,0)),0,1/VLOOKUP($N101,Capa!$A:$AE,BH$5,0))))</f>
        <v/>
      </c>
      <c r="BI101" s="118" t="str">
        <f>IF(BI$6="","",IF(BI$3="Maior",IFERROR(IF(VLOOKUP($N101,Capa!$A:$AE,BI$5,0)="",0,VLOOKUP($N101,Capa!$A:$AE,BI$5,0)),0),IF(ISERROR(1/VLOOKUP($N101,Capa!$A:$AE,BI$5,0)),0,1/VLOOKUP($N101,Capa!$A:$AE,BI$5,0))))</f>
        <v/>
      </c>
      <c r="BJ101" s="118" t="str">
        <f>IF(BJ$6="","",IF(BJ$3="Maior",IFERROR(IF(VLOOKUP($N101,Capa!$A:$AE,BJ$5,0)="",0,VLOOKUP($N101,Capa!$A:$AE,BJ$5,0)),0),IF(ISERROR(1/VLOOKUP($N101,Capa!$A:$AE,BJ$5,0)),0,1/VLOOKUP($N101,Capa!$A:$AE,BJ$5,0))))</f>
        <v/>
      </c>
      <c r="BK101" s="118" t="str">
        <f>IF(BK$6="","",IF(BK$3="Maior",IFERROR(IF(VLOOKUP($N101,Capa!$A:$AE,BK$5,0)="",0,VLOOKUP($N101,Capa!$A:$AE,BK$5,0)),0),IF(ISERROR(1/VLOOKUP($N101,Capa!$A:$AE,BK$5,0)),0,1/VLOOKUP($N101,Capa!$A:$AE,BK$5,0))))</f>
        <v/>
      </c>
      <c r="BL101" s="118" t="str">
        <f>IF(BL$6="","",IF(BL$3="Maior",IFERROR(IF(VLOOKUP($N101,Capa!$A:$AE,BL$5,0)="",0,VLOOKUP($N101,Capa!$A:$AE,BL$5,0)),0),IF(ISERROR(1/VLOOKUP($N101,Capa!$A:$AE,BL$5,0)),0,1/VLOOKUP($N101,Capa!$A:$AE,BL$5,0))))</f>
        <v/>
      </c>
      <c r="BM101" s="118" t="str">
        <f>IF(BM$6="","",IF(BM$3="Maior",IFERROR(IF(VLOOKUP($N101,Capa!$A:$AE,BM$5,0)="",0,VLOOKUP($N101,Capa!$A:$AE,BM$5,0)),0),IF(ISERROR(1/VLOOKUP($N101,Capa!$A:$AE,BM$5,0)),0,1/VLOOKUP($N101,Capa!$A:$AE,BM$5,0))))</f>
        <v/>
      </c>
      <c r="BN101" s="118" t="str">
        <f>IF(BN$6="","",IF(BN$3="Maior",IFERROR(IF(VLOOKUP($N101,Capa!$A:$AE,BN$5,0)="",0,VLOOKUP($N101,Capa!$A:$AE,BN$5,0)),0),IF(ISERROR(1/VLOOKUP($N101,Capa!$A:$AE,BN$5,0)),0,1/VLOOKUP($N101,Capa!$A:$AE,BN$5,0))))</f>
        <v/>
      </c>
      <c r="BO101" s="92"/>
    </row>
    <row r="102">
      <c r="G102" s="11"/>
      <c r="H102" s="8">
        <v>96.0</v>
      </c>
      <c r="I102" s="110" t="str">
        <f t="shared" si="6"/>
        <v>CSAN3</v>
      </c>
      <c r="J102" s="111" t="str">
        <f>VLOOKUP(left(I102,4),Setor!A:D,3,0)&amp;" | "&amp;VLOOKUP(left(I102,4),Setor!A:D,4,0)</f>
        <v>Petróleo, Gás e Biocombustíveis | Petróleo, Gás e Biocombustíveis</v>
      </c>
      <c r="K102" s="112">
        <f t="shared" si="7"/>
        <v>198114826</v>
      </c>
      <c r="L102" s="11"/>
      <c r="M102" s="11"/>
      <c r="N102" s="10" t="s">
        <v>148</v>
      </c>
      <c r="O102" s="113">
        <f t="shared" si="8"/>
        <v>763.0246</v>
      </c>
      <c r="P102" s="114">
        <f>VLOOKUP(N102,'Dados StatusInvest'!A:Z,26,0)</f>
        <v>54665926.67</v>
      </c>
      <c r="Q102" s="115">
        <f t="shared" si="9"/>
        <v>246.0246</v>
      </c>
      <c r="R102" s="116">
        <f t="shared" ref="R102:AO102" si="105">IF(AQ102="","", RANK(AQ102,AQ$7:AQ$503,0))</f>
        <v>298</v>
      </c>
      <c r="S102" s="115">
        <f t="shared" si="105"/>
        <v>219</v>
      </c>
      <c r="T102" s="115" t="str">
        <f t="shared" si="105"/>
        <v/>
      </c>
      <c r="U102" s="115" t="str">
        <f t="shared" si="105"/>
        <v/>
      </c>
      <c r="V102" s="115" t="str">
        <f t="shared" si="105"/>
        <v/>
      </c>
      <c r="W102" s="115" t="str">
        <f t="shared" si="105"/>
        <v/>
      </c>
      <c r="X102" s="115" t="str">
        <f t="shared" si="105"/>
        <v/>
      </c>
      <c r="Y102" s="115" t="str">
        <f t="shared" si="105"/>
        <v/>
      </c>
      <c r="Z102" s="115" t="str">
        <f t="shared" si="105"/>
        <v/>
      </c>
      <c r="AA102" s="115" t="str">
        <f t="shared" si="105"/>
        <v/>
      </c>
      <c r="AB102" s="115" t="str">
        <f t="shared" si="105"/>
        <v/>
      </c>
      <c r="AC102" s="115" t="str">
        <f t="shared" si="105"/>
        <v/>
      </c>
      <c r="AD102" s="115" t="str">
        <f t="shared" si="105"/>
        <v/>
      </c>
      <c r="AE102" s="115" t="str">
        <f t="shared" si="105"/>
        <v/>
      </c>
      <c r="AF102" s="115" t="str">
        <f t="shared" si="105"/>
        <v/>
      </c>
      <c r="AG102" s="115" t="str">
        <f t="shared" si="105"/>
        <v/>
      </c>
      <c r="AH102" s="115" t="str">
        <f t="shared" si="105"/>
        <v/>
      </c>
      <c r="AI102" s="115" t="str">
        <f t="shared" si="105"/>
        <v/>
      </c>
      <c r="AJ102" s="115" t="str">
        <f t="shared" si="105"/>
        <v/>
      </c>
      <c r="AK102" s="115" t="str">
        <f t="shared" si="105"/>
        <v/>
      </c>
      <c r="AL102" s="115" t="str">
        <f t="shared" si="105"/>
        <v/>
      </c>
      <c r="AM102" s="115" t="str">
        <f t="shared" si="105"/>
        <v/>
      </c>
      <c r="AN102" s="115" t="str">
        <f t="shared" si="105"/>
        <v/>
      </c>
      <c r="AO102" s="115" t="str">
        <f t="shared" si="105"/>
        <v/>
      </c>
      <c r="AP102" s="117">
        <f>IF(AP$6="","",IF(AP$3="Maior",IFERROR(IF(VLOOKUP($N102,Capa!$A:$AE,AP$5,0)="",0,VLOOKUP($N102,Capa!$A:$AE,AP$5,0)),0),IF(ISERROR(1/VLOOKUP($N102,Capa!$A:$AE,AP$5,0)),0,1/VLOOKUP($N102,Capa!$A:$AE,AP$5,0))))</f>
        <v>0.08254535725</v>
      </c>
      <c r="AQ102" s="118">
        <f>IF(AQ$6="","",IF(AQ$3="Maior",IFERROR(IF(VLOOKUP($N102,Capa!$A:$AE,AQ$5,0)="",0,VLOOKUP($N102,Capa!$A:$AE,AQ$5,0)),0),IF(ISERROR(1/VLOOKUP($N102,Capa!$A:$AE,AQ$5,0)),0,1/VLOOKUP($N102,Capa!$A:$AE,AQ$5,0))))</f>
        <v>5</v>
      </c>
      <c r="AR102" s="118">
        <f>IF(AR$6="","",IF(AR$3="Maior",IFERROR(IF(VLOOKUP($N102,Capa!$A:$AE,AR$5,0)="",0,VLOOKUP($N102,Capa!$A:$AE,AR$5,0)),0),IF(ISERROR(1/VLOOKUP($N102,Capa!$A:$AE,AR$5,0)),0,1/VLOOKUP($N102,Capa!$A:$AE,AR$5,0))))</f>
        <v>0</v>
      </c>
      <c r="AS102" s="118" t="str">
        <f>IF(AS$6="","",IF(AS$3="Maior",IFERROR(IF(VLOOKUP($N102,Capa!$A:$AE,AS$5,0)="",0,VLOOKUP($N102,Capa!$A:$AE,AS$5,0)),0),IF(ISERROR(1/VLOOKUP($N102,Capa!$A:$AE,AS$5,0)),0,1/VLOOKUP($N102,Capa!$A:$AE,AS$5,0))))</f>
        <v/>
      </c>
      <c r="AT102" s="118" t="str">
        <f>IF(AT$6="","",IF(AT$3="Maior",IFERROR(IF(VLOOKUP($N102,Capa!$A:$AE,AT$5,0)="",0,VLOOKUP($N102,Capa!$A:$AE,AT$5,0)),0),IF(ISERROR(1/VLOOKUP($N102,Capa!$A:$AE,AT$5,0)),0,1/VLOOKUP($N102,Capa!$A:$AE,AT$5,0))))</f>
        <v/>
      </c>
      <c r="AU102" s="118" t="str">
        <f>IF(AU$6="","",IF(AU$3="Maior",IFERROR(IF(VLOOKUP($N102,Capa!$A:$AE,AU$5,0)="",0,VLOOKUP($N102,Capa!$A:$AE,AU$5,0)),0),IF(ISERROR(1/VLOOKUP($N102,Capa!$A:$AE,AU$5,0)),0,1/VLOOKUP($N102,Capa!$A:$AE,AU$5,0))))</f>
        <v/>
      </c>
      <c r="AV102" s="118" t="str">
        <f>IF(AV$6="","",IF(AV$3="Maior",IFERROR(IF(VLOOKUP($N102,Capa!$A:$AE,AV$5,0)="",0,VLOOKUP($N102,Capa!$A:$AE,AV$5,0)),0),IF(ISERROR(1/VLOOKUP($N102,Capa!$A:$AE,AV$5,0)),0,1/VLOOKUP($N102,Capa!$A:$AE,AV$5,0))))</f>
        <v/>
      </c>
      <c r="AW102" s="118" t="str">
        <f>IF(AW$6="","",IF(AW$3="Maior",IFERROR(IF(VLOOKUP($N102,Capa!$A:$AE,AW$5,0)="",0,VLOOKUP($N102,Capa!$A:$AE,AW$5,0)),0),IF(ISERROR(1/VLOOKUP($N102,Capa!$A:$AE,AW$5,0)),0,1/VLOOKUP($N102,Capa!$A:$AE,AW$5,0))))</f>
        <v/>
      </c>
      <c r="AX102" s="118" t="str">
        <f>IF(AX$6="","",IF(AX$3="Maior",IFERROR(IF(VLOOKUP($N102,Capa!$A:$AE,AX$5,0)="",0,VLOOKUP($N102,Capa!$A:$AE,AX$5,0)),0),IF(ISERROR(1/VLOOKUP($N102,Capa!$A:$AE,AX$5,0)),0,1/VLOOKUP($N102,Capa!$A:$AE,AX$5,0))))</f>
        <v/>
      </c>
      <c r="AY102" s="118" t="str">
        <f>IF(AY$6="","",IF(AY$3="Maior",IFERROR(IF(VLOOKUP($N102,Capa!$A:$AE,AY$5,0)="",0,VLOOKUP($N102,Capa!$A:$AE,AY$5,0)),0),IF(ISERROR(1/VLOOKUP($N102,Capa!$A:$AE,AY$5,0)),0,1/VLOOKUP($N102,Capa!$A:$AE,AY$5,0))))</f>
        <v/>
      </c>
      <c r="AZ102" s="118" t="str">
        <f>IF(AZ$6="","",IF(AZ$3="Maior",IFERROR(IF(VLOOKUP($N102,Capa!$A:$AE,AZ$5,0)="",0,VLOOKUP($N102,Capa!$A:$AE,AZ$5,0)),0),IF(ISERROR(1/VLOOKUP($N102,Capa!$A:$AE,AZ$5,0)),0,1/VLOOKUP($N102,Capa!$A:$AE,AZ$5,0))))</f>
        <v/>
      </c>
      <c r="BA102" s="118" t="str">
        <f>IF(BA$6="","",IF(BA$3="Maior",IFERROR(IF(VLOOKUP($N102,Capa!$A:$AE,BA$5,0)="",0,VLOOKUP($N102,Capa!$A:$AE,BA$5,0)),0),IF(ISERROR(1/VLOOKUP($N102,Capa!$A:$AE,BA$5,0)),0,1/VLOOKUP($N102,Capa!$A:$AE,BA$5,0))))</f>
        <v/>
      </c>
      <c r="BB102" s="118" t="str">
        <f>IF(BB$6="","",IF(BB$3="Maior",IFERROR(IF(VLOOKUP($N102,Capa!$A:$AE,BB$5,0)="",0,VLOOKUP($N102,Capa!$A:$AE,BB$5,0)),0),IF(ISERROR(1/VLOOKUP($N102,Capa!$A:$AE,BB$5,0)),0,1/VLOOKUP($N102,Capa!$A:$AE,BB$5,0))))</f>
        <v/>
      </c>
      <c r="BC102" s="118" t="str">
        <f>IF(BC$6="","",IF(BC$3="Maior",IFERROR(IF(VLOOKUP($N102,Capa!$A:$AE,BC$5,0)="",0,VLOOKUP($N102,Capa!$A:$AE,BC$5,0)),0),IF(ISERROR(1/VLOOKUP($N102,Capa!$A:$AE,BC$5,0)),0,1/VLOOKUP($N102,Capa!$A:$AE,BC$5,0))))</f>
        <v/>
      </c>
      <c r="BD102" s="118" t="str">
        <f>IF(BD$6="","",IF(BD$3="Maior",IFERROR(IF(VLOOKUP($N102,Capa!$A:$AE,BD$5,0)="",0,VLOOKUP($N102,Capa!$A:$AE,BD$5,0)),0),IF(ISERROR(1/VLOOKUP($N102,Capa!$A:$AE,BD$5,0)),0,1/VLOOKUP($N102,Capa!$A:$AE,BD$5,0))))</f>
        <v/>
      </c>
      <c r="BE102" s="118" t="str">
        <f>IF(BE$6="","",IF(BE$3="Maior",IFERROR(IF(VLOOKUP($N102,Capa!$A:$AE,BE$5,0)="",0,VLOOKUP($N102,Capa!$A:$AE,BE$5,0)),0),IF(ISERROR(1/VLOOKUP($N102,Capa!$A:$AE,BE$5,0)),0,1/VLOOKUP($N102,Capa!$A:$AE,BE$5,0))))</f>
        <v/>
      </c>
      <c r="BF102" s="118" t="str">
        <f>IF(BF$6="","",IF(BF$3="Maior",IFERROR(IF(VLOOKUP($N102,Capa!$A:$AE,BF$5,0)="",0,VLOOKUP($N102,Capa!$A:$AE,BF$5,0)),0),IF(ISERROR(1/VLOOKUP($N102,Capa!$A:$AE,BF$5,0)),0,1/VLOOKUP($N102,Capa!$A:$AE,BF$5,0))))</f>
        <v/>
      </c>
      <c r="BG102" s="118" t="str">
        <f>IF(BG$6="","",IF(BG$3="Maior",IFERROR(IF(VLOOKUP($N102,Capa!$A:$AE,BG$5,0)="",0,VLOOKUP($N102,Capa!$A:$AE,BG$5,0)),0),IF(ISERROR(1/VLOOKUP($N102,Capa!$A:$AE,BG$5,0)),0,1/VLOOKUP($N102,Capa!$A:$AE,BG$5,0))))</f>
        <v/>
      </c>
      <c r="BH102" s="118" t="str">
        <f>IF(BH$6="","",IF(BH$3="Maior",IFERROR(IF(VLOOKUP($N102,Capa!$A:$AE,BH$5,0)="",0,VLOOKUP($N102,Capa!$A:$AE,BH$5,0)),0),IF(ISERROR(1/VLOOKUP($N102,Capa!$A:$AE,BH$5,0)),0,1/VLOOKUP($N102,Capa!$A:$AE,BH$5,0))))</f>
        <v/>
      </c>
      <c r="BI102" s="118" t="str">
        <f>IF(BI$6="","",IF(BI$3="Maior",IFERROR(IF(VLOOKUP($N102,Capa!$A:$AE,BI$5,0)="",0,VLOOKUP($N102,Capa!$A:$AE,BI$5,0)),0),IF(ISERROR(1/VLOOKUP($N102,Capa!$A:$AE,BI$5,0)),0,1/VLOOKUP($N102,Capa!$A:$AE,BI$5,0))))</f>
        <v/>
      </c>
      <c r="BJ102" s="118" t="str">
        <f>IF(BJ$6="","",IF(BJ$3="Maior",IFERROR(IF(VLOOKUP($N102,Capa!$A:$AE,BJ$5,0)="",0,VLOOKUP($N102,Capa!$A:$AE,BJ$5,0)),0),IF(ISERROR(1/VLOOKUP($N102,Capa!$A:$AE,BJ$5,0)),0,1/VLOOKUP($N102,Capa!$A:$AE,BJ$5,0))))</f>
        <v/>
      </c>
      <c r="BK102" s="118" t="str">
        <f>IF(BK$6="","",IF(BK$3="Maior",IFERROR(IF(VLOOKUP($N102,Capa!$A:$AE,BK$5,0)="",0,VLOOKUP($N102,Capa!$A:$AE,BK$5,0)),0),IF(ISERROR(1/VLOOKUP($N102,Capa!$A:$AE,BK$5,0)),0,1/VLOOKUP($N102,Capa!$A:$AE,BK$5,0))))</f>
        <v/>
      </c>
      <c r="BL102" s="118" t="str">
        <f>IF(BL$6="","",IF(BL$3="Maior",IFERROR(IF(VLOOKUP($N102,Capa!$A:$AE,BL$5,0)="",0,VLOOKUP($N102,Capa!$A:$AE,BL$5,0)),0),IF(ISERROR(1/VLOOKUP($N102,Capa!$A:$AE,BL$5,0)),0,1/VLOOKUP($N102,Capa!$A:$AE,BL$5,0))))</f>
        <v/>
      </c>
      <c r="BM102" s="118" t="str">
        <f>IF(BM$6="","",IF(BM$3="Maior",IFERROR(IF(VLOOKUP($N102,Capa!$A:$AE,BM$5,0)="",0,VLOOKUP($N102,Capa!$A:$AE,BM$5,0)),0),IF(ISERROR(1/VLOOKUP($N102,Capa!$A:$AE,BM$5,0)),0,1/VLOOKUP($N102,Capa!$A:$AE,BM$5,0))))</f>
        <v/>
      </c>
      <c r="BN102" s="118" t="str">
        <f>IF(BN$6="","",IF(BN$3="Maior",IFERROR(IF(VLOOKUP($N102,Capa!$A:$AE,BN$5,0)="",0,VLOOKUP($N102,Capa!$A:$AE,BN$5,0)),0),IF(ISERROR(1/VLOOKUP($N102,Capa!$A:$AE,BN$5,0)),0,1/VLOOKUP($N102,Capa!$A:$AE,BN$5,0))))</f>
        <v/>
      </c>
      <c r="BO102" s="92"/>
    </row>
    <row r="103">
      <c r="G103" s="11"/>
      <c r="H103" s="8">
        <v>97.0</v>
      </c>
      <c r="I103" s="110" t="str">
        <f t="shared" si="6"/>
        <v>TPIS3</v>
      </c>
      <c r="J103" s="111" t="str">
        <f>VLOOKUP(left(I103,4),Setor!A:D,3,0)&amp;" | "&amp;VLOOKUP(left(I103,4),Setor!A:D,4,0)</f>
        <v>Bens Industriais | Transporte</v>
      </c>
      <c r="K103" s="112">
        <f t="shared" si="7"/>
        <v>13004360.33</v>
      </c>
      <c r="L103" s="11"/>
      <c r="M103" s="11"/>
      <c r="N103" s="10" t="s">
        <v>149</v>
      </c>
      <c r="O103" s="113">
        <f t="shared" si="8"/>
        <v>291.0135</v>
      </c>
      <c r="P103" s="114">
        <f>VLOOKUP(N103,'Dados StatusInvest'!A:Z,26,0)</f>
        <v>68049028.75</v>
      </c>
      <c r="Q103" s="115">
        <f t="shared" si="9"/>
        <v>135.0135</v>
      </c>
      <c r="R103" s="116">
        <f t="shared" ref="R103:AO103" si="106">IF(AQ103="","", RANK(AQ103,AQ$7:AQ$503,0))</f>
        <v>109</v>
      </c>
      <c r="S103" s="115">
        <f t="shared" si="106"/>
        <v>47</v>
      </c>
      <c r="T103" s="115" t="str">
        <f t="shared" si="106"/>
        <v/>
      </c>
      <c r="U103" s="115" t="str">
        <f t="shared" si="106"/>
        <v/>
      </c>
      <c r="V103" s="115" t="str">
        <f t="shared" si="106"/>
        <v/>
      </c>
      <c r="W103" s="115" t="str">
        <f t="shared" si="106"/>
        <v/>
      </c>
      <c r="X103" s="115" t="str">
        <f t="shared" si="106"/>
        <v/>
      </c>
      <c r="Y103" s="115" t="str">
        <f t="shared" si="106"/>
        <v/>
      </c>
      <c r="Z103" s="115" t="str">
        <f t="shared" si="106"/>
        <v/>
      </c>
      <c r="AA103" s="115" t="str">
        <f t="shared" si="106"/>
        <v/>
      </c>
      <c r="AB103" s="115" t="str">
        <f t="shared" si="106"/>
        <v/>
      </c>
      <c r="AC103" s="115" t="str">
        <f t="shared" si="106"/>
        <v/>
      </c>
      <c r="AD103" s="115" t="str">
        <f t="shared" si="106"/>
        <v/>
      </c>
      <c r="AE103" s="115" t="str">
        <f t="shared" si="106"/>
        <v/>
      </c>
      <c r="AF103" s="115" t="str">
        <f t="shared" si="106"/>
        <v/>
      </c>
      <c r="AG103" s="115" t="str">
        <f t="shared" si="106"/>
        <v/>
      </c>
      <c r="AH103" s="115" t="str">
        <f t="shared" si="106"/>
        <v/>
      </c>
      <c r="AI103" s="115" t="str">
        <f t="shared" si="106"/>
        <v/>
      </c>
      <c r="AJ103" s="115" t="str">
        <f t="shared" si="106"/>
        <v/>
      </c>
      <c r="AK103" s="115" t="str">
        <f t="shared" si="106"/>
        <v/>
      </c>
      <c r="AL103" s="115" t="str">
        <f t="shared" si="106"/>
        <v/>
      </c>
      <c r="AM103" s="115" t="str">
        <f t="shared" si="106"/>
        <v/>
      </c>
      <c r="AN103" s="115" t="str">
        <f t="shared" si="106"/>
        <v/>
      </c>
      <c r="AO103" s="115" t="str">
        <f t="shared" si="106"/>
        <v/>
      </c>
      <c r="AP103" s="117">
        <f>IF(AP$6="","",IF(AP$3="Maior",IFERROR(IF(VLOOKUP($N103,Capa!$A:$AE,AP$5,0)="",0,VLOOKUP($N103,Capa!$A:$AE,AP$5,0)),0),IF(ISERROR(1/VLOOKUP($N103,Capa!$A:$AE,AP$5,0)),0,1/VLOOKUP($N103,Capa!$A:$AE,AP$5,0))))</f>
        <v>0.1426139416</v>
      </c>
      <c r="AQ103" s="118">
        <f>IF(AQ$6="","",IF(AQ$3="Maior",IFERROR(IF(VLOOKUP($N103,Capa!$A:$AE,AQ$5,0)="",0,VLOOKUP($N103,Capa!$A:$AE,AQ$5,0)),0),IF(ISERROR(1/VLOOKUP($N103,Capa!$A:$AE,AQ$5,0)),0,1/VLOOKUP($N103,Capa!$A:$AE,AQ$5,0))))</f>
        <v>16.75</v>
      </c>
      <c r="AR103" s="118">
        <f>IF(AR$6="","",IF(AR$3="Maior",IFERROR(IF(VLOOKUP($N103,Capa!$A:$AE,AR$5,0)="",0,VLOOKUP($N103,Capa!$A:$AE,AR$5,0)),0),IF(ISERROR(1/VLOOKUP($N103,Capa!$A:$AE,AR$5,0)),0,1/VLOOKUP($N103,Capa!$A:$AE,AR$5,0))))</f>
        <v>49.7</v>
      </c>
      <c r="AS103" s="118" t="str">
        <f>IF(AS$6="","",IF(AS$3="Maior",IFERROR(IF(VLOOKUP($N103,Capa!$A:$AE,AS$5,0)="",0,VLOOKUP($N103,Capa!$A:$AE,AS$5,0)),0),IF(ISERROR(1/VLOOKUP($N103,Capa!$A:$AE,AS$5,0)),0,1/VLOOKUP($N103,Capa!$A:$AE,AS$5,0))))</f>
        <v/>
      </c>
      <c r="AT103" s="118" t="str">
        <f>IF(AT$6="","",IF(AT$3="Maior",IFERROR(IF(VLOOKUP($N103,Capa!$A:$AE,AT$5,0)="",0,VLOOKUP($N103,Capa!$A:$AE,AT$5,0)),0),IF(ISERROR(1/VLOOKUP($N103,Capa!$A:$AE,AT$5,0)),0,1/VLOOKUP($N103,Capa!$A:$AE,AT$5,0))))</f>
        <v/>
      </c>
      <c r="AU103" s="118" t="str">
        <f>IF(AU$6="","",IF(AU$3="Maior",IFERROR(IF(VLOOKUP($N103,Capa!$A:$AE,AU$5,0)="",0,VLOOKUP($N103,Capa!$A:$AE,AU$5,0)),0),IF(ISERROR(1/VLOOKUP($N103,Capa!$A:$AE,AU$5,0)),0,1/VLOOKUP($N103,Capa!$A:$AE,AU$5,0))))</f>
        <v/>
      </c>
      <c r="AV103" s="118" t="str">
        <f>IF(AV$6="","",IF(AV$3="Maior",IFERROR(IF(VLOOKUP($N103,Capa!$A:$AE,AV$5,0)="",0,VLOOKUP($N103,Capa!$A:$AE,AV$5,0)),0),IF(ISERROR(1/VLOOKUP($N103,Capa!$A:$AE,AV$5,0)),0,1/VLOOKUP($N103,Capa!$A:$AE,AV$5,0))))</f>
        <v/>
      </c>
      <c r="AW103" s="118" t="str">
        <f>IF(AW$6="","",IF(AW$3="Maior",IFERROR(IF(VLOOKUP($N103,Capa!$A:$AE,AW$5,0)="",0,VLOOKUP($N103,Capa!$A:$AE,AW$5,0)),0),IF(ISERROR(1/VLOOKUP($N103,Capa!$A:$AE,AW$5,0)),0,1/VLOOKUP($N103,Capa!$A:$AE,AW$5,0))))</f>
        <v/>
      </c>
      <c r="AX103" s="118" t="str">
        <f>IF(AX$6="","",IF(AX$3="Maior",IFERROR(IF(VLOOKUP($N103,Capa!$A:$AE,AX$5,0)="",0,VLOOKUP($N103,Capa!$A:$AE,AX$5,0)),0),IF(ISERROR(1/VLOOKUP($N103,Capa!$A:$AE,AX$5,0)),0,1/VLOOKUP($N103,Capa!$A:$AE,AX$5,0))))</f>
        <v/>
      </c>
      <c r="AY103" s="118" t="str">
        <f>IF(AY$6="","",IF(AY$3="Maior",IFERROR(IF(VLOOKUP($N103,Capa!$A:$AE,AY$5,0)="",0,VLOOKUP($N103,Capa!$A:$AE,AY$5,0)),0),IF(ISERROR(1/VLOOKUP($N103,Capa!$A:$AE,AY$5,0)),0,1/VLOOKUP($N103,Capa!$A:$AE,AY$5,0))))</f>
        <v/>
      </c>
      <c r="AZ103" s="118" t="str">
        <f>IF(AZ$6="","",IF(AZ$3="Maior",IFERROR(IF(VLOOKUP($N103,Capa!$A:$AE,AZ$5,0)="",0,VLOOKUP($N103,Capa!$A:$AE,AZ$5,0)),0),IF(ISERROR(1/VLOOKUP($N103,Capa!$A:$AE,AZ$5,0)),0,1/VLOOKUP($N103,Capa!$A:$AE,AZ$5,0))))</f>
        <v/>
      </c>
      <c r="BA103" s="118" t="str">
        <f>IF(BA$6="","",IF(BA$3="Maior",IFERROR(IF(VLOOKUP($N103,Capa!$A:$AE,BA$5,0)="",0,VLOOKUP($N103,Capa!$A:$AE,BA$5,0)),0),IF(ISERROR(1/VLOOKUP($N103,Capa!$A:$AE,BA$5,0)),0,1/VLOOKUP($N103,Capa!$A:$AE,BA$5,0))))</f>
        <v/>
      </c>
      <c r="BB103" s="118" t="str">
        <f>IF(BB$6="","",IF(BB$3="Maior",IFERROR(IF(VLOOKUP($N103,Capa!$A:$AE,BB$5,0)="",0,VLOOKUP($N103,Capa!$A:$AE,BB$5,0)),0),IF(ISERROR(1/VLOOKUP($N103,Capa!$A:$AE,BB$5,0)),0,1/VLOOKUP($N103,Capa!$A:$AE,BB$5,0))))</f>
        <v/>
      </c>
      <c r="BC103" s="118" t="str">
        <f>IF(BC$6="","",IF(BC$3="Maior",IFERROR(IF(VLOOKUP($N103,Capa!$A:$AE,BC$5,0)="",0,VLOOKUP($N103,Capa!$A:$AE,BC$5,0)),0),IF(ISERROR(1/VLOOKUP($N103,Capa!$A:$AE,BC$5,0)),0,1/VLOOKUP($N103,Capa!$A:$AE,BC$5,0))))</f>
        <v/>
      </c>
      <c r="BD103" s="118" t="str">
        <f>IF(BD$6="","",IF(BD$3="Maior",IFERROR(IF(VLOOKUP($N103,Capa!$A:$AE,BD$5,0)="",0,VLOOKUP($N103,Capa!$A:$AE,BD$5,0)),0),IF(ISERROR(1/VLOOKUP($N103,Capa!$A:$AE,BD$5,0)),0,1/VLOOKUP($N103,Capa!$A:$AE,BD$5,0))))</f>
        <v/>
      </c>
      <c r="BE103" s="118" t="str">
        <f>IF(BE$6="","",IF(BE$3="Maior",IFERROR(IF(VLOOKUP($N103,Capa!$A:$AE,BE$5,0)="",0,VLOOKUP($N103,Capa!$A:$AE,BE$5,0)),0),IF(ISERROR(1/VLOOKUP($N103,Capa!$A:$AE,BE$5,0)),0,1/VLOOKUP($N103,Capa!$A:$AE,BE$5,0))))</f>
        <v/>
      </c>
      <c r="BF103" s="118" t="str">
        <f>IF(BF$6="","",IF(BF$3="Maior",IFERROR(IF(VLOOKUP($N103,Capa!$A:$AE,BF$5,0)="",0,VLOOKUP($N103,Capa!$A:$AE,BF$5,0)),0),IF(ISERROR(1/VLOOKUP($N103,Capa!$A:$AE,BF$5,0)),0,1/VLOOKUP($N103,Capa!$A:$AE,BF$5,0))))</f>
        <v/>
      </c>
      <c r="BG103" s="118" t="str">
        <f>IF(BG$6="","",IF(BG$3="Maior",IFERROR(IF(VLOOKUP($N103,Capa!$A:$AE,BG$5,0)="",0,VLOOKUP($N103,Capa!$A:$AE,BG$5,0)),0),IF(ISERROR(1/VLOOKUP($N103,Capa!$A:$AE,BG$5,0)),0,1/VLOOKUP($N103,Capa!$A:$AE,BG$5,0))))</f>
        <v/>
      </c>
      <c r="BH103" s="118" t="str">
        <f>IF(BH$6="","",IF(BH$3="Maior",IFERROR(IF(VLOOKUP($N103,Capa!$A:$AE,BH$5,0)="",0,VLOOKUP($N103,Capa!$A:$AE,BH$5,0)),0),IF(ISERROR(1/VLOOKUP($N103,Capa!$A:$AE,BH$5,0)),0,1/VLOOKUP($N103,Capa!$A:$AE,BH$5,0))))</f>
        <v/>
      </c>
      <c r="BI103" s="118" t="str">
        <f>IF(BI$6="","",IF(BI$3="Maior",IFERROR(IF(VLOOKUP($N103,Capa!$A:$AE,BI$5,0)="",0,VLOOKUP($N103,Capa!$A:$AE,BI$5,0)),0),IF(ISERROR(1/VLOOKUP($N103,Capa!$A:$AE,BI$5,0)),0,1/VLOOKUP($N103,Capa!$A:$AE,BI$5,0))))</f>
        <v/>
      </c>
      <c r="BJ103" s="118" t="str">
        <f>IF(BJ$6="","",IF(BJ$3="Maior",IFERROR(IF(VLOOKUP($N103,Capa!$A:$AE,BJ$5,0)="",0,VLOOKUP($N103,Capa!$A:$AE,BJ$5,0)),0),IF(ISERROR(1/VLOOKUP($N103,Capa!$A:$AE,BJ$5,0)),0,1/VLOOKUP($N103,Capa!$A:$AE,BJ$5,0))))</f>
        <v/>
      </c>
      <c r="BK103" s="118" t="str">
        <f>IF(BK$6="","",IF(BK$3="Maior",IFERROR(IF(VLOOKUP($N103,Capa!$A:$AE,BK$5,0)="",0,VLOOKUP($N103,Capa!$A:$AE,BK$5,0)),0),IF(ISERROR(1/VLOOKUP($N103,Capa!$A:$AE,BK$5,0)),0,1/VLOOKUP($N103,Capa!$A:$AE,BK$5,0))))</f>
        <v/>
      </c>
      <c r="BL103" s="118" t="str">
        <f>IF(BL$6="","",IF(BL$3="Maior",IFERROR(IF(VLOOKUP($N103,Capa!$A:$AE,BL$5,0)="",0,VLOOKUP($N103,Capa!$A:$AE,BL$5,0)),0),IF(ISERROR(1/VLOOKUP($N103,Capa!$A:$AE,BL$5,0)),0,1/VLOOKUP($N103,Capa!$A:$AE,BL$5,0))))</f>
        <v/>
      </c>
      <c r="BM103" s="118" t="str">
        <f>IF(BM$6="","",IF(BM$3="Maior",IFERROR(IF(VLOOKUP($N103,Capa!$A:$AE,BM$5,0)="",0,VLOOKUP($N103,Capa!$A:$AE,BM$5,0)),0),IF(ISERROR(1/VLOOKUP($N103,Capa!$A:$AE,BM$5,0)),0,1/VLOOKUP($N103,Capa!$A:$AE,BM$5,0))))</f>
        <v/>
      </c>
      <c r="BN103" s="118" t="str">
        <f>IF(BN$6="","",IF(BN$3="Maior",IFERROR(IF(VLOOKUP($N103,Capa!$A:$AE,BN$5,0)="",0,VLOOKUP($N103,Capa!$A:$AE,BN$5,0)),0),IF(ISERROR(1/VLOOKUP($N103,Capa!$A:$AE,BN$5,0)),0,1/VLOOKUP($N103,Capa!$A:$AE,BN$5,0))))</f>
        <v/>
      </c>
      <c r="BO103" s="92"/>
    </row>
    <row r="104">
      <c r="G104" s="11"/>
      <c r="H104" s="8">
        <v>98.0</v>
      </c>
      <c r="I104" s="110" t="str">
        <f t="shared" si="6"/>
        <v>BRSR6</v>
      </c>
      <c r="J104" s="111" t="str">
        <f>VLOOKUP(left(I104,4),Setor!A:D,3,0)&amp;" | "&amp;VLOOKUP(left(I104,4),Setor!A:D,4,0)</f>
        <v>Financeiro | Intermediários Financeiros</v>
      </c>
      <c r="K104" s="112">
        <f t="shared" si="7"/>
        <v>21119588.79</v>
      </c>
      <c r="L104" s="11"/>
      <c r="M104" s="11"/>
      <c r="N104" s="10" t="s">
        <v>150</v>
      </c>
      <c r="O104" s="113">
        <f t="shared" si="8"/>
        <v>402.0146</v>
      </c>
      <c r="P104" s="114">
        <f>VLOOKUP(N104,'Dados StatusInvest'!A:Z,26,0)</f>
        <v>58890338.46</v>
      </c>
      <c r="Q104" s="115">
        <f t="shared" si="9"/>
        <v>146.0146</v>
      </c>
      <c r="R104" s="116">
        <f t="shared" ref="R104:AO104" si="107">IF(AQ104="","", RANK(AQ104,AQ$7:AQ$503,0))</f>
        <v>82</v>
      </c>
      <c r="S104" s="115">
        <f t="shared" si="107"/>
        <v>174</v>
      </c>
      <c r="T104" s="115" t="str">
        <f t="shared" si="107"/>
        <v/>
      </c>
      <c r="U104" s="115" t="str">
        <f t="shared" si="107"/>
        <v/>
      </c>
      <c r="V104" s="115" t="str">
        <f t="shared" si="107"/>
        <v/>
      </c>
      <c r="W104" s="115" t="str">
        <f t="shared" si="107"/>
        <v/>
      </c>
      <c r="X104" s="115" t="str">
        <f t="shared" si="107"/>
        <v/>
      </c>
      <c r="Y104" s="115" t="str">
        <f t="shared" si="107"/>
        <v/>
      </c>
      <c r="Z104" s="115" t="str">
        <f t="shared" si="107"/>
        <v/>
      </c>
      <c r="AA104" s="115" t="str">
        <f t="shared" si="107"/>
        <v/>
      </c>
      <c r="AB104" s="115" t="str">
        <f t="shared" si="107"/>
        <v/>
      </c>
      <c r="AC104" s="115" t="str">
        <f t="shared" si="107"/>
        <v/>
      </c>
      <c r="AD104" s="115" t="str">
        <f t="shared" si="107"/>
        <v/>
      </c>
      <c r="AE104" s="115" t="str">
        <f t="shared" si="107"/>
        <v/>
      </c>
      <c r="AF104" s="115" t="str">
        <f t="shared" si="107"/>
        <v/>
      </c>
      <c r="AG104" s="115" t="str">
        <f t="shared" si="107"/>
        <v/>
      </c>
      <c r="AH104" s="115" t="str">
        <f t="shared" si="107"/>
        <v/>
      </c>
      <c r="AI104" s="115" t="str">
        <f t="shared" si="107"/>
        <v/>
      </c>
      <c r="AJ104" s="115" t="str">
        <f t="shared" si="107"/>
        <v/>
      </c>
      <c r="AK104" s="115" t="str">
        <f t="shared" si="107"/>
        <v/>
      </c>
      <c r="AL104" s="115" t="str">
        <f t="shared" si="107"/>
        <v/>
      </c>
      <c r="AM104" s="115" t="str">
        <f t="shared" si="107"/>
        <v/>
      </c>
      <c r="AN104" s="115" t="str">
        <f t="shared" si="107"/>
        <v/>
      </c>
      <c r="AO104" s="115" t="str">
        <f t="shared" si="107"/>
        <v/>
      </c>
      <c r="AP104" s="117">
        <f>IF(AP$6="","",IF(AP$3="Maior",IFERROR(IF(VLOOKUP($N104,Capa!$A:$AE,AP$5,0)="",0,VLOOKUP($N104,Capa!$A:$AE,AP$5,0)),0),IF(ISERROR(1/VLOOKUP($N104,Capa!$A:$AE,AP$5,0)),0,1/VLOOKUP($N104,Capa!$A:$AE,AP$5,0))))</f>
        <v>0.1344212785</v>
      </c>
      <c r="AQ104" s="118">
        <f>IF(AQ$6="","",IF(AQ$3="Maior",IFERROR(IF(VLOOKUP($N104,Capa!$A:$AE,AQ$5,0)="",0,VLOOKUP($N104,Capa!$A:$AE,AQ$5,0)),0),IF(ISERROR(1/VLOOKUP($N104,Capa!$A:$AE,AQ$5,0)),0,1/VLOOKUP($N104,Capa!$A:$AE,AQ$5,0))))</f>
        <v>19.9</v>
      </c>
      <c r="AR104" s="118">
        <f>IF(AR$6="","",IF(AR$3="Maior",IFERROR(IF(VLOOKUP($N104,Capa!$A:$AE,AR$5,0)="",0,VLOOKUP($N104,Capa!$A:$AE,AR$5,0)),0),IF(ISERROR(1/VLOOKUP($N104,Capa!$A:$AE,AR$5,0)),0,1/VLOOKUP($N104,Capa!$A:$AE,AR$5,0))))</f>
        <v>9.55</v>
      </c>
      <c r="AS104" s="118" t="str">
        <f>IF(AS$6="","",IF(AS$3="Maior",IFERROR(IF(VLOOKUP($N104,Capa!$A:$AE,AS$5,0)="",0,VLOOKUP($N104,Capa!$A:$AE,AS$5,0)),0),IF(ISERROR(1/VLOOKUP($N104,Capa!$A:$AE,AS$5,0)),0,1/VLOOKUP($N104,Capa!$A:$AE,AS$5,0))))</f>
        <v/>
      </c>
      <c r="AT104" s="118" t="str">
        <f>IF(AT$6="","",IF(AT$3="Maior",IFERROR(IF(VLOOKUP($N104,Capa!$A:$AE,AT$5,0)="",0,VLOOKUP($N104,Capa!$A:$AE,AT$5,0)),0),IF(ISERROR(1/VLOOKUP($N104,Capa!$A:$AE,AT$5,0)),0,1/VLOOKUP($N104,Capa!$A:$AE,AT$5,0))))</f>
        <v/>
      </c>
      <c r="AU104" s="118" t="str">
        <f>IF(AU$6="","",IF(AU$3="Maior",IFERROR(IF(VLOOKUP($N104,Capa!$A:$AE,AU$5,0)="",0,VLOOKUP($N104,Capa!$A:$AE,AU$5,0)),0),IF(ISERROR(1/VLOOKUP($N104,Capa!$A:$AE,AU$5,0)),0,1/VLOOKUP($N104,Capa!$A:$AE,AU$5,0))))</f>
        <v/>
      </c>
      <c r="AV104" s="118" t="str">
        <f>IF(AV$6="","",IF(AV$3="Maior",IFERROR(IF(VLOOKUP($N104,Capa!$A:$AE,AV$5,0)="",0,VLOOKUP($N104,Capa!$A:$AE,AV$5,0)),0),IF(ISERROR(1/VLOOKUP($N104,Capa!$A:$AE,AV$5,0)),0,1/VLOOKUP($N104,Capa!$A:$AE,AV$5,0))))</f>
        <v/>
      </c>
      <c r="AW104" s="118" t="str">
        <f>IF(AW$6="","",IF(AW$3="Maior",IFERROR(IF(VLOOKUP($N104,Capa!$A:$AE,AW$5,0)="",0,VLOOKUP($N104,Capa!$A:$AE,AW$5,0)),0),IF(ISERROR(1/VLOOKUP($N104,Capa!$A:$AE,AW$5,0)),0,1/VLOOKUP($N104,Capa!$A:$AE,AW$5,0))))</f>
        <v/>
      </c>
      <c r="AX104" s="118" t="str">
        <f>IF(AX$6="","",IF(AX$3="Maior",IFERROR(IF(VLOOKUP($N104,Capa!$A:$AE,AX$5,0)="",0,VLOOKUP($N104,Capa!$A:$AE,AX$5,0)),0),IF(ISERROR(1/VLOOKUP($N104,Capa!$A:$AE,AX$5,0)),0,1/VLOOKUP($N104,Capa!$A:$AE,AX$5,0))))</f>
        <v/>
      </c>
      <c r="AY104" s="118" t="str">
        <f>IF(AY$6="","",IF(AY$3="Maior",IFERROR(IF(VLOOKUP($N104,Capa!$A:$AE,AY$5,0)="",0,VLOOKUP($N104,Capa!$A:$AE,AY$5,0)),0),IF(ISERROR(1/VLOOKUP($N104,Capa!$A:$AE,AY$5,0)),0,1/VLOOKUP($N104,Capa!$A:$AE,AY$5,0))))</f>
        <v/>
      </c>
      <c r="AZ104" s="118" t="str">
        <f>IF(AZ$6="","",IF(AZ$3="Maior",IFERROR(IF(VLOOKUP($N104,Capa!$A:$AE,AZ$5,0)="",0,VLOOKUP($N104,Capa!$A:$AE,AZ$5,0)),0),IF(ISERROR(1/VLOOKUP($N104,Capa!$A:$AE,AZ$5,0)),0,1/VLOOKUP($N104,Capa!$A:$AE,AZ$5,0))))</f>
        <v/>
      </c>
      <c r="BA104" s="118" t="str">
        <f>IF(BA$6="","",IF(BA$3="Maior",IFERROR(IF(VLOOKUP($N104,Capa!$A:$AE,BA$5,0)="",0,VLOOKUP($N104,Capa!$A:$AE,BA$5,0)),0),IF(ISERROR(1/VLOOKUP($N104,Capa!$A:$AE,BA$5,0)),0,1/VLOOKUP($N104,Capa!$A:$AE,BA$5,0))))</f>
        <v/>
      </c>
      <c r="BB104" s="118" t="str">
        <f>IF(BB$6="","",IF(BB$3="Maior",IFERROR(IF(VLOOKUP($N104,Capa!$A:$AE,BB$5,0)="",0,VLOOKUP($N104,Capa!$A:$AE,BB$5,0)),0),IF(ISERROR(1/VLOOKUP($N104,Capa!$A:$AE,BB$5,0)),0,1/VLOOKUP($N104,Capa!$A:$AE,BB$5,0))))</f>
        <v/>
      </c>
      <c r="BC104" s="118" t="str">
        <f>IF(BC$6="","",IF(BC$3="Maior",IFERROR(IF(VLOOKUP($N104,Capa!$A:$AE,BC$5,0)="",0,VLOOKUP($N104,Capa!$A:$AE,BC$5,0)),0),IF(ISERROR(1/VLOOKUP($N104,Capa!$A:$AE,BC$5,0)),0,1/VLOOKUP($N104,Capa!$A:$AE,BC$5,0))))</f>
        <v/>
      </c>
      <c r="BD104" s="118" t="str">
        <f>IF(BD$6="","",IF(BD$3="Maior",IFERROR(IF(VLOOKUP($N104,Capa!$A:$AE,BD$5,0)="",0,VLOOKUP($N104,Capa!$A:$AE,BD$5,0)),0),IF(ISERROR(1/VLOOKUP($N104,Capa!$A:$AE,BD$5,0)),0,1/VLOOKUP($N104,Capa!$A:$AE,BD$5,0))))</f>
        <v/>
      </c>
      <c r="BE104" s="118" t="str">
        <f>IF(BE$6="","",IF(BE$3="Maior",IFERROR(IF(VLOOKUP($N104,Capa!$A:$AE,BE$5,0)="",0,VLOOKUP($N104,Capa!$A:$AE,BE$5,0)),0),IF(ISERROR(1/VLOOKUP($N104,Capa!$A:$AE,BE$5,0)),0,1/VLOOKUP($N104,Capa!$A:$AE,BE$5,0))))</f>
        <v/>
      </c>
      <c r="BF104" s="118" t="str">
        <f>IF(BF$6="","",IF(BF$3="Maior",IFERROR(IF(VLOOKUP($N104,Capa!$A:$AE,BF$5,0)="",0,VLOOKUP($N104,Capa!$A:$AE,BF$5,0)),0),IF(ISERROR(1/VLOOKUP($N104,Capa!$A:$AE,BF$5,0)),0,1/VLOOKUP($N104,Capa!$A:$AE,BF$5,0))))</f>
        <v/>
      </c>
      <c r="BG104" s="118" t="str">
        <f>IF(BG$6="","",IF(BG$3="Maior",IFERROR(IF(VLOOKUP($N104,Capa!$A:$AE,BG$5,0)="",0,VLOOKUP($N104,Capa!$A:$AE,BG$5,0)),0),IF(ISERROR(1/VLOOKUP($N104,Capa!$A:$AE,BG$5,0)),0,1/VLOOKUP($N104,Capa!$A:$AE,BG$5,0))))</f>
        <v/>
      </c>
      <c r="BH104" s="118" t="str">
        <f>IF(BH$6="","",IF(BH$3="Maior",IFERROR(IF(VLOOKUP($N104,Capa!$A:$AE,BH$5,0)="",0,VLOOKUP($N104,Capa!$A:$AE,BH$5,0)),0),IF(ISERROR(1/VLOOKUP($N104,Capa!$A:$AE,BH$5,0)),0,1/VLOOKUP($N104,Capa!$A:$AE,BH$5,0))))</f>
        <v/>
      </c>
      <c r="BI104" s="118" t="str">
        <f>IF(BI$6="","",IF(BI$3="Maior",IFERROR(IF(VLOOKUP($N104,Capa!$A:$AE,BI$5,0)="",0,VLOOKUP($N104,Capa!$A:$AE,BI$5,0)),0),IF(ISERROR(1/VLOOKUP($N104,Capa!$A:$AE,BI$5,0)),0,1/VLOOKUP($N104,Capa!$A:$AE,BI$5,0))))</f>
        <v/>
      </c>
      <c r="BJ104" s="118" t="str">
        <f>IF(BJ$6="","",IF(BJ$3="Maior",IFERROR(IF(VLOOKUP($N104,Capa!$A:$AE,BJ$5,0)="",0,VLOOKUP($N104,Capa!$A:$AE,BJ$5,0)),0),IF(ISERROR(1/VLOOKUP($N104,Capa!$A:$AE,BJ$5,0)),0,1/VLOOKUP($N104,Capa!$A:$AE,BJ$5,0))))</f>
        <v/>
      </c>
      <c r="BK104" s="118" t="str">
        <f>IF(BK$6="","",IF(BK$3="Maior",IFERROR(IF(VLOOKUP($N104,Capa!$A:$AE,BK$5,0)="",0,VLOOKUP($N104,Capa!$A:$AE,BK$5,0)),0),IF(ISERROR(1/VLOOKUP($N104,Capa!$A:$AE,BK$5,0)),0,1/VLOOKUP($N104,Capa!$A:$AE,BK$5,0))))</f>
        <v/>
      </c>
      <c r="BL104" s="118" t="str">
        <f>IF(BL$6="","",IF(BL$3="Maior",IFERROR(IF(VLOOKUP($N104,Capa!$A:$AE,BL$5,0)="",0,VLOOKUP($N104,Capa!$A:$AE,BL$5,0)),0),IF(ISERROR(1/VLOOKUP($N104,Capa!$A:$AE,BL$5,0)),0,1/VLOOKUP($N104,Capa!$A:$AE,BL$5,0))))</f>
        <v/>
      </c>
      <c r="BM104" s="118" t="str">
        <f>IF(BM$6="","",IF(BM$3="Maior",IFERROR(IF(VLOOKUP($N104,Capa!$A:$AE,BM$5,0)="",0,VLOOKUP($N104,Capa!$A:$AE,BM$5,0)),0),IF(ISERROR(1/VLOOKUP($N104,Capa!$A:$AE,BM$5,0)),0,1/VLOOKUP($N104,Capa!$A:$AE,BM$5,0))))</f>
        <v/>
      </c>
      <c r="BN104" s="118" t="str">
        <f>IF(BN$6="","",IF(BN$3="Maior",IFERROR(IF(VLOOKUP($N104,Capa!$A:$AE,BN$5,0)="",0,VLOOKUP($N104,Capa!$A:$AE,BN$5,0)),0),IF(ISERROR(1/VLOOKUP($N104,Capa!$A:$AE,BN$5,0)),0,1/VLOOKUP($N104,Capa!$A:$AE,BN$5,0))))</f>
        <v/>
      </c>
      <c r="BO104" s="92"/>
    </row>
    <row r="105">
      <c r="G105" s="11"/>
      <c r="H105" s="8">
        <v>99.0</v>
      </c>
      <c r="I105" s="110" t="str">
        <f t="shared" si="6"/>
        <v>VIVA3</v>
      </c>
      <c r="J105" s="111" t="str">
        <f>VLOOKUP(left(I105,4),Setor!A:D,3,0)&amp;" | "&amp;VLOOKUP(left(I105,4),Setor!A:D,4,0)</f>
        <v>Consumo Cíclico | Tecidos, Vestuário e Calçados</v>
      </c>
      <c r="K105" s="112">
        <f t="shared" si="7"/>
        <v>31340848.42</v>
      </c>
      <c r="L105" s="11"/>
      <c r="M105" s="11"/>
      <c r="N105" s="10" t="s">
        <v>151</v>
      </c>
      <c r="O105" s="113">
        <f t="shared" si="8"/>
        <v>621.0332</v>
      </c>
      <c r="P105" s="114">
        <f>VLOOKUP(N105,'Dados StatusInvest'!A:Z,26,0)</f>
        <v>60051827.33</v>
      </c>
      <c r="Q105" s="115">
        <f t="shared" si="9"/>
        <v>332.0332</v>
      </c>
      <c r="R105" s="116">
        <f t="shared" ref="R105:AO105" si="108">IF(AQ105="","", RANK(AQ105,AQ$7:AQ$503,0))</f>
        <v>137</v>
      </c>
      <c r="S105" s="115">
        <f t="shared" si="108"/>
        <v>152</v>
      </c>
      <c r="T105" s="115" t="str">
        <f t="shared" si="108"/>
        <v/>
      </c>
      <c r="U105" s="115" t="str">
        <f t="shared" si="108"/>
        <v/>
      </c>
      <c r="V105" s="115" t="str">
        <f t="shared" si="108"/>
        <v/>
      </c>
      <c r="W105" s="115" t="str">
        <f t="shared" si="108"/>
        <v/>
      </c>
      <c r="X105" s="115" t="str">
        <f t="shared" si="108"/>
        <v/>
      </c>
      <c r="Y105" s="115" t="str">
        <f t="shared" si="108"/>
        <v/>
      </c>
      <c r="Z105" s="115" t="str">
        <f t="shared" si="108"/>
        <v/>
      </c>
      <c r="AA105" s="115" t="str">
        <f t="shared" si="108"/>
        <v/>
      </c>
      <c r="AB105" s="115" t="str">
        <f t="shared" si="108"/>
        <v/>
      </c>
      <c r="AC105" s="115" t="str">
        <f t="shared" si="108"/>
        <v/>
      </c>
      <c r="AD105" s="115" t="str">
        <f t="shared" si="108"/>
        <v/>
      </c>
      <c r="AE105" s="115" t="str">
        <f t="shared" si="108"/>
        <v/>
      </c>
      <c r="AF105" s="115" t="str">
        <f t="shared" si="108"/>
        <v/>
      </c>
      <c r="AG105" s="115" t="str">
        <f t="shared" si="108"/>
        <v/>
      </c>
      <c r="AH105" s="115" t="str">
        <f t="shared" si="108"/>
        <v/>
      </c>
      <c r="AI105" s="115" t="str">
        <f t="shared" si="108"/>
        <v/>
      </c>
      <c r="AJ105" s="115" t="str">
        <f t="shared" si="108"/>
        <v/>
      </c>
      <c r="AK105" s="115" t="str">
        <f t="shared" si="108"/>
        <v/>
      </c>
      <c r="AL105" s="115" t="str">
        <f t="shared" si="108"/>
        <v/>
      </c>
      <c r="AM105" s="115" t="str">
        <f t="shared" si="108"/>
        <v/>
      </c>
      <c r="AN105" s="115" t="str">
        <f t="shared" si="108"/>
        <v/>
      </c>
      <c r="AO105" s="115" t="str">
        <f t="shared" si="108"/>
        <v/>
      </c>
      <c r="AP105" s="117">
        <f>IF(AP$6="","",IF(AP$3="Maior",IFERROR(IF(VLOOKUP($N105,Capa!$A:$AE,AP$5,0)="",0,VLOOKUP($N105,Capa!$A:$AE,AP$5,0)),0),IF(ISERROR(1/VLOOKUP($N105,Capa!$A:$AE,AP$5,0)),0,1/VLOOKUP($N105,Capa!$A:$AE,AP$5,0))))</f>
        <v>0.03966066603</v>
      </c>
      <c r="AQ105" s="118">
        <f>IF(AQ$6="","",IF(AQ$3="Maior",IFERROR(IF(VLOOKUP($N105,Capa!$A:$AE,AQ$5,0)="",0,VLOOKUP($N105,Capa!$A:$AE,AQ$5,0)),0),IF(ISERROR(1/VLOOKUP($N105,Capa!$A:$AE,AQ$5,0)),0,1/VLOOKUP($N105,Capa!$A:$AE,AQ$5,0))))</f>
        <v>14.63</v>
      </c>
      <c r="AR105" s="118">
        <f>IF(AR$6="","",IF(AR$3="Maior",IFERROR(IF(VLOOKUP($N105,Capa!$A:$AE,AR$5,0)="",0,VLOOKUP($N105,Capa!$A:$AE,AR$5,0)),0),IF(ISERROR(1/VLOOKUP($N105,Capa!$A:$AE,AR$5,0)),0,1/VLOOKUP($N105,Capa!$A:$AE,AR$5,0))))</f>
        <v>14.7</v>
      </c>
      <c r="AS105" s="118" t="str">
        <f>IF(AS$6="","",IF(AS$3="Maior",IFERROR(IF(VLOOKUP($N105,Capa!$A:$AE,AS$5,0)="",0,VLOOKUP($N105,Capa!$A:$AE,AS$5,0)),0),IF(ISERROR(1/VLOOKUP($N105,Capa!$A:$AE,AS$5,0)),0,1/VLOOKUP($N105,Capa!$A:$AE,AS$5,0))))</f>
        <v/>
      </c>
      <c r="AT105" s="118" t="str">
        <f>IF(AT$6="","",IF(AT$3="Maior",IFERROR(IF(VLOOKUP($N105,Capa!$A:$AE,AT$5,0)="",0,VLOOKUP($N105,Capa!$A:$AE,AT$5,0)),0),IF(ISERROR(1/VLOOKUP($N105,Capa!$A:$AE,AT$5,0)),0,1/VLOOKUP($N105,Capa!$A:$AE,AT$5,0))))</f>
        <v/>
      </c>
      <c r="AU105" s="118" t="str">
        <f>IF(AU$6="","",IF(AU$3="Maior",IFERROR(IF(VLOOKUP($N105,Capa!$A:$AE,AU$5,0)="",0,VLOOKUP($N105,Capa!$A:$AE,AU$5,0)),0),IF(ISERROR(1/VLOOKUP($N105,Capa!$A:$AE,AU$5,0)),0,1/VLOOKUP($N105,Capa!$A:$AE,AU$5,0))))</f>
        <v/>
      </c>
      <c r="AV105" s="118" t="str">
        <f>IF(AV$6="","",IF(AV$3="Maior",IFERROR(IF(VLOOKUP($N105,Capa!$A:$AE,AV$5,0)="",0,VLOOKUP($N105,Capa!$A:$AE,AV$5,0)),0),IF(ISERROR(1/VLOOKUP($N105,Capa!$A:$AE,AV$5,0)),0,1/VLOOKUP($N105,Capa!$A:$AE,AV$5,0))))</f>
        <v/>
      </c>
      <c r="AW105" s="118" t="str">
        <f>IF(AW$6="","",IF(AW$3="Maior",IFERROR(IF(VLOOKUP($N105,Capa!$A:$AE,AW$5,0)="",0,VLOOKUP($N105,Capa!$A:$AE,AW$5,0)),0),IF(ISERROR(1/VLOOKUP($N105,Capa!$A:$AE,AW$5,0)),0,1/VLOOKUP($N105,Capa!$A:$AE,AW$5,0))))</f>
        <v/>
      </c>
      <c r="AX105" s="118" t="str">
        <f>IF(AX$6="","",IF(AX$3="Maior",IFERROR(IF(VLOOKUP($N105,Capa!$A:$AE,AX$5,0)="",0,VLOOKUP($N105,Capa!$A:$AE,AX$5,0)),0),IF(ISERROR(1/VLOOKUP($N105,Capa!$A:$AE,AX$5,0)),0,1/VLOOKUP($N105,Capa!$A:$AE,AX$5,0))))</f>
        <v/>
      </c>
      <c r="AY105" s="118" t="str">
        <f>IF(AY$6="","",IF(AY$3="Maior",IFERROR(IF(VLOOKUP($N105,Capa!$A:$AE,AY$5,0)="",0,VLOOKUP($N105,Capa!$A:$AE,AY$5,0)),0),IF(ISERROR(1/VLOOKUP($N105,Capa!$A:$AE,AY$5,0)),0,1/VLOOKUP($N105,Capa!$A:$AE,AY$5,0))))</f>
        <v/>
      </c>
      <c r="AZ105" s="118" t="str">
        <f>IF(AZ$6="","",IF(AZ$3="Maior",IFERROR(IF(VLOOKUP($N105,Capa!$A:$AE,AZ$5,0)="",0,VLOOKUP($N105,Capa!$A:$AE,AZ$5,0)),0),IF(ISERROR(1/VLOOKUP($N105,Capa!$A:$AE,AZ$5,0)),0,1/VLOOKUP($N105,Capa!$A:$AE,AZ$5,0))))</f>
        <v/>
      </c>
      <c r="BA105" s="118" t="str">
        <f>IF(BA$6="","",IF(BA$3="Maior",IFERROR(IF(VLOOKUP($N105,Capa!$A:$AE,BA$5,0)="",0,VLOOKUP($N105,Capa!$A:$AE,BA$5,0)),0),IF(ISERROR(1/VLOOKUP($N105,Capa!$A:$AE,BA$5,0)),0,1/VLOOKUP($N105,Capa!$A:$AE,BA$5,0))))</f>
        <v/>
      </c>
      <c r="BB105" s="118" t="str">
        <f>IF(BB$6="","",IF(BB$3="Maior",IFERROR(IF(VLOOKUP($N105,Capa!$A:$AE,BB$5,0)="",0,VLOOKUP($N105,Capa!$A:$AE,BB$5,0)),0),IF(ISERROR(1/VLOOKUP($N105,Capa!$A:$AE,BB$5,0)),0,1/VLOOKUP($N105,Capa!$A:$AE,BB$5,0))))</f>
        <v/>
      </c>
      <c r="BC105" s="118" t="str">
        <f>IF(BC$6="","",IF(BC$3="Maior",IFERROR(IF(VLOOKUP($N105,Capa!$A:$AE,BC$5,0)="",0,VLOOKUP($N105,Capa!$A:$AE,BC$5,0)),0),IF(ISERROR(1/VLOOKUP($N105,Capa!$A:$AE,BC$5,0)),0,1/VLOOKUP($N105,Capa!$A:$AE,BC$5,0))))</f>
        <v/>
      </c>
      <c r="BD105" s="118" t="str">
        <f>IF(BD$6="","",IF(BD$3="Maior",IFERROR(IF(VLOOKUP($N105,Capa!$A:$AE,BD$5,0)="",0,VLOOKUP($N105,Capa!$A:$AE,BD$5,0)),0),IF(ISERROR(1/VLOOKUP($N105,Capa!$A:$AE,BD$5,0)),0,1/VLOOKUP($N105,Capa!$A:$AE,BD$5,0))))</f>
        <v/>
      </c>
      <c r="BE105" s="118" t="str">
        <f>IF(BE$6="","",IF(BE$3="Maior",IFERROR(IF(VLOOKUP($N105,Capa!$A:$AE,BE$5,0)="",0,VLOOKUP($N105,Capa!$A:$AE,BE$5,0)),0),IF(ISERROR(1/VLOOKUP($N105,Capa!$A:$AE,BE$5,0)),0,1/VLOOKUP($N105,Capa!$A:$AE,BE$5,0))))</f>
        <v/>
      </c>
      <c r="BF105" s="118" t="str">
        <f>IF(BF$6="","",IF(BF$3="Maior",IFERROR(IF(VLOOKUP($N105,Capa!$A:$AE,BF$5,0)="",0,VLOOKUP($N105,Capa!$A:$AE,BF$5,0)),0),IF(ISERROR(1/VLOOKUP($N105,Capa!$A:$AE,BF$5,0)),0,1/VLOOKUP($N105,Capa!$A:$AE,BF$5,0))))</f>
        <v/>
      </c>
      <c r="BG105" s="118" t="str">
        <f>IF(BG$6="","",IF(BG$3="Maior",IFERROR(IF(VLOOKUP($N105,Capa!$A:$AE,BG$5,0)="",0,VLOOKUP($N105,Capa!$A:$AE,BG$5,0)),0),IF(ISERROR(1/VLOOKUP($N105,Capa!$A:$AE,BG$5,0)),0,1/VLOOKUP($N105,Capa!$A:$AE,BG$5,0))))</f>
        <v/>
      </c>
      <c r="BH105" s="118" t="str">
        <f>IF(BH$6="","",IF(BH$3="Maior",IFERROR(IF(VLOOKUP($N105,Capa!$A:$AE,BH$5,0)="",0,VLOOKUP($N105,Capa!$A:$AE,BH$5,0)),0),IF(ISERROR(1/VLOOKUP($N105,Capa!$A:$AE,BH$5,0)),0,1/VLOOKUP($N105,Capa!$A:$AE,BH$5,0))))</f>
        <v/>
      </c>
      <c r="BI105" s="118" t="str">
        <f>IF(BI$6="","",IF(BI$3="Maior",IFERROR(IF(VLOOKUP($N105,Capa!$A:$AE,BI$5,0)="",0,VLOOKUP($N105,Capa!$A:$AE,BI$5,0)),0),IF(ISERROR(1/VLOOKUP($N105,Capa!$A:$AE,BI$5,0)),0,1/VLOOKUP($N105,Capa!$A:$AE,BI$5,0))))</f>
        <v/>
      </c>
      <c r="BJ105" s="118" t="str">
        <f>IF(BJ$6="","",IF(BJ$3="Maior",IFERROR(IF(VLOOKUP($N105,Capa!$A:$AE,BJ$5,0)="",0,VLOOKUP($N105,Capa!$A:$AE,BJ$5,0)),0),IF(ISERROR(1/VLOOKUP($N105,Capa!$A:$AE,BJ$5,0)),0,1/VLOOKUP($N105,Capa!$A:$AE,BJ$5,0))))</f>
        <v/>
      </c>
      <c r="BK105" s="118" t="str">
        <f>IF(BK$6="","",IF(BK$3="Maior",IFERROR(IF(VLOOKUP($N105,Capa!$A:$AE,BK$5,0)="",0,VLOOKUP($N105,Capa!$A:$AE,BK$5,0)),0),IF(ISERROR(1/VLOOKUP($N105,Capa!$A:$AE,BK$5,0)),0,1/VLOOKUP($N105,Capa!$A:$AE,BK$5,0))))</f>
        <v/>
      </c>
      <c r="BL105" s="118" t="str">
        <f>IF(BL$6="","",IF(BL$3="Maior",IFERROR(IF(VLOOKUP($N105,Capa!$A:$AE,BL$5,0)="",0,VLOOKUP($N105,Capa!$A:$AE,BL$5,0)),0),IF(ISERROR(1/VLOOKUP($N105,Capa!$A:$AE,BL$5,0)),0,1/VLOOKUP($N105,Capa!$A:$AE,BL$5,0))))</f>
        <v/>
      </c>
      <c r="BM105" s="118" t="str">
        <f>IF(BM$6="","",IF(BM$3="Maior",IFERROR(IF(VLOOKUP($N105,Capa!$A:$AE,BM$5,0)="",0,VLOOKUP($N105,Capa!$A:$AE,BM$5,0)),0),IF(ISERROR(1/VLOOKUP($N105,Capa!$A:$AE,BM$5,0)),0,1/VLOOKUP($N105,Capa!$A:$AE,BM$5,0))))</f>
        <v/>
      </c>
      <c r="BN105" s="118" t="str">
        <f>IF(BN$6="","",IF(BN$3="Maior",IFERROR(IF(VLOOKUP($N105,Capa!$A:$AE,BN$5,0)="",0,VLOOKUP($N105,Capa!$A:$AE,BN$5,0)),0),IF(ISERROR(1/VLOOKUP($N105,Capa!$A:$AE,BN$5,0)),0,1/VLOOKUP($N105,Capa!$A:$AE,BN$5,0))))</f>
        <v/>
      </c>
      <c r="BO105" s="92"/>
    </row>
    <row r="106">
      <c r="G106" s="11"/>
      <c r="H106" s="8">
        <v>100.0</v>
      </c>
      <c r="I106" s="110" t="str">
        <f t="shared" si="6"/>
        <v>LOGN3</v>
      </c>
      <c r="J106" s="111" t="str">
        <f>VLOOKUP(left(I106,4),Setor!A:D,3,0)&amp;" | "&amp;VLOOKUP(left(I106,4),Setor!A:D,4,0)</f>
        <v>Bens Industriais | Transporte</v>
      </c>
      <c r="K106" s="112">
        <f t="shared" si="7"/>
        <v>24679520.42</v>
      </c>
      <c r="L106" s="11"/>
      <c r="M106" s="11"/>
      <c r="N106" s="10" t="s">
        <v>152</v>
      </c>
      <c r="O106" s="113">
        <f t="shared" si="8"/>
        <v>750.0269</v>
      </c>
      <c r="P106" s="114">
        <f>VLOOKUP(N106,'Dados StatusInvest'!A:Z,26,0)</f>
        <v>54716516.75</v>
      </c>
      <c r="Q106" s="115">
        <f t="shared" si="9"/>
        <v>269.0269</v>
      </c>
      <c r="R106" s="116">
        <f t="shared" ref="R106:AO106" si="109">IF(AQ106="","", RANK(AQ106,AQ$7:AQ$503,0))</f>
        <v>273</v>
      </c>
      <c r="S106" s="115">
        <f t="shared" si="109"/>
        <v>208</v>
      </c>
      <c r="T106" s="115" t="str">
        <f t="shared" si="109"/>
        <v/>
      </c>
      <c r="U106" s="115" t="str">
        <f t="shared" si="109"/>
        <v/>
      </c>
      <c r="V106" s="115" t="str">
        <f t="shared" si="109"/>
        <v/>
      </c>
      <c r="W106" s="115" t="str">
        <f t="shared" si="109"/>
        <v/>
      </c>
      <c r="X106" s="115" t="str">
        <f t="shared" si="109"/>
        <v/>
      </c>
      <c r="Y106" s="115" t="str">
        <f t="shared" si="109"/>
        <v/>
      </c>
      <c r="Z106" s="115" t="str">
        <f t="shared" si="109"/>
        <v/>
      </c>
      <c r="AA106" s="115" t="str">
        <f t="shared" si="109"/>
        <v/>
      </c>
      <c r="AB106" s="115" t="str">
        <f t="shared" si="109"/>
        <v/>
      </c>
      <c r="AC106" s="115" t="str">
        <f t="shared" si="109"/>
        <v/>
      </c>
      <c r="AD106" s="115" t="str">
        <f t="shared" si="109"/>
        <v/>
      </c>
      <c r="AE106" s="115" t="str">
        <f t="shared" si="109"/>
        <v/>
      </c>
      <c r="AF106" s="115" t="str">
        <f t="shared" si="109"/>
        <v/>
      </c>
      <c r="AG106" s="115" t="str">
        <f t="shared" si="109"/>
        <v/>
      </c>
      <c r="AH106" s="115" t="str">
        <f t="shared" si="109"/>
        <v/>
      </c>
      <c r="AI106" s="115" t="str">
        <f t="shared" si="109"/>
        <v/>
      </c>
      <c r="AJ106" s="115" t="str">
        <f t="shared" si="109"/>
        <v/>
      </c>
      <c r="AK106" s="115" t="str">
        <f t="shared" si="109"/>
        <v/>
      </c>
      <c r="AL106" s="115" t="str">
        <f t="shared" si="109"/>
        <v/>
      </c>
      <c r="AM106" s="115" t="str">
        <f t="shared" si="109"/>
        <v/>
      </c>
      <c r="AN106" s="115" t="str">
        <f t="shared" si="109"/>
        <v/>
      </c>
      <c r="AO106" s="115" t="str">
        <f t="shared" si="109"/>
        <v/>
      </c>
      <c r="AP106" s="117">
        <f>IF(AP$6="","",IF(AP$3="Maior",IFERROR(IF(VLOOKUP($N106,Capa!$A:$AE,AP$5,0)="",0,VLOOKUP($N106,Capa!$A:$AE,AP$5,0)),0),IF(ISERROR(1/VLOOKUP($N106,Capa!$A:$AE,AP$5,0)),0,1/VLOOKUP($N106,Capa!$A:$AE,AP$5,0))))</f>
        <v>0.07114213707</v>
      </c>
      <c r="AQ106" s="118">
        <f>IF(AQ$6="","",IF(AQ$3="Maior",IFERROR(IF(VLOOKUP($N106,Capa!$A:$AE,AQ$5,0)="",0,VLOOKUP($N106,Capa!$A:$AE,AQ$5,0)),0),IF(ISERROR(1/VLOOKUP($N106,Capa!$A:$AE,AQ$5,0)),0,1/VLOOKUP($N106,Capa!$A:$AE,AQ$5,0))))</f>
        <v>6.57</v>
      </c>
      <c r="AR106" s="118">
        <f>IF(AR$6="","",IF(AR$3="Maior",IFERROR(IF(VLOOKUP($N106,Capa!$A:$AE,AR$5,0)="",0,VLOOKUP($N106,Capa!$A:$AE,AR$5,0)),0),IF(ISERROR(1/VLOOKUP($N106,Capa!$A:$AE,AR$5,0)),0,1/VLOOKUP($N106,Capa!$A:$AE,AR$5,0))))</f>
        <v>1.22</v>
      </c>
      <c r="AS106" s="118" t="str">
        <f>IF(AS$6="","",IF(AS$3="Maior",IFERROR(IF(VLOOKUP($N106,Capa!$A:$AE,AS$5,0)="",0,VLOOKUP($N106,Capa!$A:$AE,AS$5,0)),0),IF(ISERROR(1/VLOOKUP($N106,Capa!$A:$AE,AS$5,0)),0,1/VLOOKUP($N106,Capa!$A:$AE,AS$5,0))))</f>
        <v/>
      </c>
      <c r="AT106" s="118" t="str">
        <f>IF(AT$6="","",IF(AT$3="Maior",IFERROR(IF(VLOOKUP($N106,Capa!$A:$AE,AT$5,0)="",0,VLOOKUP($N106,Capa!$A:$AE,AT$5,0)),0),IF(ISERROR(1/VLOOKUP($N106,Capa!$A:$AE,AT$5,0)),0,1/VLOOKUP($N106,Capa!$A:$AE,AT$5,0))))</f>
        <v/>
      </c>
      <c r="AU106" s="118" t="str">
        <f>IF(AU$6="","",IF(AU$3="Maior",IFERROR(IF(VLOOKUP($N106,Capa!$A:$AE,AU$5,0)="",0,VLOOKUP($N106,Capa!$A:$AE,AU$5,0)),0),IF(ISERROR(1/VLOOKUP($N106,Capa!$A:$AE,AU$5,0)),0,1/VLOOKUP($N106,Capa!$A:$AE,AU$5,0))))</f>
        <v/>
      </c>
      <c r="AV106" s="118" t="str">
        <f>IF(AV$6="","",IF(AV$3="Maior",IFERROR(IF(VLOOKUP($N106,Capa!$A:$AE,AV$5,0)="",0,VLOOKUP($N106,Capa!$A:$AE,AV$5,0)),0),IF(ISERROR(1/VLOOKUP($N106,Capa!$A:$AE,AV$5,0)),0,1/VLOOKUP($N106,Capa!$A:$AE,AV$5,0))))</f>
        <v/>
      </c>
      <c r="AW106" s="118" t="str">
        <f>IF(AW$6="","",IF(AW$3="Maior",IFERROR(IF(VLOOKUP($N106,Capa!$A:$AE,AW$5,0)="",0,VLOOKUP($N106,Capa!$A:$AE,AW$5,0)),0),IF(ISERROR(1/VLOOKUP($N106,Capa!$A:$AE,AW$5,0)),0,1/VLOOKUP($N106,Capa!$A:$AE,AW$5,0))))</f>
        <v/>
      </c>
      <c r="AX106" s="118" t="str">
        <f>IF(AX$6="","",IF(AX$3="Maior",IFERROR(IF(VLOOKUP($N106,Capa!$A:$AE,AX$5,0)="",0,VLOOKUP($N106,Capa!$A:$AE,AX$5,0)),0),IF(ISERROR(1/VLOOKUP($N106,Capa!$A:$AE,AX$5,0)),0,1/VLOOKUP($N106,Capa!$A:$AE,AX$5,0))))</f>
        <v/>
      </c>
      <c r="AY106" s="118" t="str">
        <f>IF(AY$6="","",IF(AY$3="Maior",IFERROR(IF(VLOOKUP($N106,Capa!$A:$AE,AY$5,0)="",0,VLOOKUP($N106,Capa!$A:$AE,AY$5,0)),0),IF(ISERROR(1/VLOOKUP($N106,Capa!$A:$AE,AY$5,0)),0,1/VLOOKUP($N106,Capa!$A:$AE,AY$5,0))))</f>
        <v/>
      </c>
      <c r="AZ106" s="118" t="str">
        <f>IF(AZ$6="","",IF(AZ$3="Maior",IFERROR(IF(VLOOKUP($N106,Capa!$A:$AE,AZ$5,0)="",0,VLOOKUP($N106,Capa!$A:$AE,AZ$5,0)),0),IF(ISERROR(1/VLOOKUP($N106,Capa!$A:$AE,AZ$5,0)),0,1/VLOOKUP($N106,Capa!$A:$AE,AZ$5,0))))</f>
        <v/>
      </c>
      <c r="BA106" s="118" t="str">
        <f>IF(BA$6="","",IF(BA$3="Maior",IFERROR(IF(VLOOKUP($N106,Capa!$A:$AE,BA$5,0)="",0,VLOOKUP($N106,Capa!$A:$AE,BA$5,0)),0),IF(ISERROR(1/VLOOKUP($N106,Capa!$A:$AE,BA$5,0)),0,1/VLOOKUP($N106,Capa!$A:$AE,BA$5,0))))</f>
        <v/>
      </c>
      <c r="BB106" s="118" t="str">
        <f>IF(BB$6="","",IF(BB$3="Maior",IFERROR(IF(VLOOKUP($N106,Capa!$A:$AE,BB$5,0)="",0,VLOOKUP($N106,Capa!$A:$AE,BB$5,0)),0),IF(ISERROR(1/VLOOKUP($N106,Capa!$A:$AE,BB$5,0)),0,1/VLOOKUP($N106,Capa!$A:$AE,BB$5,0))))</f>
        <v/>
      </c>
      <c r="BC106" s="118" t="str">
        <f>IF(BC$6="","",IF(BC$3="Maior",IFERROR(IF(VLOOKUP($N106,Capa!$A:$AE,BC$5,0)="",0,VLOOKUP($N106,Capa!$A:$AE,BC$5,0)),0),IF(ISERROR(1/VLOOKUP($N106,Capa!$A:$AE,BC$5,0)),0,1/VLOOKUP($N106,Capa!$A:$AE,BC$5,0))))</f>
        <v/>
      </c>
      <c r="BD106" s="118" t="str">
        <f>IF(BD$6="","",IF(BD$3="Maior",IFERROR(IF(VLOOKUP($N106,Capa!$A:$AE,BD$5,0)="",0,VLOOKUP($N106,Capa!$A:$AE,BD$5,0)),0),IF(ISERROR(1/VLOOKUP($N106,Capa!$A:$AE,BD$5,0)),0,1/VLOOKUP($N106,Capa!$A:$AE,BD$5,0))))</f>
        <v/>
      </c>
      <c r="BE106" s="118" t="str">
        <f>IF(BE$6="","",IF(BE$3="Maior",IFERROR(IF(VLOOKUP($N106,Capa!$A:$AE,BE$5,0)="",0,VLOOKUP($N106,Capa!$A:$AE,BE$5,0)),0),IF(ISERROR(1/VLOOKUP($N106,Capa!$A:$AE,BE$5,0)),0,1/VLOOKUP($N106,Capa!$A:$AE,BE$5,0))))</f>
        <v/>
      </c>
      <c r="BF106" s="118" t="str">
        <f>IF(BF$6="","",IF(BF$3="Maior",IFERROR(IF(VLOOKUP($N106,Capa!$A:$AE,BF$5,0)="",0,VLOOKUP($N106,Capa!$A:$AE,BF$5,0)),0),IF(ISERROR(1/VLOOKUP($N106,Capa!$A:$AE,BF$5,0)),0,1/VLOOKUP($N106,Capa!$A:$AE,BF$5,0))))</f>
        <v/>
      </c>
      <c r="BG106" s="118" t="str">
        <f>IF(BG$6="","",IF(BG$3="Maior",IFERROR(IF(VLOOKUP($N106,Capa!$A:$AE,BG$5,0)="",0,VLOOKUP($N106,Capa!$A:$AE,BG$5,0)),0),IF(ISERROR(1/VLOOKUP($N106,Capa!$A:$AE,BG$5,0)),0,1/VLOOKUP($N106,Capa!$A:$AE,BG$5,0))))</f>
        <v/>
      </c>
      <c r="BH106" s="118" t="str">
        <f>IF(BH$6="","",IF(BH$3="Maior",IFERROR(IF(VLOOKUP($N106,Capa!$A:$AE,BH$5,0)="",0,VLOOKUP($N106,Capa!$A:$AE,BH$5,0)),0),IF(ISERROR(1/VLOOKUP($N106,Capa!$A:$AE,BH$5,0)),0,1/VLOOKUP($N106,Capa!$A:$AE,BH$5,0))))</f>
        <v/>
      </c>
      <c r="BI106" s="118" t="str">
        <f>IF(BI$6="","",IF(BI$3="Maior",IFERROR(IF(VLOOKUP($N106,Capa!$A:$AE,BI$5,0)="",0,VLOOKUP($N106,Capa!$A:$AE,BI$5,0)),0),IF(ISERROR(1/VLOOKUP($N106,Capa!$A:$AE,BI$5,0)),0,1/VLOOKUP($N106,Capa!$A:$AE,BI$5,0))))</f>
        <v/>
      </c>
      <c r="BJ106" s="118" t="str">
        <f>IF(BJ$6="","",IF(BJ$3="Maior",IFERROR(IF(VLOOKUP($N106,Capa!$A:$AE,BJ$5,0)="",0,VLOOKUP($N106,Capa!$A:$AE,BJ$5,0)),0),IF(ISERROR(1/VLOOKUP($N106,Capa!$A:$AE,BJ$5,0)),0,1/VLOOKUP($N106,Capa!$A:$AE,BJ$5,0))))</f>
        <v/>
      </c>
      <c r="BK106" s="118" t="str">
        <f>IF(BK$6="","",IF(BK$3="Maior",IFERROR(IF(VLOOKUP($N106,Capa!$A:$AE,BK$5,0)="",0,VLOOKUP($N106,Capa!$A:$AE,BK$5,0)),0),IF(ISERROR(1/VLOOKUP($N106,Capa!$A:$AE,BK$5,0)),0,1/VLOOKUP($N106,Capa!$A:$AE,BK$5,0))))</f>
        <v/>
      </c>
      <c r="BL106" s="118" t="str">
        <f>IF(BL$6="","",IF(BL$3="Maior",IFERROR(IF(VLOOKUP($N106,Capa!$A:$AE,BL$5,0)="",0,VLOOKUP($N106,Capa!$A:$AE,BL$5,0)),0),IF(ISERROR(1/VLOOKUP($N106,Capa!$A:$AE,BL$5,0)),0,1/VLOOKUP($N106,Capa!$A:$AE,BL$5,0))))</f>
        <v/>
      </c>
      <c r="BM106" s="118" t="str">
        <f>IF(BM$6="","",IF(BM$3="Maior",IFERROR(IF(VLOOKUP($N106,Capa!$A:$AE,BM$5,0)="",0,VLOOKUP($N106,Capa!$A:$AE,BM$5,0)),0),IF(ISERROR(1/VLOOKUP($N106,Capa!$A:$AE,BM$5,0)),0,1/VLOOKUP($N106,Capa!$A:$AE,BM$5,0))))</f>
        <v/>
      </c>
      <c r="BN106" s="118" t="str">
        <f>IF(BN$6="","",IF(BN$3="Maior",IFERROR(IF(VLOOKUP($N106,Capa!$A:$AE,BN$5,0)="",0,VLOOKUP($N106,Capa!$A:$AE,BN$5,0)),0),IF(ISERROR(1/VLOOKUP($N106,Capa!$A:$AE,BN$5,0)),0,1/VLOOKUP($N106,Capa!$A:$AE,BN$5,0))))</f>
        <v/>
      </c>
      <c r="BO106" s="92"/>
    </row>
    <row r="107">
      <c r="G107" s="11"/>
      <c r="H107" s="8">
        <v>101.0</v>
      </c>
      <c r="I107" s="110" t="str">
        <f t="shared" si="6"/>
        <v>BBAS3</v>
      </c>
      <c r="J107" s="111" t="str">
        <f>VLOOKUP(left(I107,4),Setor!A:D,3,0)&amp;" | "&amp;VLOOKUP(left(I107,4),Setor!A:D,4,0)</f>
        <v>Financeiro | Intermediários Financeiros</v>
      </c>
      <c r="K107" s="112">
        <f t="shared" si="7"/>
        <v>394931886.8</v>
      </c>
      <c r="L107" s="11"/>
      <c r="M107" s="11"/>
      <c r="N107" s="10" t="s">
        <v>153</v>
      </c>
      <c r="O107" s="113">
        <f t="shared" si="8"/>
        <v>899.0361</v>
      </c>
      <c r="P107" s="114">
        <f>VLOOKUP(N107,'Dados StatusInvest'!A:Z,26,0)</f>
        <v>77392403.04</v>
      </c>
      <c r="Q107" s="115">
        <f t="shared" si="9"/>
        <v>361.0361</v>
      </c>
      <c r="R107" s="116">
        <f t="shared" ref="R107:AO107" si="110">IF(AQ107="","", RANK(AQ107,AQ$7:AQ$503,0))</f>
        <v>319</v>
      </c>
      <c r="S107" s="115">
        <f t="shared" si="110"/>
        <v>219</v>
      </c>
      <c r="T107" s="115" t="str">
        <f t="shared" si="110"/>
        <v/>
      </c>
      <c r="U107" s="115" t="str">
        <f t="shared" si="110"/>
        <v/>
      </c>
      <c r="V107" s="115" t="str">
        <f t="shared" si="110"/>
        <v/>
      </c>
      <c r="W107" s="115" t="str">
        <f t="shared" si="110"/>
        <v/>
      </c>
      <c r="X107" s="115" t="str">
        <f t="shared" si="110"/>
        <v/>
      </c>
      <c r="Y107" s="115" t="str">
        <f t="shared" si="110"/>
        <v/>
      </c>
      <c r="Z107" s="115" t="str">
        <f t="shared" si="110"/>
        <v/>
      </c>
      <c r="AA107" s="115" t="str">
        <f t="shared" si="110"/>
        <v/>
      </c>
      <c r="AB107" s="115" t="str">
        <f t="shared" si="110"/>
        <v/>
      </c>
      <c r="AC107" s="115" t="str">
        <f t="shared" si="110"/>
        <v/>
      </c>
      <c r="AD107" s="115" t="str">
        <f t="shared" si="110"/>
        <v/>
      </c>
      <c r="AE107" s="115" t="str">
        <f t="shared" si="110"/>
        <v/>
      </c>
      <c r="AF107" s="115" t="str">
        <f t="shared" si="110"/>
        <v/>
      </c>
      <c r="AG107" s="115" t="str">
        <f t="shared" si="110"/>
        <v/>
      </c>
      <c r="AH107" s="115" t="str">
        <f t="shared" si="110"/>
        <v/>
      </c>
      <c r="AI107" s="115" t="str">
        <f t="shared" si="110"/>
        <v/>
      </c>
      <c r="AJ107" s="115" t="str">
        <f t="shared" si="110"/>
        <v/>
      </c>
      <c r="AK107" s="115" t="str">
        <f t="shared" si="110"/>
        <v/>
      </c>
      <c r="AL107" s="115" t="str">
        <f t="shared" si="110"/>
        <v/>
      </c>
      <c r="AM107" s="115" t="str">
        <f t="shared" si="110"/>
        <v/>
      </c>
      <c r="AN107" s="115" t="str">
        <f t="shared" si="110"/>
        <v/>
      </c>
      <c r="AO107" s="115" t="str">
        <f t="shared" si="110"/>
        <v/>
      </c>
      <c r="AP107" s="117">
        <f>IF(AP$6="","",IF(AP$3="Maior",IFERROR(IF(VLOOKUP($N107,Capa!$A:$AE,AP$5,0)="",0,VLOOKUP($N107,Capa!$A:$AE,AP$5,0)),0),IF(ISERROR(1/VLOOKUP($N107,Capa!$A:$AE,AP$5,0)),0,1/VLOOKUP($N107,Capa!$A:$AE,AP$5,0))))</f>
        <v>0.02375681754</v>
      </c>
      <c r="AQ107" s="118">
        <f>IF(AQ$6="","",IF(AQ$3="Maior",IFERROR(IF(VLOOKUP($N107,Capa!$A:$AE,AQ$5,0)="",0,VLOOKUP($N107,Capa!$A:$AE,AQ$5,0)),0),IF(ISERROR(1/VLOOKUP($N107,Capa!$A:$AE,AQ$5,0)),0,1/VLOOKUP($N107,Capa!$A:$AE,AQ$5,0))))</f>
        <v>3.62</v>
      </c>
      <c r="AR107" s="118">
        <f>IF(AR$6="","",IF(AR$3="Maior",IFERROR(IF(VLOOKUP($N107,Capa!$A:$AE,AR$5,0)="",0,VLOOKUP($N107,Capa!$A:$AE,AR$5,0)),0),IF(ISERROR(1/VLOOKUP($N107,Capa!$A:$AE,AR$5,0)),0,1/VLOOKUP($N107,Capa!$A:$AE,AR$5,0))))</f>
        <v>0</v>
      </c>
      <c r="AS107" s="118" t="str">
        <f>IF(AS$6="","",IF(AS$3="Maior",IFERROR(IF(VLOOKUP($N107,Capa!$A:$AE,AS$5,0)="",0,VLOOKUP($N107,Capa!$A:$AE,AS$5,0)),0),IF(ISERROR(1/VLOOKUP($N107,Capa!$A:$AE,AS$5,0)),0,1/VLOOKUP($N107,Capa!$A:$AE,AS$5,0))))</f>
        <v/>
      </c>
      <c r="AT107" s="118" t="str">
        <f>IF(AT$6="","",IF(AT$3="Maior",IFERROR(IF(VLOOKUP($N107,Capa!$A:$AE,AT$5,0)="",0,VLOOKUP($N107,Capa!$A:$AE,AT$5,0)),0),IF(ISERROR(1/VLOOKUP($N107,Capa!$A:$AE,AT$5,0)),0,1/VLOOKUP($N107,Capa!$A:$AE,AT$5,0))))</f>
        <v/>
      </c>
      <c r="AU107" s="118" t="str">
        <f>IF(AU$6="","",IF(AU$3="Maior",IFERROR(IF(VLOOKUP($N107,Capa!$A:$AE,AU$5,0)="",0,VLOOKUP($N107,Capa!$A:$AE,AU$5,0)),0),IF(ISERROR(1/VLOOKUP($N107,Capa!$A:$AE,AU$5,0)),0,1/VLOOKUP($N107,Capa!$A:$AE,AU$5,0))))</f>
        <v/>
      </c>
      <c r="AV107" s="118" t="str">
        <f>IF(AV$6="","",IF(AV$3="Maior",IFERROR(IF(VLOOKUP($N107,Capa!$A:$AE,AV$5,0)="",0,VLOOKUP($N107,Capa!$A:$AE,AV$5,0)),0),IF(ISERROR(1/VLOOKUP($N107,Capa!$A:$AE,AV$5,0)),0,1/VLOOKUP($N107,Capa!$A:$AE,AV$5,0))))</f>
        <v/>
      </c>
      <c r="AW107" s="118" t="str">
        <f>IF(AW$6="","",IF(AW$3="Maior",IFERROR(IF(VLOOKUP($N107,Capa!$A:$AE,AW$5,0)="",0,VLOOKUP($N107,Capa!$A:$AE,AW$5,0)),0),IF(ISERROR(1/VLOOKUP($N107,Capa!$A:$AE,AW$5,0)),0,1/VLOOKUP($N107,Capa!$A:$AE,AW$5,0))))</f>
        <v/>
      </c>
      <c r="AX107" s="118" t="str">
        <f>IF(AX$6="","",IF(AX$3="Maior",IFERROR(IF(VLOOKUP($N107,Capa!$A:$AE,AX$5,0)="",0,VLOOKUP($N107,Capa!$A:$AE,AX$5,0)),0),IF(ISERROR(1/VLOOKUP($N107,Capa!$A:$AE,AX$5,0)),0,1/VLOOKUP($N107,Capa!$A:$AE,AX$5,0))))</f>
        <v/>
      </c>
      <c r="AY107" s="118" t="str">
        <f>IF(AY$6="","",IF(AY$3="Maior",IFERROR(IF(VLOOKUP($N107,Capa!$A:$AE,AY$5,0)="",0,VLOOKUP($N107,Capa!$A:$AE,AY$5,0)),0),IF(ISERROR(1/VLOOKUP($N107,Capa!$A:$AE,AY$5,0)),0,1/VLOOKUP($N107,Capa!$A:$AE,AY$5,0))))</f>
        <v/>
      </c>
      <c r="AZ107" s="118" t="str">
        <f>IF(AZ$6="","",IF(AZ$3="Maior",IFERROR(IF(VLOOKUP($N107,Capa!$A:$AE,AZ$5,0)="",0,VLOOKUP($N107,Capa!$A:$AE,AZ$5,0)),0),IF(ISERROR(1/VLOOKUP($N107,Capa!$A:$AE,AZ$5,0)),0,1/VLOOKUP($N107,Capa!$A:$AE,AZ$5,0))))</f>
        <v/>
      </c>
      <c r="BA107" s="118" t="str">
        <f>IF(BA$6="","",IF(BA$3="Maior",IFERROR(IF(VLOOKUP($N107,Capa!$A:$AE,BA$5,0)="",0,VLOOKUP($N107,Capa!$A:$AE,BA$5,0)),0),IF(ISERROR(1/VLOOKUP($N107,Capa!$A:$AE,BA$5,0)),0,1/VLOOKUP($N107,Capa!$A:$AE,BA$5,0))))</f>
        <v/>
      </c>
      <c r="BB107" s="118" t="str">
        <f>IF(BB$6="","",IF(BB$3="Maior",IFERROR(IF(VLOOKUP($N107,Capa!$A:$AE,BB$5,0)="",0,VLOOKUP($N107,Capa!$A:$AE,BB$5,0)),0),IF(ISERROR(1/VLOOKUP($N107,Capa!$A:$AE,BB$5,0)),0,1/VLOOKUP($N107,Capa!$A:$AE,BB$5,0))))</f>
        <v/>
      </c>
      <c r="BC107" s="118" t="str">
        <f>IF(BC$6="","",IF(BC$3="Maior",IFERROR(IF(VLOOKUP($N107,Capa!$A:$AE,BC$5,0)="",0,VLOOKUP($N107,Capa!$A:$AE,BC$5,0)),0),IF(ISERROR(1/VLOOKUP($N107,Capa!$A:$AE,BC$5,0)),0,1/VLOOKUP($N107,Capa!$A:$AE,BC$5,0))))</f>
        <v/>
      </c>
      <c r="BD107" s="118" t="str">
        <f>IF(BD$6="","",IF(BD$3="Maior",IFERROR(IF(VLOOKUP($N107,Capa!$A:$AE,BD$5,0)="",0,VLOOKUP($N107,Capa!$A:$AE,BD$5,0)),0),IF(ISERROR(1/VLOOKUP($N107,Capa!$A:$AE,BD$5,0)),0,1/VLOOKUP($N107,Capa!$A:$AE,BD$5,0))))</f>
        <v/>
      </c>
      <c r="BE107" s="118" t="str">
        <f>IF(BE$6="","",IF(BE$3="Maior",IFERROR(IF(VLOOKUP($N107,Capa!$A:$AE,BE$5,0)="",0,VLOOKUP($N107,Capa!$A:$AE,BE$5,0)),0),IF(ISERROR(1/VLOOKUP($N107,Capa!$A:$AE,BE$5,0)),0,1/VLOOKUP($N107,Capa!$A:$AE,BE$5,0))))</f>
        <v/>
      </c>
      <c r="BF107" s="118" t="str">
        <f>IF(BF$6="","",IF(BF$3="Maior",IFERROR(IF(VLOOKUP($N107,Capa!$A:$AE,BF$5,0)="",0,VLOOKUP($N107,Capa!$A:$AE,BF$5,0)),0),IF(ISERROR(1/VLOOKUP($N107,Capa!$A:$AE,BF$5,0)),0,1/VLOOKUP($N107,Capa!$A:$AE,BF$5,0))))</f>
        <v/>
      </c>
      <c r="BG107" s="118" t="str">
        <f>IF(BG$6="","",IF(BG$3="Maior",IFERROR(IF(VLOOKUP($N107,Capa!$A:$AE,BG$5,0)="",0,VLOOKUP($N107,Capa!$A:$AE,BG$5,0)),0),IF(ISERROR(1/VLOOKUP($N107,Capa!$A:$AE,BG$5,0)),0,1/VLOOKUP($N107,Capa!$A:$AE,BG$5,0))))</f>
        <v/>
      </c>
      <c r="BH107" s="118" t="str">
        <f>IF(BH$6="","",IF(BH$3="Maior",IFERROR(IF(VLOOKUP($N107,Capa!$A:$AE,BH$5,0)="",0,VLOOKUP($N107,Capa!$A:$AE,BH$5,0)),0),IF(ISERROR(1/VLOOKUP($N107,Capa!$A:$AE,BH$5,0)),0,1/VLOOKUP($N107,Capa!$A:$AE,BH$5,0))))</f>
        <v/>
      </c>
      <c r="BI107" s="118" t="str">
        <f>IF(BI$6="","",IF(BI$3="Maior",IFERROR(IF(VLOOKUP($N107,Capa!$A:$AE,BI$5,0)="",0,VLOOKUP($N107,Capa!$A:$AE,BI$5,0)),0),IF(ISERROR(1/VLOOKUP($N107,Capa!$A:$AE,BI$5,0)),0,1/VLOOKUP($N107,Capa!$A:$AE,BI$5,0))))</f>
        <v/>
      </c>
      <c r="BJ107" s="118" t="str">
        <f>IF(BJ$6="","",IF(BJ$3="Maior",IFERROR(IF(VLOOKUP($N107,Capa!$A:$AE,BJ$5,0)="",0,VLOOKUP($N107,Capa!$A:$AE,BJ$5,0)),0),IF(ISERROR(1/VLOOKUP($N107,Capa!$A:$AE,BJ$5,0)),0,1/VLOOKUP($N107,Capa!$A:$AE,BJ$5,0))))</f>
        <v/>
      </c>
      <c r="BK107" s="118" t="str">
        <f>IF(BK$6="","",IF(BK$3="Maior",IFERROR(IF(VLOOKUP($N107,Capa!$A:$AE,BK$5,0)="",0,VLOOKUP($N107,Capa!$A:$AE,BK$5,0)),0),IF(ISERROR(1/VLOOKUP($N107,Capa!$A:$AE,BK$5,0)),0,1/VLOOKUP($N107,Capa!$A:$AE,BK$5,0))))</f>
        <v/>
      </c>
      <c r="BL107" s="118" t="str">
        <f>IF(BL$6="","",IF(BL$3="Maior",IFERROR(IF(VLOOKUP($N107,Capa!$A:$AE,BL$5,0)="",0,VLOOKUP($N107,Capa!$A:$AE,BL$5,0)),0),IF(ISERROR(1/VLOOKUP($N107,Capa!$A:$AE,BL$5,0)),0,1/VLOOKUP($N107,Capa!$A:$AE,BL$5,0))))</f>
        <v/>
      </c>
      <c r="BM107" s="118" t="str">
        <f>IF(BM$6="","",IF(BM$3="Maior",IFERROR(IF(VLOOKUP($N107,Capa!$A:$AE,BM$5,0)="",0,VLOOKUP($N107,Capa!$A:$AE,BM$5,0)),0),IF(ISERROR(1/VLOOKUP($N107,Capa!$A:$AE,BM$5,0)),0,1/VLOOKUP($N107,Capa!$A:$AE,BM$5,0))))</f>
        <v/>
      </c>
      <c r="BN107" s="118" t="str">
        <f>IF(BN$6="","",IF(BN$3="Maior",IFERROR(IF(VLOOKUP($N107,Capa!$A:$AE,BN$5,0)="",0,VLOOKUP($N107,Capa!$A:$AE,BN$5,0)),0),IF(ISERROR(1/VLOOKUP($N107,Capa!$A:$AE,BN$5,0)),0,1/VLOOKUP($N107,Capa!$A:$AE,BN$5,0))))</f>
        <v/>
      </c>
      <c r="BO107" s="92"/>
    </row>
    <row r="108">
      <c r="G108" s="11"/>
      <c r="H108" s="8">
        <v>102.0</v>
      </c>
      <c r="I108" s="110" t="str">
        <f t="shared" si="6"/>
        <v>TIMS3</v>
      </c>
      <c r="J108" s="111" t="str">
        <f>VLOOKUP(left(I108,4),Setor!A:D,3,0)&amp;" | "&amp;VLOOKUP(left(I108,4),Setor!A:D,4,0)</f>
        <v>Comunicações | Telecomunicações</v>
      </c>
      <c r="K108" s="112">
        <f t="shared" si="7"/>
        <v>66876863.21</v>
      </c>
      <c r="L108" s="11"/>
      <c r="M108" s="11"/>
      <c r="N108" s="10" t="s">
        <v>154</v>
      </c>
      <c r="O108" s="113">
        <f t="shared" si="8"/>
        <v>909.0232</v>
      </c>
      <c r="P108" s="114">
        <f>VLOOKUP(N108,'Dados StatusInvest'!A:Z,26,0)</f>
        <v>57228534.71</v>
      </c>
      <c r="Q108" s="115">
        <f t="shared" si="9"/>
        <v>232.0232</v>
      </c>
      <c r="R108" s="116">
        <f t="shared" ref="R108:AO108" si="111">IF(AQ108="","", RANK(AQ108,AQ$7:AQ$503,0))</f>
        <v>458</v>
      </c>
      <c r="S108" s="115">
        <f t="shared" si="111"/>
        <v>219</v>
      </c>
      <c r="T108" s="115" t="str">
        <f t="shared" si="111"/>
        <v/>
      </c>
      <c r="U108" s="115" t="str">
        <f t="shared" si="111"/>
        <v/>
      </c>
      <c r="V108" s="115" t="str">
        <f t="shared" si="111"/>
        <v/>
      </c>
      <c r="W108" s="115" t="str">
        <f t="shared" si="111"/>
        <v/>
      </c>
      <c r="X108" s="115" t="str">
        <f t="shared" si="111"/>
        <v/>
      </c>
      <c r="Y108" s="115" t="str">
        <f t="shared" si="111"/>
        <v/>
      </c>
      <c r="Z108" s="115" t="str">
        <f t="shared" si="111"/>
        <v/>
      </c>
      <c r="AA108" s="115" t="str">
        <f t="shared" si="111"/>
        <v/>
      </c>
      <c r="AB108" s="115" t="str">
        <f t="shared" si="111"/>
        <v/>
      </c>
      <c r="AC108" s="115" t="str">
        <f t="shared" si="111"/>
        <v/>
      </c>
      <c r="AD108" s="115" t="str">
        <f t="shared" si="111"/>
        <v/>
      </c>
      <c r="AE108" s="115" t="str">
        <f t="shared" si="111"/>
        <v/>
      </c>
      <c r="AF108" s="115" t="str">
        <f t="shared" si="111"/>
        <v/>
      </c>
      <c r="AG108" s="115" t="str">
        <f t="shared" si="111"/>
        <v/>
      </c>
      <c r="AH108" s="115" t="str">
        <f t="shared" si="111"/>
        <v/>
      </c>
      <c r="AI108" s="115" t="str">
        <f t="shared" si="111"/>
        <v/>
      </c>
      <c r="AJ108" s="115" t="str">
        <f t="shared" si="111"/>
        <v/>
      </c>
      <c r="AK108" s="115" t="str">
        <f t="shared" si="111"/>
        <v/>
      </c>
      <c r="AL108" s="115" t="str">
        <f t="shared" si="111"/>
        <v/>
      </c>
      <c r="AM108" s="115" t="str">
        <f t="shared" si="111"/>
        <v/>
      </c>
      <c r="AN108" s="115" t="str">
        <f t="shared" si="111"/>
        <v/>
      </c>
      <c r="AO108" s="115" t="str">
        <f t="shared" si="111"/>
        <v/>
      </c>
      <c r="AP108" s="117">
        <f>IF(AP$6="","",IF(AP$3="Maior",IFERROR(IF(VLOOKUP($N108,Capa!$A:$AE,AP$5,0)="",0,VLOOKUP($N108,Capa!$A:$AE,AP$5,0)),0),IF(ISERROR(1/VLOOKUP($N108,Capa!$A:$AE,AP$5,0)),0,1/VLOOKUP($N108,Capa!$A:$AE,AP$5,0))))</f>
        <v>0.08639277688</v>
      </c>
      <c r="AQ108" s="118">
        <f>IF(AQ$6="","",IF(AQ$3="Maior",IFERROR(IF(VLOOKUP($N108,Capa!$A:$AE,AQ$5,0)="",0,VLOOKUP($N108,Capa!$A:$AE,AQ$5,0)),0),IF(ISERROR(1/VLOOKUP($N108,Capa!$A:$AE,AQ$5,0)),0,1/VLOOKUP($N108,Capa!$A:$AE,AQ$5,0))))</f>
        <v>-8.25</v>
      </c>
      <c r="AR108" s="118">
        <f>IF(AR$6="","",IF(AR$3="Maior",IFERROR(IF(VLOOKUP($N108,Capa!$A:$AE,AR$5,0)="",0,VLOOKUP($N108,Capa!$A:$AE,AR$5,0)),0),IF(ISERROR(1/VLOOKUP($N108,Capa!$A:$AE,AR$5,0)),0,1/VLOOKUP($N108,Capa!$A:$AE,AR$5,0))))</f>
        <v>0</v>
      </c>
      <c r="AS108" s="118" t="str">
        <f>IF(AS$6="","",IF(AS$3="Maior",IFERROR(IF(VLOOKUP($N108,Capa!$A:$AE,AS$5,0)="",0,VLOOKUP($N108,Capa!$A:$AE,AS$5,0)),0),IF(ISERROR(1/VLOOKUP($N108,Capa!$A:$AE,AS$5,0)),0,1/VLOOKUP($N108,Capa!$A:$AE,AS$5,0))))</f>
        <v/>
      </c>
      <c r="AT108" s="118" t="str">
        <f>IF(AT$6="","",IF(AT$3="Maior",IFERROR(IF(VLOOKUP($N108,Capa!$A:$AE,AT$5,0)="",0,VLOOKUP($N108,Capa!$A:$AE,AT$5,0)),0),IF(ISERROR(1/VLOOKUP($N108,Capa!$A:$AE,AT$5,0)),0,1/VLOOKUP($N108,Capa!$A:$AE,AT$5,0))))</f>
        <v/>
      </c>
      <c r="AU108" s="118" t="str">
        <f>IF(AU$6="","",IF(AU$3="Maior",IFERROR(IF(VLOOKUP($N108,Capa!$A:$AE,AU$5,0)="",0,VLOOKUP($N108,Capa!$A:$AE,AU$5,0)),0),IF(ISERROR(1/VLOOKUP($N108,Capa!$A:$AE,AU$5,0)),0,1/VLOOKUP($N108,Capa!$A:$AE,AU$5,0))))</f>
        <v/>
      </c>
      <c r="AV108" s="118" t="str">
        <f>IF(AV$6="","",IF(AV$3="Maior",IFERROR(IF(VLOOKUP($N108,Capa!$A:$AE,AV$5,0)="",0,VLOOKUP($N108,Capa!$A:$AE,AV$5,0)),0),IF(ISERROR(1/VLOOKUP($N108,Capa!$A:$AE,AV$5,0)),0,1/VLOOKUP($N108,Capa!$A:$AE,AV$5,0))))</f>
        <v/>
      </c>
      <c r="AW108" s="118" t="str">
        <f>IF(AW$6="","",IF(AW$3="Maior",IFERROR(IF(VLOOKUP($N108,Capa!$A:$AE,AW$5,0)="",0,VLOOKUP($N108,Capa!$A:$AE,AW$5,0)),0),IF(ISERROR(1/VLOOKUP($N108,Capa!$A:$AE,AW$5,0)),0,1/VLOOKUP($N108,Capa!$A:$AE,AW$5,0))))</f>
        <v/>
      </c>
      <c r="AX108" s="118" t="str">
        <f>IF(AX$6="","",IF(AX$3="Maior",IFERROR(IF(VLOOKUP($N108,Capa!$A:$AE,AX$5,0)="",0,VLOOKUP($N108,Capa!$A:$AE,AX$5,0)),0),IF(ISERROR(1/VLOOKUP($N108,Capa!$A:$AE,AX$5,0)),0,1/VLOOKUP($N108,Capa!$A:$AE,AX$5,0))))</f>
        <v/>
      </c>
      <c r="AY108" s="118" t="str">
        <f>IF(AY$6="","",IF(AY$3="Maior",IFERROR(IF(VLOOKUP($N108,Capa!$A:$AE,AY$5,0)="",0,VLOOKUP($N108,Capa!$A:$AE,AY$5,0)),0),IF(ISERROR(1/VLOOKUP($N108,Capa!$A:$AE,AY$5,0)),0,1/VLOOKUP($N108,Capa!$A:$AE,AY$5,0))))</f>
        <v/>
      </c>
      <c r="AZ108" s="118" t="str">
        <f>IF(AZ$6="","",IF(AZ$3="Maior",IFERROR(IF(VLOOKUP($N108,Capa!$A:$AE,AZ$5,0)="",0,VLOOKUP($N108,Capa!$A:$AE,AZ$5,0)),0),IF(ISERROR(1/VLOOKUP($N108,Capa!$A:$AE,AZ$5,0)),0,1/VLOOKUP($N108,Capa!$A:$AE,AZ$5,0))))</f>
        <v/>
      </c>
      <c r="BA108" s="118" t="str">
        <f>IF(BA$6="","",IF(BA$3="Maior",IFERROR(IF(VLOOKUP($N108,Capa!$A:$AE,BA$5,0)="",0,VLOOKUP($N108,Capa!$A:$AE,BA$5,0)),0),IF(ISERROR(1/VLOOKUP($N108,Capa!$A:$AE,BA$5,0)),0,1/VLOOKUP($N108,Capa!$A:$AE,BA$5,0))))</f>
        <v/>
      </c>
      <c r="BB108" s="118" t="str">
        <f>IF(BB$6="","",IF(BB$3="Maior",IFERROR(IF(VLOOKUP($N108,Capa!$A:$AE,BB$5,0)="",0,VLOOKUP($N108,Capa!$A:$AE,BB$5,0)),0),IF(ISERROR(1/VLOOKUP($N108,Capa!$A:$AE,BB$5,0)),0,1/VLOOKUP($N108,Capa!$A:$AE,BB$5,0))))</f>
        <v/>
      </c>
      <c r="BC108" s="118" t="str">
        <f>IF(BC$6="","",IF(BC$3="Maior",IFERROR(IF(VLOOKUP($N108,Capa!$A:$AE,BC$5,0)="",0,VLOOKUP($N108,Capa!$A:$AE,BC$5,0)),0),IF(ISERROR(1/VLOOKUP($N108,Capa!$A:$AE,BC$5,0)),0,1/VLOOKUP($N108,Capa!$A:$AE,BC$5,0))))</f>
        <v/>
      </c>
      <c r="BD108" s="118" t="str">
        <f>IF(BD$6="","",IF(BD$3="Maior",IFERROR(IF(VLOOKUP($N108,Capa!$A:$AE,BD$5,0)="",0,VLOOKUP($N108,Capa!$A:$AE,BD$5,0)),0),IF(ISERROR(1/VLOOKUP($N108,Capa!$A:$AE,BD$5,0)),0,1/VLOOKUP($N108,Capa!$A:$AE,BD$5,0))))</f>
        <v/>
      </c>
      <c r="BE108" s="118" t="str">
        <f>IF(BE$6="","",IF(BE$3="Maior",IFERROR(IF(VLOOKUP($N108,Capa!$A:$AE,BE$5,0)="",0,VLOOKUP($N108,Capa!$A:$AE,BE$5,0)),0),IF(ISERROR(1/VLOOKUP($N108,Capa!$A:$AE,BE$5,0)),0,1/VLOOKUP($N108,Capa!$A:$AE,BE$5,0))))</f>
        <v/>
      </c>
      <c r="BF108" s="118" t="str">
        <f>IF(BF$6="","",IF(BF$3="Maior",IFERROR(IF(VLOOKUP($N108,Capa!$A:$AE,BF$5,0)="",0,VLOOKUP($N108,Capa!$A:$AE,BF$5,0)),0),IF(ISERROR(1/VLOOKUP($N108,Capa!$A:$AE,BF$5,0)),0,1/VLOOKUP($N108,Capa!$A:$AE,BF$5,0))))</f>
        <v/>
      </c>
      <c r="BG108" s="118" t="str">
        <f>IF(BG$6="","",IF(BG$3="Maior",IFERROR(IF(VLOOKUP($N108,Capa!$A:$AE,BG$5,0)="",0,VLOOKUP($N108,Capa!$A:$AE,BG$5,0)),0),IF(ISERROR(1/VLOOKUP($N108,Capa!$A:$AE,BG$5,0)),0,1/VLOOKUP($N108,Capa!$A:$AE,BG$5,0))))</f>
        <v/>
      </c>
      <c r="BH108" s="118" t="str">
        <f>IF(BH$6="","",IF(BH$3="Maior",IFERROR(IF(VLOOKUP($N108,Capa!$A:$AE,BH$5,0)="",0,VLOOKUP($N108,Capa!$A:$AE,BH$5,0)),0),IF(ISERROR(1/VLOOKUP($N108,Capa!$A:$AE,BH$5,0)),0,1/VLOOKUP($N108,Capa!$A:$AE,BH$5,0))))</f>
        <v/>
      </c>
      <c r="BI108" s="118" t="str">
        <f>IF(BI$6="","",IF(BI$3="Maior",IFERROR(IF(VLOOKUP($N108,Capa!$A:$AE,BI$5,0)="",0,VLOOKUP($N108,Capa!$A:$AE,BI$5,0)),0),IF(ISERROR(1/VLOOKUP($N108,Capa!$A:$AE,BI$5,0)),0,1/VLOOKUP($N108,Capa!$A:$AE,BI$5,0))))</f>
        <v/>
      </c>
      <c r="BJ108" s="118" t="str">
        <f>IF(BJ$6="","",IF(BJ$3="Maior",IFERROR(IF(VLOOKUP($N108,Capa!$A:$AE,BJ$5,0)="",0,VLOOKUP($N108,Capa!$A:$AE,BJ$5,0)),0),IF(ISERROR(1/VLOOKUP($N108,Capa!$A:$AE,BJ$5,0)),0,1/VLOOKUP($N108,Capa!$A:$AE,BJ$5,0))))</f>
        <v/>
      </c>
      <c r="BK108" s="118" t="str">
        <f>IF(BK$6="","",IF(BK$3="Maior",IFERROR(IF(VLOOKUP($N108,Capa!$A:$AE,BK$5,0)="",0,VLOOKUP($N108,Capa!$A:$AE,BK$5,0)),0),IF(ISERROR(1/VLOOKUP($N108,Capa!$A:$AE,BK$5,0)),0,1/VLOOKUP($N108,Capa!$A:$AE,BK$5,0))))</f>
        <v/>
      </c>
      <c r="BL108" s="118" t="str">
        <f>IF(BL$6="","",IF(BL$3="Maior",IFERROR(IF(VLOOKUP($N108,Capa!$A:$AE,BL$5,0)="",0,VLOOKUP($N108,Capa!$A:$AE,BL$5,0)),0),IF(ISERROR(1/VLOOKUP($N108,Capa!$A:$AE,BL$5,0)),0,1/VLOOKUP($N108,Capa!$A:$AE,BL$5,0))))</f>
        <v/>
      </c>
      <c r="BM108" s="118" t="str">
        <f>IF(BM$6="","",IF(BM$3="Maior",IFERROR(IF(VLOOKUP($N108,Capa!$A:$AE,BM$5,0)="",0,VLOOKUP($N108,Capa!$A:$AE,BM$5,0)),0),IF(ISERROR(1/VLOOKUP($N108,Capa!$A:$AE,BM$5,0)),0,1/VLOOKUP($N108,Capa!$A:$AE,BM$5,0))))</f>
        <v/>
      </c>
      <c r="BN108" s="118" t="str">
        <f>IF(BN$6="","",IF(BN$3="Maior",IFERROR(IF(VLOOKUP($N108,Capa!$A:$AE,BN$5,0)="",0,VLOOKUP($N108,Capa!$A:$AE,BN$5,0)),0),IF(ISERROR(1/VLOOKUP($N108,Capa!$A:$AE,BN$5,0)),0,1/VLOOKUP($N108,Capa!$A:$AE,BN$5,0))))</f>
        <v/>
      </c>
      <c r="BO108" s="92"/>
    </row>
    <row r="109">
      <c r="G109" s="11"/>
      <c r="H109" s="8">
        <v>103.0</v>
      </c>
      <c r="I109" s="110" t="str">
        <f t="shared" si="6"/>
        <v>VIVT3</v>
      </c>
      <c r="J109" s="111" t="str">
        <f>VLOOKUP(left(I109,4),Setor!A:D,3,0)&amp;" | "&amp;VLOOKUP(left(I109,4),Setor!A:D,4,0)</f>
        <v>Comunicações | Telecomunicações</v>
      </c>
      <c r="K109" s="112">
        <f t="shared" si="7"/>
        <v>114029355</v>
      </c>
      <c r="L109" s="11"/>
      <c r="M109" s="11"/>
      <c r="N109" s="10" t="s">
        <v>155</v>
      </c>
      <c r="O109" s="113">
        <f t="shared" si="8"/>
        <v>551.0222</v>
      </c>
      <c r="P109" s="114">
        <f>VLOOKUP(N109,'Dados StatusInvest'!A:Z,26,0)</f>
        <v>46169447.83</v>
      </c>
      <c r="Q109" s="115">
        <f t="shared" si="9"/>
        <v>222.0222</v>
      </c>
      <c r="R109" s="116">
        <f t="shared" ref="R109:AO109" si="112">IF(AQ109="","", RANK(AQ109,AQ$7:AQ$503,0))</f>
        <v>283</v>
      </c>
      <c r="S109" s="115">
        <f t="shared" si="112"/>
        <v>46</v>
      </c>
      <c r="T109" s="115" t="str">
        <f t="shared" si="112"/>
        <v/>
      </c>
      <c r="U109" s="115" t="str">
        <f t="shared" si="112"/>
        <v/>
      </c>
      <c r="V109" s="115" t="str">
        <f t="shared" si="112"/>
        <v/>
      </c>
      <c r="W109" s="115" t="str">
        <f t="shared" si="112"/>
        <v/>
      </c>
      <c r="X109" s="115" t="str">
        <f t="shared" si="112"/>
        <v/>
      </c>
      <c r="Y109" s="115" t="str">
        <f t="shared" si="112"/>
        <v/>
      </c>
      <c r="Z109" s="115" t="str">
        <f t="shared" si="112"/>
        <v/>
      </c>
      <c r="AA109" s="115" t="str">
        <f t="shared" si="112"/>
        <v/>
      </c>
      <c r="AB109" s="115" t="str">
        <f t="shared" si="112"/>
        <v/>
      </c>
      <c r="AC109" s="115" t="str">
        <f t="shared" si="112"/>
        <v/>
      </c>
      <c r="AD109" s="115" t="str">
        <f t="shared" si="112"/>
        <v/>
      </c>
      <c r="AE109" s="115" t="str">
        <f t="shared" si="112"/>
        <v/>
      </c>
      <c r="AF109" s="115" t="str">
        <f t="shared" si="112"/>
        <v/>
      </c>
      <c r="AG109" s="115" t="str">
        <f t="shared" si="112"/>
        <v/>
      </c>
      <c r="AH109" s="115" t="str">
        <f t="shared" si="112"/>
        <v/>
      </c>
      <c r="AI109" s="115" t="str">
        <f t="shared" si="112"/>
        <v/>
      </c>
      <c r="AJ109" s="115" t="str">
        <f t="shared" si="112"/>
        <v/>
      </c>
      <c r="AK109" s="115" t="str">
        <f t="shared" si="112"/>
        <v/>
      </c>
      <c r="AL109" s="115" t="str">
        <f t="shared" si="112"/>
        <v/>
      </c>
      <c r="AM109" s="115" t="str">
        <f t="shared" si="112"/>
        <v/>
      </c>
      <c r="AN109" s="115" t="str">
        <f t="shared" si="112"/>
        <v/>
      </c>
      <c r="AO109" s="115" t="str">
        <f t="shared" si="112"/>
        <v/>
      </c>
      <c r="AP109" s="117">
        <f>IF(AP$6="","",IF(AP$3="Maior",IFERROR(IF(VLOOKUP($N109,Capa!$A:$AE,AP$5,0)="",0,VLOOKUP($N109,Capa!$A:$AE,AP$5,0)),0),IF(ISERROR(1/VLOOKUP($N109,Capa!$A:$AE,AP$5,0)),0,1/VLOOKUP($N109,Capa!$A:$AE,AP$5,0))))</f>
        <v>0.09382015755</v>
      </c>
      <c r="AQ109" s="118">
        <f>IF(AQ$6="","",IF(AQ$3="Maior",IFERROR(IF(VLOOKUP($N109,Capa!$A:$AE,AQ$5,0)="",0,VLOOKUP($N109,Capa!$A:$AE,AQ$5,0)),0),IF(ISERROR(1/VLOOKUP($N109,Capa!$A:$AE,AQ$5,0)),0,1/VLOOKUP($N109,Capa!$A:$AE,AQ$5,0))))</f>
        <v>6.11</v>
      </c>
      <c r="AR109" s="118">
        <f>IF(AR$6="","",IF(AR$3="Maior",IFERROR(IF(VLOOKUP($N109,Capa!$A:$AE,AR$5,0)="",0,VLOOKUP($N109,Capa!$A:$AE,AR$5,0)),0),IF(ISERROR(1/VLOOKUP($N109,Capa!$A:$AE,AR$5,0)),0,1/VLOOKUP($N109,Capa!$A:$AE,AR$5,0))))</f>
        <v>49.71</v>
      </c>
      <c r="AS109" s="118" t="str">
        <f>IF(AS$6="","",IF(AS$3="Maior",IFERROR(IF(VLOOKUP($N109,Capa!$A:$AE,AS$5,0)="",0,VLOOKUP($N109,Capa!$A:$AE,AS$5,0)),0),IF(ISERROR(1/VLOOKUP($N109,Capa!$A:$AE,AS$5,0)),0,1/VLOOKUP($N109,Capa!$A:$AE,AS$5,0))))</f>
        <v/>
      </c>
      <c r="AT109" s="118" t="str">
        <f>IF(AT$6="","",IF(AT$3="Maior",IFERROR(IF(VLOOKUP($N109,Capa!$A:$AE,AT$5,0)="",0,VLOOKUP($N109,Capa!$A:$AE,AT$5,0)),0),IF(ISERROR(1/VLOOKUP($N109,Capa!$A:$AE,AT$5,0)),0,1/VLOOKUP($N109,Capa!$A:$AE,AT$5,0))))</f>
        <v/>
      </c>
      <c r="AU109" s="118" t="str">
        <f>IF(AU$6="","",IF(AU$3="Maior",IFERROR(IF(VLOOKUP($N109,Capa!$A:$AE,AU$5,0)="",0,VLOOKUP($N109,Capa!$A:$AE,AU$5,0)),0),IF(ISERROR(1/VLOOKUP($N109,Capa!$A:$AE,AU$5,0)),0,1/VLOOKUP($N109,Capa!$A:$AE,AU$5,0))))</f>
        <v/>
      </c>
      <c r="AV109" s="118" t="str">
        <f>IF(AV$6="","",IF(AV$3="Maior",IFERROR(IF(VLOOKUP($N109,Capa!$A:$AE,AV$5,0)="",0,VLOOKUP($N109,Capa!$A:$AE,AV$5,0)),0),IF(ISERROR(1/VLOOKUP($N109,Capa!$A:$AE,AV$5,0)),0,1/VLOOKUP($N109,Capa!$A:$AE,AV$5,0))))</f>
        <v/>
      </c>
      <c r="AW109" s="118" t="str">
        <f>IF(AW$6="","",IF(AW$3="Maior",IFERROR(IF(VLOOKUP($N109,Capa!$A:$AE,AW$5,0)="",0,VLOOKUP($N109,Capa!$A:$AE,AW$5,0)),0),IF(ISERROR(1/VLOOKUP($N109,Capa!$A:$AE,AW$5,0)),0,1/VLOOKUP($N109,Capa!$A:$AE,AW$5,0))))</f>
        <v/>
      </c>
      <c r="AX109" s="118" t="str">
        <f>IF(AX$6="","",IF(AX$3="Maior",IFERROR(IF(VLOOKUP($N109,Capa!$A:$AE,AX$5,0)="",0,VLOOKUP($N109,Capa!$A:$AE,AX$5,0)),0),IF(ISERROR(1/VLOOKUP($N109,Capa!$A:$AE,AX$5,0)),0,1/VLOOKUP($N109,Capa!$A:$AE,AX$5,0))))</f>
        <v/>
      </c>
      <c r="AY109" s="118" t="str">
        <f>IF(AY$6="","",IF(AY$3="Maior",IFERROR(IF(VLOOKUP($N109,Capa!$A:$AE,AY$5,0)="",0,VLOOKUP($N109,Capa!$A:$AE,AY$5,0)),0),IF(ISERROR(1/VLOOKUP($N109,Capa!$A:$AE,AY$5,0)),0,1/VLOOKUP($N109,Capa!$A:$AE,AY$5,0))))</f>
        <v/>
      </c>
      <c r="AZ109" s="118" t="str">
        <f>IF(AZ$6="","",IF(AZ$3="Maior",IFERROR(IF(VLOOKUP($N109,Capa!$A:$AE,AZ$5,0)="",0,VLOOKUP($N109,Capa!$A:$AE,AZ$5,0)),0),IF(ISERROR(1/VLOOKUP($N109,Capa!$A:$AE,AZ$5,0)),0,1/VLOOKUP($N109,Capa!$A:$AE,AZ$5,0))))</f>
        <v/>
      </c>
      <c r="BA109" s="118" t="str">
        <f>IF(BA$6="","",IF(BA$3="Maior",IFERROR(IF(VLOOKUP($N109,Capa!$A:$AE,BA$5,0)="",0,VLOOKUP($N109,Capa!$A:$AE,BA$5,0)),0),IF(ISERROR(1/VLOOKUP($N109,Capa!$A:$AE,BA$5,0)),0,1/VLOOKUP($N109,Capa!$A:$AE,BA$5,0))))</f>
        <v/>
      </c>
      <c r="BB109" s="118" t="str">
        <f>IF(BB$6="","",IF(BB$3="Maior",IFERROR(IF(VLOOKUP($N109,Capa!$A:$AE,BB$5,0)="",0,VLOOKUP($N109,Capa!$A:$AE,BB$5,0)),0),IF(ISERROR(1/VLOOKUP($N109,Capa!$A:$AE,BB$5,0)),0,1/VLOOKUP($N109,Capa!$A:$AE,BB$5,0))))</f>
        <v/>
      </c>
      <c r="BC109" s="118" t="str">
        <f>IF(BC$6="","",IF(BC$3="Maior",IFERROR(IF(VLOOKUP($N109,Capa!$A:$AE,BC$5,0)="",0,VLOOKUP($N109,Capa!$A:$AE,BC$5,0)),0),IF(ISERROR(1/VLOOKUP($N109,Capa!$A:$AE,BC$5,0)),0,1/VLOOKUP($N109,Capa!$A:$AE,BC$5,0))))</f>
        <v/>
      </c>
      <c r="BD109" s="118" t="str">
        <f>IF(BD$6="","",IF(BD$3="Maior",IFERROR(IF(VLOOKUP($N109,Capa!$A:$AE,BD$5,0)="",0,VLOOKUP($N109,Capa!$A:$AE,BD$5,0)),0),IF(ISERROR(1/VLOOKUP($N109,Capa!$A:$AE,BD$5,0)),0,1/VLOOKUP($N109,Capa!$A:$AE,BD$5,0))))</f>
        <v/>
      </c>
      <c r="BE109" s="118" t="str">
        <f>IF(BE$6="","",IF(BE$3="Maior",IFERROR(IF(VLOOKUP($N109,Capa!$A:$AE,BE$5,0)="",0,VLOOKUP($N109,Capa!$A:$AE,BE$5,0)),0),IF(ISERROR(1/VLOOKUP($N109,Capa!$A:$AE,BE$5,0)),0,1/VLOOKUP($N109,Capa!$A:$AE,BE$5,0))))</f>
        <v/>
      </c>
      <c r="BF109" s="118" t="str">
        <f>IF(BF$6="","",IF(BF$3="Maior",IFERROR(IF(VLOOKUP($N109,Capa!$A:$AE,BF$5,0)="",0,VLOOKUP($N109,Capa!$A:$AE,BF$5,0)),0),IF(ISERROR(1/VLOOKUP($N109,Capa!$A:$AE,BF$5,0)),0,1/VLOOKUP($N109,Capa!$A:$AE,BF$5,0))))</f>
        <v/>
      </c>
      <c r="BG109" s="118" t="str">
        <f>IF(BG$6="","",IF(BG$3="Maior",IFERROR(IF(VLOOKUP($N109,Capa!$A:$AE,BG$5,0)="",0,VLOOKUP($N109,Capa!$A:$AE,BG$5,0)),0),IF(ISERROR(1/VLOOKUP($N109,Capa!$A:$AE,BG$5,0)),0,1/VLOOKUP($N109,Capa!$A:$AE,BG$5,0))))</f>
        <v/>
      </c>
      <c r="BH109" s="118" t="str">
        <f>IF(BH$6="","",IF(BH$3="Maior",IFERROR(IF(VLOOKUP($N109,Capa!$A:$AE,BH$5,0)="",0,VLOOKUP($N109,Capa!$A:$AE,BH$5,0)),0),IF(ISERROR(1/VLOOKUP($N109,Capa!$A:$AE,BH$5,0)),0,1/VLOOKUP($N109,Capa!$A:$AE,BH$5,0))))</f>
        <v/>
      </c>
      <c r="BI109" s="118" t="str">
        <f>IF(BI$6="","",IF(BI$3="Maior",IFERROR(IF(VLOOKUP($N109,Capa!$A:$AE,BI$5,0)="",0,VLOOKUP($N109,Capa!$A:$AE,BI$5,0)),0),IF(ISERROR(1/VLOOKUP($N109,Capa!$A:$AE,BI$5,0)),0,1/VLOOKUP($N109,Capa!$A:$AE,BI$5,0))))</f>
        <v/>
      </c>
      <c r="BJ109" s="118" t="str">
        <f>IF(BJ$6="","",IF(BJ$3="Maior",IFERROR(IF(VLOOKUP($N109,Capa!$A:$AE,BJ$5,0)="",0,VLOOKUP($N109,Capa!$A:$AE,BJ$5,0)),0),IF(ISERROR(1/VLOOKUP($N109,Capa!$A:$AE,BJ$5,0)),0,1/VLOOKUP($N109,Capa!$A:$AE,BJ$5,0))))</f>
        <v/>
      </c>
      <c r="BK109" s="118" t="str">
        <f>IF(BK$6="","",IF(BK$3="Maior",IFERROR(IF(VLOOKUP($N109,Capa!$A:$AE,BK$5,0)="",0,VLOOKUP($N109,Capa!$A:$AE,BK$5,0)),0),IF(ISERROR(1/VLOOKUP($N109,Capa!$A:$AE,BK$5,0)),0,1/VLOOKUP($N109,Capa!$A:$AE,BK$5,0))))</f>
        <v/>
      </c>
      <c r="BL109" s="118" t="str">
        <f>IF(BL$6="","",IF(BL$3="Maior",IFERROR(IF(VLOOKUP($N109,Capa!$A:$AE,BL$5,0)="",0,VLOOKUP($N109,Capa!$A:$AE,BL$5,0)),0),IF(ISERROR(1/VLOOKUP($N109,Capa!$A:$AE,BL$5,0)),0,1/VLOOKUP($N109,Capa!$A:$AE,BL$5,0))))</f>
        <v/>
      </c>
      <c r="BM109" s="118" t="str">
        <f>IF(BM$6="","",IF(BM$3="Maior",IFERROR(IF(VLOOKUP($N109,Capa!$A:$AE,BM$5,0)="",0,VLOOKUP($N109,Capa!$A:$AE,BM$5,0)),0),IF(ISERROR(1/VLOOKUP($N109,Capa!$A:$AE,BM$5,0)),0,1/VLOOKUP($N109,Capa!$A:$AE,BM$5,0))))</f>
        <v/>
      </c>
      <c r="BN109" s="118" t="str">
        <f>IF(BN$6="","",IF(BN$3="Maior",IFERROR(IF(VLOOKUP($N109,Capa!$A:$AE,BN$5,0)="",0,VLOOKUP($N109,Capa!$A:$AE,BN$5,0)),0),IF(ISERROR(1/VLOOKUP($N109,Capa!$A:$AE,BN$5,0)),0,1/VLOOKUP($N109,Capa!$A:$AE,BN$5,0))))</f>
        <v/>
      </c>
      <c r="BO109" s="92"/>
    </row>
    <row r="110">
      <c r="G110" s="11"/>
      <c r="H110" s="8">
        <v>104.0</v>
      </c>
      <c r="I110" s="110" t="str">
        <f t="shared" si="6"/>
        <v>BRML3</v>
      </c>
      <c r="J110" s="111" t="str">
        <f>VLOOKUP(left(I110,4),Setor!A:D,3,0)&amp;" | "&amp;VLOOKUP(left(I110,4),Setor!A:D,4,0)</f>
        <v>Financeiro | Exploração de Imóveis</v>
      </c>
      <c r="K110" s="112">
        <f t="shared" si="7"/>
        <v>120607910.4</v>
      </c>
      <c r="L110" s="11"/>
      <c r="M110" s="11"/>
      <c r="N110" s="10" t="s">
        <v>156</v>
      </c>
      <c r="O110" s="113">
        <f t="shared" si="8"/>
        <v>461.0103</v>
      </c>
      <c r="P110" s="114">
        <f>VLOOKUP(N110,'Dados StatusInvest'!A:Z,26,0)</f>
        <v>53267315.33</v>
      </c>
      <c r="Q110" s="115">
        <f t="shared" si="9"/>
        <v>103.0103</v>
      </c>
      <c r="R110" s="116">
        <f t="shared" ref="R110:AO110" si="113">IF(AQ110="","", RANK(AQ110,AQ$7:AQ$503,0))</f>
        <v>181</v>
      </c>
      <c r="S110" s="115">
        <f t="shared" si="113"/>
        <v>177</v>
      </c>
      <c r="T110" s="115" t="str">
        <f t="shared" si="113"/>
        <v/>
      </c>
      <c r="U110" s="115" t="str">
        <f t="shared" si="113"/>
        <v/>
      </c>
      <c r="V110" s="115" t="str">
        <f t="shared" si="113"/>
        <v/>
      </c>
      <c r="W110" s="115" t="str">
        <f t="shared" si="113"/>
        <v/>
      </c>
      <c r="X110" s="115" t="str">
        <f t="shared" si="113"/>
        <v/>
      </c>
      <c r="Y110" s="115" t="str">
        <f t="shared" si="113"/>
        <v/>
      </c>
      <c r="Z110" s="115" t="str">
        <f t="shared" si="113"/>
        <v/>
      </c>
      <c r="AA110" s="115" t="str">
        <f t="shared" si="113"/>
        <v/>
      </c>
      <c r="AB110" s="115" t="str">
        <f t="shared" si="113"/>
        <v/>
      </c>
      <c r="AC110" s="115" t="str">
        <f t="shared" si="113"/>
        <v/>
      </c>
      <c r="AD110" s="115" t="str">
        <f t="shared" si="113"/>
        <v/>
      </c>
      <c r="AE110" s="115" t="str">
        <f t="shared" si="113"/>
        <v/>
      </c>
      <c r="AF110" s="115" t="str">
        <f t="shared" si="113"/>
        <v/>
      </c>
      <c r="AG110" s="115" t="str">
        <f t="shared" si="113"/>
        <v/>
      </c>
      <c r="AH110" s="115" t="str">
        <f t="shared" si="113"/>
        <v/>
      </c>
      <c r="AI110" s="115" t="str">
        <f t="shared" si="113"/>
        <v/>
      </c>
      <c r="AJ110" s="115" t="str">
        <f t="shared" si="113"/>
        <v/>
      </c>
      <c r="AK110" s="115" t="str">
        <f t="shared" si="113"/>
        <v/>
      </c>
      <c r="AL110" s="115" t="str">
        <f t="shared" si="113"/>
        <v/>
      </c>
      <c r="AM110" s="115" t="str">
        <f t="shared" si="113"/>
        <v/>
      </c>
      <c r="AN110" s="115" t="str">
        <f t="shared" si="113"/>
        <v/>
      </c>
      <c r="AO110" s="115" t="str">
        <f t="shared" si="113"/>
        <v/>
      </c>
      <c r="AP110" s="117">
        <f>IF(AP$6="","",IF(AP$3="Maior",IFERROR(IF(VLOOKUP($N110,Capa!$A:$AE,AP$5,0)="",0,VLOOKUP($N110,Capa!$A:$AE,AP$5,0)),0),IF(ISERROR(1/VLOOKUP($N110,Capa!$A:$AE,AP$5,0)),0,1/VLOOKUP($N110,Capa!$A:$AE,AP$5,0))))</f>
        <v>0.1812932047</v>
      </c>
      <c r="AQ110" s="118">
        <f>IF(AQ$6="","",IF(AQ$3="Maior",IFERROR(IF(VLOOKUP($N110,Capa!$A:$AE,AQ$5,0)="",0,VLOOKUP($N110,Capa!$A:$AE,AQ$5,0)),0),IF(ISERROR(1/VLOOKUP($N110,Capa!$A:$AE,AQ$5,0)),0,1/VLOOKUP($N110,Capa!$A:$AE,AQ$5,0))))</f>
        <v>12.48</v>
      </c>
      <c r="AR110" s="118">
        <f>IF(AR$6="","",IF(AR$3="Maior",IFERROR(IF(VLOOKUP($N110,Capa!$A:$AE,AR$5,0)="",0,VLOOKUP($N110,Capa!$A:$AE,AR$5,0)),0),IF(ISERROR(1/VLOOKUP($N110,Capa!$A:$AE,AR$5,0)),0,1/VLOOKUP($N110,Capa!$A:$AE,AR$5,0))))</f>
        <v>7.77</v>
      </c>
      <c r="AS110" s="118" t="str">
        <f>IF(AS$6="","",IF(AS$3="Maior",IFERROR(IF(VLOOKUP($N110,Capa!$A:$AE,AS$5,0)="",0,VLOOKUP($N110,Capa!$A:$AE,AS$5,0)),0),IF(ISERROR(1/VLOOKUP($N110,Capa!$A:$AE,AS$5,0)),0,1/VLOOKUP($N110,Capa!$A:$AE,AS$5,0))))</f>
        <v/>
      </c>
      <c r="AT110" s="118" t="str">
        <f>IF(AT$6="","",IF(AT$3="Maior",IFERROR(IF(VLOOKUP($N110,Capa!$A:$AE,AT$5,0)="",0,VLOOKUP($N110,Capa!$A:$AE,AT$5,0)),0),IF(ISERROR(1/VLOOKUP($N110,Capa!$A:$AE,AT$5,0)),0,1/VLOOKUP($N110,Capa!$A:$AE,AT$5,0))))</f>
        <v/>
      </c>
      <c r="AU110" s="118" t="str">
        <f>IF(AU$6="","",IF(AU$3="Maior",IFERROR(IF(VLOOKUP($N110,Capa!$A:$AE,AU$5,0)="",0,VLOOKUP($N110,Capa!$A:$AE,AU$5,0)),0),IF(ISERROR(1/VLOOKUP($N110,Capa!$A:$AE,AU$5,0)),0,1/VLOOKUP($N110,Capa!$A:$AE,AU$5,0))))</f>
        <v/>
      </c>
      <c r="AV110" s="118" t="str">
        <f>IF(AV$6="","",IF(AV$3="Maior",IFERROR(IF(VLOOKUP($N110,Capa!$A:$AE,AV$5,0)="",0,VLOOKUP($N110,Capa!$A:$AE,AV$5,0)),0),IF(ISERROR(1/VLOOKUP($N110,Capa!$A:$AE,AV$5,0)),0,1/VLOOKUP($N110,Capa!$A:$AE,AV$5,0))))</f>
        <v/>
      </c>
      <c r="AW110" s="118" t="str">
        <f>IF(AW$6="","",IF(AW$3="Maior",IFERROR(IF(VLOOKUP($N110,Capa!$A:$AE,AW$5,0)="",0,VLOOKUP($N110,Capa!$A:$AE,AW$5,0)),0),IF(ISERROR(1/VLOOKUP($N110,Capa!$A:$AE,AW$5,0)),0,1/VLOOKUP($N110,Capa!$A:$AE,AW$5,0))))</f>
        <v/>
      </c>
      <c r="AX110" s="118" t="str">
        <f>IF(AX$6="","",IF(AX$3="Maior",IFERROR(IF(VLOOKUP($N110,Capa!$A:$AE,AX$5,0)="",0,VLOOKUP($N110,Capa!$A:$AE,AX$5,0)),0),IF(ISERROR(1/VLOOKUP($N110,Capa!$A:$AE,AX$5,0)),0,1/VLOOKUP($N110,Capa!$A:$AE,AX$5,0))))</f>
        <v/>
      </c>
      <c r="AY110" s="118" t="str">
        <f>IF(AY$6="","",IF(AY$3="Maior",IFERROR(IF(VLOOKUP($N110,Capa!$A:$AE,AY$5,0)="",0,VLOOKUP($N110,Capa!$A:$AE,AY$5,0)),0),IF(ISERROR(1/VLOOKUP($N110,Capa!$A:$AE,AY$5,0)),0,1/VLOOKUP($N110,Capa!$A:$AE,AY$5,0))))</f>
        <v/>
      </c>
      <c r="AZ110" s="118" t="str">
        <f>IF(AZ$6="","",IF(AZ$3="Maior",IFERROR(IF(VLOOKUP($N110,Capa!$A:$AE,AZ$5,0)="",0,VLOOKUP($N110,Capa!$A:$AE,AZ$5,0)),0),IF(ISERROR(1/VLOOKUP($N110,Capa!$A:$AE,AZ$5,0)),0,1/VLOOKUP($N110,Capa!$A:$AE,AZ$5,0))))</f>
        <v/>
      </c>
      <c r="BA110" s="118" t="str">
        <f>IF(BA$6="","",IF(BA$3="Maior",IFERROR(IF(VLOOKUP($N110,Capa!$A:$AE,BA$5,0)="",0,VLOOKUP($N110,Capa!$A:$AE,BA$5,0)),0),IF(ISERROR(1/VLOOKUP($N110,Capa!$A:$AE,BA$5,0)),0,1/VLOOKUP($N110,Capa!$A:$AE,BA$5,0))))</f>
        <v/>
      </c>
      <c r="BB110" s="118" t="str">
        <f>IF(BB$6="","",IF(BB$3="Maior",IFERROR(IF(VLOOKUP($N110,Capa!$A:$AE,BB$5,0)="",0,VLOOKUP($N110,Capa!$A:$AE,BB$5,0)),0),IF(ISERROR(1/VLOOKUP($N110,Capa!$A:$AE,BB$5,0)),0,1/VLOOKUP($N110,Capa!$A:$AE,BB$5,0))))</f>
        <v/>
      </c>
      <c r="BC110" s="118" t="str">
        <f>IF(BC$6="","",IF(BC$3="Maior",IFERROR(IF(VLOOKUP($N110,Capa!$A:$AE,BC$5,0)="",0,VLOOKUP($N110,Capa!$A:$AE,BC$5,0)),0),IF(ISERROR(1/VLOOKUP($N110,Capa!$A:$AE,BC$5,0)),0,1/VLOOKUP($N110,Capa!$A:$AE,BC$5,0))))</f>
        <v/>
      </c>
      <c r="BD110" s="118" t="str">
        <f>IF(BD$6="","",IF(BD$3="Maior",IFERROR(IF(VLOOKUP($N110,Capa!$A:$AE,BD$5,0)="",0,VLOOKUP($N110,Capa!$A:$AE,BD$5,0)),0),IF(ISERROR(1/VLOOKUP($N110,Capa!$A:$AE,BD$5,0)),0,1/VLOOKUP($N110,Capa!$A:$AE,BD$5,0))))</f>
        <v/>
      </c>
      <c r="BE110" s="118" t="str">
        <f>IF(BE$6="","",IF(BE$3="Maior",IFERROR(IF(VLOOKUP($N110,Capa!$A:$AE,BE$5,0)="",0,VLOOKUP($N110,Capa!$A:$AE,BE$5,0)),0),IF(ISERROR(1/VLOOKUP($N110,Capa!$A:$AE,BE$5,0)),0,1/VLOOKUP($N110,Capa!$A:$AE,BE$5,0))))</f>
        <v/>
      </c>
      <c r="BF110" s="118" t="str">
        <f>IF(BF$6="","",IF(BF$3="Maior",IFERROR(IF(VLOOKUP($N110,Capa!$A:$AE,BF$5,0)="",0,VLOOKUP($N110,Capa!$A:$AE,BF$5,0)),0),IF(ISERROR(1/VLOOKUP($N110,Capa!$A:$AE,BF$5,0)),0,1/VLOOKUP($N110,Capa!$A:$AE,BF$5,0))))</f>
        <v/>
      </c>
      <c r="BG110" s="118" t="str">
        <f>IF(BG$6="","",IF(BG$3="Maior",IFERROR(IF(VLOOKUP($N110,Capa!$A:$AE,BG$5,0)="",0,VLOOKUP($N110,Capa!$A:$AE,BG$5,0)),0),IF(ISERROR(1/VLOOKUP($N110,Capa!$A:$AE,BG$5,0)),0,1/VLOOKUP($N110,Capa!$A:$AE,BG$5,0))))</f>
        <v/>
      </c>
      <c r="BH110" s="118" t="str">
        <f>IF(BH$6="","",IF(BH$3="Maior",IFERROR(IF(VLOOKUP($N110,Capa!$A:$AE,BH$5,0)="",0,VLOOKUP($N110,Capa!$A:$AE,BH$5,0)),0),IF(ISERROR(1/VLOOKUP($N110,Capa!$A:$AE,BH$5,0)),0,1/VLOOKUP($N110,Capa!$A:$AE,BH$5,0))))</f>
        <v/>
      </c>
      <c r="BI110" s="118" t="str">
        <f>IF(BI$6="","",IF(BI$3="Maior",IFERROR(IF(VLOOKUP($N110,Capa!$A:$AE,BI$5,0)="",0,VLOOKUP($N110,Capa!$A:$AE,BI$5,0)),0),IF(ISERROR(1/VLOOKUP($N110,Capa!$A:$AE,BI$5,0)),0,1/VLOOKUP($N110,Capa!$A:$AE,BI$5,0))))</f>
        <v/>
      </c>
      <c r="BJ110" s="118" t="str">
        <f>IF(BJ$6="","",IF(BJ$3="Maior",IFERROR(IF(VLOOKUP($N110,Capa!$A:$AE,BJ$5,0)="",0,VLOOKUP($N110,Capa!$A:$AE,BJ$5,0)),0),IF(ISERROR(1/VLOOKUP($N110,Capa!$A:$AE,BJ$5,0)),0,1/VLOOKUP($N110,Capa!$A:$AE,BJ$5,0))))</f>
        <v/>
      </c>
      <c r="BK110" s="118" t="str">
        <f>IF(BK$6="","",IF(BK$3="Maior",IFERROR(IF(VLOOKUP($N110,Capa!$A:$AE,BK$5,0)="",0,VLOOKUP($N110,Capa!$A:$AE,BK$5,0)),0),IF(ISERROR(1/VLOOKUP($N110,Capa!$A:$AE,BK$5,0)),0,1/VLOOKUP($N110,Capa!$A:$AE,BK$5,0))))</f>
        <v/>
      </c>
      <c r="BL110" s="118" t="str">
        <f>IF(BL$6="","",IF(BL$3="Maior",IFERROR(IF(VLOOKUP($N110,Capa!$A:$AE,BL$5,0)="",0,VLOOKUP($N110,Capa!$A:$AE,BL$5,0)),0),IF(ISERROR(1/VLOOKUP($N110,Capa!$A:$AE,BL$5,0)),0,1/VLOOKUP($N110,Capa!$A:$AE,BL$5,0))))</f>
        <v/>
      </c>
      <c r="BM110" s="118" t="str">
        <f>IF(BM$6="","",IF(BM$3="Maior",IFERROR(IF(VLOOKUP($N110,Capa!$A:$AE,BM$5,0)="",0,VLOOKUP($N110,Capa!$A:$AE,BM$5,0)),0),IF(ISERROR(1/VLOOKUP($N110,Capa!$A:$AE,BM$5,0)),0,1/VLOOKUP($N110,Capa!$A:$AE,BM$5,0))))</f>
        <v/>
      </c>
      <c r="BN110" s="118" t="str">
        <f>IF(BN$6="","",IF(BN$3="Maior",IFERROR(IF(VLOOKUP($N110,Capa!$A:$AE,BN$5,0)="",0,VLOOKUP($N110,Capa!$A:$AE,BN$5,0)),0),IF(ISERROR(1/VLOOKUP($N110,Capa!$A:$AE,BN$5,0)),0,1/VLOOKUP($N110,Capa!$A:$AE,BN$5,0))))</f>
        <v/>
      </c>
      <c r="BO110" s="92"/>
    </row>
    <row r="111">
      <c r="G111" s="11"/>
      <c r="H111" s="8">
        <v>105.0</v>
      </c>
      <c r="I111" s="110" t="str">
        <f t="shared" si="6"/>
        <v>ITUB4</v>
      </c>
      <c r="J111" s="111" t="str">
        <f>VLOOKUP(left(I111,4),Setor!A:D,3,0)&amp;" | "&amp;VLOOKUP(left(I111,4),Setor!A:D,4,0)</f>
        <v>Financeiro | Intermediários Financeiros</v>
      </c>
      <c r="K111" s="112">
        <f t="shared" si="7"/>
        <v>1189784441</v>
      </c>
      <c r="L111" s="11"/>
      <c r="M111" s="11"/>
      <c r="N111" s="10" t="s">
        <v>157</v>
      </c>
      <c r="O111" s="113">
        <f t="shared" si="8"/>
        <v>803.0355</v>
      </c>
      <c r="P111" s="114">
        <f>VLOOKUP(N111,'Dados StatusInvest'!A:Z,26,0)</f>
        <v>51807263.21</v>
      </c>
      <c r="Q111" s="115">
        <f t="shared" si="9"/>
        <v>355.0355</v>
      </c>
      <c r="R111" s="116">
        <f t="shared" ref="R111:AO111" si="114">IF(AQ111="","", RANK(AQ111,AQ$7:AQ$503,0))</f>
        <v>229</v>
      </c>
      <c r="S111" s="115">
        <f t="shared" si="114"/>
        <v>219</v>
      </c>
      <c r="T111" s="115" t="str">
        <f t="shared" si="114"/>
        <v/>
      </c>
      <c r="U111" s="115" t="str">
        <f t="shared" si="114"/>
        <v/>
      </c>
      <c r="V111" s="115" t="str">
        <f t="shared" si="114"/>
        <v/>
      </c>
      <c r="W111" s="115" t="str">
        <f t="shared" si="114"/>
        <v/>
      </c>
      <c r="X111" s="115" t="str">
        <f t="shared" si="114"/>
        <v/>
      </c>
      <c r="Y111" s="115" t="str">
        <f t="shared" si="114"/>
        <v/>
      </c>
      <c r="Z111" s="115" t="str">
        <f t="shared" si="114"/>
        <v/>
      </c>
      <c r="AA111" s="115" t="str">
        <f t="shared" si="114"/>
        <v/>
      </c>
      <c r="AB111" s="115" t="str">
        <f t="shared" si="114"/>
        <v/>
      </c>
      <c r="AC111" s="115" t="str">
        <f t="shared" si="114"/>
        <v/>
      </c>
      <c r="AD111" s="115" t="str">
        <f t="shared" si="114"/>
        <v/>
      </c>
      <c r="AE111" s="115" t="str">
        <f t="shared" si="114"/>
        <v/>
      </c>
      <c r="AF111" s="115" t="str">
        <f t="shared" si="114"/>
        <v/>
      </c>
      <c r="AG111" s="115" t="str">
        <f t="shared" si="114"/>
        <v/>
      </c>
      <c r="AH111" s="115" t="str">
        <f t="shared" si="114"/>
        <v/>
      </c>
      <c r="AI111" s="115" t="str">
        <f t="shared" si="114"/>
        <v/>
      </c>
      <c r="AJ111" s="115" t="str">
        <f t="shared" si="114"/>
        <v/>
      </c>
      <c r="AK111" s="115" t="str">
        <f t="shared" si="114"/>
        <v/>
      </c>
      <c r="AL111" s="115" t="str">
        <f t="shared" si="114"/>
        <v/>
      </c>
      <c r="AM111" s="115" t="str">
        <f t="shared" si="114"/>
        <v/>
      </c>
      <c r="AN111" s="115" t="str">
        <f t="shared" si="114"/>
        <v/>
      </c>
      <c r="AO111" s="115" t="str">
        <f t="shared" si="114"/>
        <v/>
      </c>
      <c r="AP111" s="117">
        <f>IF(AP$6="","",IF(AP$3="Maior",IFERROR(IF(VLOOKUP($N111,Capa!$A:$AE,AP$5,0)="",0,VLOOKUP($N111,Capa!$A:$AE,AP$5,0)),0),IF(ISERROR(1/VLOOKUP($N111,Capa!$A:$AE,AP$5,0)),0,1/VLOOKUP($N111,Capa!$A:$AE,AP$5,0))))</f>
        <v>0.0294493604</v>
      </c>
      <c r="AQ111" s="118">
        <f>IF(AQ$6="","",IF(AQ$3="Maior",IFERROR(IF(VLOOKUP($N111,Capa!$A:$AE,AQ$5,0)="",0,VLOOKUP($N111,Capa!$A:$AE,AQ$5,0)),0),IF(ISERROR(1/VLOOKUP($N111,Capa!$A:$AE,AQ$5,0)),0,1/VLOOKUP($N111,Capa!$A:$AE,AQ$5,0))))</f>
        <v>9.76</v>
      </c>
      <c r="AR111" s="118">
        <f>IF(AR$6="","",IF(AR$3="Maior",IFERROR(IF(VLOOKUP($N111,Capa!$A:$AE,AR$5,0)="",0,VLOOKUP($N111,Capa!$A:$AE,AR$5,0)),0),IF(ISERROR(1/VLOOKUP($N111,Capa!$A:$AE,AR$5,0)),0,1/VLOOKUP($N111,Capa!$A:$AE,AR$5,0))))</f>
        <v>0</v>
      </c>
      <c r="AS111" s="118" t="str">
        <f>IF(AS$6="","",IF(AS$3="Maior",IFERROR(IF(VLOOKUP($N111,Capa!$A:$AE,AS$5,0)="",0,VLOOKUP($N111,Capa!$A:$AE,AS$5,0)),0),IF(ISERROR(1/VLOOKUP($N111,Capa!$A:$AE,AS$5,0)),0,1/VLOOKUP($N111,Capa!$A:$AE,AS$5,0))))</f>
        <v/>
      </c>
      <c r="AT111" s="118" t="str">
        <f>IF(AT$6="","",IF(AT$3="Maior",IFERROR(IF(VLOOKUP($N111,Capa!$A:$AE,AT$5,0)="",0,VLOOKUP($N111,Capa!$A:$AE,AT$5,0)),0),IF(ISERROR(1/VLOOKUP($N111,Capa!$A:$AE,AT$5,0)),0,1/VLOOKUP($N111,Capa!$A:$AE,AT$5,0))))</f>
        <v/>
      </c>
      <c r="AU111" s="118" t="str">
        <f>IF(AU$6="","",IF(AU$3="Maior",IFERROR(IF(VLOOKUP($N111,Capa!$A:$AE,AU$5,0)="",0,VLOOKUP($N111,Capa!$A:$AE,AU$5,0)),0),IF(ISERROR(1/VLOOKUP($N111,Capa!$A:$AE,AU$5,0)),0,1/VLOOKUP($N111,Capa!$A:$AE,AU$5,0))))</f>
        <v/>
      </c>
      <c r="AV111" s="118" t="str">
        <f>IF(AV$6="","",IF(AV$3="Maior",IFERROR(IF(VLOOKUP($N111,Capa!$A:$AE,AV$5,0)="",0,VLOOKUP($N111,Capa!$A:$AE,AV$5,0)),0),IF(ISERROR(1/VLOOKUP($N111,Capa!$A:$AE,AV$5,0)),0,1/VLOOKUP($N111,Capa!$A:$AE,AV$5,0))))</f>
        <v/>
      </c>
      <c r="AW111" s="118" t="str">
        <f>IF(AW$6="","",IF(AW$3="Maior",IFERROR(IF(VLOOKUP($N111,Capa!$A:$AE,AW$5,0)="",0,VLOOKUP($N111,Capa!$A:$AE,AW$5,0)),0),IF(ISERROR(1/VLOOKUP($N111,Capa!$A:$AE,AW$5,0)),0,1/VLOOKUP($N111,Capa!$A:$AE,AW$5,0))))</f>
        <v/>
      </c>
      <c r="AX111" s="118" t="str">
        <f>IF(AX$6="","",IF(AX$3="Maior",IFERROR(IF(VLOOKUP($N111,Capa!$A:$AE,AX$5,0)="",0,VLOOKUP($N111,Capa!$A:$AE,AX$5,0)),0),IF(ISERROR(1/VLOOKUP($N111,Capa!$A:$AE,AX$5,0)),0,1/VLOOKUP($N111,Capa!$A:$AE,AX$5,0))))</f>
        <v/>
      </c>
      <c r="AY111" s="118" t="str">
        <f>IF(AY$6="","",IF(AY$3="Maior",IFERROR(IF(VLOOKUP($N111,Capa!$A:$AE,AY$5,0)="",0,VLOOKUP($N111,Capa!$A:$AE,AY$5,0)),0),IF(ISERROR(1/VLOOKUP($N111,Capa!$A:$AE,AY$5,0)),0,1/VLOOKUP($N111,Capa!$A:$AE,AY$5,0))))</f>
        <v/>
      </c>
      <c r="AZ111" s="118" t="str">
        <f>IF(AZ$6="","",IF(AZ$3="Maior",IFERROR(IF(VLOOKUP($N111,Capa!$A:$AE,AZ$5,0)="",0,VLOOKUP($N111,Capa!$A:$AE,AZ$5,0)),0),IF(ISERROR(1/VLOOKUP($N111,Capa!$A:$AE,AZ$5,0)),0,1/VLOOKUP($N111,Capa!$A:$AE,AZ$5,0))))</f>
        <v/>
      </c>
      <c r="BA111" s="118" t="str">
        <f>IF(BA$6="","",IF(BA$3="Maior",IFERROR(IF(VLOOKUP($N111,Capa!$A:$AE,BA$5,0)="",0,VLOOKUP($N111,Capa!$A:$AE,BA$5,0)),0),IF(ISERROR(1/VLOOKUP($N111,Capa!$A:$AE,BA$5,0)),0,1/VLOOKUP($N111,Capa!$A:$AE,BA$5,0))))</f>
        <v/>
      </c>
      <c r="BB111" s="118" t="str">
        <f>IF(BB$6="","",IF(BB$3="Maior",IFERROR(IF(VLOOKUP($N111,Capa!$A:$AE,BB$5,0)="",0,VLOOKUP($N111,Capa!$A:$AE,BB$5,0)),0),IF(ISERROR(1/VLOOKUP($N111,Capa!$A:$AE,BB$5,0)),0,1/VLOOKUP($N111,Capa!$A:$AE,BB$5,0))))</f>
        <v/>
      </c>
      <c r="BC111" s="118" t="str">
        <f>IF(BC$6="","",IF(BC$3="Maior",IFERROR(IF(VLOOKUP($N111,Capa!$A:$AE,BC$5,0)="",0,VLOOKUP($N111,Capa!$A:$AE,BC$5,0)),0),IF(ISERROR(1/VLOOKUP($N111,Capa!$A:$AE,BC$5,0)),0,1/VLOOKUP($N111,Capa!$A:$AE,BC$5,0))))</f>
        <v/>
      </c>
      <c r="BD111" s="118" t="str">
        <f>IF(BD$6="","",IF(BD$3="Maior",IFERROR(IF(VLOOKUP($N111,Capa!$A:$AE,BD$5,0)="",0,VLOOKUP($N111,Capa!$A:$AE,BD$5,0)),0),IF(ISERROR(1/VLOOKUP($N111,Capa!$A:$AE,BD$5,0)),0,1/VLOOKUP($N111,Capa!$A:$AE,BD$5,0))))</f>
        <v/>
      </c>
      <c r="BE111" s="118" t="str">
        <f>IF(BE$6="","",IF(BE$3="Maior",IFERROR(IF(VLOOKUP($N111,Capa!$A:$AE,BE$5,0)="",0,VLOOKUP($N111,Capa!$A:$AE,BE$5,0)),0),IF(ISERROR(1/VLOOKUP($N111,Capa!$A:$AE,BE$5,0)),0,1/VLOOKUP($N111,Capa!$A:$AE,BE$5,0))))</f>
        <v/>
      </c>
      <c r="BF111" s="118" t="str">
        <f>IF(BF$6="","",IF(BF$3="Maior",IFERROR(IF(VLOOKUP($N111,Capa!$A:$AE,BF$5,0)="",0,VLOOKUP($N111,Capa!$A:$AE,BF$5,0)),0),IF(ISERROR(1/VLOOKUP($N111,Capa!$A:$AE,BF$5,0)),0,1/VLOOKUP($N111,Capa!$A:$AE,BF$5,0))))</f>
        <v/>
      </c>
      <c r="BG111" s="118" t="str">
        <f>IF(BG$6="","",IF(BG$3="Maior",IFERROR(IF(VLOOKUP($N111,Capa!$A:$AE,BG$5,0)="",0,VLOOKUP($N111,Capa!$A:$AE,BG$5,0)),0),IF(ISERROR(1/VLOOKUP($N111,Capa!$A:$AE,BG$5,0)),0,1/VLOOKUP($N111,Capa!$A:$AE,BG$5,0))))</f>
        <v/>
      </c>
      <c r="BH111" s="118" t="str">
        <f>IF(BH$6="","",IF(BH$3="Maior",IFERROR(IF(VLOOKUP($N111,Capa!$A:$AE,BH$5,0)="",0,VLOOKUP($N111,Capa!$A:$AE,BH$5,0)),0),IF(ISERROR(1/VLOOKUP($N111,Capa!$A:$AE,BH$5,0)),0,1/VLOOKUP($N111,Capa!$A:$AE,BH$5,0))))</f>
        <v/>
      </c>
      <c r="BI111" s="118" t="str">
        <f>IF(BI$6="","",IF(BI$3="Maior",IFERROR(IF(VLOOKUP($N111,Capa!$A:$AE,BI$5,0)="",0,VLOOKUP($N111,Capa!$A:$AE,BI$5,0)),0),IF(ISERROR(1/VLOOKUP($N111,Capa!$A:$AE,BI$5,0)),0,1/VLOOKUP($N111,Capa!$A:$AE,BI$5,0))))</f>
        <v/>
      </c>
      <c r="BJ111" s="118" t="str">
        <f>IF(BJ$6="","",IF(BJ$3="Maior",IFERROR(IF(VLOOKUP($N111,Capa!$A:$AE,BJ$5,0)="",0,VLOOKUP($N111,Capa!$A:$AE,BJ$5,0)),0),IF(ISERROR(1/VLOOKUP($N111,Capa!$A:$AE,BJ$5,0)),0,1/VLOOKUP($N111,Capa!$A:$AE,BJ$5,0))))</f>
        <v/>
      </c>
      <c r="BK111" s="118" t="str">
        <f>IF(BK$6="","",IF(BK$3="Maior",IFERROR(IF(VLOOKUP($N111,Capa!$A:$AE,BK$5,0)="",0,VLOOKUP($N111,Capa!$A:$AE,BK$5,0)),0),IF(ISERROR(1/VLOOKUP($N111,Capa!$A:$AE,BK$5,0)),0,1/VLOOKUP($N111,Capa!$A:$AE,BK$5,0))))</f>
        <v/>
      </c>
      <c r="BL111" s="118" t="str">
        <f>IF(BL$6="","",IF(BL$3="Maior",IFERROR(IF(VLOOKUP($N111,Capa!$A:$AE,BL$5,0)="",0,VLOOKUP($N111,Capa!$A:$AE,BL$5,0)),0),IF(ISERROR(1/VLOOKUP($N111,Capa!$A:$AE,BL$5,0)),0,1/VLOOKUP($N111,Capa!$A:$AE,BL$5,0))))</f>
        <v/>
      </c>
      <c r="BM111" s="118" t="str">
        <f>IF(BM$6="","",IF(BM$3="Maior",IFERROR(IF(VLOOKUP($N111,Capa!$A:$AE,BM$5,0)="",0,VLOOKUP($N111,Capa!$A:$AE,BM$5,0)),0),IF(ISERROR(1/VLOOKUP($N111,Capa!$A:$AE,BM$5,0)),0,1/VLOOKUP($N111,Capa!$A:$AE,BM$5,0))))</f>
        <v/>
      </c>
      <c r="BN111" s="118" t="str">
        <f>IF(BN$6="","",IF(BN$3="Maior",IFERROR(IF(VLOOKUP($N111,Capa!$A:$AE,BN$5,0)="",0,VLOOKUP($N111,Capa!$A:$AE,BN$5,0)),0),IF(ISERROR(1/VLOOKUP($N111,Capa!$A:$AE,BN$5,0)),0,1/VLOOKUP($N111,Capa!$A:$AE,BN$5,0))))</f>
        <v/>
      </c>
      <c r="BO111" s="92"/>
    </row>
    <row r="112">
      <c r="G112" s="11"/>
      <c r="H112" s="8">
        <v>106.0</v>
      </c>
      <c r="I112" s="110" t="str">
        <f t="shared" si="6"/>
        <v>ITUB3</v>
      </c>
      <c r="J112" s="111" t="str">
        <f>VLOOKUP(left(I112,4),Setor!A:D,3,0)&amp;" | "&amp;VLOOKUP(left(I112,4),Setor!A:D,4,0)</f>
        <v>Financeiro | Intermediários Financeiros</v>
      </c>
      <c r="K112" s="112">
        <f t="shared" si="7"/>
        <v>62745706.04</v>
      </c>
      <c r="L112" s="11"/>
      <c r="M112" s="11"/>
      <c r="N112" s="10" t="s">
        <v>158</v>
      </c>
      <c r="O112" s="113">
        <f t="shared" si="8"/>
        <v>690.0109</v>
      </c>
      <c r="P112" s="114">
        <f>VLOOKUP(N112,'Dados StatusInvest'!A:Z,26,0)</f>
        <v>62745706.04</v>
      </c>
      <c r="Q112" s="115">
        <f t="shared" si="9"/>
        <v>109.0109</v>
      </c>
      <c r="R112" s="116">
        <f t="shared" ref="R112:AO112" si="115">IF(AQ112="","", RANK(AQ112,AQ$7:AQ$503,0))</f>
        <v>375</v>
      </c>
      <c r="S112" s="115">
        <f t="shared" si="115"/>
        <v>206</v>
      </c>
      <c r="T112" s="115" t="str">
        <f t="shared" si="115"/>
        <v/>
      </c>
      <c r="U112" s="115" t="str">
        <f t="shared" si="115"/>
        <v/>
      </c>
      <c r="V112" s="115" t="str">
        <f t="shared" si="115"/>
        <v/>
      </c>
      <c r="W112" s="115" t="str">
        <f t="shared" si="115"/>
        <v/>
      </c>
      <c r="X112" s="115" t="str">
        <f t="shared" si="115"/>
        <v/>
      </c>
      <c r="Y112" s="115" t="str">
        <f t="shared" si="115"/>
        <v/>
      </c>
      <c r="Z112" s="115" t="str">
        <f t="shared" si="115"/>
        <v/>
      </c>
      <c r="AA112" s="115" t="str">
        <f t="shared" si="115"/>
        <v/>
      </c>
      <c r="AB112" s="115" t="str">
        <f t="shared" si="115"/>
        <v/>
      </c>
      <c r="AC112" s="115" t="str">
        <f t="shared" si="115"/>
        <v/>
      </c>
      <c r="AD112" s="115" t="str">
        <f t="shared" si="115"/>
        <v/>
      </c>
      <c r="AE112" s="115" t="str">
        <f t="shared" si="115"/>
        <v/>
      </c>
      <c r="AF112" s="115" t="str">
        <f t="shared" si="115"/>
        <v/>
      </c>
      <c r="AG112" s="115" t="str">
        <f t="shared" si="115"/>
        <v/>
      </c>
      <c r="AH112" s="115" t="str">
        <f t="shared" si="115"/>
        <v/>
      </c>
      <c r="AI112" s="115" t="str">
        <f t="shared" si="115"/>
        <v/>
      </c>
      <c r="AJ112" s="115" t="str">
        <f t="shared" si="115"/>
        <v/>
      </c>
      <c r="AK112" s="115" t="str">
        <f t="shared" si="115"/>
        <v/>
      </c>
      <c r="AL112" s="115" t="str">
        <f t="shared" si="115"/>
        <v/>
      </c>
      <c r="AM112" s="115" t="str">
        <f t="shared" si="115"/>
        <v/>
      </c>
      <c r="AN112" s="115" t="str">
        <f t="shared" si="115"/>
        <v/>
      </c>
      <c r="AO112" s="115" t="str">
        <f t="shared" si="115"/>
        <v/>
      </c>
      <c r="AP112" s="117">
        <f>IF(AP$6="","",IF(AP$3="Maior",IFERROR(IF(VLOOKUP($N112,Capa!$A:$AE,AP$5,0)="",0,VLOOKUP($N112,Capa!$A:$AE,AP$5,0)),0),IF(ISERROR(1/VLOOKUP($N112,Capa!$A:$AE,AP$5,0)),0,1/VLOOKUP($N112,Capa!$A:$AE,AP$5,0))))</f>
        <v>0.1763392013</v>
      </c>
      <c r="AQ112" s="118">
        <f>IF(AQ$6="","",IF(AQ$3="Maior",IFERROR(IF(VLOOKUP($N112,Capa!$A:$AE,AQ$5,0)="",0,VLOOKUP($N112,Capa!$A:$AE,AQ$5,0)),0),IF(ISERROR(1/VLOOKUP($N112,Capa!$A:$AE,AQ$5,0)),0,1/VLOOKUP($N112,Capa!$A:$AE,AQ$5,0))))</f>
        <v>0</v>
      </c>
      <c r="AR112" s="118">
        <f>IF(AR$6="","",IF(AR$3="Maior",IFERROR(IF(VLOOKUP($N112,Capa!$A:$AE,AR$5,0)="",0,VLOOKUP($N112,Capa!$A:$AE,AR$5,0)),0),IF(ISERROR(1/VLOOKUP($N112,Capa!$A:$AE,AR$5,0)),0,1/VLOOKUP($N112,Capa!$A:$AE,AR$5,0))))</f>
        <v>1.55</v>
      </c>
      <c r="AS112" s="118" t="str">
        <f>IF(AS$6="","",IF(AS$3="Maior",IFERROR(IF(VLOOKUP($N112,Capa!$A:$AE,AS$5,0)="",0,VLOOKUP($N112,Capa!$A:$AE,AS$5,0)),0),IF(ISERROR(1/VLOOKUP($N112,Capa!$A:$AE,AS$5,0)),0,1/VLOOKUP($N112,Capa!$A:$AE,AS$5,0))))</f>
        <v/>
      </c>
      <c r="AT112" s="118" t="str">
        <f>IF(AT$6="","",IF(AT$3="Maior",IFERROR(IF(VLOOKUP($N112,Capa!$A:$AE,AT$5,0)="",0,VLOOKUP($N112,Capa!$A:$AE,AT$5,0)),0),IF(ISERROR(1/VLOOKUP($N112,Capa!$A:$AE,AT$5,0)),0,1/VLOOKUP($N112,Capa!$A:$AE,AT$5,0))))</f>
        <v/>
      </c>
      <c r="AU112" s="118" t="str">
        <f>IF(AU$6="","",IF(AU$3="Maior",IFERROR(IF(VLOOKUP($N112,Capa!$A:$AE,AU$5,0)="",0,VLOOKUP($N112,Capa!$A:$AE,AU$5,0)),0),IF(ISERROR(1/VLOOKUP($N112,Capa!$A:$AE,AU$5,0)),0,1/VLOOKUP($N112,Capa!$A:$AE,AU$5,0))))</f>
        <v/>
      </c>
      <c r="AV112" s="118" t="str">
        <f>IF(AV$6="","",IF(AV$3="Maior",IFERROR(IF(VLOOKUP($N112,Capa!$A:$AE,AV$5,0)="",0,VLOOKUP($N112,Capa!$A:$AE,AV$5,0)),0),IF(ISERROR(1/VLOOKUP($N112,Capa!$A:$AE,AV$5,0)),0,1/VLOOKUP($N112,Capa!$A:$AE,AV$5,0))))</f>
        <v/>
      </c>
      <c r="AW112" s="118" t="str">
        <f>IF(AW$6="","",IF(AW$3="Maior",IFERROR(IF(VLOOKUP($N112,Capa!$A:$AE,AW$5,0)="",0,VLOOKUP($N112,Capa!$A:$AE,AW$5,0)),0),IF(ISERROR(1/VLOOKUP($N112,Capa!$A:$AE,AW$5,0)),0,1/VLOOKUP($N112,Capa!$A:$AE,AW$5,0))))</f>
        <v/>
      </c>
      <c r="AX112" s="118" t="str">
        <f>IF(AX$6="","",IF(AX$3="Maior",IFERROR(IF(VLOOKUP($N112,Capa!$A:$AE,AX$5,0)="",0,VLOOKUP($N112,Capa!$A:$AE,AX$5,0)),0),IF(ISERROR(1/VLOOKUP($N112,Capa!$A:$AE,AX$5,0)),0,1/VLOOKUP($N112,Capa!$A:$AE,AX$5,0))))</f>
        <v/>
      </c>
      <c r="AY112" s="118" t="str">
        <f>IF(AY$6="","",IF(AY$3="Maior",IFERROR(IF(VLOOKUP($N112,Capa!$A:$AE,AY$5,0)="",0,VLOOKUP($N112,Capa!$A:$AE,AY$5,0)),0),IF(ISERROR(1/VLOOKUP($N112,Capa!$A:$AE,AY$5,0)),0,1/VLOOKUP($N112,Capa!$A:$AE,AY$5,0))))</f>
        <v/>
      </c>
      <c r="AZ112" s="118" t="str">
        <f>IF(AZ$6="","",IF(AZ$3="Maior",IFERROR(IF(VLOOKUP($N112,Capa!$A:$AE,AZ$5,0)="",0,VLOOKUP($N112,Capa!$A:$AE,AZ$5,0)),0),IF(ISERROR(1/VLOOKUP($N112,Capa!$A:$AE,AZ$5,0)),0,1/VLOOKUP($N112,Capa!$A:$AE,AZ$5,0))))</f>
        <v/>
      </c>
      <c r="BA112" s="118" t="str">
        <f>IF(BA$6="","",IF(BA$3="Maior",IFERROR(IF(VLOOKUP($N112,Capa!$A:$AE,BA$5,0)="",0,VLOOKUP($N112,Capa!$A:$AE,BA$5,0)),0),IF(ISERROR(1/VLOOKUP($N112,Capa!$A:$AE,BA$5,0)),0,1/VLOOKUP($N112,Capa!$A:$AE,BA$5,0))))</f>
        <v/>
      </c>
      <c r="BB112" s="118" t="str">
        <f>IF(BB$6="","",IF(BB$3="Maior",IFERROR(IF(VLOOKUP($N112,Capa!$A:$AE,BB$5,0)="",0,VLOOKUP($N112,Capa!$A:$AE,BB$5,0)),0),IF(ISERROR(1/VLOOKUP($N112,Capa!$A:$AE,BB$5,0)),0,1/VLOOKUP($N112,Capa!$A:$AE,BB$5,0))))</f>
        <v/>
      </c>
      <c r="BC112" s="118" t="str">
        <f>IF(BC$6="","",IF(BC$3="Maior",IFERROR(IF(VLOOKUP($N112,Capa!$A:$AE,BC$5,0)="",0,VLOOKUP($N112,Capa!$A:$AE,BC$5,0)),0),IF(ISERROR(1/VLOOKUP($N112,Capa!$A:$AE,BC$5,0)),0,1/VLOOKUP($N112,Capa!$A:$AE,BC$5,0))))</f>
        <v/>
      </c>
      <c r="BD112" s="118" t="str">
        <f>IF(BD$6="","",IF(BD$3="Maior",IFERROR(IF(VLOOKUP($N112,Capa!$A:$AE,BD$5,0)="",0,VLOOKUP($N112,Capa!$A:$AE,BD$5,0)),0),IF(ISERROR(1/VLOOKUP($N112,Capa!$A:$AE,BD$5,0)),0,1/VLOOKUP($N112,Capa!$A:$AE,BD$5,0))))</f>
        <v/>
      </c>
      <c r="BE112" s="118" t="str">
        <f>IF(BE$6="","",IF(BE$3="Maior",IFERROR(IF(VLOOKUP($N112,Capa!$A:$AE,BE$5,0)="",0,VLOOKUP($N112,Capa!$A:$AE,BE$5,0)),0),IF(ISERROR(1/VLOOKUP($N112,Capa!$A:$AE,BE$5,0)),0,1/VLOOKUP($N112,Capa!$A:$AE,BE$5,0))))</f>
        <v/>
      </c>
      <c r="BF112" s="118" t="str">
        <f>IF(BF$6="","",IF(BF$3="Maior",IFERROR(IF(VLOOKUP($N112,Capa!$A:$AE,BF$5,0)="",0,VLOOKUP($N112,Capa!$A:$AE,BF$5,0)),0),IF(ISERROR(1/VLOOKUP($N112,Capa!$A:$AE,BF$5,0)),0,1/VLOOKUP($N112,Capa!$A:$AE,BF$5,0))))</f>
        <v/>
      </c>
      <c r="BG112" s="118" t="str">
        <f>IF(BG$6="","",IF(BG$3="Maior",IFERROR(IF(VLOOKUP($N112,Capa!$A:$AE,BG$5,0)="",0,VLOOKUP($N112,Capa!$A:$AE,BG$5,0)),0),IF(ISERROR(1/VLOOKUP($N112,Capa!$A:$AE,BG$5,0)),0,1/VLOOKUP($N112,Capa!$A:$AE,BG$5,0))))</f>
        <v/>
      </c>
      <c r="BH112" s="118" t="str">
        <f>IF(BH$6="","",IF(BH$3="Maior",IFERROR(IF(VLOOKUP($N112,Capa!$A:$AE,BH$5,0)="",0,VLOOKUP($N112,Capa!$A:$AE,BH$5,0)),0),IF(ISERROR(1/VLOOKUP($N112,Capa!$A:$AE,BH$5,0)),0,1/VLOOKUP($N112,Capa!$A:$AE,BH$5,0))))</f>
        <v/>
      </c>
      <c r="BI112" s="118" t="str">
        <f>IF(BI$6="","",IF(BI$3="Maior",IFERROR(IF(VLOOKUP($N112,Capa!$A:$AE,BI$5,0)="",0,VLOOKUP($N112,Capa!$A:$AE,BI$5,0)),0),IF(ISERROR(1/VLOOKUP($N112,Capa!$A:$AE,BI$5,0)),0,1/VLOOKUP($N112,Capa!$A:$AE,BI$5,0))))</f>
        <v/>
      </c>
      <c r="BJ112" s="118" t="str">
        <f>IF(BJ$6="","",IF(BJ$3="Maior",IFERROR(IF(VLOOKUP($N112,Capa!$A:$AE,BJ$5,0)="",0,VLOOKUP($N112,Capa!$A:$AE,BJ$5,0)),0),IF(ISERROR(1/VLOOKUP($N112,Capa!$A:$AE,BJ$5,0)),0,1/VLOOKUP($N112,Capa!$A:$AE,BJ$5,0))))</f>
        <v/>
      </c>
      <c r="BK112" s="118" t="str">
        <f>IF(BK$6="","",IF(BK$3="Maior",IFERROR(IF(VLOOKUP($N112,Capa!$A:$AE,BK$5,0)="",0,VLOOKUP($N112,Capa!$A:$AE,BK$5,0)),0),IF(ISERROR(1/VLOOKUP($N112,Capa!$A:$AE,BK$5,0)),0,1/VLOOKUP($N112,Capa!$A:$AE,BK$5,0))))</f>
        <v/>
      </c>
      <c r="BL112" s="118" t="str">
        <f>IF(BL$6="","",IF(BL$3="Maior",IFERROR(IF(VLOOKUP($N112,Capa!$A:$AE,BL$5,0)="",0,VLOOKUP($N112,Capa!$A:$AE,BL$5,0)),0),IF(ISERROR(1/VLOOKUP($N112,Capa!$A:$AE,BL$5,0)),0,1/VLOOKUP($N112,Capa!$A:$AE,BL$5,0))))</f>
        <v/>
      </c>
      <c r="BM112" s="118" t="str">
        <f>IF(BM$6="","",IF(BM$3="Maior",IFERROR(IF(VLOOKUP($N112,Capa!$A:$AE,BM$5,0)="",0,VLOOKUP($N112,Capa!$A:$AE,BM$5,0)),0),IF(ISERROR(1/VLOOKUP($N112,Capa!$A:$AE,BM$5,0)),0,1/VLOOKUP($N112,Capa!$A:$AE,BM$5,0))))</f>
        <v/>
      </c>
      <c r="BN112" s="118" t="str">
        <f>IF(BN$6="","",IF(BN$3="Maior",IFERROR(IF(VLOOKUP($N112,Capa!$A:$AE,BN$5,0)="",0,VLOOKUP($N112,Capa!$A:$AE,BN$5,0)),0),IF(ISERROR(1/VLOOKUP($N112,Capa!$A:$AE,BN$5,0)),0,1/VLOOKUP($N112,Capa!$A:$AE,BN$5,0))))</f>
        <v/>
      </c>
      <c r="BO112" s="92"/>
    </row>
    <row r="113">
      <c r="G113" s="11"/>
      <c r="H113" s="8">
        <v>107.0</v>
      </c>
      <c r="I113" s="110" t="str">
        <f t="shared" si="6"/>
        <v>KLBN11</v>
      </c>
      <c r="J113" s="111" t="str">
        <f>VLOOKUP(left(I113,4),Setor!A:D,3,0)&amp;" | "&amp;VLOOKUP(left(I113,4),Setor!A:D,4,0)</f>
        <v>Materiais Básicos | Madeira e Papel</v>
      </c>
      <c r="K113" s="112">
        <f t="shared" si="7"/>
        <v>161072667</v>
      </c>
      <c r="L113" s="11"/>
      <c r="M113" s="11"/>
      <c r="N113" s="10" t="s">
        <v>159</v>
      </c>
      <c r="O113" s="113">
        <f t="shared" si="8"/>
        <v>458.0229</v>
      </c>
      <c r="P113" s="114">
        <f>VLOOKUP(N113,'Dados StatusInvest'!A:Z,26,0)</f>
        <v>38155409.83</v>
      </c>
      <c r="Q113" s="115">
        <f t="shared" si="9"/>
        <v>229.0229</v>
      </c>
      <c r="R113" s="116">
        <f t="shared" ref="R113:AO113" si="116">IF(AQ113="","", RANK(AQ113,AQ$7:AQ$503,0))</f>
        <v>144</v>
      </c>
      <c r="S113" s="115">
        <f t="shared" si="116"/>
        <v>85</v>
      </c>
      <c r="T113" s="115" t="str">
        <f t="shared" si="116"/>
        <v/>
      </c>
      <c r="U113" s="115" t="str">
        <f t="shared" si="116"/>
        <v/>
      </c>
      <c r="V113" s="115" t="str">
        <f t="shared" si="116"/>
        <v/>
      </c>
      <c r="W113" s="115" t="str">
        <f t="shared" si="116"/>
        <v/>
      </c>
      <c r="X113" s="115" t="str">
        <f t="shared" si="116"/>
        <v/>
      </c>
      <c r="Y113" s="115" t="str">
        <f t="shared" si="116"/>
        <v/>
      </c>
      <c r="Z113" s="115" t="str">
        <f t="shared" si="116"/>
        <v/>
      </c>
      <c r="AA113" s="115" t="str">
        <f t="shared" si="116"/>
        <v/>
      </c>
      <c r="AB113" s="115" t="str">
        <f t="shared" si="116"/>
        <v/>
      </c>
      <c r="AC113" s="115" t="str">
        <f t="shared" si="116"/>
        <v/>
      </c>
      <c r="AD113" s="115" t="str">
        <f t="shared" si="116"/>
        <v/>
      </c>
      <c r="AE113" s="115" t="str">
        <f t="shared" si="116"/>
        <v/>
      </c>
      <c r="AF113" s="115" t="str">
        <f t="shared" si="116"/>
        <v/>
      </c>
      <c r="AG113" s="115" t="str">
        <f t="shared" si="116"/>
        <v/>
      </c>
      <c r="AH113" s="115" t="str">
        <f t="shared" si="116"/>
        <v/>
      </c>
      <c r="AI113" s="115" t="str">
        <f t="shared" si="116"/>
        <v/>
      </c>
      <c r="AJ113" s="115" t="str">
        <f t="shared" si="116"/>
        <v/>
      </c>
      <c r="AK113" s="115" t="str">
        <f t="shared" si="116"/>
        <v/>
      </c>
      <c r="AL113" s="115" t="str">
        <f t="shared" si="116"/>
        <v/>
      </c>
      <c r="AM113" s="115" t="str">
        <f t="shared" si="116"/>
        <v/>
      </c>
      <c r="AN113" s="115" t="str">
        <f t="shared" si="116"/>
        <v/>
      </c>
      <c r="AO113" s="115" t="str">
        <f t="shared" si="116"/>
        <v/>
      </c>
      <c r="AP113" s="117">
        <f>IF(AP$6="","",IF(AP$3="Maior",IFERROR(IF(VLOOKUP($N113,Capa!$A:$AE,AP$5,0)="",0,VLOOKUP($N113,Capa!$A:$AE,AP$5,0)),0),IF(ISERROR(1/VLOOKUP($N113,Capa!$A:$AE,AP$5,0)),0,1/VLOOKUP($N113,Capa!$A:$AE,AP$5,0))))</f>
        <v>0.08871788053</v>
      </c>
      <c r="AQ113" s="118">
        <f>IF(AQ$6="","",IF(AQ$3="Maior",IFERROR(IF(VLOOKUP($N113,Capa!$A:$AE,AQ$5,0)="",0,VLOOKUP($N113,Capa!$A:$AE,AQ$5,0)),0),IF(ISERROR(1/VLOOKUP($N113,Capa!$A:$AE,AQ$5,0)),0,1/VLOOKUP($N113,Capa!$A:$AE,AQ$5,0))))</f>
        <v>14.36</v>
      </c>
      <c r="AR113" s="118">
        <f>IF(AR$6="","",IF(AR$3="Maior",IFERROR(IF(VLOOKUP($N113,Capa!$A:$AE,AR$5,0)="",0,VLOOKUP($N113,Capa!$A:$AE,AR$5,0)),0),IF(ISERROR(1/VLOOKUP($N113,Capa!$A:$AE,AR$5,0)),0,1/VLOOKUP($N113,Capa!$A:$AE,AR$5,0))))</f>
        <v>33.53</v>
      </c>
      <c r="AS113" s="118" t="str">
        <f>IF(AS$6="","",IF(AS$3="Maior",IFERROR(IF(VLOOKUP($N113,Capa!$A:$AE,AS$5,0)="",0,VLOOKUP($N113,Capa!$A:$AE,AS$5,0)),0),IF(ISERROR(1/VLOOKUP($N113,Capa!$A:$AE,AS$5,0)),0,1/VLOOKUP($N113,Capa!$A:$AE,AS$5,0))))</f>
        <v/>
      </c>
      <c r="AT113" s="118" t="str">
        <f>IF(AT$6="","",IF(AT$3="Maior",IFERROR(IF(VLOOKUP($N113,Capa!$A:$AE,AT$5,0)="",0,VLOOKUP($N113,Capa!$A:$AE,AT$5,0)),0),IF(ISERROR(1/VLOOKUP($N113,Capa!$A:$AE,AT$5,0)),0,1/VLOOKUP($N113,Capa!$A:$AE,AT$5,0))))</f>
        <v/>
      </c>
      <c r="AU113" s="118" t="str">
        <f>IF(AU$6="","",IF(AU$3="Maior",IFERROR(IF(VLOOKUP($N113,Capa!$A:$AE,AU$5,0)="",0,VLOOKUP($N113,Capa!$A:$AE,AU$5,0)),0),IF(ISERROR(1/VLOOKUP($N113,Capa!$A:$AE,AU$5,0)),0,1/VLOOKUP($N113,Capa!$A:$AE,AU$5,0))))</f>
        <v/>
      </c>
      <c r="AV113" s="118" t="str">
        <f>IF(AV$6="","",IF(AV$3="Maior",IFERROR(IF(VLOOKUP($N113,Capa!$A:$AE,AV$5,0)="",0,VLOOKUP($N113,Capa!$A:$AE,AV$5,0)),0),IF(ISERROR(1/VLOOKUP($N113,Capa!$A:$AE,AV$5,0)),0,1/VLOOKUP($N113,Capa!$A:$AE,AV$5,0))))</f>
        <v/>
      </c>
      <c r="AW113" s="118" t="str">
        <f>IF(AW$6="","",IF(AW$3="Maior",IFERROR(IF(VLOOKUP($N113,Capa!$A:$AE,AW$5,0)="",0,VLOOKUP($N113,Capa!$A:$AE,AW$5,0)),0),IF(ISERROR(1/VLOOKUP($N113,Capa!$A:$AE,AW$5,0)),0,1/VLOOKUP($N113,Capa!$A:$AE,AW$5,0))))</f>
        <v/>
      </c>
      <c r="AX113" s="118" t="str">
        <f>IF(AX$6="","",IF(AX$3="Maior",IFERROR(IF(VLOOKUP($N113,Capa!$A:$AE,AX$5,0)="",0,VLOOKUP($N113,Capa!$A:$AE,AX$5,0)),0),IF(ISERROR(1/VLOOKUP($N113,Capa!$A:$AE,AX$5,0)),0,1/VLOOKUP($N113,Capa!$A:$AE,AX$5,0))))</f>
        <v/>
      </c>
      <c r="AY113" s="118" t="str">
        <f>IF(AY$6="","",IF(AY$3="Maior",IFERROR(IF(VLOOKUP($N113,Capa!$A:$AE,AY$5,0)="",0,VLOOKUP($N113,Capa!$A:$AE,AY$5,0)),0),IF(ISERROR(1/VLOOKUP($N113,Capa!$A:$AE,AY$5,0)),0,1/VLOOKUP($N113,Capa!$A:$AE,AY$5,0))))</f>
        <v/>
      </c>
      <c r="AZ113" s="118" t="str">
        <f>IF(AZ$6="","",IF(AZ$3="Maior",IFERROR(IF(VLOOKUP($N113,Capa!$A:$AE,AZ$5,0)="",0,VLOOKUP($N113,Capa!$A:$AE,AZ$5,0)),0),IF(ISERROR(1/VLOOKUP($N113,Capa!$A:$AE,AZ$5,0)),0,1/VLOOKUP($N113,Capa!$A:$AE,AZ$5,0))))</f>
        <v/>
      </c>
      <c r="BA113" s="118" t="str">
        <f>IF(BA$6="","",IF(BA$3="Maior",IFERROR(IF(VLOOKUP($N113,Capa!$A:$AE,BA$5,0)="",0,VLOOKUP($N113,Capa!$A:$AE,BA$5,0)),0),IF(ISERROR(1/VLOOKUP($N113,Capa!$A:$AE,BA$5,0)),0,1/VLOOKUP($N113,Capa!$A:$AE,BA$5,0))))</f>
        <v/>
      </c>
      <c r="BB113" s="118" t="str">
        <f>IF(BB$6="","",IF(BB$3="Maior",IFERROR(IF(VLOOKUP($N113,Capa!$A:$AE,BB$5,0)="",0,VLOOKUP($N113,Capa!$A:$AE,BB$5,0)),0),IF(ISERROR(1/VLOOKUP($N113,Capa!$A:$AE,BB$5,0)),0,1/VLOOKUP($N113,Capa!$A:$AE,BB$5,0))))</f>
        <v/>
      </c>
      <c r="BC113" s="118" t="str">
        <f>IF(BC$6="","",IF(BC$3="Maior",IFERROR(IF(VLOOKUP($N113,Capa!$A:$AE,BC$5,0)="",0,VLOOKUP($N113,Capa!$A:$AE,BC$5,0)),0),IF(ISERROR(1/VLOOKUP($N113,Capa!$A:$AE,BC$5,0)),0,1/VLOOKUP($N113,Capa!$A:$AE,BC$5,0))))</f>
        <v/>
      </c>
      <c r="BD113" s="118" t="str">
        <f>IF(BD$6="","",IF(BD$3="Maior",IFERROR(IF(VLOOKUP($N113,Capa!$A:$AE,BD$5,0)="",0,VLOOKUP($N113,Capa!$A:$AE,BD$5,0)),0),IF(ISERROR(1/VLOOKUP($N113,Capa!$A:$AE,BD$5,0)),0,1/VLOOKUP($N113,Capa!$A:$AE,BD$5,0))))</f>
        <v/>
      </c>
      <c r="BE113" s="118" t="str">
        <f>IF(BE$6="","",IF(BE$3="Maior",IFERROR(IF(VLOOKUP($N113,Capa!$A:$AE,BE$5,0)="",0,VLOOKUP($N113,Capa!$A:$AE,BE$5,0)),0),IF(ISERROR(1/VLOOKUP($N113,Capa!$A:$AE,BE$5,0)),0,1/VLOOKUP($N113,Capa!$A:$AE,BE$5,0))))</f>
        <v/>
      </c>
      <c r="BF113" s="118" t="str">
        <f>IF(BF$6="","",IF(BF$3="Maior",IFERROR(IF(VLOOKUP($N113,Capa!$A:$AE,BF$5,0)="",0,VLOOKUP($N113,Capa!$A:$AE,BF$5,0)),0),IF(ISERROR(1/VLOOKUP($N113,Capa!$A:$AE,BF$5,0)),0,1/VLOOKUP($N113,Capa!$A:$AE,BF$5,0))))</f>
        <v/>
      </c>
      <c r="BG113" s="118" t="str">
        <f>IF(BG$6="","",IF(BG$3="Maior",IFERROR(IF(VLOOKUP($N113,Capa!$A:$AE,BG$5,0)="",0,VLOOKUP($N113,Capa!$A:$AE,BG$5,0)),0),IF(ISERROR(1/VLOOKUP($N113,Capa!$A:$AE,BG$5,0)),0,1/VLOOKUP($N113,Capa!$A:$AE,BG$5,0))))</f>
        <v/>
      </c>
      <c r="BH113" s="118" t="str">
        <f>IF(BH$6="","",IF(BH$3="Maior",IFERROR(IF(VLOOKUP($N113,Capa!$A:$AE,BH$5,0)="",0,VLOOKUP($N113,Capa!$A:$AE,BH$5,0)),0),IF(ISERROR(1/VLOOKUP($N113,Capa!$A:$AE,BH$5,0)),0,1/VLOOKUP($N113,Capa!$A:$AE,BH$5,0))))</f>
        <v/>
      </c>
      <c r="BI113" s="118" t="str">
        <f>IF(BI$6="","",IF(BI$3="Maior",IFERROR(IF(VLOOKUP($N113,Capa!$A:$AE,BI$5,0)="",0,VLOOKUP($N113,Capa!$A:$AE,BI$5,0)),0),IF(ISERROR(1/VLOOKUP($N113,Capa!$A:$AE,BI$5,0)),0,1/VLOOKUP($N113,Capa!$A:$AE,BI$5,0))))</f>
        <v/>
      </c>
      <c r="BJ113" s="118" t="str">
        <f>IF(BJ$6="","",IF(BJ$3="Maior",IFERROR(IF(VLOOKUP($N113,Capa!$A:$AE,BJ$5,0)="",0,VLOOKUP($N113,Capa!$A:$AE,BJ$5,0)),0),IF(ISERROR(1/VLOOKUP($N113,Capa!$A:$AE,BJ$5,0)),0,1/VLOOKUP($N113,Capa!$A:$AE,BJ$5,0))))</f>
        <v/>
      </c>
      <c r="BK113" s="118" t="str">
        <f>IF(BK$6="","",IF(BK$3="Maior",IFERROR(IF(VLOOKUP($N113,Capa!$A:$AE,BK$5,0)="",0,VLOOKUP($N113,Capa!$A:$AE,BK$5,0)),0),IF(ISERROR(1/VLOOKUP($N113,Capa!$A:$AE,BK$5,0)),0,1/VLOOKUP($N113,Capa!$A:$AE,BK$5,0))))</f>
        <v/>
      </c>
      <c r="BL113" s="118" t="str">
        <f>IF(BL$6="","",IF(BL$3="Maior",IFERROR(IF(VLOOKUP($N113,Capa!$A:$AE,BL$5,0)="",0,VLOOKUP($N113,Capa!$A:$AE,BL$5,0)),0),IF(ISERROR(1/VLOOKUP($N113,Capa!$A:$AE,BL$5,0)),0,1/VLOOKUP($N113,Capa!$A:$AE,BL$5,0))))</f>
        <v/>
      </c>
      <c r="BM113" s="118" t="str">
        <f>IF(BM$6="","",IF(BM$3="Maior",IFERROR(IF(VLOOKUP($N113,Capa!$A:$AE,BM$5,0)="",0,VLOOKUP($N113,Capa!$A:$AE,BM$5,0)),0),IF(ISERROR(1/VLOOKUP($N113,Capa!$A:$AE,BM$5,0)),0,1/VLOOKUP($N113,Capa!$A:$AE,BM$5,0))))</f>
        <v/>
      </c>
      <c r="BN113" s="118" t="str">
        <f>IF(BN$6="","",IF(BN$3="Maior",IFERROR(IF(VLOOKUP($N113,Capa!$A:$AE,BN$5,0)="",0,VLOOKUP($N113,Capa!$A:$AE,BN$5,0)),0),IF(ISERROR(1/VLOOKUP($N113,Capa!$A:$AE,BN$5,0)),0,1/VLOOKUP($N113,Capa!$A:$AE,BN$5,0))))</f>
        <v/>
      </c>
      <c r="BO113" s="92"/>
    </row>
    <row r="114">
      <c r="G114" s="11"/>
      <c r="H114" s="8">
        <v>108.0</v>
      </c>
      <c r="I114" s="110" t="str">
        <f t="shared" si="6"/>
        <v>BBDC4</v>
      </c>
      <c r="J114" s="111" t="str">
        <f>VLOOKUP(left(I114,4),Setor!A:D,3,0)&amp;" | "&amp;VLOOKUP(left(I114,4),Setor!A:D,4,0)</f>
        <v>Financeiro | Intermediários Financeiros</v>
      </c>
      <c r="K114" s="112">
        <f t="shared" si="7"/>
        <v>1033416064</v>
      </c>
      <c r="L114" s="11"/>
      <c r="M114" s="11"/>
      <c r="N114" s="10" t="s">
        <v>160</v>
      </c>
      <c r="O114" s="113">
        <f t="shared" si="8"/>
        <v>543.0224</v>
      </c>
      <c r="P114" s="114">
        <f>VLOOKUP(N114,'Dados StatusInvest'!A:Z,26,0)</f>
        <v>32281784.29</v>
      </c>
      <c r="Q114" s="115">
        <f t="shared" si="9"/>
        <v>224.0224</v>
      </c>
      <c r="R114" s="116">
        <f t="shared" ref="R114:AO114" si="117">IF(AQ114="","", RANK(AQ114,AQ$7:AQ$503,0))</f>
        <v>286</v>
      </c>
      <c r="S114" s="115">
        <f t="shared" si="117"/>
        <v>33</v>
      </c>
      <c r="T114" s="115" t="str">
        <f t="shared" si="117"/>
        <v/>
      </c>
      <c r="U114" s="115" t="str">
        <f t="shared" si="117"/>
        <v/>
      </c>
      <c r="V114" s="115" t="str">
        <f t="shared" si="117"/>
        <v/>
      </c>
      <c r="W114" s="115" t="str">
        <f t="shared" si="117"/>
        <v/>
      </c>
      <c r="X114" s="115" t="str">
        <f t="shared" si="117"/>
        <v/>
      </c>
      <c r="Y114" s="115" t="str">
        <f t="shared" si="117"/>
        <v/>
      </c>
      <c r="Z114" s="115" t="str">
        <f t="shared" si="117"/>
        <v/>
      </c>
      <c r="AA114" s="115" t="str">
        <f t="shared" si="117"/>
        <v/>
      </c>
      <c r="AB114" s="115" t="str">
        <f t="shared" si="117"/>
        <v/>
      </c>
      <c r="AC114" s="115" t="str">
        <f t="shared" si="117"/>
        <v/>
      </c>
      <c r="AD114" s="115" t="str">
        <f t="shared" si="117"/>
        <v/>
      </c>
      <c r="AE114" s="115" t="str">
        <f t="shared" si="117"/>
        <v/>
      </c>
      <c r="AF114" s="115" t="str">
        <f t="shared" si="117"/>
        <v/>
      </c>
      <c r="AG114" s="115" t="str">
        <f t="shared" si="117"/>
        <v/>
      </c>
      <c r="AH114" s="115" t="str">
        <f t="shared" si="117"/>
        <v/>
      </c>
      <c r="AI114" s="115" t="str">
        <f t="shared" si="117"/>
        <v/>
      </c>
      <c r="AJ114" s="115" t="str">
        <f t="shared" si="117"/>
        <v/>
      </c>
      <c r="AK114" s="115" t="str">
        <f t="shared" si="117"/>
        <v/>
      </c>
      <c r="AL114" s="115" t="str">
        <f t="shared" si="117"/>
        <v/>
      </c>
      <c r="AM114" s="115" t="str">
        <f t="shared" si="117"/>
        <v/>
      </c>
      <c r="AN114" s="115" t="str">
        <f t="shared" si="117"/>
        <v/>
      </c>
      <c r="AO114" s="115" t="str">
        <f t="shared" si="117"/>
        <v/>
      </c>
      <c r="AP114" s="117">
        <f>IF(AP$6="","",IF(AP$3="Maior",IFERROR(IF(VLOOKUP($N114,Capa!$A:$AE,AP$5,0)="",0,VLOOKUP($N114,Capa!$A:$AE,AP$5,0)),0),IF(ISERROR(1/VLOOKUP($N114,Capa!$A:$AE,AP$5,0)),0,1/VLOOKUP($N114,Capa!$A:$AE,AP$5,0))))</f>
        <v>0.09186067031</v>
      </c>
      <c r="AQ114" s="118">
        <f>IF(AQ$6="","",IF(AQ$3="Maior",IFERROR(IF(VLOOKUP($N114,Capa!$A:$AE,AQ$5,0)="",0,VLOOKUP($N114,Capa!$A:$AE,AQ$5,0)),0),IF(ISERROR(1/VLOOKUP($N114,Capa!$A:$AE,AQ$5,0)),0,1/VLOOKUP($N114,Capa!$A:$AE,AQ$5,0))))</f>
        <v>5.93</v>
      </c>
      <c r="AR114" s="118">
        <f>IF(AR$6="","",IF(AR$3="Maior",IFERROR(IF(VLOOKUP($N114,Capa!$A:$AE,AR$5,0)="",0,VLOOKUP($N114,Capa!$A:$AE,AR$5,0)),0),IF(ISERROR(1/VLOOKUP($N114,Capa!$A:$AE,AR$5,0)),0,1/VLOOKUP($N114,Capa!$A:$AE,AR$5,0))))</f>
        <v>61.71</v>
      </c>
      <c r="AS114" s="118" t="str">
        <f>IF(AS$6="","",IF(AS$3="Maior",IFERROR(IF(VLOOKUP($N114,Capa!$A:$AE,AS$5,0)="",0,VLOOKUP($N114,Capa!$A:$AE,AS$5,0)),0),IF(ISERROR(1/VLOOKUP($N114,Capa!$A:$AE,AS$5,0)),0,1/VLOOKUP($N114,Capa!$A:$AE,AS$5,0))))</f>
        <v/>
      </c>
      <c r="AT114" s="118" t="str">
        <f>IF(AT$6="","",IF(AT$3="Maior",IFERROR(IF(VLOOKUP($N114,Capa!$A:$AE,AT$5,0)="",0,VLOOKUP($N114,Capa!$A:$AE,AT$5,0)),0),IF(ISERROR(1/VLOOKUP($N114,Capa!$A:$AE,AT$5,0)),0,1/VLOOKUP($N114,Capa!$A:$AE,AT$5,0))))</f>
        <v/>
      </c>
      <c r="AU114" s="118" t="str">
        <f>IF(AU$6="","",IF(AU$3="Maior",IFERROR(IF(VLOOKUP($N114,Capa!$A:$AE,AU$5,0)="",0,VLOOKUP($N114,Capa!$A:$AE,AU$5,0)),0),IF(ISERROR(1/VLOOKUP($N114,Capa!$A:$AE,AU$5,0)),0,1/VLOOKUP($N114,Capa!$A:$AE,AU$5,0))))</f>
        <v/>
      </c>
      <c r="AV114" s="118" t="str">
        <f>IF(AV$6="","",IF(AV$3="Maior",IFERROR(IF(VLOOKUP($N114,Capa!$A:$AE,AV$5,0)="",0,VLOOKUP($N114,Capa!$A:$AE,AV$5,0)),0),IF(ISERROR(1/VLOOKUP($N114,Capa!$A:$AE,AV$5,0)),0,1/VLOOKUP($N114,Capa!$A:$AE,AV$5,0))))</f>
        <v/>
      </c>
      <c r="AW114" s="118" t="str">
        <f>IF(AW$6="","",IF(AW$3="Maior",IFERROR(IF(VLOOKUP($N114,Capa!$A:$AE,AW$5,0)="",0,VLOOKUP($N114,Capa!$A:$AE,AW$5,0)),0),IF(ISERROR(1/VLOOKUP($N114,Capa!$A:$AE,AW$5,0)),0,1/VLOOKUP($N114,Capa!$A:$AE,AW$5,0))))</f>
        <v/>
      </c>
      <c r="AX114" s="118" t="str">
        <f>IF(AX$6="","",IF(AX$3="Maior",IFERROR(IF(VLOOKUP($N114,Capa!$A:$AE,AX$5,0)="",0,VLOOKUP($N114,Capa!$A:$AE,AX$5,0)),0),IF(ISERROR(1/VLOOKUP($N114,Capa!$A:$AE,AX$5,0)),0,1/VLOOKUP($N114,Capa!$A:$AE,AX$5,0))))</f>
        <v/>
      </c>
      <c r="AY114" s="118" t="str">
        <f>IF(AY$6="","",IF(AY$3="Maior",IFERROR(IF(VLOOKUP($N114,Capa!$A:$AE,AY$5,0)="",0,VLOOKUP($N114,Capa!$A:$AE,AY$5,0)),0),IF(ISERROR(1/VLOOKUP($N114,Capa!$A:$AE,AY$5,0)),0,1/VLOOKUP($N114,Capa!$A:$AE,AY$5,0))))</f>
        <v/>
      </c>
      <c r="AZ114" s="118" t="str">
        <f>IF(AZ$6="","",IF(AZ$3="Maior",IFERROR(IF(VLOOKUP($N114,Capa!$A:$AE,AZ$5,0)="",0,VLOOKUP($N114,Capa!$A:$AE,AZ$5,0)),0),IF(ISERROR(1/VLOOKUP($N114,Capa!$A:$AE,AZ$5,0)),0,1/VLOOKUP($N114,Capa!$A:$AE,AZ$5,0))))</f>
        <v/>
      </c>
      <c r="BA114" s="118" t="str">
        <f>IF(BA$6="","",IF(BA$3="Maior",IFERROR(IF(VLOOKUP($N114,Capa!$A:$AE,BA$5,0)="",0,VLOOKUP($N114,Capa!$A:$AE,BA$5,0)),0),IF(ISERROR(1/VLOOKUP($N114,Capa!$A:$AE,BA$5,0)),0,1/VLOOKUP($N114,Capa!$A:$AE,BA$5,0))))</f>
        <v/>
      </c>
      <c r="BB114" s="118" t="str">
        <f>IF(BB$6="","",IF(BB$3="Maior",IFERROR(IF(VLOOKUP($N114,Capa!$A:$AE,BB$5,0)="",0,VLOOKUP($N114,Capa!$A:$AE,BB$5,0)),0),IF(ISERROR(1/VLOOKUP($N114,Capa!$A:$AE,BB$5,0)),0,1/VLOOKUP($N114,Capa!$A:$AE,BB$5,0))))</f>
        <v/>
      </c>
      <c r="BC114" s="118" t="str">
        <f>IF(BC$6="","",IF(BC$3="Maior",IFERROR(IF(VLOOKUP($N114,Capa!$A:$AE,BC$5,0)="",0,VLOOKUP($N114,Capa!$A:$AE,BC$5,0)),0),IF(ISERROR(1/VLOOKUP($N114,Capa!$A:$AE,BC$5,0)),0,1/VLOOKUP($N114,Capa!$A:$AE,BC$5,0))))</f>
        <v/>
      </c>
      <c r="BD114" s="118" t="str">
        <f>IF(BD$6="","",IF(BD$3="Maior",IFERROR(IF(VLOOKUP($N114,Capa!$A:$AE,BD$5,0)="",0,VLOOKUP($N114,Capa!$A:$AE,BD$5,0)),0),IF(ISERROR(1/VLOOKUP($N114,Capa!$A:$AE,BD$5,0)),0,1/VLOOKUP($N114,Capa!$A:$AE,BD$5,0))))</f>
        <v/>
      </c>
      <c r="BE114" s="118" t="str">
        <f>IF(BE$6="","",IF(BE$3="Maior",IFERROR(IF(VLOOKUP($N114,Capa!$A:$AE,BE$5,0)="",0,VLOOKUP($N114,Capa!$A:$AE,BE$5,0)),0),IF(ISERROR(1/VLOOKUP($N114,Capa!$A:$AE,BE$5,0)),0,1/VLOOKUP($N114,Capa!$A:$AE,BE$5,0))))</f>
        <v/>
      </c>
      <c r="BF114" s="118" t="str">
        <f>IF(BF$6="","",IF(BF$3="Maior",IFERROR(IF(VLOOKUP($N114,Capa!$A:$AE,BF$5,0)="",0,VLOOKUP($N114,Capa!$A:$AE,BF$5,0)),0),IF(ISERROR(1/VLOOKUP($N114,Capa!$A:$AE,BF$5,0)),0,1/VLOOKUP($N114,Capa!$A:$AE,BF$5,0))))</f>
        <v/>
      </c>
      <c r="BG114" s="118" t="str">
        <f>IF(BG$6="","",IF(BG$3="Maior",IFERROR(IF(VLOOKUP($N114,Capa!$A:$AE,BG$5,0)="",0,VLOOKUP($N114,Capa!$A:$AE,BG$5,0)),0),IF(ISERROR(1/VLOOKUP($N114,Capa!$A:$AE,BG$5,0)),0,1/VLOOKUP($N114,Capa!$A:$AE,BG$5,0))))</f>
        <v/>
      </c>
      <c r="BH114" s="118" t="str">
        <f>IF(BH$6="","",IF(BH$3="Maior",IFERROR(IF(VLOOKUP($N114,Capa!$A:$AE,BH$5,0)="",0,VLOOKUP($N114,Capa!$A:$AE,BH$5,0)),0),IF(ISERROR(1/VLOOKUP($N114,Capa!$A:$AE,BH$5,0)),0,1/VLOOKUP($N114,Capa!$A:$AE,BH$5,0))))</f>
        <v/>
      </c>
      <c r="BI114" s="118" t="str">
        <f>IF(BI$6="","",IF(BI$3="Maior",IFERROR(IF(VLOOKUP($N114,Capa!$A:$AE,BI$5,0)="",0,VLOOKUP($N114,Capa!$A:$AE,BI$5,0)),0),IF(ISERROR(1/VLOOKUP($N114,Capa!$A:$AE,BI$5,0)),0,1/VLOOKUP($N114,Capa!$A:$AE,BI$5,0))))</f>
        <v/>
      </c>
      <c r="BJ114" s="118" t="str">
        <f>IF(BJ$6="","",IF(BJ$3="Maior",IFERROR(IF(VLOOKUP($N114,Capa!$A:$AE,BJ$5,0)="",0,VLOOKUP($N114,Capa!$A:$AE,BJ$5,0)),0),IF(ISERROR(1/VLOOKUP($N114,Capa!$A:$AE,BJ$5,0)),0,1/VLOOKUP($N114,Capa!$A:$AE,BJ$5,0))))</f>
        <v/>
      </c>
      <c r="BK114" s="118" t="str">
        <f>IF(BK$6="","",IF(BK$3="Maior",IFERROR(IF(VLOOKUP($N114,Capa!$A:$AE,BK$5,0)="",0,VLOOKUP($N114,Capa!$A:$AE,BK$5,0)),0),IF(ISERROR(1/VLOOKUP($N114,Capa!$A:$AE,BK$5,0)),0,1/VLOOKUP($N114,Capa!$A:$AE,BK$5,0))))</f>
        <v/>
      </c>
      <c r="BL114" s="118" t="str">
        <f>IF(BL$6="","",IF(BL$3="Maior",IFERROR(IF(VLOOKUP($N114,Capa!$A:$AE,BL$5,0)="",0,VLOOKUP($N114,Capa!$A:$AE,BL$5,0)),0),IF(ISERROR(1/VLOOKUP($N114,Capa!$A:$AE,BL$5,0)),0,1/VLOOKUP($N114,Capa!$A:$AE,BL$5,0))))</f>
        <v/>
      </c>
      <c r="BM114" s="118" t="str">
        <f>IF(BM$6="","",IF(BM$3="Maior",IFERROR(IF(VLOOKUP($N114,Capa!$A:$AE,BM$5,0)="",0,VLOOKUP($N114,Capa!$A:$AE,BM$5,0)),0),IF(ISERROR(1/VLOOKUP($N114,Capa!$A:$AE,BM$5,0)),0,1/VLOOKUP($N114,Capa!$A:$AE,BM$5,0))))</f>
        <v/>
      </c>
      <c r="BN114" s="118" t="str">
        <f>IF(BN$6="","",IF(BN$3="Maior",IFERROR(IF(VLOOKUP($N114,Capa!$A:$AE,BN$5,0)="",0,VLOOKUP($N114,Capa!$A:$AE,BN$5,0)),0),IF(ISERROR(1/VLOOKUP($N114,Capa!$A:$AE,BN$5,0)),0,1/VLOOKUP($N114,Capa!$A:$AE,BN$5,0))))</f>
        <v/>
      </c>
      <c r="BO114" s="92"/>
    </row>
    <row r="115">
      <c r="G115" s="11"/>
      <c r="H115" s="8">
        <v>109.0</v>
      </c>
      <c r="I115" s="110" t="str">
        <f t="shared" si="6"/>
        <v>TTEN3</v>
      </c>
      <c r="J115" s="111" t="str">
        <f>VLOOKUP(left(I115,4),Setor!A:D,3,0)&amp;" | "&amp;VLOOKUP(left(I115,4),Setor!A:D,4,0)</f>
        <v>#N/A</v>
      </c>
      <c r="K115" s="112">
        <f t="shared" si="7"/>
        <v>10959564.08</v>
      </c>
      <c r="L115" s="11"/>
      <c r="M115" s="11"/>
      <c r="N115" s="10" t="s">
        <v>161</v>
      </c>
      <c r="O115" s="113">
        <f t="shared" si="8"/>
        <v>441.0062</v>
      </c>
      <c r="P115" s="114">
        <f>VLOOKUP(N115,'Dados StatusInvest'!A:Z,26,0)</f>
        <v>35298094.63</v>
      </c>
      <c r="Q115" s="115">
        <f t="shared" si="9"/>
        <v>62.0062</v>
      </c>
      <c r="R115" s="116">
        <f t="shared" ref="R115:AO115" si="118">IF(AQ115="","", RANK(AQ115,AQ$7:AQ$503,0))</f>
        <v>160</v>
      </c>
      <c r="S115" s="115">
        <f t="shared" si="118"/>
        <v>219</v>
      </c>
      <c r="T115" s="115" t="str">
        <f t="shared" si="118"/>
        <v/>
      </c>
      <c r="U115" s="115" t="str">
        <f t="shared" si="118"/>
        <v/>
      </c>
      <c r="V115" s="115" t="str">
        <f t="shared" si="118"/>
        <v/>
      </c>
      <c r="W115" s="115" t="str">
        <f t="shared" si="118"/>
        <v/>
      </c>
      <c r="X115" s="115" t="str">
        <f t="shared" si="118"/>
        <v/>
      </c>
      <c r="Y115" s="115" t="str">
        <f t="shared" si="118"/>
        <v/>
      </c>
      <c r="Z115" s="115" t="str">
        <f t="shared" si="118"/>
        <v/>
      </c>
      <c r="AA115" s="115" t="str">
        <f t="shared" si="118"/>
        <v/>
      </c>
      <c r="AB115" s="115" t="str">
        <f t="shared" si="118"/>
        <v/>
      </c>
      <c r="AC115" s="115" t="str">
        <f t="shared" si="118"/>
        <v/>
      </c>
      <c r="AD115" s="115" t="str">
        <f t="shared" si="118"/>
        <v/>
      </c>
      <c r="AE115" s="115" t="str">
        <f t="shared" si="118"/>
        <v/>
      </c>
      <c r="AF115" s="115" t="str">
        <f t="shared" si="118"/>
        <v/>
      </c>
      <c r="AG115" s="115" t="str">
        <f t="shared" si="118"/>
        <v/>
      </c>
      <c r="AH115" s="115" t="str">
        <f t="shared" si="118"/>
        <v/>
      </c>
      <c r="AI115" s="115" t="str">
        <f t="shared" si="118"/>
        <v/>
      </c>
      <c r="AJ115" s="115" t="str">
        <f t="shared" si="118"/>
        <v/>
      </c>
      <c r="AK115" s="115" t="str">
        <f t="shared" si="118"/>
        <v/>
      </c>
      <c r="AL115" s="115" t="str">
        <f t="shared" si="118"/>
        <v/>
      </c>
      <c r="AM115" s="115" t="str">
        <f t="shared" si="118"/>
        <v/>
      </c>
      <c r="AN115" s="115" t="str">
        <f t="shared" si="118"/>
        <v/>
      </c>
      <c r="AO115" s="115" t="str">
        <f t="shared" si="118"/>
        <v/>
      </c>
      <c r="AP115" s="117">
        <f>IF(AP$6="","",IF(AP$3="Maior",IFERROR(IF(VLOOKUP($N115,Capa!$A:$AE,AP$5,0)="",0,VLOOKUP($N115,Capa!$A:$AE,AP$5,0)),0),IF(ISERROR(1/VLOOKUP($N115,Capa!$A:$AE,AP$5,0)),0,1/VLOOKUP($N115,Capa!$A:$AE,AP$5,0))))</f>
        <v>0.2295125406</v>
      </c>
      <c r="AQ115" s="118">
        <f>IF(AQ$6="","",IF(AQ$3="Maior",IFERROR(IF(VLOOKUP($N115,Capa!$A:$AE,AQ$5,0)="",0,VLOOKUP($N115,Capa!$A:$AE,AQ$5,0)),0),IF(ISERROR(1/VLOOKUP($N115,Capa!$A:$AE,AQ$5,0)),0,1/VLOOKUP($N115,Capa!$A:$AE,AQ$5,0))))</f>
        <v>13.75</v>
      </c>
      <c r="AR115" s="118">
        <f>IF(AR$6="","",IF(AR$3="Maior",IFERROR(IF(VLOOKUP($N115,Capa!$A:$AE,AR$5,0)="",0,VLOOKUP($N115,Capa!$A:$AE,AR$5,0)),0),IF(ISERROR(1/VLOOKUP($N115,Capa!$A:$AE,AR$5,0)),0,1/VLOOKUP($N115,Capa!$A:$AE,AR$5,0))))</f>
        <v>0</v>
      </c>
      <c r="AS115" s="118" t="str">
        <f>IF(AS$6="","",IF(AS$3="Maior",IFERROR(IF(VLOOKUP($N115,Capa!$A:$AE,AS$5,0)="",0,VLOOKUP($N115,Capa!$A:$AE,AS$5,0)),0),IF(ISERROR(1/VLOOKUP($N115,Capa!$A:$AE,AS$5,0)),0,1/VLOOKUP($N115,Capa!$A:$AE,AS$5,0))))</f>
        <v/>
      </c>
      <c r="AT115" s="118" t="str">
        <f>IF(AT$6="","",IF(AT$3="Maior",IFERROR(IF(VLOOKUP($N115,Capa!$A:$AE,AT$5,0)="",0,VLOOKUP($N115,Capa!$A:$AE,AT$5,0)),0),IF(ISERROR(1/VLOOKUP($N115,Capa!$A:$AE,AT$5,0)),0,1/VLOOKUP($N115,Capa!$A:$AE,AT$5,0))))</f>
        <v/>
      </c>
      <c r="AU115" s="118" t="str">
        <f>IF(AU$6="","",IF(AU$3="Maior",IFERROR(IF(VLOOKUP($N115,Capa!$A:$AE,AU$5,0)="",0,VLOOKUP($N115,Capa!$A:$AE,AU$5,0)),0),IF(ISERROR(1/VLOOKUP($N115,Capa!$A:$AE,AU$5,0)),0,1/VLOOKUP($N115,Capa!$A:$AE,AU$5,0))))</f>
        <v/>
      </c>
      <c r="AV115" s="118" t="str">
        <f>IF(AV$6="","",IF(AV$3="Maior",IFERROR(IF(VLOOKUP($N115,Capa!$A:$AE,AV$5,0)="",0,VLOOKUP($N115,Capa!$A:$AE,AV$5,0)),0),IF(ISERROR(1/VLOOKUP($N115,Capa!$A:$AE,AV$5,0)),0,1/VLOOKUP($N115,Capa!$A:$AE,AV$5,0))))</f>
        <v/>
      </c>
      <c r="AW115" s="118" t="str">
        <f>IF(AW$6="","",IF(AW$3="Maior",IFERROR(IF(VLOOKUP($N115,Capa!$A:$AE,AW$5,0)="",0,VLOOKUP($N115,Capa!$A:$AE,AW$5,0)),0),IF(ISERROR(1/VLOOKUP($N115,Capa!$A:$AE,AW$5,0)),0,1/VLOOKUP($N115,Capa!$A:$AE,AW$5,0))))</f>
        <v/>
      </c>
      <c r="AX115" s="118" t="str">
        <f>IF(AX$6="","",IF(AX$3="Maior",IFERROR(IF(VLOOKUP($N115,Capa!$A:$AE,AX$5,0)="",0,VLOOKUP($N115,Capa!$A:$AE,AX$5,0)),0),IF(ISERROR(1/VLOOKUP($N115,Capa!$A:$AE,AX$5,0)),0,1/VLOOKUP($N115,Capa!$A:$AE,AX$5,0))))</f>
        <v/>
      </c>
      <c r="AY115" s="118" t="str">
        <f>IF(AY$6="","",IF(AY$3="Maior",IFERROR(IF(VLOOKUP($N115,Capa!$A:$AE,AY$5,0)="",0,VLOOKUP($N115,Capa!$A:$AE,AY$5,0)),0),IF(ISERROR(1/VLOOKUP($N115,Capa!$A:$AE,AY$5,0)),0,1/VLOOKUP($N115,Capa!$A:$AE,AY$5,0))))</f>
        <v/>
      </c>
      <c r="AZ115" s="118" t="str">
        <f>IF(AZ$6="","",IF(AZ$3="Maior",IFERROR(IF(VLOOKUP($N115,Capa!$A:$AE,AZ$5,0)="",0,VLOOKUP($N115,Capa!$A:$AE,AZ$5,0)),0),IF(ISERROR(1/VLOOKUP($N115,Capa!$A:$AE,AZ$5,0)),0,1/VLOOKUP($N115,Capa!$A:$AE,AZ$5,0))))</f>
        <v/>
      </c>
      <c r="BA115" s="118" t="str">
        <f>IF(BA$6="","",IF(BA$3="Maior",IFERROR(IF(VLOOKUP($N115,Capa!$A:$AE,BA$5,0)="",0,VLOOKUP($N115,Capa!$A:$AE,BA$5,0)),0),IF(ISERROR(1/VLOOKUP($N115,Capa!$A:$AE,BA$5,0)),0,1/VLOOKUP($N115,Capa!$A:$AE,BA$5,0))))</f>
        <v/>
      </c>
      <c r="BB115" s="118" t="str">
        <f>IF(BB$6="","",IF(BB$3="Maior",IFERROR(IF(VLOOKUP($N115,Capa!$A:$AE,BB$5,0)="",0,VLOOKUP($N115,Capa!$A:$AE,BB$5,0)),0),IF(ISERROR(1/VLOOKUP($N115,Capa!$A:$AE,BB$5,0)),0,1/VLOOKUP($N115,Capa!$A:$AE,BB$5,0))))</f>
        <v/>
      </c>
      <c r="BC115" s="118" t="str">
        <f>IF(BC$6="","",IF(BC$3="Maior",IFERROR(IF(VLOOKUP($N115,Capa!$A:$AE,BC$5,0)="",0,VLOOKUP($N115,Capa!$A:$AE,BC$5,0)),0),IF(ISERROR(1/VLOOKUP($N115,Capa!$A:$AE,BC$5,0)),0,1/VLOOKUP($N115,Capa!$A:$AE,BC$5,0))))</f>
        <v/>
      </c>
      <c r="BD115" s="118" t="str">
        <f>IF(BD$6="","",IF(BD$3="Maior",IFERROR(IF(VLOOKUP($N115,Capa!$A:$AE,BD$5,0)="",0,VLOOKUP($N115,Capa!$A:$AE,BD$5,0)),0),IF(ISERROR(1/VLOOKUP($N115,Capa!$A:$AE,BD$5,0)),0,1/VLOOKUP($N115,Capa!$A:$AE,BD$5,0))))</f>
        <v/>
      </c>
      <c r="BE115" s="118" t="str">
        <f>IF(BE$6="","",IF(BE$3="Maior",IFERROR(IF(VLOOKUP($N115,Capa!$A:$AE,BE$5,0)="",0,VLOOKUP($N115,Capa!$A:$AE,BE$5,0)),0),IF(ISERROR(1/VLOOKUP($N115,Capa!$A:$AE,BE$5,0)),0,1/VLOOKUP($N115,Capa!$A:$AE,BE$5,0))))</f>
        <v/>
      </c>
      <c r="BF115" s="118" t="str">
        <f>IF(BF$6="","",IF(BF$3="Maior",IFERROR(IF(VLOOKUP($N115,Capa!$A:$AE,BF$5,0)="",0,VLOOKUP($N115,Capa!$A:$AE,BF$5,0)),0),IF(ISERROR(1/VLOOKUP($N115,Capa!$A:$AE,BF$5,0)),0,1/VLOOKUP($N115,Capa!$A:$AE,BF$5,0))))</f>
        <v/>
      </c>
      <c r="BG115" s="118" t="str">
        <f>IF(BG$6="","",IF(BG$3="Maior",IFERROR(IF(VLOOKUP($N115,Capa!$A:$AE,BG$5,0)="",0,VLOOKUP($N115,Capa!$A:$AE,BG$5,0)),0),IF(ISERROR(1/VLOOKUP($N115,Capa!$A:$AE,BG$5,0)),0,1/VLOOKUP($N115,Capa!$A:$AE,BG$5,0))))</f>
        <v/>
      </c>
      <c r="BH115" s="118" t="str">
        <f>IF(BH$6="","",IF(BH$3="Maior",IFERROR(IF(VLOOKUP($N115,Capa!$A:$AE,BH$5,0)="",0,VLOOKUP($N115,Capa!$A:$AE,BH$5,0)),0),IF(ISERROR(1/VLOOKUP($N115,Capa!$A:$AE,BH$5,0)),0,1/VLOOKUP($N115,Capa!$A:$AE,BH$5,0))))</f>
        <v/>
      </c>
      <c r="BI115" s="118" t="str">
        <f>IF(BI$6="","",IF(BI$3="Maior",IFERROR(IF(VLOOKUP($N115,Capa!$A:$AE,BI$5,0)="",0,VLOOKUP($N115,Capa!$A:$AE,BI$5,0)),0),IF(ISERROR(1/VLOOKUP($N115,Capa!$A:$AE,BI$5,0)),0,1/VLOOKUP($N115,Capa!$A:$AE,BI$5,0))))</f>
        <v/>
      </c>
      <c r="BJ115" s="118" t="str">
        <f>IF(BJ$6="","",IF(BJ$3="Maior",IFERROR(IF(VLOOKUP($N115,Capa!$A:$AE,BJ$5,0)="",0,VLOOKUP($N115,Capa!$A:$AE,BJ$5,0)),0),IF(ISERROR(1/VLOOKUP($N115,Capa!$A:$AE,BJ$5,0)),0,1/VLOOKUP($N115,Capa!$A:$AE,BJ$5,0))))</f>
        <v/>
      </c>
      <c r="BK115" s="118" t="str">
        <f>IF(BK$6="","",IF(BK$3="Maior",IFERROR(IF(VLOOKUP($N115,Capa!$A:$AE,BK$5,0)="",0,VLOOKUP($N115,Capa!$A:$AE,BK$5,0)),0),IF(ISERROR(1/VLOOKUP($N115,Capa!$A:$AE,BK$5,0)),0,1/VLOOKUP($N115,Capa!$A:$AE,BK$5,0))))</f>
        <v/>
      </c>
      <c r="BL115" s="118" t="str">
        <f>IF(BL$6="","",IF(BL$3="Maior",IFERROR(IF(VLOOKUP($N115,Capa!$A:$AE,BL$5,0)="",0,VLOOKUP($N115,Capa!$A:$AE,BL$5,0)),0),IF(ISERROR(1/VLOOKUP($N115,Capa!$A:$AE,BL$5,0)),0,1/VLOOKUP($N115,Capa!$A:$AE,BL$5,0))))</f>
        <v/>
      </c>
      <c r="BM115" s="118" t="str">
        <f>IF(BM$6="","",IF(BM$3="Maior",IFERROR(IF(VLOOKUP($N115,Capa!$A:$AE,BM$5,0)="",0,VLOOKUP($N115,Capa!$A:$AE,BM$5,0)),0),IF(ISERROR(1/VLOOKUP($N115,Capa!$A:$AE,BM$5,0)),0,1/VLOOKUP($N115,Capa!$A:$AE,BM$5,0))))</f>
        <v/>
      </c>
      <c r="BN115" s="118" t="str">
        <f>IF(BN$6="","",IF(BN$3="Maior",IFERROR(IF(VLOOKUP($N115,Capa!$A:$AE,BN$5,0)="",0,VLOOKUP($N115,Capa!$A:$AE,BN$5,0)),0),IF(ISERROR(1/VLOOKUP($N115,Capa!$A:$AE,BN$5,0)),0,1/VLOOKUP($N115,Capa!$A:$AE,BN$5,0))))</f>
        <v/>
      </c>
      <c r="BO115" s="92"/>
    </row>
    <row r="116">
      <c r="G116" s="11"/>
      <c r="H116" s="8">
        <v>110.0</v>
      </c>
      <c r="I116" s="110" t="str">
        <f t="shared" si="6"/>
        <v>BBDC3</v>
      </c>
      <c r="J116" s="111" t="str">
        <f>VLOOKUP(left(I116,4),Setor!A:D,3,0)&amp;" | "&amp;VLOOKUP(left(I116,4),Setor!A:D,4,0)</f>
        <v>Financeiro | Intermediários Financeiros</v>
      </c>
      <c r="K116" s="112">
        <f t="shared" si="7"/>
        <v>121647930.3</v>
      </c>
      <c r="L116" s="11"/>
      <c r="M116" s="11"/>
      <c r="N116" s="10" t="s">
        <v>162</v>
      </c>
      <c r="O116" s="113">
        <f t="shared" si="8"/>
        <v>230.0086</v>
      </c>
      <c r="P116" s="114">
        <f>VLOOKUP(N116,'Dados StatusInvest'!A:Z,26,0)</f>
        <v>32293677.13</v>
      </c>
      <c r="Q116" s="115">
        <f t="shared" si="9"/>
        <v>86.0086</v>
      </c>
      <c r="R116" s="116">
        <f t="shared" ref="R116:AO116" si="119">IF(AQ116="","", RANK(AQ116,AQ$7:AQ$503,0))</f>
        <v>93</v>
      </c>
      <c r="S116" s="115">
        <f t="shared" si="119"/>
        <v>51</v>
      </c>
      <c r="T116" s="115" t="str">
        <f t="shared" si="119"/>
        <v/>
      </c>
      <c r="U116" s="115" t="str">
        <f t="shared" si="119"/>
        <v/>
      </c>
      <c r="V116" s="115" t="str">
        <f t="shared" si="119"/>
        <v/>
      </c>
      <c r="W116" s="115" t="str">
        <f t="shared" si="119"/>
        <v/>
      </c>
      <c r="X116" s="115" t="str">
        <f t="shared" si="119"/>
        <v/>
      </c>
      <c r="Y116" s="115" t="str">
        <f t="shared" si="119"/>
        <v/>
      </c>
      <c r="Z116" s="115" t="str">
        <f t="shared" si="119"/>
        <v/>
      </c>
      <c r="AA116" s="115" t="str">
        <f t="shared" si="119"/>
        <v/>
      </c>
      <c r="AB116" s="115" t="str">
        <f t="shared" si="119"/>
        <v/>
      </c>
      <c r="AC116" s="115" t="str">
        <f t="shared" si="119"/>
        <v/>
      </c>
      <c r="AD116" s="115" t="str">
        <f t="shared" si="119"/>
        <v/>
      </c>
      <c r="AE116" s="115" t="str">
        <f t="shared" si="119"/>
        <v/>
      </c>
      <c r="AF116" s="115" t="str">
        <f t="shared" si="119"/>
        <v/>
      </c>
      <c r="AG116" s="115" t="str">
        <f t="shared" si="119"/>
        <v/>
      </c>
      <c r="AH116" s="115" t="str">
        <f t="shared" si="119"/>
        <v/>
      </c>
      <c r="AI116" s="115" t="str">
        <f t="shared" si="119"/>
        <v/>
      </c>
      <c r="AJ116" s="115" t="str">
        <f t="shared" si="119"/>
        <v/>
      </c>
      <c r="AK116" s="115" t="str">
        <f t="shared" si="119"/>
        <v/>
      </c>
      <c r="AL116" s="115" t="str">
        <f t="shared" si="119"/>
        <v/>
      </c>
      <c r="AM116" s="115" t="str">
        <f t="shared" si="119"/>
        <v/>
      </c>
      <c r="AN116" s="115" t="str">
        <f t="shared" si="119"/>
        <v/>
      </c>
      <c r="AO116" s="115" t="str">
        <f t="shared" si="119"/>
        <v/>
      </c>
      <c r="AP116" s="117">
        <f>IF(AP$6="","",IF(AP$3="Maior",IFERROR(IF(VLOOKUP($N116,Capa!$A:$AE,AP$5,0)="",0,VLOOKUP($N116,Capa!$A:$AE,AP$5,0)),0),IF(ISERROR(1/VLOOKUP($N116,Capa!$A:$AE,AP$5,0)),0,1/VLOOKUP($N116,Capa!$A:$AE,AP$5,0))))</f>
        <v>0.2070073931</v>
      </c>
      <c r="AQ116" s="118">
        <f>IF(AQ$6="","",IF(AQ$3="Maior",IFERROR(IF(VLOOKUP($N116,Capa!$A:$AE,AQ$5,0)="",0,VLOOKUP($N116,Capa!$A:$AE,AQ$5,0)),0),IF(ISERROR(1/VLOOKUP($N116,Capa!$A:$AE,AQ$5,0)),0,1/VLOOKUP($N116,Capa!$A:$AE,AQ$5,0))))</f>
        <v>18.37</v>
      </c>
      <c r="AR116" s="118">
        <f>IF(AR$6="","",IF(AR$3="Maior",IFERROR(IF(VLOOKUP($N116,Capa!$A:$AE,AR$5,0)="",0,VLOOKUP($N116,Capa!$A:$AE,AR$5,0)),0),IF(ISERROR(1/VLOOKUP($N116,Capa!$A:$AE,AR$5,0)),0,1/VLOOKUP($N116,Capa!$A:$AE,AR$5,0))))</f>
        <v>47.51</v>
      </c>
      <c r="AS116" s="118" t="str">
        <f>IF(AS$6="","",IF(AS$3="Maior",IFERROR(IF(VLOOKUP($N116,Capa!$A:$AE,AS$5,0)="",0,VLOOKUP($N116,Capa!$A:$AE,AS$5,0)),0),IF(ISERROR(1/VLOOKUP($N116,Capa!$A:$AE,AS$5,0)),0,1/VLOOKUP($N116,Capa!$A:$AE,AS$5,0))))</f>
        <v/>
      </c>
      <c r="AT116" s="118" t="str">
        <f>IF(AT$6="","",IF(AT$3="Maior",IFERROR(IF(VLOOKUP($N116,Capa!$A:$AE,AT$5,0)="",0,VLOOKUP($N116,Capa!$A:$AE,AT$5,0)),0),IF(ISERROR(1/VLOOKUP($N116,Capa!$A:$AE,AT$5,0)),0,1/VLOOKUP($N116,Capa!$A:$AE,AT$5,0))))</f>
        <v/>
      </c>
      <c r="AU116" s="118" t="str">
        <f>IF(AU$6="","",IF(AU$3="Maior",IFERROR(IF(VLOOKUP($N116,Capa!$A:$AE,AU$5,0)="",0,VLOOKUP($N116,Capa!$A:$AE,AU$5,0)),0),IF(ISERROR(1/VLOOKUP($N116,Capa!$A:$AE,AU$5,0)),0,1/VLOOKUP($N116,Capa!$A:$AE,AU$5,0))))</f>
        <v/>
      </c>
      <c r="AV116" s="118" t="str">
        <f>IF(AV$6="","",IF(AV$3="Maior",IFERROR(IF(VLOOKUP($N116,Capa!$A:$AE,AV$5,0)="",0,VLOOKUP($N116,Capa!$A:$AE,AV$5,0)),0),IF(ISERROR(1/VLOOKUP($N116,Capa!$A:$AE,AV$5,0)),0,1/VLOOKUP($N116,Capa!$A:$AE,AV$5,0))))</f>
        <v/>
      </c>
      <c r="AW116" s="118" t="str">
        <f>IF(AW$6="","",IF(AW$3="Maior",IFERROR(IF(VLOOKUP($N116,Capa!$A:$AE,AW$5,0)="",0,VLOOKUP($N116,Capa!$A:$AE,AW$5,0)),0),IF(ISERROR(1/VLOOKUP($N116,Capa!$A:$AE,AW$5,0)),0,1/VLOOKUP($N116,Capa!$A:$AE,AW$5,0))))</f>
        <v/>
      </c>
      <c r="AX116" s="118" t="str">
        <f>IF(AX$6="","",IF(AX$3="Maior",IFERROR(IF(VLOOKUP($N116,Capa!$A:$AE,AX$5,0)="",0,VLOOKUP($N116,Capa!$A:$AE,AX$5,0)),0),IF(ISERROR(1/VLOOKUP($N116,Capa!$A:$AE,AX$5,0)),0,1/VLOOKUP($N116,Capa!$A:$AE,AX$5,0))))</f>
        <v/>
      </c>
      <c r="AY116" s="118" t="str">
        <f>IF(AY$6="","",IF(AY$3="Maior",IFERROR(IF(VLOOKUP($N116,Capa!$A:$AE,AY$5,0)="",0,VLOOKUP($N116,Capa!$A:$AE,AY$5,0)),0),IF(ISERROR(1/VLOOKUP($N116,Capa!$A:$AE,AY$5,0)),0,1/VLOOKUP($N116,Capa!$A:$AE,AY$5,0))))</f>
        <v/>
      </c>
      <c r="AZ116" s="118" t="str">
        <f>IF(AZ$6="","",IF(AZ$3="Maior",IFERROR(IF(VLOOKUP($N116,Capa!$A:$AE,AZ$5,0)="",0,VLOOKUP($N116,Capa!$A:$AE,AZ$5,0)),0),IF(ISERROR(1/VLOOKUP($N116,Capa!$A:$AE,AZ$5,0)),0,1/VLOOKUP($N116,Capa!$A:$AE,AZ$5,0))))</f>
        <v/>
      </c>
      <c r="BA116" s="118" t="str">
        <f>IF(BA$6="","",IF(BA$3="Maior",IFERROR(IF(VLOOKUP($N116,Capa!$A:$AE,BA$5,0)="",0,VLOOKUP($N116,Capa!$A:$AE,BA$5,0)),0),IF(ISERROR(1/VLOOKUP($N116,Capa!$A:$AE,BA$5,0)),0,1/VLOOKUP($N116,Capa!$A:$AE,BA$5,0))))</f>
        <v/>
      </c>
      <c r="BB116" s="118" t="str">
        <f>IF(BB$6="","",IF(BB$3="Maior",IFERROR(IF(VLOOKUP($N116,Capa!$A:$AE,BB$5,0)="",0,VLOOKUP($N116,Capa!$A:$AE,BB$5,0)),0),IF(ISERROR(1/VLOOKUP($N116,Capa!$A:$AE,BB$5,0)),0,1/VLOOKUP($N116,Capa!$A:$AE,BB$5,0))))</f>
        <v/>
      </c>
      <c r="BC116" s="118" t="str">
        <f>IF(BC$6="","",IF(BC$3="Maior",IFERROR(IF(VLOOKUP($N116,Capa!$A:$AE,BC$5,0)="",0,VLOOKUP($N116,Capa!$A:$AE,BC$5,0)),0),IF(ISERROR(1/VLOOKUP($N116,Capa!$A:$AE,BC$5,0)),0,1/VLOOKUP($N116,Capa!$A:$AE,BC$5,0))))</f>
        <v/>
      </c>
      <c r="BD116" s="118" t="str">
        <f>IF(BD$6="","",IF(BD$3="Maior",IFERROR(IF(VLOOKUP($N116,Capa!$A:$AE,BD$5,0)="",0,VLOOKUP($N116,Capa!$A:$AE,BD$5,0)),0),IF(ISERROR(1/VLOOKUP($N116,Capa!$A:$AE,BD$5,0)),0,1/VLOOKUP($N116,Capa!$A:$AE,BD$5,0))))</f>
        <v/>
      </c>
      <c r="BE116" s="118" t="str">
        <f>IF(BE$6="","",IF(BE$3="Maior",IFERROR(IF(VLOOKUP($N116,Capa!$A:$AE,BE$5,0)="",0,VLOOKUP($N116,Capa!$A:$AE,BE$5,0)),0),IF(ISERROR(1/VLOOKUP($N116,Capa!$A:$AE,BE$5,0)),0,1/VLOOKUP($N116,Capa!$A:$AE,BE$5,0))))</f>
        <v/>
      </c>
      <c r="BF116" s="118" t="str">
        <f>IF(BF$6="","",IF(BF$3="Maior",IFERROR(IF(VLOOKUP($N116,Capa!$A:$AE,BF$5,0)="",0,VLOOKUP($N116,Capa!$A:$AE,BF$5,0)),0),IF(ISERROR(1/VLOOKUP($N116,Capa!$A:$AE,BF$5,0)),0,1/VLOOKUP($N116,Capa!$A:$AE,BF$5,0))))</f>
        <v/>
      </c>
      <c r="BG116" s="118" t="str">
        <f>IF(BG$6="","",IF(BG$3="Maior",IFERROR(IF(VLOOKUP($N116,Capa!$A:$AE,BG$5,0)="",0,VLOOKUP($N116,Capa!$A:$AE,BG$5,0)),0),IF(ISERROR(1/VLOOKUP($N116,Capa!$A:$AE,BG$5,0)),0,1/VLOOKUP($N116,Capa!$A:$AE,BG$5,0))))</f>
        <v/>
      </c>
      <c r="BH116" s="118" t="str">
        <f>IF(BH$6="","",IF(BH$3="Maior",IFERROR(IF(VLOOKUP($N116,Capa!$A:$AE,BH$5,0)="",0,VLOOKUP($N116,Capa!$A:$AE,BH$5,0)),0),IF(ISERROR(1/VLOOKUP($N116,Capa!$A:$AE,BH$5,0)),0,1/VLOOKUP($N116,Capa!$A:$AE,BH$5,0))))</f>
        <v/>
      </c>
      <c r="BI116" s="118" t="str">
        <f>IF(BI$6="","",IF(BI$3="Maior",IFERROR(IF(VLOOKUP($N116,Capa!$A:$AE,BI$5,0)="",0,VLOOKUP($N116,Capa!$A:$AE,BI$5,0)),0),IF(ISERROR(1/VLOOKUP($N116,Capa!$A:$AE,BI$5,0)),0,1/VLOOKUP($N116,Capa!$A:$AE,BI$5,0))))</f>
        <v/>
      </c>
      <c r="BJ116" s="118" t="str">
        <f>IF(BJ$6="","",IF(BJ$3="Maior",IFERROR(IF(VLOOKUP($N116,Capa!$A:$AE,BJ$5,0)="",0,VLOOKUP($N116,Capa!$A:$AE,BJ$5,0)),0),IF(ISERROR(1/VLOOKUP($N116,Capa!$A:$AE,BJ$5,0)),0,1/VLOOKUP($N116,Capa!$A:$AE,BJ$5,0))))</f>
        <v/>
      </c>
      <c r="BK116" s="118" t="str">
        <f>IF(BK$6="","",IF(BK$3="Maior",IFERROR(IF(VLOOKUP($N116,Capa!$A:$AE,BK$5,0)="",0,VLOOKUP($N116,Capa!$A:$AE,BK$5,0)),0),IF(ISERROR(1/VLOOKUP($N116,Capa!$A:$AE,BK$5,0)),0,1/VLOOKUP($N116,Capa!$A:$AE,BK$5,0))))</f>
        <v/>
      </c>
      <c r="BL116" s="118" t="str">
        <f>IF(BL$6="","",IF(BL$3="Maior",IFERROR(IF(VLOOKUP($N116,Capa!$A:$AE,BL$5,0)="",0,VLOOKUP($N116,Capa!$A:$AE,BL$5,0)),0),IF(ISERROR(1/VLOOKUP($N116,Capa!$A:$AE,BL$5,0)),0,1/VLOOKUP($N116,Capa!$A:$AE,BL$5,0))))</f>
        <v/>
      </c>
      <c r="BM116" s="118" t="str">
        <f>IF(BM$6="","",IF(BM$3="Maior",IFERROR(IF(VLOOKUP($N116,Capa!$A:$AE,BM$5,0)="",0,VLOOKUP($N116,Capa!$A:$AE,BM$5,0)),0),IF(ISERROR(1/VLOOKUP($N116,Capa!$A:$AE,BM$5,0)),0,1/VLOOKUP($N116,Capa!$A:$AE,BM$5,0))))</f>
        <v/>
      </c>
      <c r="BN116" s="118" t="str">
        <f>IF(BN$6="","",IF(BN$3="Maior",IFERROR(IF(VLOOKUP($N116,Capa!$A:$AE,BN$5,0)="",0,VLOOKUP($N116,Capa!$A:$AE,BN$5,0)),0),IF(ISERROR(1/VLOOKUP($N116,Capa!$A:$AE,BN$5,0)),0,1/VLOOKUP($N116,Capa!$A:$AE,BN$5,0))))</f>
        <v/>
      </c>
      <c r="BO116" s="92"/>
    </row>
    <row r="117">
      <c r="G117" s="11"/>
      <c r="H117" s="8">
        <v>111.0</v>
      </c>
      <c r="I117" s="110" t="str">
        <f t="shared" si="6"/>
        <v>EVEN3</v>
      </c>
      <c r="J117" s="111" t="str">
        <f>VLOOKUP(left(I117,4),Setor!A:D,3,0)&amp;" | "&amp;VLOOKUP(left(I117,4),Setor!A:D,4,0)</f>
        <v>Consumo Cíclico | Construção Civil</v>
      </c>
      <c r="K117" s="112">
        <f t="shared" si="7"/>
        <v>12951409.46</v>
      </c>
      <c r="L117" s="11"/>
      <c r="M117" s="11"/>
      <c r="N117" s="10" t="s">
        <v>163</v>
      </c>
      <c r="O117" s="113">
        <f t="shared" si="8"/>
        <v>83.002</v>
      </c>
      <c r="P117" s="114">
        <f>VLOOKUP(N117,'Dados StatusInvest'!A:Z,26,0)</f>
        <v>28084200.33</v>
      </c>
      <c r="Q117" s="115">
        <f t="shared" si="9"/>
        <v>20.002</v>
      </c>
      <c r="R117" s="116">
        <f t="shared" ref="R117:AO117" si="120">IF(AQ117="","", RANK(AQ117,AQ$7:AQ$503,0))</f>
        <v>25</v>
      </c>
      <c r="S117" s="115">
        <f t="shared" si="120"/>
        <v>38</v>
      </c>
      <c r="T117" s="115" t="str">
        <f t="shared" si="120"/>
        <v/>
      </c>
      <c r="U117" s="115" t="str">
        <f t="shared" si="120"/>
        <v/>
      </c>
      <c r="V117" s="115" t="str">
        <f t="shared" si="120"/>
        <v/>
      </c>
      <c r="W117" s="115" t="str">
        <f t="shared" si="120"/>
        <v/>
      </c>
      <c r="X117" s="115" t="str">
        <f t="shared" si="120"/>
        <v/>
      </c>
      <c r="Y117" s="115" t="str">
        <f t="shared" si="120"/>
        <v/>
      </c>
      <c r="Z117" s="115" t="str">
        <f t="shared" si="120"/>
        <v/>
      </c>
      <c r="AA117" s="115" t="str">
        <f t="shared" si="120"/>
        <v/>
      </c>
      <c r="AB117" s="115" t="str">
        <f t="shared" si="120"/>
        <v/>
      </c>
      <c r="AC117" s="115" t="str">
        <f t="shared" si="120"/>
        <v/>
      </c>
      <c r="AD117" s="115" t="str">
        <f t="shared" si="120"/>
        <v/>
      </c>
      <c r="AE117" s="115" t="str">
        <f t="shared" si="120"/>
        <v/>
      </c>
      <c r="AF117" s="115" t="str">
        <f t="shared" si="120"/>
        <v/>
      </c>
      <c r="AG117" s="115" t="str">
        <f t="shared" si="120"/>
        <v/>
      </c>
      <c r="AH117" s="115" t="str">
        <f t="shared" si="120"/>
        <v/>
      </c>
      <c r="AI117" s="115" t="str">
        <f t="shared" si="120"/>
        <v/>
      </c>
      <c r="AJ117" s="115" t="str">
        <f t="shared" si="120"/>
        <v/>
      </c>
      <c r="AK117" s="115" t="str">
        <f t="shared" si="120"/>
        <v/>
      </c>
      <c r="AL117" s="115" t="str">
        <f t="shared" si="120"/>
        <v/>
      </c>
      <c r="AM117" s="115" t="str">
        <f t="shared" si="120"/>
        <v/>
      </c>
      <c r="AN117" s="115" t="str">
        <f t="shared" si="120"/>
        <v/>
      </c>
      <c r="AO117" s="115" t="str">
        <f t="shared" si="120"/>
        <v/>
      </c>
      <c r="AP117" s="117">
        <f>IF(AP$6="","",IF(AP$3="Maior",IFERROR(IF(VLOOKUP($N117,Capa!$A:$AE,AP$5,0)="",0,VLOOKUP($N117,Capa!$A:$AE,AP$5,0)),0),IF(ISERROR(1/VLOOKUP($N117,Capa!$A:$AE,AP$5,0)),0,1/VLOOKUP($N117,Capa!$A:$AE,AP$5,0))))</f>
        <v>0.4118014178</v>
      </c>
      <c r="AQ117" s="118">
        <f>IF(AQ$6="","",IF(AQ$3="Maior",IFERROR(IF(VLOOKUP($N117,Capa!$A:$AE,AQ$5,0)="",0,VLOOKUP($N117,Capa!$A:$AE,AQ$5,0)),0),IF(ISERROR(1/VLOOKUP($N117,Capa!$A:$AE,AQ$5,0)),0,1/VLOOKUP($N117,Capa!$A:$AE,AQ$5,0))))</f>
        <v>55.36</v>
      </c>
      <c r="AR117" s="118">
        <f>IF(AR$6="","",IF(AR$3="Maior",IFERROR(IF(VLOOKUP($N117,Capa!$A:$AE,AR$5,0)="",0,VLOOKUP($N117,Capa!$A:$AE,AR$5,0)),0),IF(ISERROR(1/VLOOKUP($N117,Capa!$A:$AE,AR$5,0)),0,1/VLOOKUP($N117,Capa!$A:$AE,AR$5,0))))</f>
        <v>56.82</v>
      </c>
      <c r="AS117" s="118" t="str">
        <f>IF(AS$6="","",IF(AS$3="Maior",IFERROR(IF(VLOOKUP($N117,Capa!$A:$AE,AS$5,0)="",0,VLOOKUP($N117,Capa!$A:$AE,AS$5,0)),0),IF(ISERROR(1/VLOOKUP($N117,Capa!$A:$AE,AS$5,0)),0,1/VLOOKUP($N117,Capa!$A:$AE,AS$5,0))))</f>
        <v/>
      </c>
      <c r="AT117" s="118" t="str">
        <f>IF(AT$6="","",IF(AT$3="Maior",IFERROR(IF(VLOOKUP($N117,Capa!$A:$AE,AT$5,0)="",0,VLOOKUP($N117,Capa!$A:$AE,AT$5,0)),0),IF(ISERROR(1/VLOOKUP($N117,Capa!$A:$AE,AT$5,0)),0,1/VLOOKUP($N117,Capa!$A:$AE,AT$5,0))))</f>
        <v/>
      </c>
      <c r="AU117" s="118" t="str">
        <f>IF(AU$6="","",IF(AU$3="Maior",IFERROR(IF(VLOOKUP($N117,Capa!$A:$AE,AU$5,0)="",0,VLOOKUP($N117,Capa!$A:$AE,AU$5,0)),0),IF(ISERROR(1/VLOOKUP($N117,Capa!$A:$AE,AU$5,0)),0,1/VLOOKUP($N117,Capa!$A:$AE,AU$5,0))))</f>
        <v/>
      </c>
      <c r="AV117" s="118" t="str">
        <f>IF(AV$6="","",IF(AV$3="Maior",IFERROR(IF(VLOOKUP($N117,Capa!$A:$AE,AV$5,0)="",0,VLOOKUP($N117,Capa!$A:$AE,AV$5,0)),0),IF(ISERROR(1/VLOOKUP($N117,Capa!$A:$AE,AV$5,0)),0,1/VLOOKUP($N117,Capa!$A:$AE,AV$5,0))))</f>
        <v/>
      </c>
      <c r="AW117" s="118" t="str">
        <f>IF(AW$6="","",IF(AW$3="Maior",IFERROR(IF(VLOOKUP($N117,Capa!$A:$AE,AW$5,0)="",0,VLOOKUP($N117,Capa!$A:$AE,AW$5,0)),0),IF(ISERROR(1/VLOOKUP($N117,Capa!$A:$AE,AW$5,0)),0,1/VLOOKUP($N117,Capa!$A:$AE,AW$5,0))))</f>
        <v/>
      </c>
      <c r="AX117" s="118" t="str">
        <f>IF(AX$6="","",IF(AX$3="Maior",IFERROR(IF(VLOOKUP($N117,Capa!$A:$AE,AX$5,0)="",0,VLOOKUP($N117,Capa!$A:$AE,AX$5,0)),0),IF(ISERROR(1/VLOOKUP($N117,Capa!$A:$AE,AX$5,0)),0,1/VLOOKUP($N117,Capa!$A:$AE,AX$5,0))))</f>
        <v/>
      </c>
      <c r="AY117" s="118" t="str">
        <f>IF(AY$6="","",IF(AY$3="Maior",IFERROR(IF(VLOOKUP($N117,Capa!$A:$AE,AY$5,0)="",0,VLOOKUP($N117,Capa!$A:$AE,AY$5,0)),0),IF(ISERROR(1/VLOOKUP($N117,Capa!$A:$AE,AY$5,0)),0,1/VLOOKUP($N117,Capa!$A:$AE,AY$5,0))))</f>
        <v/>
      </c>
      <c r="AZ117" s="118" t="str">
        <f>IF(AZ$6="","",IF(AZ$3="Maior",IFERROR(IF(VLOOKUP($N117,Capa!$A:$AE,AZ$5,0)="",0,VLOOKUP($N117,Capa!$A:$AE,AZ$5,0)),0),IF(ISERROR(1/VLOOKUP($N117,Capa!$A:$AE,AZ$5,0)),0,1/VLOOKUP($N117,Capa!$A:$AE,AZ$5,0))))</f>
        <v/>
      </c>
      <c r="BA117" s="118" t="str">
        <f>IF(BA$6="","",IF(BA$3="Maior",IFERROR(IF(VLOOKUP($N117,Capa!$A:$AE,BA$5,0)="",0,VLOOKUP($N117,Capa!$A:$AE,BA$5,0)),0),IF(ISERROR(1/VLOOKUP($N117,Capa!$A:$AE,BA$5,0)),0,1/VLOOKUP($N117,Capa!$A:$AE,BA$5,0))))</f>
        <v/>
      </c>
      <c r="BB117" s="118" t="str">
        <f>IF(BB$6="","",IF(BB$3="Maior",IFERROR(IF(VLOOKUP($N117,Capa!$A:$AE,BB$5,0)="",0,VLOOKUP($N117,Capa!$A:$AE,BB$5,0)),0),IF(ISERROR(1/VLOOKUP($N117,Capa!$A:$AE,BB$5,0)),0,1/VLOOKUP($N117,Capa!$A:$AE,BB$5,0))))</f>
        <v/>
      </c>
      <c r="BC117" s="118" t="str">
        <f>IF(BC$6="","",IF(BC$3="Maior",IFERROR(IF(VLOOKUP($N117,Capa!$A:$AE,BC$5,0)="",0,VLOOKUP($N117,Capa!$A:$AE,BC$5,0)),0),IF(ISERROR(1/VLOOKUP($N117,Capa!$A:$AE,BC$5,0)),0,1/VLOOKUP($N117,Capa!$A:$AE,BC$5,0))))</f>
        <v/>
      </c>
      <c r="BD117" s="118" t="str">
        <f>IF(BD$6="","",IF(BD$3="Maior",IFERROR(IF(VLOOKUP($N117,Capa!$A:$AE,BD$5,0)="",0,VLOOKUP($N117,Capa!$A:$AE,BD$5,0)),0),IF(ISERROR(1/VLOOKUP($N117,Capa!$A:$AE,BD$5,0)),0,1/VLOOKUP($N117,Capa!$A:$AE,BD$5,0))))</f>
        <v/>
      </c>
      <c r="BE117" s="118" t="str">
        <f>IF(BE$6="","",IF(BE$3="Maior",IFERROR(IF(VLOOKUP($N117,Capa!$A:$AE,BE$5,0)="",0,VLOOKUP($N117,Capa!$A:$AE,BE$5,0)),0),IF(ISERROR(1/VLOOKUP($N117,Capa!$A:$AE,BE$5,0)),0,1/VLOOKUP($N117,Capa!$A:$AE,BE$5,0))))</f>
        <v/>
      </c>
      <c r="BF117" s="118" t="str">
        <f>IF(BF$6="","",IF(BF$3="Maior",IFERROR(IF(VLOOKUP($N117,Capa!$A:$AE,BF$5,0)="",0,VLOOKUP($N117,Capa!$A:$AE,BF$5,0)),0),IF(ISERROR(1/VLOOKUP($N117,Capa!$A:$AE,BF$5,0)),0,1/VLOOKUP($N117,Capa!$A:$AE,BF$5,0))))</f>
        <v/>
      </c>
      <c r="BG117" s="118" t="str">
        <f>IF(BG$6="","",IF(BG$3="Maior",IFERROR(IF(VLOOKUP($N117,Capa!$A:$AE,BG$5,0)="",0,VLOOKUP($N117,Capa!$A:$AE,BG$5,0)),0),IF(ISERROR(1/VLOOKUP($N117,Capa!$A:$AE,BG$5,0)),0,1/VLOOKUP($N117,Capa!$A:$AE,BG$5,0))))</f>
        <v/>
      </c>
      <c r="BH117" s="118" t="str">
        <f>IF(BH$6="","",IF(BH$3="Maior",IFERROR(IF(VLOOKUP($N117,Capa!$A:$AE,BH$5,0)="",0,VLOOKUP($N117,Capa!$A:$AE,BH$5,0)),0),IF(ISERROR(1/VLOOKUP($N117,Capa!$A:$AE,BH$5,0)),0,1/VLOOKUP($N117,Capa!$A:$AE,BH$5,0))))</f>
        <v/>
      </c>
      <c r="BI117" s="118" t="str">
        <f>IF(BI$6="","",IF(BI$3="Maior",IFERROR(IF(VLOOKUP($N117,Capa!$A:$AE,BI$5,0)="",0,VLOOKUP($N117,Capa!$A:$AE,BI$5,0)),0),IF(ISERROR(1/VLOOKUP($N117,Capa!$A:$AE,BI$5,0)),0,1/VLOOKUP($N117,Capa!$A:$AE,BI$5,0))))</f>
        <v/>
      </c>
      <c r="BJ117" s="118" t="str">
        <f>IF(BJ$6="","",IF(BJ$3="Maior",IFERROR(IF(VLOOKUP($N117,Capa!$A:$AE,BJ$5,0)="",0,VLOOKUP($N117,Capa!$A:$AE,BJ$5,0)),0),IF(ISERROR(1/VLOOKUP($N117,Capa!$A:$AE,BJ$5,0)),0,1/VLOOKUP($N117,Capa!$A:$AE,BJ$5,0))))</f>
        <v/>
      </c>
      <c r="BK117" s="118" t="str">
        <f>IF(BK$6="","",IF(BK$3="Maior",IFERROR(IF(VLOOKUP($N117,Capa!$A:$AE,BK$5,0)="",0,VLOOKUP($N117,Capa!$A:$AE,BK$5,0)),0),IF(ISERROR(1/VLOOKUP($N117,Capa!$A:$AE,BK$5,0)),0,1/VLOOKUP($N117,Capa!$A:$AE,BK$5,0))))</f>
        <v/>
      </c>
      <c r="BL117" s="118" t="str">
        <f>IF(BL$6="","",IF(BL$3="Maior",IFERROR(IF(VLOOKUP($N117,Capa!$A:$AE,BL$5,0)="",0,VLOOKUP($N117,Capa!$A:$AE,BL$5,0)),0),IF(ISERROR(1/VLOOKUP($N117,Capa!$A:$AE,BL$5,0)),0,1/VLOOKUP($N117,Capa!$A:$AE,BL$5,0))))</f>
        <v/>
      </c>
      <c r="BM117" s="118" t="str">
        <f>IF(BM$6="","",IF(BM$3="Maior",IFERROR(IF(VLOOKUP($N117,Capa!$A:$AE,BM$5,0)="",0,VLOOKUP($N117,Capa!$A:$AE,BM$5,0)),0),IF(ISERROR(1/VLOOKUP($N117,Capa!$A:$AE,BM$5,0)),0,1/VLOOKUP($N117,Capa!$A:$AE,BM$5,0))))</f>
        <v/>
      </c>
      <c r="BN117" s="118" t="str">
        <f>IF(BN$6="","",IF(BN$3="Maior",IFERROR(IF(VLOOKUP($N117,Capa!$A:$AE,BN$5,0)="",0,VLOOKUP($N117,Capa!$A:$AE,BN$5,0)),0),IF(ISERROR(1/VLOOKUP($N117,Capa!$A:$AE,BN$5,0)),0,1/VLOOKUP($N117,Capa!$A:$AE,BN$5,0))))</f>
        <v/>
      </c>
      <c r="BO117" s="92"/>
    </row>
    <row r="118">
      <c r="G118" s="11"/>
      <c r="H118" s="8">
        <v>112.0</v>
      </c>
      <c r="I118" s="110" t="str">
        <f t="shared" si="6"/>
        <v>BMOB3</v>
      </c>
      <c r="J118" s="111" t="str">
        <f>VLOOKUP(left(I118,4),Setor!A:D,3,0)&amp;" | "&amp;VLOOKUP(left(I118,4),Setor!A:D,4,0)</f>
        <v>#N/A</v>
      </c>
      <c r="K118" s="112">
        <f t="shared" si="7"/>
        <v>15084655.58</v>
      </c>
      <c r="L118" s="11"/>
      <c r="M118" s="11"/>
      <c r="N118" s="10" t="s">
        <v>164</v>
      </c>
      <c r="O118" s="113">
        <f t="shared" si="8"/>
        <v>386.013</v>
      </c>
      <c r="P118" s="114">
        <f>VLOOKUP(N118,'Dados StatusInvest'!A:Z,26,0)</f>
        <v>45115928.08</v>
      </c>
      <c r="Q118" s="115">
        <f t="shared" si="9"/>
        <v>130.013</v>
      </c>
      <c r="R118" s="116">
        <f t="shared" ref="R118:AO118" si="121">IF(AQ118="","", RANK(AQ118,AQ$7:AQ$503,0))</f>
        <v>226</v>
      </c>
      <c r="S118" s="115">
        <f t="shared" si="121"/>
        <v>30</v>
      </c>
      <c r="T118" s="115" t="str">
        <f t="shared" si="121"/>
        <v/>
      </c>
      <c r="U118" s="115" t="str">
        <f t="shared" si="121"/>
        <v/>
      </c>
      <c r="V118" s="115" t="str">
        <f t="shared" si="121"/>
        <v/>
      </c>
      <c r="W118" s="115" t="str">
        <f t="shared" si="121"/>
        <v/>
      </c>
      <c r="X118" s="115" t="str">
        <f t="shared" si="121"/>
        <v/>
      </c>
      <c r="Y118" s="115" t="str">
        <f t="shared" si="121"/>
        <v/>
      </c>
      <c r="Z118" s="115" t="str">
        <f t="shared" si="121"/>
        <v/>
      </c>
      <c r="AA118" s="115" t="str">
        <f t="shared" si="121"/>
        <v/>
      </c>
      <c r="AB118" s="115" t="str">
        <f t="shared" si="121"/>
        <v/>
      </c>
      <c r="AC118" s="115" t="str">
        <f t="shared" si="121"/>
        <v/>
      </c>
      <c r="AD118" s="115" t="str">
        <f t="shared" si="121"/>
        <v/>
      </c>
      <c r="AE118" s="115" t="str">
        <f t="shared" si="121"/>
        <v/>
      </c>
      <c r="AF118" s="115" t="str">
        <f t="shared" si="121"/>
        <v/>
      </c>
      <c r="AG118" s="115" t="str">
        <f t="shared" si="121"/>
        <v/>
      </c>
      <c r="AH118" s="115" t="str">
        <f t="shared" si="121"/>
        <v/>
      </c>
      <c r="AI118" s="115" t="str">
        <f t="shared" si="121"/>
        <v/>
      </c>
      <c r="AJ118" s="115" t="str">
        <f t="shared" si="121"/>
        <v/>
      </c>
      <c r="AK118" s="115" t="str">
        <f t="shared" si="121"/>
        <v/>
      </c>
      <c r="AL118" s="115" t="str">
        <f t="shared" si="121"/>
        <v/>
      </c>
      <c r="AM118" s="115" t="str">
        <f t="shared" si="121"/>
        <v/>
      </c>
      <c r="AN118" s="115" t="str">
        <f t="shared" si="121"/>
        <v/>
      </c>
      <c r="AO118" s="115" t="str">
        <f t="shared" si="121"/>
        <v/>
      </c>
      <c r="AP118" s="117">
        <f>IF(AP$6="","",IF(AP$3="Maior",IFERROR(IF(VLOOKUP($N118,Capa!$A:$AE,AP$5,0)="",0,VLOOKUP($N118,Capa!$A:$AE,AP$5,0)),0),IF(ISERROR(1/VLOOKUP($N118,Capa!$A:$AE,AP$5,0)),0,1/VLOOKUP($N118,Capa!$A:$AE,AP$5,0))))</f>
        <v>0.1448853442</v>
      </c>
      <c r="AQ118" s="118">
        <f>IF(AQ$6="","",IF(AQ$3="Maior",IFERROR(IF(VLOOKUP($N118,Capa!$A:$AE,AQ$5,0)="",0,VLOOKUP($N118,Capa!$A:$AE,AQ$5,0)),0),IF(ISERROR(1/VLOOKUP($N118,Capa!$A:$AE,AQ$5,0)),0,1/VLOOKUP($N118,Capa!$A:$AE,AQ$5,0))))</f>
        <v>9.84</v>
      </c>
      <c r="AR118" s="118">
        <f>IF(AR$6="","",IF(AR$3="Maior",IFERROR(IF(VLOOKUP($N118,Capa!$A:$AE,AR$5,0)="",0,VLOOKUP($N118,Capa!$A:$AE,AR$5,0)),0),IF(ISERROR(1/VLOOKUP($N118,Capa!$A:$AE,AR$5,0)),0,1/VLOOKUP($N118,Capa!$A:$AE,AR$5,0))))</f>
        <v>65.3</v>
      </c>
      <c r="AS118" s="118" t="str">
        <f>IF(AS$6="","",IF(AS$3="Maior",IFERROR(IF(VLOOKUP($N118,Capa!$A:$AE,AS$5,0)="",0,VLOOKUP($N118,Capa!$A:$AE,AS$5,0)),0),IF(ISERROR(1/VLOOKUP($N118,Capa!$A:$AE,AS$5,0)),0,1/VLOOKUP($N118,Capa!$A:$AE,AS$5,0))))</f>
        <v/>
      </c>
      <c r="AT118" s="118" t="str">
        <f>IF(AT$6="","",IF(AT$3="Maior",IFERROR(IF(VLOOKUP($N118,Capa!$A:$AE,AT$5,0)="",0,VLOOKUP($N118,Capa!$A:$AE,AT$5,0)),0),IF(ISERROR(1/VLOOKUP($N118,Capa!$A:$AE,AT$5,0)),0,1/VLOOKUP($N118,Capa!$A:$AE,AT$5,0))))</f>
        <v/>
      </c>
      <c r="AU118" s="118" t="str">
        <f>IF(AU$6="","",IF(AU$3="Maior",IFERROR(IF(VLOOKUP($N118,Capa!$A:$AE,AU$5,0)="",0,VLOOKUP($N118,Capa!$A:$AE,AU$5,0)),0),IF(ISERROR(1/VLOOKUP($N118,Capa!$A:$AE,AU$5,0)),0,1/VLOOKUP($N118,Capa!$A:$AE,AU$5,0))))</f>
        <v/>
      </c>
      <c r="AV118" s="118" t="str">
        <f>IF(AV$6="","",IF(AV$3="Maior",IFERROR(IF(VLOOKUP($N118,Capa!$A:$AE,AV$5,0)="",0,VLOOKUP($N118,Capa!$A:$AE,AV$5,0)),0),IF(ISERROR(1/VLOOKUP($N118,Capa!$A:$AE,AV$5,0)),0,1/VLOOKUP($N118,Capa!$A:$AE,AV$5,0))))</f>
        <v/>
      </c>
      <c r="AW118" s="118" t="str">
        <f>IF(AW$6="","",IF(AW$3="Maior",IFERROR(IF(VLOOKUP($N118,Capa!$A:$AE,AW$5,0)="",0,VLOOKUP($N118,Capa!$A:$AE,AW$5,0)),0),IF(ISERROR(1/VLOOKUP($N118,Capa!$A:$AE,AW$5,0)),0,1/VLOOKUP($N118,Capa!$A:$AE,AW$5,0))))</f>
        <v/>
      </c>
      <c r="AX118" s="118" t="str">
        <f>IF(AX$6="","",IF(AX$3="Maior",IFERROR(IF(VLOOKUP($N118,Capa!$A:$AE,AX$5,0)="",0,VLOOKUP($N118,Capa!$A:$AE,AX$5,0)),0),IF(ISERROR(1/VLOOKUP($N118,Capa!$A:$AE,AX$5,0)),0,1/VLOOKUP($N118,Capa!$A:$AE,AX$5,0))))</f>
        <v/>
      </c>
      <c r="AY118" s="118" t="str">
        <f>IF(AY$6="","",IF(AY$3="Maior",IFERROR(IF(VLOOKUP($N118,Capa!$A:$AE,AY$5,0)="",0,VLOOKUP($N118,Capa!$A:$AE,AY$5,0)),0),IF(ISERROR(1/VLOOKUP($N118,Capa!$A:$AE,AY$5,0)),0,1/VLOOKUP($N118,Capa!$A:$AE,AY$5,0))))</f>
        <v/>
      </c>
      <c r="AZ118" s="118" t="str">
        <f>IF(AZ$6="","",IF(AZ$3="Maior",IFERROR(IF(VLOOKUP($N118,Capa!$A:$AE,AZ$5,0)="",0,VLOOKUP($N118,Capa!$A:$AE,AZ$5,0)),0),IF(ISERROR(1/VLOOKUP($N118,Capa!$A:$AE,AZ$5,0)),0,1/VLOOKUP($N118,Capa!$A:$AE,AZ$5,0))))</f>
        <v/>
      </c>
      <c r="BA118" s="118" t="str">
        <f>IF(BA$6="","",IF(BA$3="Maior",IFERROR(IF(VLOOKUP($N118,Capa!$A:$AE,BA$5,0)="",0,VLOOKUP($N118,Capa!$A:$AE,BA$5,0)),0),IF(ISERROR(1/VLOOKUP($N118,Capa!$A:$AE,BA$5,0)),0,1/VLOOKUP($N118,Capa!$A:$AE,BA$5,0))))</f>
        <v/>
      </c>
      <c r="BB118" s="118" t="str">
        <f>IF(BB$6="","",IF(BB$3="Maior",IFERROR(IF(VLOOKUP($N118,Capa!$A:$AE,BB$5,0)="",0,VLOOKUP($N118,Capa!$A:$AE,BB$5,0)),0),IF(ISERROR(1/VLOOKUP($N118,Capa!$A:$AE,BB$5,0)),0,1/VLOOKUP($N118,Capa!$A:$AE,BB$5,0))))</f>
        <v/>
      </c>
      <c r="BC118" s="118" t="str">
        <f>IF(BC$6="","",IF(BC$3="Maior",IFERROR(IF(VLOOKUP($N118,Capa!$A:$AE,BC$5,0)="",0,VLOOKUP($N118,Capa!$A:$AE,BC$5,0)),0),IF(ISERROR(1/VLOOKUP($N118,Capa!$A:$AE,BC$5,0)),0,1/VLOOKUP($N118,Capa!$A:$AE,BC$5,0))))</f>
        <v/>
      </c>
      <c r="BD118" s="118" t="str">
        <f>IF(BD$6="","",IF(BD$3="Maior",IFERROR(IF(VLOOKUP($N118,Capa!$A:$AE,BD$5,0)="",0,VLOOKUP($N118,Capa!$A:$AE,BD$5,0)),0),IF(ISERROR(1/VLOOKUP($N118,Capa!$A:$AE,BD$5,0)),0,1/VLOOKUP($N118,Capa!$A:$AE,BD$5,0))))</f>
        <v/>
      </c>
      <c r="BE118" s="118" t="str">
        <f>IF(BE$6="","",IF(BE$3="Maior",IFERROR(IF(VLOOKUP($N118,Capa!$A:$AE,BE$5,0)="",0,VLOOKUP($N118,Capa!$A:$AE,BE$5,0)),0),IF(ISERROR(1/VLOOKUP($N118,Capa!$A:$AE,BE$5,0)),0,1/VLOOKUP($N118,Capa!$A:$AE,BE$5,0))))</f>
        <v/>
      </c>
      <c r="BF118" s="118" t="str">
        <f>IF(BF$6="","",IF(BF$3="Maior",IFERROR(IF(VLOOKUP($N118,Capa!$A:$AE,BF$5,0)="",0,VLOOKUP($N118,Capa!$A:$AE,BF$5,0)),0),IF(ISERROR(1/VLOOKUP($N118,Capa!$A:$AE,BF$5,0)),0,1/VLOOKUP($N118,Capa!$A:$AE,BF$5,0))))</f>
        <v/>
      </c>
      <c r="BG118" s="118" t="str">
        <f>IF(BG$6="","",IF(BG$3="Maior",IFERROR(IF(VLOOKUP($N118,Capa!$A:$AE,BG$5,0)="",0,VLOOKUP($N118,Capa!$A:$AE,BG$5,0)),0),IF(ISERROR(1/VLOOKUP($N118,Capa!$A:$AE,BG$5,0)),0,1/VLOOKUP($N118,Capa!$A:$AE,BG$5,0))))</f>
        <v/>
      </c>
      <c r="BH118" s="118" t="str">
        <f>IF(BH$6="","",IF(BH$3="Maior",IFERROR(IF(VLOOKUP($N118,Capa!$A:$AE,BH$5,0)="",0,VLOOKUP($N118,Capa!$A:$AE,BH$5,0)),0),IF(ISERROR(1/VLOOKUP($N118,Capa!$A:$AE,BH$5,0)),0,1/VLOOKUP($N118,Capa!$A:$AE,BH$5,0))))</f>
        <v/>
      </c>
      <c r="BI118" s="118" t="str">
        <f>IF(BI$6="","",IF(BI$3="Maior",IFERROR(IF(VLOOKUP($N118,Capa!$A:$AE,BI$5,0)="",0,VLOOKUP($N118,Capa!$A:$AE,BI$5,0)),0),IF(ISERROR(1/VLOOKUP($N118,Capa!$A:$AE,BI$5,0)),0,1/VLOOKUP($N118,Capa!$A:$AE,BI$5,0))))</f>
        <v/>
      </c>
      <c r="BJ118" s="118" t="str">
        <f>IF(BJ$6="","",IF(BJ$3="Maior",IFERROR(IF(VLOOKUP($N118,Capa!$A:$AE,BJ$5,0)="",0,VLOOKUP($N118,Capa!$A:$AE,BJ$5,0)),0),IF(ISERROR(1/VLOOKUP($N118,Capa!$A:$AE,BJ$5,0)),0,1/VLOOKUP($N118,Capa!$A:$AE,BJ$5,0))))</f>
        <v/>
      </c>
      <c r="BK118" s="118" t="str">
        <f>IF(BK$6="","",IF(BK$3="Maior",IFERROR(IF(VLOOKUP($N118,Capa!$A:$AE,BK$5,0)="",0,VLOOKUP($N118,Capa!$A:$AE,BK$5,0)),0),IF(ISERROR(1/VLOOKUP($N118,Capa!$A:$AE,BK$5,0)),0,1/VLOOKUP($N118,Capa!$A:$AE,BK$5,0))))</f>
        <v/>
      </c>
      <c r="BL118" s="118" t="str">
        <f>IF(BL$6="","",IF(BL$3="Maior",IFERROR(IF(VLOOKUP($N118,Capa!$A:$AE,BL$5,0)="",0,VLOOKUP($N118,Capa!$A:$AE,BL$5,0)),0),IF(ISERROR(1/VLOOKUP($N118,Capa!$A:$AE,BL$5,0)),0,1/VLOOKUP($N118,Capa!$A:$AE,BL$5,0))))</f>
        <v/>
      </c>
      <c r="BM118" s="118" t="str">
        <f>IF(BM$6="","",IF(BM$3="Maior",IFERROR(IF(VLOOKUP($N118,Capa!$A:$AE,BM$5,0)="",0,VLOOKUP($N118,Capa!$A:$AE,BM$5,0)),0),IF(ISERROR(1/VLOOKUP($N118,Capa!$A:$AE,BM$5,0)),0,1/VLOOKUP($N118,Capa!$A:$AE,BM$5,0))))</f>
        <v/>
      </c>
      <c r="BN118" s="118" t="str">
        <f>IF(BN$6="","",IF(BN$3="Maior",IFERROR(IF(VLOOKUP($N118,Capa!$A:$AE,BN$5,0)="",0,VLOOKUP($N118,Capa!$A:$AE,BN$5,0)),0),IF(ISERROR(1/VLOOKUP($N118,Capa!$A:$AE,BN$5,0)),0,1/VLOOKUP($N118,Capa!$A:$AE,BN$5,0))))</f>
        <v/>
      </c>
      <c r="BO118" s="92"/>
    </row>
    <row r="119">
      <c r="G119" s="11"/>
      <c r="H119" s="8">
        <v>113.0</v>
      </c>
      <c r="I119" s="110" t="str">
        <f t="shared" si="6"/>
        <v>GOLL4</v>
      </c>
      <c r="J119" s="111" t="str">
        <f>VLOOKUP(left(I119,4),Setor!A:D,3,0)&amp;" | "&amp;VLOOKUP(left(I119,4),Setor!A:D,4,0)</f>
        <v>Bens Industriais | Transporte</v>
      </c>
      <c r="K119" s="112">
        <f t="shared" si="7"/>
        <v>111351533.5</v>
      </c>
      <c r="L119" s="11"/>
      <c r="M119" s="11"/>
      <c r="N119" s="10" t="s">
        <v>165</v>
      </c>
      <c r="O119" s="113">
        <f t="shared" si="8"/>
        <v>663.0328</v>
      </c>
      <c r="P119" s="114">
        <f>VLOOKUP(N119,'Dados StatusInvest'!A:Z,26,0)</f>
        <v>31340848.42</v>
      </c>
      <c r="Q119" s="115">
        <f t="shared" si="9"/>
        <v>328.0328</v>
      </c>
      <c r="R119" s="116">
        <f t="shared" ref="R119:AO119" si="122">IF(AQ119="","", RANK(AQ119,AQ$7:AQ$503,0))</f>
        <v>116</v>
      </c>
      <c r="S119" s="115">
        <f t="shared" si="122"/>
        <v>219</v>
      </c>
      <c r="T119" s="115" t="str">
        <f t="shared" si="122"/>
        <v/>
      </c>
      <c r="U119" s="115" t="str">
        <f t="shared" si="122"/>
        <v/>
      </c>
      <c r="V119" s="115" t="str">
        <f t="shared" si="122"/>
        <v/>
      </c>
      <c r="W119" s="115" t="str">
        <f t="shared" si="122"/>
        <v/>
      </c>
      <c r="X119" s="115" t="str">
        <f t="shared" si="122"/>
        <v/>
      </c>
      <c r="Y119" s="115" t="str">
        <f t="shared" si="122"/>
        <v/>
      </c>
      <c r="Z119" s="115" t="str">
        <f t="shared" si="122"/>
        <v/>
      </c>
      <c r="AA119" s="115" t="str">
        <f t="shared" si="122"/>
        <v/>
      </c>
      <c r="AB119" s="115" t="str">
        <f t="shared" si="122"/>
        <v/>
      </c>
      <c r="AC119" s="115" t="str">
        <f t="shared" si="122"/>
        <v/>
      </c>
      <c r="AD119" s="115" t="str">
        <f t="shared" si="122"/>
        <v/>
      </c>
      <c r="AE119" s="115" t="str">
        <f t="shared" si="122"/>
        <v/>
      </c>
      <c r="AF119" s="115" t="str">
        <f t="shared" si="122"/>
        <v/>
      </c>
      <c r="AG119" s="115" t="str">
        <f t="shared" si="122"/>
        <v/>
      </c>
      <c r="AH119" s="115" t="str">
        <f t="shared" si="122"/>
        <v/>
      </c>
      <c r="AI119" s="115" t="str">
        <f t="shared" si="122"/>
        <v/>
      </c>
      <c r="AJ119" s="115" t="str">
        <f t="shared" si="122"/>
        <v/>
      </c>
      <c r="AK119" s="115" t="str">
        <f t="shared" si="122"/>
        <v/>
      </c>
      <c r="AL119" s="115" t="str">
        <f t="shared" si="122"/>
        <v/>
      </c>
      <c r="AM119" s="115" t="str">
        <f t="shared" si="122"/>
        <v/>
      </c>
      <c r="AN119" s="115" t="str">
        <f t="shared" si="122"/>
        <v/>
      </c>
      <c r="AO119" s="115" t="str">
        <f t="shared" si="122"/>
        <v/>
      </c>
      <c r="AP119" s="117">
        <f>IF(AP$6="","",IF(AP$3="Maior",IFERROR(IF(VLOOKUP($N119,Capa!$A:$AE,AP$5,0)="",0,VLOOKUP($N119,Capa!$A:$AE,AP$5,0)),0),IF(ISERROR(1/VLOOKUP($N119,Capa!$A:$AE,AP$5,0)),0,1/VLOOKUP($N119,Capa!$A:$AE,AP$5,0))))</f>
        <v>0.04083694703</v>
      </c>
      <c r="AQ119" s="118">
        <f>IF(AQ$6="","",IF(AQ$3="Maior",IFERROR(IF(VLOOKUP($N119,Capa!$A:$AE,AQ$5,0)="",0,VLOOKUP($N119,Capa!$A:$AE,AQ$5,0)),0),IF(ISERROR(1/VLOOKUP($N119,Capa!$A:$AE,AQ$5,0)),0,1/VLOOKUP($N119,Capa!$A:$AE,AQ$5,0))))</f>
        <v>16.21</v>
      </c>
      <c r="AR119" s="118">
        <f>IF(AR$6="","",IF(AR$3="Maior",IFERROR(IF(VLOOKUP($N119,Capa!$A:$AE,AR$5,0)="",0,VLOOKUP($N119,Capa!$A:$AE,AR$5,0)),0),IF(ISERROR(1/VLOOKUP($N119,Capa!$A:$AE,AR$5,0)),0,1/VLOOKUP($N119,Capa!$A:$AE,AR$5,0))))</f>
        <v>0</v>
      </c>
      <c r="AS119" s="118" t="str">
        <f>IF(AS$6="","",IF(AS$3="Maior",IFERROR(IF(VLOOKUP($N119,Capa!$A:$AE,AS$5,0)="",0,VLOOKUP($N119,Capa!$A:$AE,AS$5,0)),0),IF(ISERROR(1/VLOOKUP($N119,Capa!$A:$AE,AS$5,0)),0,1/VLOOKUP($N119,Capa!$A:$AE,AS$5,0))))</f>
        <v/>
      </c>
      <c r="AT119" s="118" t="str">
        <f>IF(AT$6="","",IF(AT$3="Maior",IFERROR(IF(VLOOKUP($N119,Capa!$A:$AE,AT$5,0)="",0,VLOOKUP($N119,Capa!$A:$AE,AT$5,0)),0),IF(ISERROR(1/VLOOKUP($N119,Capa!$A:$AE,AT$5,0)),0,1/VLOOKUP($N119,Capa!$A:$AE,AT$5,0))))</f>
        <v/>
      </c>
      <c r="AU119" s="118" t="str">
        <f>IF(AU$6="","",IF(AU$3="Maior",IFERROR(IF(VLOOKUP($N119,Capa!$A:$AE,AU$5,0)="",0,VLOOKUP($N119,Capa!$A:$AE,AU$5,0)),0),IF(ISERROR(1/VLOOKUP($N119,Capa!$A:$AE,AU$5,0)),0,1/VLOOKUP($N119,Capa!$A:$AE,AU$5,0))))</f>
        <v/>
      </c>
      <c r="AV119" s="118" t="str">
        <f>IF(AV$6="","",IF(AV$3="Maior",IFERROR(IF(VLOOKUP($N119,Capa!$A:$AE,AV$5,0)="",0,VLOOKUP($N119,Capa!$A:$AE,AV$5,0)),0),IF(ISERROR(1/VLOOKUP($N119,Capa!$A:$AE,AV$5,0)),0,1/VLOOKUP($N119,Capa!$A:$AE,AV$5,0))))</f>
        <v/>
      </c>
      <c r="AW119" s="118" t="str">
        <f>IF(AW$6="","",IF(AW$3="Maior",IFERROR(IF(VLOOKUP($N119,Capa!$A:$AE,AW$5,0)="",0,VLOOKUP($N119,Capa!$A:$AE,AW$5,0)),0),IF(ISERROR(1/VLOOKUP($N119,Capa!$A:$AE,AW$5,0)),0,1/VLOOKUP($N119,Capa!$A:$AE,AW$5,0))))</f>
        <v/>
      </c>
      <c r="AX119" s="118" t="str">
        <f>IF(AX$6="","",IF(AX$3="Maior",IFERROR(IF(VLOOKUP($N119,Capa!$A:$AE,AX$5,0)="",0,VLOOKUP($N119,Capa!$A:$AE,AX$5,0)),0),IF(ISERROR(1/VLOOKUP($N119,Capa!$A:$AE,AX$5,0)),0,1/VLOOKUP($N119,Capa!$A:$AE,AX$5,0))))</f>
        <v/>
      </c>
      <c r="AY119" s="118" t="str">
        <f>IF(AY$6="","",IF(AY$3="Maior",IFERROR(IF(VLOOKUP($N119,Capa!$A:$AE,AY$5,0)="",0,VLOOKUP($N119,Capa!$A:$AE,AY$5,0)),0),IF(ISERROR(1/VLOOKUP($N119,Capa!$A:$AE,AY$5,0)),0,1/VLOOKUP($N119,Capa!$A:$AE,AY$5,0))))</f>
        <v/>
      </c>
      <c r="AZ119" s="118" t="str">
        <f>IF(AZ$6="","",IF(AZ$3="Maior",IFERROR(IF(VLOOKUP($N119,Capa!$A:$AE,AZ$5,0)="",0,VLOOKUP($N119,Capa!$A:$AE,AZ$5,0)),0),IF(ISERROR(1/VLOOKUP($N119,Capa!$A:$AE,AZ$5,0)),0,1/VLOOKUP($N119,Capa!$A:$AE,AZ$5,0))))</f>
        <v/>
      </c>
      <c r="BA119" s="118" t="str">
        <f>IF(BA$6="","",IF(BA$3="Maior",IFERROR(IF(VLOOKUP($N119,Capa!$A:$AE,BA$5,0)="",0,VLOOKUP($N119,Capa!$A:$AE,BA$5,0)),0),IF(ISERROR(1/VLOOKUP($N119,Capa!$A:$AE,BA$5,0)),0,1/VLOOKUP($N119,Capa!$A:$AE,BA$5,0))))</f>
        <v/>
      </c>
      <c r="BB119" s="118" t="str">
        <f>IF(BB$6="","",IF(BB$3="Maior",IFERROR(IF(VLOOKUP($N119,Capa!$A:$AE,BB$5,0)="",0,VLOOKUP($N119,Capa!$A:$AE,BB$5,0)),0),IF(ISERROR(1/VLOOKUP($N119,Capa!$A:$AE,BB$5,0)),0,1/VLOOKUP($N119,Capa!$A:$AE,BB$5,0))))</f>
        <v/>
      </c>
      <c r="BC119" s="118" t="str">
        <f>IF(BC$6="","",IF(BC$3="Maior",IFERROR(IF(VLOOKUP($N119,Capa!$A:$AE,BC$5,0)="",0,VLOOKUP($N119,Capa!$A:$AE,BC$5,0)),0),IF(ISERROR(1/VLOOKUP($N119,Capa!$A:$AE,BC$5,0)),0,1/VLOOKUP($N119,Capa!$A:$AE,BC$5,0))))</f>
        <v/>
      </c>
      <c r="BD119" s="118" t="str">
        <f>IF(BD$6="","",IF(BD$3="Maior",IFERROR(IF(VLOOKUP($N119,Capa!$A:$AE,BD$5,0)="",0,VLOOKUP($N119,Capa!$A:$AE,BD$5,0)),0),IF(ISERROR(1/VLOOKUP($N119,Capa!$A:$AE,BD$5,0)),0,1/VLOOKUP($N119,Capa!$A:$AE,BD$5,0))))</f>
        <v/>
      </c>
      <c r="BE119" s="118" t="str">
        <f>IF(BE$6="","",IF(BE$3="Maior",IFERROR(IF(VLOOKUP($N119,Capa!$A:$AE,BE$5,0)="",0,VLOOKUP($N119,Capa!$A:$AE,BE$5,0)),0),IF(ISERROR(1/VLOOKUP($N119,Capa!$A:$AE,BE$5,0)),0,1/VLOOKUP($N119,Capa!$A:$AE,BE$5,0))))</f>
        <v/>
      </c>
      <c r="BF119" s="118" t="str">
        <f>IF(BF$6="","",IF(BF$3="Maior",IFERROR(IF(VLOOKUP($N119,Capa!$A:$AE,BF$5,0)="",0,VLOOKUP($N119,Capa!$A:$AE,BF$5,0)),0),IF(ISERROR(1/VLOOKUP($N119,Capa!$A:$AE,BF$5,0)),0,1/VLOOKUP($N119,Capa!$A:$AE,BF$5,0))))</f>
        <v/>
      </c>
      <c r="BG119" s="118" t="str">
        <f>IF(BG$6="","",IF(BG$3="Maior",IFERROR(IF(VLOOKUP($N119,Capa!$A:$AE,BG$5,0)="",0,VLOOKUP($N119,Capa!$A:$AE,BG$5,0)),0),IF(ISERROR(1/VLOOKUP($N119,Capa!$A:$AE,BG$5,0)),0,1/VLOOKUP($N119,Capa!$A:$AE,BG$5,0))))</f>
        <v/>
      </c>
      <c r="BH119" s="118" t="str">
        <f>IF(BH$6="","",IF(BH$3="Maior",IFERROR(IF(VLOOKUP($N119,Capa!$A:$AE,BH$5,0)="",0,VLOOKUP($N119,Capa!$A:$AE,BH$5,0)),0),IF(ISERROR(1/VLOOKUP($N119,Capa!$A:$AE,BH$5,0)),0,1/VLOOKUP($N119,Capa!$A:$AE,BH$5,0))))</f>
        <v/>
      </c>
      <c r="BI119" s="118" t="str">
        <f>IF(BI$6="","",IF(BI$3="Maior",IFERROR(IF(VLOOKUP($N119,Capa!$A:$AE,BI$5,0)="",0,VLOOKUP($N119,Capa!$A:$AE,BI$5,0)),0),IF(ISERROR(1/VLOOKUP($N119,Capa!$A:$AE,BI$5,0)),0,1/VLOOKUP($N119,Capa!$A:$AE,BI$5,0))))</f>
        <v/>
      </c>
      <c r="BJ119" s="118" t="str">
        <f>IF(BJ$6="","",IF(BJ$3="Maior",IFERROR(IF(VLOOKUP($N119,Capa!$A:$AE,BJ$5,0)="",0,VLOOKUP($N119,Capa!$A:$AE,BJ$5,0)),0),IF(ISERROR(1/VLOOKUP($N119,Capa!$A:$AE,BJ$5,0)),0,1/VLOOKUP($N119,Capa!$A:$AE,BJ$5,0))))</f>
        <v/>
      </c>
      <c r="BK119" s="118" t="str">
        <f>IF(BK$6="","",IF(BK$3="Maior",IFERROR(IF(VLOOKUP($N119,Capa!$A:$AE,BK$5,0)="",0,VLOOKUP($N119,Capa!$A:$AE,BK$5,0)),0),IF(ISERROR(1/VLOOKUP($N119,Capa!$A:$AE,BK$5,0)),0,1/VLOOKUP($N119,Capa!$A:$AE,BK$5,0))))</f>
        <v/>
      </c>
      <c r="BL119" s="118" t="str">
        <f>IF(BL$6="","",IF(BL$3="Maior",IFERROR(IF(VLOOKUP($N119,Capa!$A:$AE,BL$5,0)="",0,VLOOKUP($N119,Capa!$A:$AE,BL$5,0)),0),IF(ISERROR(1/VLOOKUP($N119,Capa!$A:$AE,BL$5,0)),0,1/VLOOKUP($N119,Capa!$A:$AE,BL$5,0))))</f>
        <v/>
      </c>
      <c r="BM119" s="118" t="str">
        <f>IF(BM$6="","",IF(BM$3="Maior",IFERROR(IF(VLOOKUP($N119,Capa!$A:$AE,BM$5,0)="",0,VLOOKUP($N119,Capa!$A:$AE,BM$5,0)),0),IF(ISERROR(1/VLOOKUP($N119,Capa!$A:$AE,BM$5,0)),0,1/VLOOKUP($N119,Capa!$A:$AE,BM$5,0))))</f>
        <v/>
      </c>
      <c r="BN119" s="118" t="str">
        <f>IF(BN$6="","",IF(BN$3="Maior",IFERROR(IF(VLOOKUP($N119,Capa!$A:$AE,BN$5,0)="",0,VLOOKUP($N119,Capa!$A:$AE,BN$5,0)),0),IF(ISERROR(1/VLOOKUP($N119,Capa!$A:$AE,BN$5,0)),0,1/VLOOKUP($N119,Capa!$A:$AE,BN$5,0))))</f>
        <v/>
      </c>
      <c r="BO119" s="92"/>
    </row>
    <row r="120">
      <c r="G120" s="11"/>
      <c r="H120" s="8">
        <v>114.0</v>
      </c>
      <c r="I120" s="110" t="str">
        <f t="shared" si="6"/>
        <v>ALPA4</v>
      </c>
      <c r="J120" s="111" t="str">
        <f>VLOOKUP(left(I120,4),Setor!A:D,3,0)&amp;" | "&amp;VLOOKUP(left(I120,4),Setor!A:D,4,0)</f>
        <v>Consumo Cíclico | Tecidos, Vestuário e Calçados</v>
      </c>
      <c r="K120" s="112">
        <f t="shared" si="7"/>
        <v>133069702.7</v>
      </c>
      <c r="L120" s="11"/>
      <c r="M120" s="11"/>
      <c r="N120" s="10" t="s">
        <v>166</v>
      </c>
      <c r="O120" s="113">
        <f t="shared" si="8"/>
        <v>437.0099</v>
      </c>
      <c r="P120" s="114">
        <f>VLOOKUP(N120,'Dados StatusInvest'!A:Z,26,0)</f>
        <v>36224716.21</v>
      </c>
      <c r="Q120" s="115">
        <f t="shared" si="9"/>
        <v>99.0099</v>
      </c>
      <c r="R120" s="116">
        <f t="shared" ref="R120:AO120" si="123">IF(AQ120="","", RANK(AQ120,AQ$7:AQ$503,0))</f>
        <v>198</v>
      </c>
      <c r="S120" s="115">
        <f t="shared" si="123"/>
        <v>140</v>
      </c>
      <c r="T120" s="115" t="str">
        <f t="shared" si="123"/>
        <v/>
      </c>
      <c r="U120" s="115" t="str">
        <f t="shared" si="123"/>
        <v/>
      </c>
      <c r="V120" s="115" t="str">
        <f t="shared" si="123"/>
        <v/>
      </c>
      <c r="W120" s="115" t="str">
        <f t="shared" si="123"/>
        <v/>
      </c>
      <c r="X120" s="115" t="str">
        <f t="shared" si="123"/>
        <v/>
      </c>
      <c r="Y120" s="115" t="str">
        <f t="shared" si="123"/>
        <v/>
      </c>
      <c r="Z120" s="115" t="str">
        <f t="shared" si="123"/>
        <v/>
      </c>
      <c r="AA120" s="115" t="str">
        <f t="shared" si="123"/>
        <v/>
      </c>
      <c r="AB120" s="115" t="str">
        <f t="shared" si="123"/>
        <v/>
      </c>
      <c r="AC120" s="115" t="str">
        <f t="shared" si="123"/>
        <v/>
      </c>
      <c r="AD120" s="115" t="str">
        <f t="shared" si="123"/>
        <v/>
      </c>
      <c r="AE120" s="115" t="str">
        <f t="shared" si="123"/>
        <v/>
      </c>
      <c r="AF120" s="115" t="str">
        <f t="shared" si="123"/>
        <v/>
      </c>
      <c r="AG120" s="115" t="str">
        <f t="shared" si="123"/>
        <v/>
      </c>
      <c r="AH120" s="115" t="str">
        <f t="shared" si="123"/>
        <v/>
      </c>
      <c r="AI120" s="115" t="str">
        <f t="shared" si="123"/>
        <v/>
      </c>
      <c r="AJ120" s="115" t="str">
        <f t="shared" si="123"/>
        <v/>
      </c>
      <c r="AK120" s="115" t="str">
        <f t="shared" si="123"/>
        <v/>
      </c>
      <c r="AL120" s="115" t="str">
        <f t="shared" si="123"/>
        <v/>
      </c>
      <c r="AM120" s="115" t="str">
        <f t="shared" si="123"/>
        <v/>
      </c>
      <c r="AN120" s="115" t="str">
        <f t="shared" si="123"/>
        <v/>
      </c>
      <c r="AO120" s="115" t="str">
        <f t="shared" si="123"/>
        <v/>
      </c>
      <c r="AP120" s="117">
        <f>IF(AP$6="","",IF(AP$3="Maior",IFERROR(IF(VLOOKUP($N120,Capa!$A:$AE,AP$5,0)="",0,VLOOKUP($N120,Capa!$A:$AE,AP$5,0)),0),IF(ISERROR(1/VLOOKUP($N120,Capa!$A:$AE,AP$5,0)),0,1/VLOOKUP($N120,Capa!$A:$AE,AP$5,0))))</f>
        <v>0.1882058987</v>
      </c>
      <c r="AQ120" s="118">
        <f>IF(AQ$6="","",IF(AQ$3="Maior",IFERROR(IF(VLOOKUP($N120,Capa!$A:$AE,AQ$5,0)="",0,VLOOKUP($N120,Capa!$A:$AE,AQ$5,0)),0),IF(ISERROR(1/VLOOKUP($N120,Capa!$A:$AE,AQ$5,0)),0,1/VLOOKUP($N120,Capa!$A:$AE,AQ$5,0))))</f>
        <v>11.19</v>
      </c>
      <c r="AR120" s="118">
        <f>IF(AR$6="","",IF(AR$3="Maior",IFERROR(IF(VLOOKUP($N120,Capa!$A:$AE,AR$5,0)="",0,VLOOKUP($N120,Capa!$A:$AE,AR$5,0)),0),IF(ISERROR(1/VLOOKUP($N120,Capa!$A:$AE,AR$5,0)),0,1/VLOOKUP($N120,Capa!$A:$AE,AR$5,0))))</f>
        <v>18.72</v>
      </c>
      <c r="AS120" s="118" t="str">
        <f>IF(AS$6="","",IF(AS$3="Maior",IFERROR(IF(VLOOKUP($N120,Capa!$A:$AE,AS$5,0)="",0,VLOOKUP($N120,Capa!$A:$AE,AS$5,0)),0),IF(ISERROR(1/VLOOKUP($N120,Capa!$A:$AE,AS$5,0)),0,1/VLOOKUP($N120,Capa!$A:$AE,AS$5,0))))</f>
        <v/>
      </c>
      <c r="AT120" s="118" t="str">
        <f>IF(AT$6="","",IF(AT$3="Maior",IFERROR(IF(VLOOKUP($N120,Capa!$A:$AE,AT$5,0)="",0,VLOOKUP($N120,Capa!$A:$AE,AT$5,0)),0),IF(ISERROR(1/VLOOKUP($N120,Capa!$A:$AE,AT$5,0)),0,1/VLOOKUP($N120,Capa!$A:$AE,AT$5,0))))</f>
        <v/>
      </c>
      <c r="AU120" s="118" t="str">
        <f>IF(AU$6="","",IF(AU$3="Maior",IFERROR(IF(VLOOKUP($N120,Capa!$A:$AE,AU$5,0)="",0,VLOOKUP($N120,Capa!$A:$AE,AU$5,0)),0),IF(ISERROR(1/VLOOKUP($N120,Capa!$A:$AE,AU$5,0)),0,1/VLOOKUP($N120,Capa!$A:$AE,AU$5,0))))</f>
        <v/>
      </c>
      <c r="AV120" s="118" t="str">
        <f>IF(AV$6="","",IF(AV$3="Maior",IFERROR(IF(VLOOKUP($N120,Capa!$A:$AE,AV$5,0)="",0,VLOOKUP($N120,Capa!$A:$AE,AV$5,0)),0),IF(ISERROR(1/VLOOKUP($N120,Capa!$A:$AE,AV$5,0)),0,1/VLOOKUP($N120,Capa!$A:$AE,AV$5,0))))</f>
        <v/>
      </c>
      <c r="AW120" s="118" t="str">
        <f>IF(AW$6="","",IF(AW$3="Maior",IFERROR(IF(VLOOKUP($N120,Capa!$A:$AE,AW$5,0)="",0,VLOOKUP($N120,Capa!$A:$AE,AW$5,0)),0),IF(ISERROR(1/VLOOKUP($N120,Capa!$A:$AE,AW$5,0)),0,1/VLOOKUP($N120,Capa!$A:$AE,AW$5,0))))</f>
        <v/>
      </c>
      <c r="AX120" s="118" t="str">
        <f>IF(AX$6="","",IF(AX$3="Maior",IFERROR(IF(VLOOKUP($N120,Capa!$A:$AE,AX$5,0)="",0,VLOOKUP($N120,Capa!$A:$AE,AX$5,0)),0),IF(ISERROR(1/VLOOKUP($N120,Capa!$A:$AE,AX$5,0)),0,1/VLOOKUP($N120,Capa!$A:$AE,AX$5,0))))</f>
        <v/>
      </c>
      <c r="AY120" s="118" t="str">
        <f>IF(AY$6="","",IF(AY$3="Maior",IFERROR(IF(VLOOKUP($N120,Capa!$A:$AE,AY$5,0)="",0,VLOOKUP($N120,Capa!$A:$AE,AY$5,0)),0),IF(ISERROR(1/VLOOKUP($N120,Capa!$A:$AE,AY$5,0)),0,1/VLOOKUP($N120,Capa!$A:$AE,AY$5,0))))</f>
        <v/>
      </c>
      <c r="AZ120" s="118" t="str">
        <f>IF(AZ$6="","",IF(AZ$3="Maior",IFERROR(IF(VLOOKUP($N120,Capa!$A:$AE,AZ$5,0)="",0,VLOOKUP($N120,Capa!$A:$AE,AZ$5,0)),0),IF(ISERROR(1/VLOOKUP($N120,Capa!$A:$AE,AZ$5,0)),0,1/VLOOKUP($N120,Capa!$A:$AE,AZ$5,0))))</f>
        <v/>
      </c>
      <c r="BA120" s="118" t="str">
        <f>IF(BA$6="","",IF(BA$3="Maior",IFERROR(IF(VLOOKUP($N120,Capa!$A:$AE,BA$5,0)="",0,VLOOKUP($N120,Capa!$A:$AE,BA$5,0)),0),IF(ISERROR(1/VLOOKUP($N120,Capa!$A:$AE,BA$5,0)),0,1/VLOOKUP($N120,Capa!$A:$AE,BA$5,0))))</f>
        <v/>
      </c>
      <c r="BB120" s="118" t="str">
        <f>IF(BB$6="","",IF(BB$3="Maior",IFERROR(IF(VLOOKUP($N120,Capa!$A:$AE,BB$5,0)="",0,VLOOKUP($N120,Capa!$A:$AE,BB$5,0)),0),IF(ISERROR(1/VLOOKUP($N120,Capa!$A:$AE,BB$5,0)),0,1/VLOOKUP($N120,Capa!$A:$AE,BB$5,0))))</f>
        <v/>
      </c>
      <c r="BC120" s="118" t="str">
        <f>IF(BC$6="","",IF(BC$3="Maior",IFERROR(IF(VLOOKUP($N120,Capa!$A:$AE,BC$5,0)="",0,VLOOKUP($N120,Capa!$A:$AE,BC$5,0)),0),IF(ISERROR(1/VLOOKUP($N120,Capa!$A:$AE,BC$5,0)),0,1/VLOOKUP($N120,Capa!$A:$AE,BC$5,0))))</f>
        <v/>
      </c>
      <c r="BD120" s="118" t="str">
        <f>IF(BD$6="","",IF(BD$3="Maior",IFERROR(IF(VLOOKUP($N120,Capa!$A:$AE,BD$5,0)="",0,VLOOKUP($N120,Capa!$A:$AE,BD$5,0)),0),IF(ISERROR(1/VLOOKUP($N120,Capa!$A:$AE,BD$5,0)),0,1/VLOOKUP($N120,Capa!$A:$AE,BD$5,0))))</f>
        <v/>
      </c>
      <c r="BE120" s="118" t="str">
        <f>IF(BE$6="","",IF(BE$3="Maior",IFERROR(IF(VLOOKUP($N120,Capa!$A:$AE,BE$5,0)="",0,VLOOKUP($N120,Capa!$A:$AE,BE$5,0)),0),IF(ISERROR(1/VLOOKUP($N120,Capa!$A:$AE,BE$5,0)),0,1/VLOOKUP($N120,Capa!$A:$AE,BE$5,0))))</f>
        <v/>
      </c>
      <c r="BF120" s="118" t="str">
        <f>IF(BF$6="","",IF(BF$3="Maior",IFERROR(IF(VLOOKUP($N120,Capa!$A:$AE,BF$5,0)="",0,VLOOKUP($N120,Capa!$A:$AE,BF$5,0)),0),IF(ISERROR(1/VLOOKUP($N120,Capa!$A:$AE,BF$5,0)),0,1/VLOOKUP($N120,Capa!$A:$AE,BF$5,0))))</f>
        <v/>
      </c>
      <c r="BG120" s="118" t="str">
        <f>IF(BG$6="","",IF(BG$3="Maior",IFERROR(IF(VLOOKUP($N120,Capa!$A:$AE,BG$5,0)="",0,VLOOKUP($N120,Capa!$A:$AE,BG$5,0)),0),IF(ISERROR(1/VLOOKUP($N120,Capa!$A:$AE,BG$5,0)),0,1/VLOOKUP($N120,Capa!$A:$AE,BG$5,0))))</f>
        <v/>
      </c>
      <c r="BH120" s="118" t="str">
        <f>IF(BH$6="","",IF(BH$3="Maior",IFERROR(IF(VLOOKUP($N120,Capa!$A:$AE,BH$5,0)="",0,VLOOKUP($N120,Capa!$A:$AE,BH$5,0)),0),IF(ISERROR(1/VLOOKUP($N120,Capa!$A:$AE,BH$5,0)),0,1/VLOOKUP($N120,Capa!$A:$AE,BH$5,0))))</f>
        <v/>
      </c>
      <c r="BI120" s="118" t="str">
        <f>IF(BI$6="","",IF(BI$3="Maior",IFERROR(IF(VLOOKUP($N120,Capa!$A:$AE,BI$5,0)="",0,VLOOKUP($N120,Capa!$A:$AE,BI$5,0)),0),IF(ISERROR(1/VLOOKUP($N120,Capa!$A:$AE,BI$5,0)),0,1/VLOOKUP($N120,Capa!$A:$AE,BI$5,0))))</f>
        <v/>
      </c>
      <c r="BJ120" s="118" t="str">
        <f>IF(BJ$6="","",IF(BJ$3="Maior",IFERROR(IF(VLOOKUP($N120,Capa!$A:$AE,BJ$5,0)="",0,VLOOKUP($N120,Capa!$A:$AE,BJ$5,0)),0),IF(ISERROR(1/VLOOKUP($N120,Capa!$A:$AE,BJ$5,0)),0,1/VLOOKUP($N120,Capa!$A:$AE,BJ$5,0))))</f>
        <v/>
      </c>
      <c r="BK120" s="118" t="str">
        <f>IF(BK$6="","",IF(BK$3="Maior",IFERROR(IF(VLOOKUP($N120,Capa!$A:$AE,BK$5,0)="",0,VLOOKUP($N120,Capa!$A:$AE,BK$5,0)),0),IF(ISERROR(1/VLOOKUP($N120,Capa!$A:$AE,BK$5,0)),0,1/VLOOKUP($N120,Capa!$A:$AE,BK$5,0))))</f>
        <v/>
      </c>
      <c r="BL120" s="118" t="str">
        <f>IF(BL$6="","",IF(BL$3="Maior",IFERROR(IF(VLOOKUP($N120,Capa!$A:$AE,BL$5,0)="",0,VLOOKUP($N120,Capa!$A:$AE,BL$5,0)),0),IF(ISERROR(1/VLOOKUP($N120,Capa!$A:$AE,BL$5,0)),0,1/VLOOKUP($N120,Capa!$A:$AE,BL$5,0))))</f>
        <v/>
      </c>
      <c r="BM120" s="118" t="str">
        <f>IF(BM$6="","",IF(BM$3="Maior",IFERROR(IF(VLOOKUP($N120,Capa!$A:$AE,BM$5,0)="",0,VLOOKUP($N120,Capa!$A:$AE,BM$5,0)),0),IF(ISERROR(1/VLOOKUP($N120,Capa!$A:$AE,BM$5,0)),0,1/VLOOKUP($N120,Capa!$A:$AE,BM$5,0))))</f>
        <v/>
      </c>
      <c r="BN120" s="118" t="str">
        <f>IF(BN$6="","",IF(BN$3="Maior",IFERROR(IF(VLOOKUP($N120,Capa!$A:$AE,BN$5,0)="",0,VLOOKUP($N120,Capa!$A:$AE,BN$5,0)),0),IF(ISERROR(1/VLOOKUP($N120,Capa!$A:$AE,BN$5,0)),0,1/VLOOKUP($N120,Capa!$A:$AE,BN$5,0))))</f>
        <v/>
      </c>
      <c r="BO120" s="92"/>
    </row>
    <row r="121">
      <c r="G121" s="11"/>
      <c r="H121" s="8">
        <v>115.0</v>
      </c>
      <c r="I121" s="110" t="str">
        <f t="shared" si="6"/>
        <v>GMAT3</v>
      </c>
      <c r="J121" s="111" t="str">
        <f>VLOOKUP(left(I121,4),Setor!A:D,3,0)&amp;" | "&amp;VLOOKUP(left(I121,4),Setor!A:D,4,0)</f>
        <v>Consumo não Cíclico | Comércio e Distribuição</v>
      </c>
      <c r="K121" s="112">
        <f t="shared" si="7"/>
        <v>42105743.46</v>
      </c>
      <c r="L121" s="11"/>
      <c r="M121" s="11"/>
      <c r="N121" s="10" t="s">
        <v>167</v>
      </c>
      <c r="O121" s="113">
        <f t="shared" si="8"/>
        <v>602.0277</v>
      </c>
      <c r="P121" s="114">
        <f>VLOOKUP(N121,'Dados StatusInvest'!A:Z,26,0)</f>
        <v>29848059.38</v>
      </c>
      <c r="Q121" s="115">
        <f t="shared" si="9"/>
        <v>277.0277</v>
      </c>
      <c r="R121" s="116">
        <f t="shared" ref="R121:AO121" si="124">IF(AQ121="","", RANK(AQ121,AQ$7:AQ$503,0))</f>
        <v>106</v>
      </c>
      <c r="S121" s="115">
        <f t="shared" si="124"/>
        <v>219</v>
      </c>
      <c r="T121" s="115" t="str">
        <f t="shared" si="124"/>
        <v/>
      </c>
      <c r="U121" s="115" t="str">
        <f t="shared" si="124"/>
        <v/>
      </c>
      <c r="V121" s="115" t="str">
        <f t="shared" si="124"/>
        <v/>
      </c>
      <c r="W121" s="115" t="str">
        <f t="shared" si="124"/>
        <v/>
      </c>
      <c r="X121" s="115" t="str">
        <f t="shared" si="124"/>
        <v/>
      </c>
      <c r="Y121" s="115" t="str">
        <f t="shared" si="124"/>
        <v/>
      </c>
      <c r="Z121" s="115" t="str">
        <f t="shared" si="124"/>
        <v/>
      </c>
      <c r="AA121" s="115" t="str">
        <f t="shared" si="124"/>
        <v/>
      </c>
      <c r="AB121" s="115" t="str">
        <f t="shared" si="124"/>
        <v/>
      </c>
      <c r="AC121" s="115" t="str">
        <f t="shared" si="124"/>
        <v/>
      </c>
      <c r="AD121" s="115" t="str">
        <f t="shared" si="124"/>
        <v/>
      </c>
      <c r="AE121" s="115" t="str">
        <f t="shared" si="124"/>
        <v/>
      </c>
      <c r="AF121" s="115" t="str">
        <f t="shared" si="124"/>
        <v/>
      </c>
      <c r="AG121" s="115" t="str">
        <f t="shared" si="124"/>
        <v/>
      </c>
      <c r="AH121" s="115" t="str">
        <f t="shared" si="124"/>
        <v/>
      </c>
      <c r="AI121" s="115" t="str">
        <f t="shared" si="124"/>
        <v/>
      </c>
      <c r="AJ121" s="115" t="str">
        <f t="shared" si="124"/>
        <v/>
      </c>
      <c r="AK121" s="115" t="str">
        <f t="shared" si="124"/>
        <v/>
      </c>
      <c r="AL121" s="115" t="str">
        <f t="shared" si="124"/>
        <v/>
      </c>
      <c r="AM121" s="115" t="str">
        <f t="shared" si="124"/>
        <v/>
      </c>
      <c r="AN121" s="115" t="str">
        <f t="shared" si="124"/>
        <v/>
      </c>
      <c r="AO121" s="115" t="str">
        <f t="shared" si="124"/>
        <v/>
      </c>
      <c r="AP121" s="117">
        <f>IF(AP$6="","",IF(AP$3="Maior",IFERROR(IF(VLOOKUP($N121,Capa!$A:$AE,AP$5,0)="",0,VLOOKUP($N121,Capa!$A:$AE,AP$5,0)),0),IF(ISERROR(1/VLOOKUP($N121,Capa!$A:$AE,AP$5,0)),0,1/VLOOKUP($N121,Capa!$A:$AE,AP$5,0))))</f>
        <v>0.06697923644</v>
      </c>
      <c r="AQ121" s="118">
        <f>IF(AQ$6="","",IF(AQ$3="Maior",IFERROR(IF(VLOOKUP($N121,Capa!$A:$AE,AQ$5,0)="",0,VLOOKUP($N121,Capa!$A:$AE,AQ$5,0)),0),IF(ISERROR(1/VLOOKUP($N121,Capa!$A:$AE,AQ$5,0)),0,1/VLOOKUP($N121,Capa!$A:$AE,AQ$5,0))))</f>
        <v>17.27</v>
      </c>
      <c r="AR121" s="118">
        <f>IF(AR$6="","",IF(AR$3="Maior",IFERROR(IF(VLOOKUP($N121,Capa!$A:$AE,AR$5,0)="",0,VLOOKUP($N121,Capa!$A:$AE,AR$5,0)),0),IF(ISERROR(1/VLOOKUP($N121,Capa!$A:$AE,AR$5,0)),0,1/VLOOKUP($N121,Capa!$A:$AE,AR$5,0))))</f>
        <v>0</v>
      </c>
      <c r="AS121" s="118" t="str">
        <f>IF(AS$6="","",IF(AS$3="Maior",IFERROR(IF(VLOOKUP($N121,Capa!$A:$AE,AS$5,0)="",0,VLOOKUP($N121,Capa!$A:$AE,AS$5,0)),0),IF(ISERROR(1/VLOOKUP($N121,Capa!$A:$AE,AS$5,0)),0,1/VLOOKUP($N121,Capa!$A:$AE,AS$5,0))))</f>
        <v/>
      </c>
      <c r="AT121" s="118" t="str">
        <f>IF(AT$6="","",IF(AT$3="Maior",IFERROR(IF(VLOOKUP($N121,Capa!$A:$AE,AT$5,0)="",0,VLOOKUP($N121,Capa!$A:$AE,AT$5,0)),0),IF(ISERROR(1/VLOOKUP($N121,Capa!$A:$AE,AT$5,0)),0,1/VLOOKUP($N121,Capa!$A:$AE,AT$5,0))))</f>
        <v/>
      </c>
      <c r="AU121" s="118" t="str">
        <f>IF(AU$6="","",IF(AU$3="Maior",IFERROR(IF(VLOOKUP($N121,Capa!$A:$AE,AU$5,0)="",0,VLOOKUP($N121,Capa!$A:$AE,AU$5,0)),0),IF(ISERROR(1/VLOOKUP($N121,Capa!$A:$AE,AU$5,0)),0,1/VLOOKUP($N121,Capa!$A:$AE,AU$5,0))))</f>
        <v/>
      </c>
      <c r="AV121" s="118" t="str">
        <f>IF(AV$6="","",IF(AV$3="Maior",IFERROR(IF(VLOOKUP($N121,Capa!$A:$AE,AV$5,0)="",0,VLOOKUP($N121,Capa!$A:$AE,AV$5,0)),0),IF(ISERROR(1/VLOOKUP($N121,Capa!$A:$AE,AV$5,0)),0,1/VLOOKUP($N121,Capa!$A:$AE,AV$5,0))))</f>
        <v/>
      </c>
      <c r="AW121" s="118" t="str">
        <f>IF(AW$6="","",IF(AW$3="Maior",IFERROR(IF(VLOOKUP($N121,Capa!$A:$AE,AW$5,0)="",0,VLOOKUP($N121,Capa!$A:$AE,AW$5,0)),0),IF(ISERROR(1/VLOOKUP($N121,Capa!$A:$AE,AW$5,0)),0,1/VLOOKUP($N121,Capa!$A:$AE,AW$5,0))))</f>
        <v/>
      </c>
      <c r="AX121" s="118" t="str">
        <f>IF(AX$6="","",IF(AX$3="Maior",IFERROR(IF(VLOOKUP($N121,Capa!$A:$AE,AX$5,0)="",0,VLOOKUP($N121,Capa!$A:$AE,AX$5,0)),0),IF(ISERROR(1/VLOOKUP($N121,Capa!$A:$AE,AX$5,0)),0,1/VLOOKUP($N121,Capa!$A:$AE,AX$5,0))))</f>
        <v/>
      </c>
      <c r="AY121" s="118" t="str">
        <f>IF(AY$6="","",IF(AY$3="Maior",IFERROR(IF(VLOOKUP($N121,Capa!$A:$AE,AY$5,0)="",0,VLOOKUP($N121,Capa!$A:$AE,AY$5,0)),0),IF(ISERROR(1/VLOOKUP($N121,Capa!$A:$AE,AY$5,0)),0,1/VLOOKUP($N121,Capa!$A:$AE,AY$5,0))))</f>
        <v/>
      </c>
      <c r="AZ121" s="118" t="str">
        <f>IF(AZ$6="","",IF(AZ$3="Maior",IFERROR(IF(VLOOKUP($N121,Capa!$A:$AE,AZ$5,0)="",0,VLOOKUP($N121,Capa!$A:$AE,AZ$5,0)),0),IF(ISERROR(1/VLOOKUP($N121,Capa!$A:$AE,AZ$5,0)),0,1/VLOOKUP($N121,Capa!$A:$AE,AZ$5,0))))</f>
        <v/>
      </c>
      <c r="BA121" s="118" t="str">
        <f>IF(BA$6="","",IF(BA$3="Maior",IFERROR(IF(VLOOKUP($N121,Capa!$A:$AE,BA$5,0)="",0,VLOOKUP($N121,Capa!$A:$AE,BA$5,0)),0),IF(ISERROR(1/VLOOKUP($N121,Capa!$A:$AE,BA$5,0)),0,1/VLOOKUP($N121,Capa!$A:$AE,BA$5,0))))</f>
        <v/>
      </c>
      <c r="BB121" s="118" t="str">
        <f>IF(BB$6="","",IF(BB$3="Maior",IFERROR(IF(VLOOKUP($N121,Capa!$A:$AE,BB$5,0)="",0,VLOOKUP($N121,Capa!$A:$AE,BB$5,0)),0),IF(ISERROR(1/VLOOKUP($N121,Capa!$A:$AE,BB$5,0)),0,1/VLOOKUP($N121,Capa!$A:$AE,BB$5,0))))</f>
        <v/>
      </c>
      <c r="BC121" s="118" t="str">
        <f>IF(BC$6="","",IF(BC$3="Maior",IFERROR(IF(VLOOKUP($N121,Capa!$A:$AE,BC$5,0)="",0,VLOOKUP($N121,Capa!$A:$AE,BC$5,0)),0),IF(ISERROR(1/VLOOKUP($N121,Capa!$A:$AE,BC$5,0)),0,1/VLOOKUP($N121,Capa!$A:$AE,BC$5,0))))</f>
        <v/>
      </c>
      <c r="BD121" s="118" t="str">
        <f>IF(BD$6="","",IF(BD$3="Maior",IFERROR(IF(VLOOKUP($N121,Capa!$A:$AE,BD$5,0)="",0,VLOOKUP($N121,Capa!$A:$AE,BD$5,0)),0),IF(ISERROR(1/VLOOKUP($N121,Capa!$A:$AE,BD$5,0)),0,1/VLOOKUP($N121,Capa!$A:$AE,BD$5,0))))</f>
        <v/>
      </c>
      <c r="BE121" s="118" t="str">
        <f>IF(BE$6="","",IF(BE$3="Maior",IFERROR(IF(VLOOKUP($N121,Capa!$A:$AE,BE$5,0)="",0,VLOOKUP($N121,Capa!$A:$AE,BE$5,0)),0),IF(ISERROR(1/VLOOKUP($N121,Capa!$A:$AE,BE$5,0)),0,1/VLOOKUP($N121,Capa!$A:$AE,BE$5,0))))</f>
        <v/>
      </c>
      <c r="BF121" s="118" t="str">
        <f>IF(BF$6="","",IF(BF$3="Maior",IFERROR(IF(VLOOKUP($N121,Capa!$A:$AE,BF$5,0)="",0,VLOOKUP($N121,Capa!$A:$AE,BF$5,0)),0),IF(ISERROR(1/VLOOKUP($N121,Capa!$A:$AE,BF$5,0)),0,1/VLOOKUP($N121,Capa!$A:$AE,BF$5,0))))</f>
        <v/>
      </c>
      <c r="BG121" s="118" t="str">
        <f>IF(BG$6="","",IF(BG$3="Maior",IFERROR(IF(VLOOKUP($N121,Capa!$A:$AE,BG$5,0)="",0,VLOOKUP($N121,Capa!$A:$AE,BG$5,0)),0),IF(ISERROR(1/VLOOKUP($N121,Capa!$A:$AE,BG$5,0)),0,1/VLOOKUP($N121,Capa!$A:$AE,BG$5,0))))</f>
        <v/>
      </c>
      <c r="BH121" s="118" t="str">
        <f>IF(BH$6="","",IF(BH$3="Maior",IFERROR(IF(VLOOKUP($N121,Capa!$A:$AE,BH$5,0)="",0,VLOOKUP($N121,Capa!$A:$AE,BH$5,0)),0),IF(ISERROR(1/VLOOKUP($N121,Capa!$A:$AE,BH$5,0)),0,1/VLOOKUP($N121,Capa!$A:$AE,BH$5,0))))</f>
        <v/>
      </c>
      <c r="BI121" s="118" t="str">
        <f>IF(BI$6="","",IF(BI$3="Maior",IFERROR(IF(VLOOKUP($N121,Capa!$A:$AE,BI$5,0)="",0,VLOOKUP($N121,Capa!$A:$AE,BI$5,0)),0),IF(ISERROR(1/VLOOKUP($N121,Capa!$A:$AE,BI$5,0)),0,1/VLOOKUP($N121,Capa!$A:$AE,BI$5,0))))</f>
        <v/>
      </c>
      <c r="BJ121" s="118" t="str">
        <f>IF(BJ$6="","",IF(BJ$3="Maior",IFERROR(IF(VLOOKUP($N121,Capa!$A:$AE,BJ$5,0)="",0,VLOOKUP($N121,Capa!$A:$AE,BJ$5,0)),0),IF(ISERROR(1/VLOOKUP($N121,Capa!$A:$AE,BJ$5,0)),0,1/VLOOKUP($N121,Capa!$A:$AE,BJ$5,0))))</f>
        <v/>
      </c>
      <c r="BK121" s="118" t="str">
        <f>IF(BK$6="","",IF(BK$3="Maior",IFERROR(IF(VLOOKUP($N121,Capa!$A:$AE,BK$5,0)="",0,VLOOKUP($N121,Capa!$A:$AE,BK$5,0)),0),IF(ISERROR(1/VLOOKUP($N121,Capa!$A:$AE,BK$5,0)),0,1/VLOOKUP($N121,Capa!$A:$AE,BK$5,0))))</f>
        <v/>
      </c>
      <c r="BL121" s="118" t="str">
        <f>IF(BL$6="","",IF(BL$3="Maior",IFERROR(IF(VLOOKUP($N121,Capa!$A:$AE,BL$5,0)="",0,VLOOKUP($N121,Capa!$A:$AE,BL$5,0)),0),IF(ISERROR(1/VLOOKUP($N121,Capa!$A:$AE,BL$5,0)),0,1/VLOOKUP($N121,Capa!$A:$AE,BL$5,0))))</f>
        <v/>
      </c>
      <c r="BM121" s="118" t="str">
        <f>IF(BM$6="","",IF(BM$3="Maior",IFERROR(IF(VLOOKUP($N121,Capa!$A:$AE,BM$5,0)="",0,VLOOKUP($N121,Capa!$A:$AE,BM$5,0)),0),IF(ISERROR(1/VLOOKUP($N121,Capa!$A:$AE,BM$5,0)),0,1/VLOOKUP($N121,Capa!$A:$AE,BM$5,0))))</f>
        <v/>
      </c>
      <c r="BN121" s="118" t="str">
        <f>IF(BN$6="","",IF(BN$3="Maior",IFERROR(IF(VLOOKUP($N121,Capa!$A:$AE,BN$5,0)="",0,VLOOKUP($N121,Capa!$A:$AE,BN$5,0)),0),IF(ISERROR(1/VLOOKUP($N121,Capa!$A:$AE,BN$5,0)),0,1/VLOOKUP($N121,Capa!$A:$AE,BN$5,0))))</f>
        <v/>
      </c>
      <c r="BO121" s="92"/>
    </row>
    <row r="122">
      <c r="G122" s="11"/>
      <c r="H122" s="8">
        <v>116.0</v>
      </c>
      <c r="I122" s="110" t="str">
        <f t="shared" si="6"/>
        <v>LAME3</v>
      </c>
      <c r="J122" s="111" t="str">
        <f>VLOOKUP(left(I122,4),Setor!A:D,3,0)&amp;" | "&amp;VLOOKUP(left(I122,4),Setor!A:D,4,0)</f>
        <v>Consumo Cíclico | Comércio</v>
      </c>
      <c r="K122" s="112">
        <f t="shared" si="7"/>
        <v>26491165.04</v>
      </c>
      <c r="L122" s="11"/>
      <c r="M122" s="11"/>
      <c r="N122" s="10" t="s">
        <v>168</v>
      </c>
      <c r="O122" s="113">
        <f t="shared" si="8"/>
        <v>442.0217</v>
      </c>
      <c r="P122" s="114">
        <f>VLOOKUP(N122,'Dados StatusInvest'!A:Z,26,0)</f>
        <v>44062580.08</v>
      </c>
      <c r="Q122" s="115">
        <f t="shared" si="9"/>
        <v>217.0217</v>
      </c>
      <c r="R122" s="116">
        <f t="shared" ref="R122:AO122" si="125">IF(AQ122="","", RANK(AQ122,AQ$7:AQ$503,0))</f>
        <v>155</v>
      </c>
      <c r="S122" s="115">
        <f t="shared" si="125"/>
        <v>70</v>
      </c>
      <c r="T122" s="115" t="str">
        <f t="shared" si="125"/>
        <v/>
      </c>
      <c r="U122" s="115" t="str">
        <f t="shared" si="125"/>
        <v/>
      </c>
      <c r="V122" s="115" t="str">
        <f t="shared" si="125"/>
        <v/>
      </c>
      <c r="W122" s="115" t="str">
        <f t="shared" si="125"/>
        <v/>
      </c>
      <c r="X122" s="115" t="str">
        <f t="shared" si="125"/>
        <v/>
      </c>
      <c r="Y122" s="115" t="str">
        <f t="shared" si="125"/>
        <v/>
      </c>
      <c r="Z122" s="115" t="str">
        <f t="shared" si="125"/>
        <v/>
      </c>
      <c r="AA122" s="115" t="str">
        <f t="shared" si="125"/>
        <v/>
      </c>
      <c r="AB122" s="115" t="str">
        <f t="shared" si="125"/>
        <v/>
      </c>
      <c r="AC122" s="115" t="str">
        <f t="shared" si="125"/>
        <v/>
      </c>
      <c r="AD122" s="115" t="str">
        <f t="shared" si="125"/>
        <v/>
      </c>
      <c r="AE122" s="115" t="str">
        <f t="shared" si="125"/>
        <v/>
      </c>
      <c r="AF122" s="115" t="str">
        <f t="shared" si="125"/>
        <v/>
      </c>
      <c r="AG122" s="115" t="str">
        <f t="shared" si="125"/>
        <v/>
      </c>
      <c r="AH122" s="115" t="str">
        <f t="shared" si="125"/>
        <v/>
      </c>
      <c r="AI122" s="115" t="str">
        <f t="shared" si="125"/>
        <v/>
      </c>
      <c r="AJ122" s="115" t="str">
        <f t="shared" si="125"/>
        <v/>
      </c>
      <c r="AK122" s="115" t="str">
        <f t="shared" si="125"/>
        <v/>
      </c>
      <c r="AL122" s="115" t="str">
        <f t="shared" si="125"/>
        <v/>
      </c>
      <c r="AM122" s="115" t="str">
        <f t="shared" si="125"/>
        <v/>
      </c>
      <c r="AN122" s="115" t="str">
        <f t="shared" si="125"/>
        <v/>
      </c>
      <c r="AO122" s="115" t="str">
        <f t="shared" si="125"/>
        <v/>
      </c>
      <c r="AP122" s="117">
        <f>IF(AP$6="","",IF(AP$3="Maior",IFERROR(IF(VLOOKUP($N122,Capa!$A:$AE,AP$5,0)="",0,VLOOKUP($N122,Capa!$A:$AE,AP$5,0)),0),IF(ISERROR(1/VLOOKUP($N122,Capa!$A:$AE,AP$5,0)),0,1/VLOOKUP($N122,Capa!$A:$AE,AP$5,0))))</f>
        <v>0.09729793542</v>
      </c>
      <c r="AQ122" s="118">
        <f>IF(AQ$6="","",IF(AQ$3="Maior",IFERROR(IF(VLOOKUP($N122,Capa!$A:$AE,AQ$5,0)="",0,VLOOKUP($N122,Capa!$A:$AE,AQ$5,0)),0),IF(ISERROR(1/VLOOKUP($N122,Capa!$A:$AE,AQ$5,0)),0,1/VLOOKUP($N122,Capa!$A:$AE,AQ$5,0))))</f>
        <v>14.07</v>
      </c>
      <c r="AR122" s="118">
        <f>IF(AR$6="","",IF(AR$3="Maior",IFERROR(IF(VLOOKUP($N122,Capa!$A:$AE,AR$5,0)="",0,VLOOKUP($N122,Capa!$A:$AE,AR$5,0)),0),IF(ISERROR(1/VLOOKUP($N122,Capa!$A:$AE,AR$5,0)),0,1/VLOOKUP($N122,Capa!$A:$AE,AR$5,0))))</f>
        <v>37.08</v>
      </c>
      <c r="AS122" s="118" t="str">
        <f>IF(AS$6="","",IF(AS$3="Maior",IFERROR(IF(VLOOKUP($N122,Capa!$A:$AE,AS$5,0)="",0,VLOOKUP($N122,Capa!$A:$AE,AS$5,0)),0),IF(ISERROR(1/VLOOKUP($N122,Capa!$A:$AE,AS$5,0)),0,1/VLOOKUP($N122,Capa!$A:$AE,AS$5,0))))</f>
        <v/>
      </c>
      <c r="AT122" s="118" t="str">
        <f>IF(AT$6="","",IF(AT$3="Maior",IFERROR(IF(VLOOKUP($N122,Capa!$A:$AE,AT$5,0)="",0,VLOOKUP($N122,Capa!$A:$AE,AT$5,0)),0),IF(ISERROR(1/VLOOKUP($N122,Capa!$A:$AE,AT$5,0)),0,1/VLOOKUP($N122,Capa!$A:$AE,AT$5,0))))</f>
        <v/>
      </c>
      <c r="AU122" s="118" t="str">
        <f>IF(AU$6="","",IF(AU$3="Maior",IFERROR(IF(VLOOKUP($N122,Capa!$A:$AE,AU$5,0)="",0,VLOOKUP($N122,Capa!$A:$AE,AU$5,0)),0),IF(ISERROR(1/VLOOKUP($N122,Capa!$A:$AE,AU$5,0)),0,1/VLOOKUP($N122,Capa!$A:$AE,AU$5,0))))</f>
        <v/>
      </c>
      <c r="AV122" s="118" t="str">
        <f>IF(AV$6="","",IF(AV$3="Maior",IFERROR(IF(VLOOKUP($N122,Capa!$A:$AE,AV$5,0)="",0,VLOOKUP($N122,Capa!$A:$AE,AV$5,0)),0),IF(ISERROR(1/VLOOKUP($N122,Capa!$A:$AE,AV$5,0)),0,1/VLOOKUP($N122,Capa!$A:$AE,AV$5,0))))</f>
        <v/>
      </c>
      <c r="AW122" s="118" t="str">
        <f>IF(AW$6="","",IF(AW$3="Maior",IFERROR(IF(VLOOKUP($N122,Capa!$A:$AE,AW$5,0)="",0,VLOOKUP($N122,Capa!$A:$AE,AW$5,0)),0),IF(ISERROR(1/VLOOKUP($N122,Capa!$A:$AE,AW$5,0)),0,1/VLOOKUP($N122,Capa!$A:$AE,AW$5,0))))</f>
        <v/>
      </c>
      <c r="AX122" s="118" t="str">
        <f>IF(AX$6="","",IF(AX$3="Maior",IFERROR(IF(VLOOKUP($N122,Capa!$A:$AE,AX$5,0)="",0,VLOOKUP($N122,Capa!$A:$AE,AX$5,0)),0),IF(ISERROR(1/VLOOKUP($N122,Capa!$A:$AE,AX$5,0)),0,1/VLOOKUP($N122,Capa!$A:$AE,AX$5,0))))</f>
        <v/>
      </c>
      <c r="AY122" s="118" t="str">
        <f>IF(AY$6="","",IF(AY$3="Maior",IFERROR(IF(VLOOKUP($N122,Capa!$A:$AE,AY$5,0)="",0,VLOOKUP($N122,Capa!$A:$AE,AY$5,0)),0),IF(ISERROR(1/VLOOKUP($N122,Capa!$A:$AE,AY$5,0)),0,1/VLOOKUP($N122,Capa!$A:$AE,AY$5,0))))</f>
        <v/>
      </c>
      <c r="AZ122" s="118" t="str">
        <f>IF(AZ$6="","",IF(AZ$3="Maior",IFERROR(IF(VLOOKUP($N122,Capa!$A:$AE,AZ$5,0)="",0,VLOOKUP($N122,Capa!$A:$AE,AZ$5,0)),0),IF(ISERROR(1/VLOOKUP($N122,Capa!$A:$AE,AZ$5,0)),0,1/VLOOKUP($N122,Capa!$A:$AE,AZ$5,0))))</f>
        <v/>
      </c>
      <c r="BA122" s="118" t="str">
        <f>IF(BA$6="","",IF(BA$3="Maior",IFERROR(IF(VLOOKUP($N122,Capa!$A:$AE,BA$5,0)="",0,VLOOKUP($N122,Capa!$A:$AE,BA$5,0)),0),IF(ISERROR(1/VLOOKUP($N122,Capa!$A:$AE,BA$5,0)),0,1/VLOOKUP($N122,Capa!$A:$AE,BA$5,0))))</f>
        <v/>
      </c>
      <c r="BB122" s="118" t="str">
        <f>IF(BB$6="","",IF(BB$3="Maior",IFERROR(IF(VLOOKUP($N122,Capa!$A:$AE,BB$5,0)="",0,VLOOKUP($N122,Capa!$A:$AE,BB$5,0)),0),IF(ISERROR(1/VLOOKUP($N122,Capa!$A:$AE,BB$5,0)),0,1/VLOOKUP($N122,Capa!$A:$AE,BB$5,0))))</f>
        <v/>
      </c>
      <c r="BC122" s="118" t="str">
        <f>IF(BC$6="","",IF(BC$3="Maior",IFERROR(IF(VLOOKUP($N122,Capa!$A:$AE,BC$5,0)="",0,VLOOKUP($N122,Capa!$A:$AE,BC$5,0)),0),IF(ISERROR(1/VLOOKUP($N122,Capa!$A:$AE,BC$5,0)),0,1/VLOOKUP($N122,Capa!$A:$AE,BC$5,0))))</f>
        <v/>
      </c>
      <c r="BD122" s="118" t="str">
        <f>IF(BD$6="","",IF(BD$3="Maior",IFERROR(IF(VLOOKUP($N122,Capa!$A:$AE,BD$5,0)="",0,VLOOKUP($N122,Capa!$A:$AE,BD$5,0)),0),IF(ISERROR(1/VLOOKUP($N122,Capa!$A:$AE,BD$5,0)),0,1/VLOOKUP($N122,Capa!$A:$AE,BD$5,0))))</f>
        <v/>
      </c>
      <c r="BE122" s="118" t="str">
        <f>IF(BE$6="","",IF(BE$3="Maior",IFERROR(IF(VLOOKUP($N122,Capa!$A:$AE,BE$5,0)="",0,VLOOKUP($N122,Capa!$A:$AE,BE$5,0)),0),IF(ISERROR(1/VLOOKUP($N122,Capa!$A:$AE,BE$5,0)),0,1/VLOOKUP($N122,Capa!$A:$AE,BE$5,0))))</f>
        <v/>
      </c>
      <c r="BF122" s="118" t="str">
        <f>IF(BF$6="","",IF(BF$3="Maior",IFERROR(IF(VLOOKUP($N122,Capa!$A:$AE,BF$5,0)="",0,VLOOKUP($N122,Capa!$A:$AE,BF$5,0)),0),IF(ISERROR(1/VLOOKUP($N122,Capa!$A:$AE,BF$5,0)),0,1/VLOOKUP($N122,Capa!$A:$AE,BF$5,0))))</f>
        <v/>
      </c>
      <c r="BG122" s="118" t="str">
        <f>IF(BG$6="","",IF(BG$3="Maior",IFERROR(IF(VLOOKUP($N122,Capa!$A:$AE,BG$5,0)="",0,VLOOKUP($N122,Capa!$A:$AE,BG$5,0)),0),IF(ISERROR(1/VLOOKUP($N122,Capa!$A:$AE,BG$5,0)),0,1/VLOOKUP($N122,Capa!$A:$AE,BG$5,0))))</f>
        <v/>
      </c>
      <c r="BH122" s="118" t="str">
        <f>IF(BH$6="","",IF(BH$3="Maior",IFERROR(IF(VLOOKUP($N122,Capa!$A:$AE,BH$5,0)="",0,VLOOKUP($N122,Capa!$A:$AE,BH$5,0)),0),IF(ISERROR(1/VLOOKUP($N122,Capa!$A:$AE,BH$5,0)),0,1/VLOOKUP($N122,Capa!$A:$AE,BH$5,0))))</f>
        <v/>
      </c>
      <c r="BI122" s="118" t="str">
        <f>IF(BI$6="","",IF(BI$3="Maior",IFERROR(IF(VLOOKUP($N122,Capa!$A:$AE,BI$5,0)="",0,VLOOKUP($N122,Capa!$A:$AE,BI$5,0)),0),IF(ISERROR(1/VLOOKUP($N122,Capa!$A:$AE,BI$5,0)),0,1/VLOOKUP($N122,Capa!$A:$AE,BI$5,0))))</f>
        <v/>
      </c>
      <c r="BJ122" s="118" t="str">
        <f>IF(BJ$6="","",IF(BJ$3="Maior",IFERROR(IF(VLOOKUP($N122,Capa!$A:$AE,BJ$5,0)="",0,VLOOKUP($N122,Capa!$A:$AE,BJ$5,0)),0),IF(ISERROR(1/VLOOKUP($N122,Capa!$A:$AE,BJ$5,0)),0,1/VLOOKUP($N122,Capa!$A:$AE,BJ$5,0))))</f>
        <v/>
      </c>
      <c r="BK122" s="118" t="str">
        <f>IF(BK$6="","",IF(BK$3="Maior",IFERROR(IF(VLOOKUP($N122,Capa!$A:$AE,BK$5,0)="",0,VLOOKUP($N122,Capa!$A:$AE,BK$5,0)),0),IF(ISERROR(1/VLOOKUP($N122,Capa!$A:$AE,BK$5,0)),0,1/VLOOKUP($N122,Capa!$A:$AE,BK$5,0))))</f>
        <v/>
      </c>
      <c r="BL122" s="118" t="str">
        <f>IF(BL$6="","",IF(BL$3="Maior",IFERROR(IF(VLOOKUP($N122,Capa!$A:$AE,BL$5,0)="",0,VLOOKUP($N122,Capa!$A:$AE,BL$5,0)),0),IF(ISERROR(1/VLOOKUP($N122,Capa!$A:$AE,BL$5,0)),0,1/VLOOKUP($N122,Capa!$A:$AE,BL$5,0))))</f>
        <v/>
      </c>
      <c r="BM122" s="118" t="str">
        <f>IF(BM$6="","",IF(BM$3="Maior",IFERROR(IF(VLOOKUP($N122,Capa!$A:$AE,BM$5,0)="",0,VLOOKUP($N122,Capa!$A:$AE,BM$5,0)),0),IF(ISERROR(1/VLOOKUP($N122,Capa!$A:$AE,BM$5,0)),0,1/VLOOKUP($N122,Capa!$A:$AE,BM$5,0))))</f>
        <v/>
      </c>
      <c r="BN122" s="118" t="str">
        <f>IF(BN$6="","",IF(BN$3="Maior",IFERROR(IF(VLOOKUP($N122,Capa!$A:$AE,BN$5,0)="",0,VLOOKUP($N122,Capa!$A:$AE,BN$5,0)),0),IF(ISERROR(1/VLOOKUP($N122,Capa!$A:$AE,BN$5,0)),0,1/VLOOKUP($N122,Capa!$A:$AE,BN$5,0))))</f>
        <v/>
      </c>
      <c r="BO122" s="92"/>
    </row>
    <row r="123">
      <c r="G123" s="11"/>
      <c r="H123" s="8">
        <v>117.0</v>
      </c>
      <c r="I123" s="110" t="str">
        <f t="shared" si="6"/>
        <v>LAME4</v>
      </c>
      <c r="J123" s="111" t="str">
        <f>VLOOKUP(left(I123,4),Setor!A:D,3,0)&amp;" | "&amp;VLOOKUP(left(I123,4),Setor!A:D,4,0)</f>
        <v>Consumo Cíclico | Comércio</v>
      </c>
      <c r="K123" s="112">
        <f t="shared" si="7"/>
        <v>142745791.9</v>
      </c>
      <c r="L123" s="11"/>
      <c r="M123" s="11"/>
      <c r="N123" s="10" t="s">
        <v>169</v>
      </c>
      <c r="O123" s="113">
        <f t="shared" si="8"/>
        <v>1097.0431</v>
      </c>
      <c r="P123" s="114">
        <f>VLOOKUP(N123,'Dados StatusInvest'!A:Z,26,0)</f>
        <v>30045136.71</v>
      </c>
      <c r="Q123" s="115">
        <f t="shared" si="9"/>
        <v>431.0431</v>
      </c>
      <c r="R123" s="116">
        <f t="shared" ref="R123:AO123" si="126">IF(AQ123="","", RANK(AQ123,AQ$7:AQ$503,0))</f>
        <v>447</v>
      </c>
      <c r="S123" s="115">
        <f t="shared" si="126"/>
        <v>219</v>
      </c>
      <c r="T123" s="115" t="str">
        <f t="shared" si="126"/>
        <v/>
      </c>
      <c r="U123" s="115" t="str">
        <f t="shared" si="126"/>
        <v/>
      </c>
      <c r="V123" s="115" t="str">
        <f t="shared" si="126"/>
        <v/>
      </c>
      <c r="W123" s="115" t="str">
        <f t="shared" si="126"/>
        <v/>
      </c>
      <c r="X123" s="115" t="str">
        <f t="shared" si="126"/>
        <v/>
      </c>
      <c r="Y123" s="115" t="str">
        <f t="shared" si="126"/>
        <v/>
      </c>
      <c r="Z123" s="115" t="str">
        <f t="shared" si="126"/>
        <v/>
      </c>
      <c r="AA123" s="115" t="str">
        <f t="shared" si="126"/>
        <v/>
      </c>
      <c r="AB123" s="115" t="str">
        <f t="shared" si="126"/>
        <v/>
      </c>
      <c r="AC123" s="115" t="str">
        <f t="shared" si="126"/>
        <v/>
      </c>
      <c r="AD123" s="115" t="str">
        <f t="shared" si="126"/>
        <v/>
      </c>
      <c r="AE123" s="115" t="str">
        <f t="shared" si="126"/>
        <v/>
      </c>
      <c r="AF123" s="115" t="str">
        <f t="shared" si="126"/>
        <v/>
      </c>
      <c r="AG123" s="115" t="str">
        <f t="shared" si="126"/>
        <v/>
      </c>
      <c r="AH123" s="115" t="str">
        <f t="shared" si="126"/>
        <v/>
      </c>
      <c r="AI123" s="115" t="str">
        <f t="shared" si="126"/>
        <v/>
      </c>
      <c r="AJ123" s="115" t="str">
        <f t="shared" si="126"/>
        <v/>
      </c>
      <c r="AK123" s="115" t="str">
        <f t="shared" si="126"/>
        <v/>
      </c>
      <c r="AL123" s="115" t="str">
        <f t="shared" si="126"/>
        <v/>
      </c>
      <c r="AM123" s="115" t="str">
        <f t="shared" si="126"/>
        <v/>
      </c>
      <c r="AN123" s="115" t="str">
        <f t="shared" si="126"/>
        <v/>
      </c>
      <c r="AO123" s="115" t="str">
        <f t="shared" si="126"/>
        <v/>
      </c>
      <c r="AP123" s="117">
        <f>IF(AP$6="","",IF(AP$3="Maior",IFERROR(IF(VLOOKUP($N123,Capa!$A:$AE,AP$5,0)="",0,VLOOKUP($N123,Capa!$A:$AE,AP$5,0)),0),IF(ISERROR(1/VLOOKUP($N123,Capa!$A:$AE,AP$5,0)),0,1/VLOOKUP($N123,Capa!$A:$AE,AP$5,0))))</f>
        <v>-0.04703200241</v>
      </c>
      <c r="AQ123" s="118">
        <f>IF(AQ$6="","",IF(AQ$3="Maior",IFERROR(IF(VLOOKUP($N123,Capa!$A:$AE,AQ$5,0)="",0,VLOOKUP($N123,Capa!$A:$AE,AQ$5,0)),0),IF(ISERROR(1/VLOOKUP($N123,Capa!$A:$AE,AQ$5,0)),0,1/VLOOKUP($N123,Capa!$A:$AE,AQ$5,0))))</f>
        <v>-5.39</v>
      </c>
      <c r="AR123" s="118">
        <f>IF(AR$6="","",IF(AR$3="Maior",IFERROR(IF(VLOOKUP($N123,Capa!$A:$AE,AR$5,0)="",0,VLOOKUP($N123,Capa!$A:$AE,AR$5,0)),0),IF(ISERROR(1/VLOOKUP($N123,Capa!$A:$AE,AR$5,0)),0,1/VLOOKUP($N123,Capa!$A:$AE,AR$5,0))))</f>
        <v>0</v>
      </c>
      <c r="AS123" s="118" t="str">
        <f>IF(AS$6="","",IF(AS$3="Maior",IFERROR(IF(VLOOKUP($N123,Capa!$A:$AE,AS$5,0)="",0,VLOOKUP($N123,Capa!$A:$AE,AS$5,0)),0),IF(ISERROR(1/VLOOKUP($N123,Capa!$A:$AE,AS$5,0)),0,1/VLOOKUP($N123,Capa!$A:$AE,AS$5,0))))</f>
        <v/>
      </c>
      <c r="AT123" s="118" t="str">
        <f>IF(AT$6="","",IF(AT$3="Maior",IFERROR(IF(VLOOKUP($N123,Capa!$A:$AE,AT$5,0)="",0,VLOOKUP($N123,Capa!$A:$AE,AT$5,0)),0),IF(ISERROR(1/VLOOKUP($N123,Capa!$A:$AE,AT$5,0)),0,1/VLOOKUP($N123,Capa!$A:$AE,AT$5,0))))</f>
        <v/>
      </c>
      <c r="AU123" s="118" t="str">
        <f>IF(AU$6="","",IF(AU$3="Maior",IFERROR(IF(VLOOKUP($N123,Capa!$A:$AE,AU$5,0)="",0,VLOOKUP($N123,Capa!$A:$AE,AU$5,0)),0),IF(ISERROR(1/VLOOKUP($N123,Capa!$A:$AE,AU$5,0)),0,1/VLOOKUP($N123,Capa!$A:$AE,AU$5,0))))</f>
        <v/>
      </c>
      <c r="AV123" s="118" t="str">
        <f>IF(AV$6="","",IF(AV$3="Maior",IFERROR(IF(VLOOKUP($N123,Capa!$A:$AE,AV$5,0)="",0,VLOOKUP($N123,Capa!$A:$AE,AV$5,0)),0),IF(ISERROR(1/VLOOKUP($N123,Capa!$A:$AE,AV$5,0)),0,1/VLOOKUP($N123,Capa!$A:$AE,AV$5,0))))</f>
        <v/>
      </c>
      <c r="AW123" s="118" t="str">
        <f>IF(AW$6="","",IF(AW$3="Maior",IFERROR(IF(VLOOKUP($N123,Capa!$A:$AE,AW$5,0)="",0,VLOOKUP($N123,Capa!$A:$AE,AW$5,0)),0),IF(ISERROR(1/VLOOKUP($N123,Capa!$A:$AE,AW$5,0)),0,1/VLOOKUP($N123,Capa!$A:$AE,AW$5,0))))</f>
        <v/>
      </c>
      <c r="AX123" s="118" t="str">
        <f>IF(AX$6="","",IF(AX$3="Maior",IFERROR(IF(VLOOKUP($N123,Capa!$A:$AE,AX$5,0)="",0,VLOOKUP($N123,Capa!$A:$AE,AX$5,0)),0),IF(ISERROR(1/VLOOKUP($N123,Capa!$A:$AE,AX$5,0)),0,1/VLOOKUP($N123,Capa!$A:$AE,AX$5,0))))</f>
        <v/>
      </c>
      <c r="AY123" s="118" t="str">
        <f>IF(AY$6="","",IF(AY$3="Maior",IFERROR(IF(VLOOKUP($N123,Capa!$A:$AE,AY$5,0)="",0,VLOOKUP($N123,Capa!$A:$AE,AY$5,0)),0),IF(ISERROR(1/VLOOKUP($N123,Capa!$A:$AE,AY$5,0)),0,1/VLOOKUP($N123,Capa!$A:$AE,AY$5,0))))</f>
        <v/>
      </c>
      <c r="AZ123" s="118" t="str">
        <f>IF(AZ$6="","",IF(AZ$3="Maior",IFERROR(IF(VLOOKUP($N123,Capa!$A:$AE,AZ$5,0)="",0,VLOOKUP($N123,Capa!$A:$AE,AZ$5,0)),0),IF(ISERROR(1/VLOOKUP($N123,Capa!$A:$AE,AZ$5,0)),0,1/VLOOKUP($N123,Capa!$A:$AE,AZ$5,0))))</f>
        <v/>
      </c>
      <c r="BA123" s="118" t="str">
        <f>IF(BA$6="","",IF(BA$3="Maior",IFERROR(IF(VLOOKUP($N123,Capa!$A:$AE,BA$5,0)="",0,VLOOKUP($N123,Capa!$A:$AE,BA$5,0)),0),IF(ISERROR(1/VLOOKUP($N123,Capa!$A:$AE,BA$5,0)),0,1/VLOOKUP($N123,Capa!$A:$AE,BA$5,0))))</f>
        <v/>
      </c>
      <c r="BB123" s="118" t="str">
        <f>IF(BB$6="","",IF(BB$3="Maior",IFERROR(IF(VLOOKUP($N123,Capa!$A:$AE,BB$5,0)="",0,VLOOKUP($N123,Capa!$A:$AE,BB$5,0)),0),IF(ISERROR(1/VLOOKUP($N123,Capa!$A:$AE,BB$5,0)),0,1/VLOOKUP($N123,Capa!$A:$AE,BB$5,0))))</f>
        <v/>
      </c>
      <c r="BC123" s="118" t="str">
        <f>IF(BC$6="","",IF(BC$3="Maior",IFERROR(IF(VLOOKUP($N123,Capa!$A:$AE,BC$5,0)="",0,VLOOKUP($N123,Capa!$A:$AE,BC$5,0)),0),IF(ISERROR(1/VLOOKUP($N123,Capa!$A:$AE,BC$5,0)),0,1/VLOOKUP($N123,Capa!$A:$AE,BC$5,0))))</f>
        <v/>
      </c>
      <c r="BD123" s="118" t="str">
        <f>IF(BD$6="","",IF(BD$3="Maior",IFERROR(IF(VLOOKUP($N123,Capa!$A:$AE,BD$5,0)="",0,VLOOKUP($N123,Capa!$A:$AE,BD$5,0)),0),IF(ISERROR(1/VLOOKUP($N123,Capa!$A:$AE,BD$5,0)),0,1/VLOOKUP($N123,Capa!$A:$AE,BD$5,0))))</f>
        <v/>
      </c>
      <c r="BE123" s="118" t="str">
        <f>IF(BE$6="","",IF(BE$3="Maior",IFERROR(IF(VLOOKUP($N123,Capa!$A:$AE,BE$5,0)="",0,VLOOKUP($N123,Capa!$A:$AE,BE$5,0)),0),IF(ISERROR(1/VLOOKUP($N123,Capa!$A:$AE,BE$5,0)),0,1/VLOOKUP($N123,Capa!$A:$AE,BE$5,0))))</f>
        <v/>
      </c>
      <c r="BF123" s="118" t="str">
        <f>IF(BF$6="","",IF(BF$3="Maior",IFERROR(IF(VLOOKUP($N123,Capa!$A:$AE,BF$5,0)="",0,VLOOKUP($N123,Capa!$A:$AE,BF$5,0)),0),IF(ISERROR(1/VLOOKUP($N123,Capa!$A:$AE,BF$5,0)),0,1/VLOOKUP($N123,Capa!$A:$AE,BF$5,0))))</f>
        <v/>
      </c>
      <c r="BG123" s="118" t="str">
        <f>IF(BG$6="","",IF(BG$3="Maior",IFERROR(IF(VLOOKUP($N123,Capa!$A:$AE,BG$5,0)="",0,VLOOKUP($N123,Capa!$A:$AE,BG$5,0)),0),IF(ISERROR(1/VLOOKUP($N123,Capa!$A:$AE,BG$5,0)),0,1/VLOOKUP($N123,Capa!$A:$AE,BG$5,0))))</f>
        <v/>
      </c>
      <c r="BH123" s="118" t="str">
        <f>IF(BH$6="","",IF(BH$3="Maior",IFERROR(IF(VLOOKUP($N123,Capa!$A:$AE,BH$5,0)="",0,VLOOKUP($N123,Capa!$A:$AE,BH$5,0)),0),IF(ISERROR(1/VLOOKUP($N123,Capa!$A:$AE,BH$5,0)),0,1/VLOOKUP($N123,Capa!$A:$AE,BH$5,0))))</f>
        <v/>
      </c>
      <c r="BI123" s="118" t="str">
        <f>IF(BI$6="","",IF(BI$3="Maior",IFERROR(IF(VLOOKUP($N123,Capa!$A:$AE,BI$5,0)="",0,VLOOKUP($N123,Capa!$A:$AE,BI$5,0)),0),IF(ISERROR(1/VLOOKUP($N123,Capa!$A:$AE,BI$5,0)),0,1/VLOOKUP($N123,Capa!$A:$AE,BI$5,0))))</f>
        <v/>
      </c>
      <c r="BJ123" s="118" t="str">
        <f>IF(BJ$6="","",IF(BJ$3="Maior",IFERROR(IF(VLOOKUP($N123,Capa!$A:$AE,BJ$5,0)="",0,VLOOKUP($N123,Capa!$A:$AE,BJ$5,0)),0),IF(ISERROR(1/VLOOKUP($N123,Capa!$A:$AE,BJ$5,0)),0,1/VLOOKUP($N123,Capa!$A:$AE,BJ$5,0))))</f>
        <v/>
      </c>
      <c r="BK123" s="118" t="str">
        <f>IF(BK$6="","",IF(BK$3="Maior",IFERROR(IF(VLOOKUP($N123,Capa!$A:$AE,BK$5,0)="",0,VLOOKUP($N123,Capa!$A:$AE,BK$5,0)),0),IF(ISERROR(1/VLOOKUP($N123,Capa!$A:$AE,BK$5,0)),0,1/VLOOKUP($N123,Capa!$A:$AE,BK$5,0))))</f>
        <v/>
      </c>
      <c r="BL123" s="118" t="str">
        <f>IF(BL$6="","",IF(BL$3="Maior",IFERROR(IF(VLOOKUP($N123,Capa!$A:$AE,BL$5,0)="",0,VLOOKUP($N123,Capa!$A:$AE,BL$5,0)),0),IF(ISERROR(1/VLOOKUP($N123,Capa!$A:$AE,BL$5,0)),0,1/VLOOKUP($N123,Capa!$A:$AE,BL$5,0))))</f>
        <v/>
      </c>
      <c r="BM123" s="118" t="str">
        <f>IF(BM$6="","",IF(BM$3="Maior",IFERROR(IF(VLOOKUP($N123,Capa!$A:$AE,BM$5,0)="",0,VLOOKUP($N123,Capa!$A:$AE,BM$5,0)),0),IF(ISERROR(1/VLOOKUP($N123,Capa!$A:$AE,BM$5,0)),0,1/VLOOKUP($N123,Capa!$A:$AE,BM$5,0))))</f>
        <v/>
      </c>
      <c r="BN123" s="118" t="str">
        <f>IF(BN$6="","",IF(BN$3="Maior",IFERROR(IF(VLOOKUP($N123,Capa!$A:$AE,BN$5,0)="",0,VLOOKUP($N123,Capa!$A:$AE,BN$5,0)),0),IF(ISERROR(1/VLOOKUP($N123,Capa!$A:$AE,BN$5,0)),0,1/VLOOKUP($N123,Capa!$A:$AE,BN$5,0))))</f>
        <v/>
      </c>
      <c r="BO123" s="92"/>
    </row>
    <row r="124">
      <c r="G124" s="11"/>
      <c r="H124" s="8">
        <v>118.0</v>
      </c>
      <c r="I124" s="110" t="str">
        <f t="shared" si="6"/>
        <v>GRND3</v>
      </c>
      <c r="J124" s="111" t="str">
        <f>VLOOKUP(left(I124,4),Setor!A:D,3,0)&amp;" | "&amp;VLOOKUP(left(I124,4),Setor!A:D,4,0)</f>
        <v>Consumo Cíclico | Tecidos, Vestuário e Calçados</v>
      </c>
      <c r="K124" s="112">
        <f t="shared" si="7"/>
        <v>23342485.38</v>
      </c>
      <c r="L124" s="11"/>
      <c r="M124" s="11"/>
      <c r="N124" s="10" t="s">
        <v>170</v>
      </c>
      <c r="O124" s="113">
        <f t="shared" si="8"/>
        <v>1107.0422</v>
      </c>
      <c r="P124" s="114">
        <f>VLOOKUP(N124,'Dados StatusInvest'!A:Z,26,0)</f>
        <v>22897749.17</v>
      </c>
      <c r="Q124" s="115">
        <f t="shared" si="9"/>
        <v>422.0422</v>
      </c>
      <c r="R124" s="116">
        <f t="shared" ref="R124:AO124" si="127">IF(AQ124="","", RANK(AQ124,AQ$7:AQ$503,0))</f>
        <v>466</v>
      </c>
      <c r="S124" s="115">
        <f t="shared" si="127"/>
        <v>219</v>
      </c>
      <c r="T124" s="115" t="str">
        <f t="shared" si="127"/>
        <v/>
      </c>
      <c r="U124" s="115" t="str">
        <f t="shared" si="127"/>
        <v/>
      </c>
      <c r="V124" s="115" t="str">
        <f t="shared" si="127"/>
        <v/>
      </c>
      <c r="W124" s="115" t="str">
        <f t="shared" si="127"/>
        <v/>
      </c>
      <c r="X124" s="115" t="str">
        <f t="shared" si="127"/>
        <v/>
      </c>
      <c r="Y124" s="115" t="str">
        <f t="shared" si="127"/>
        <v/>
      </c>
      <c r="Z124" s="115" t="str">
        <f t="shared" si="127"/>
        <v/>
      </c>
      <c r="AA124" s="115" t="str">
        <f t="shared" si="127"/>
        <v/>
      </c>
      <c r="AB124" s="115" t="str">
        <f t="shared" si="127"/>
        <v/>
      </c>
      <c r="AC124" s="115" t="str">
        <f t="shared" si="127"/>
        <v/>
      </c>
      <c r="AD124" s="115" t="str">
        <f t="shared" si="127"/>
        <v/>
      </c>
      <c r="AE124" s="115" t="str">
        <f t="shared" si="127"/>
        <v/>
      </c>
      <c r="AF124" s="115" t="str">
        <f t="shared" si="127"/>
        <v/>
      </c>
      <c r="AG124" s="115" t="str">
        <f t="shared" si="127"/>
        <v/>
      </c>
      <c r="AH124" s="115" t="str">
        <f t="shared" si="127"/>
        <v/>
      </c>
      <c r="AI124" s="115" t="str">
        <f t="shared" si="127"/>
        <v/>
      </c>
      <c r="AJ124" s="115" t="str">
        <f t="shared" si="127"/>
        <v/>
      </c>
      <c r="AK124" s="115" t="str">
        <f t="shared" si="127"/>
        <v/>
      </c>
      <c r="AL124" s="115" t="str">
        <f t="shared" si="127"/>
        <v/>
      </c>
      <c r="AM124" s="115" t="str">
        <f t="shared" si="127"/>
        <v/>
      </c>
      <c r="AN124" s="115" t="str">
        <f t="shared" si="127"/>
        <v/>
      </c>
      <c r="AO124" s="115" t="str">
        <f t="shared" si="127"/>
        <v/>
      </c>
      <c r="AP124" s="117">
        <f>IF(AP$6="","",IF(AP$3="Maior",IFERROR(IF(VLOOKUP($N124,Capa!$A:$AE,AP$5,0)="",0,VLOOKUP($N124,Capa!$A:$AE,AP$5,0)),0),IF(ISERROR(1/VLOOKUP($N124,Capa!$A:$AE,AP$5,0)),0,1/VLOOKUP($N124,Capa!$A:$AE,AP$5,0))))</f>
        <v>-0.02795137305</v>
      </c>
      <c r="AQ124" s="118">
        <f>IF(AQ$6="","",IF(AQ$3="Maior",IFERROR(IF(VLOOKUP($N124,Capa!$A:$AE,AQ$5,0)="",0,VLOOKUP($N124,Capa!$A:$AE,AQ$5,0)),0),IF(ISERROR(1/VLOOKUP($N124,Capa!$A:$AE,AQ$5,0)),0,1/VLOOKUP($N124,Capa!$A:$AE,AQ$5,0))))</f>
        <v>-11.18</v>
      </c>
      <c r="AR124" s="118">
        <f>IF(AR$6="","",IF(AR$3="Maior",IFERROR(IF(VLOOKUP($N124,Capa!$A:$AE,AR$5,0)="",0,VLOOKUP($N124,Capa!$A:$AE,AR$5,0)),0),IF(ISERROR(1/VLOOKUP($N124,Capa!$A:$AE,AR$5,0)),0,1/VLOOKUP($N124,Capa!$A:$AE,AR$5,0))))</f>
        <v>0</v>
      </c>
      <c r="AS124" s="118" t="str">
        <f>IF(AS$6="","",IF(AS$3="Maior",IFERROR(IF(VLOOKUP($N124,Capa!$A:$AE,AS$5,0)="",0,VLOOKUP($N124,Capa!$A:$AE,AS$5,0)),0),IF(ISERROR(1/VLOOKUP($N124,Capa!$A:$AE,AS$5,0)),0,1/VLOOKUP($N124,Capa!$A:$AE,AS$5,0))))</f>
        <v/>
      </c>
      <c r="AT124" s="118" t="str">
        <f>IF(AT$6="","",IF(AT$3="Maior",IFERROR(IF(VLOOKUP($N124,Capa!$A:$AE,AT$5,0)="",0,VLOOKUP($N124,Capa!$A:$AE,AT$5,0)),0),IF(ISERROR(1/VLOOKUP($N124,Capa!$A:$AE,AT$5,0)),0,1/VLOOKUP($N124,Capa!$A:$AE,AT$5,0))))</f>
        <v/>
      </c>
      <c r="AU124" s="118" t="str">
        <f>IF(AU$6="","",IF(AU$3="Maior",IFERROR(IF(VLOOKUP($N124,Capa!$A:$AE,AU$5,0)="",0,VLOOKUP($N124,Capa!$A:$AE,AU$5,0)),0),IF(ISERROR(1/VLOOKUP($N124,Capa!$A:$AE,AU$5,0)),0,1/VLOOKUP($N124,Capa!$A:$AE,AU$5,0))))</f>
        <v/>
      </c>
      <c r="AV124" s="118" t="str">
        <f>IF(AV$6="","",IF(AV$3="Maior",IFERROR(IF(VLOOKUP($N124,Capa!$A:$AE,AV$5,0)="",0,VLOOKUP($N124,Capa!$A:$AE,AV$5,0)),0),IF(ISERROR(1/VLOOKUP($N124,Capa!$A:$AE,AV$5,0)),0,1/VLOOKUP($N124,Capa!$A:$AE,AV$5,0))))</f>
        <v/>
      </c>
      <c r="AW124" s="118" t="str">
        <f>IF(AW$6="","",IF(AW$3="Maior",IFERROR(IF(VLOOKUP($N124,Capa!$A:$AE,AW$5,0)="",0,VLOOKUP($N124,Capa!$A:$AE,AW$5,0)),0),IF(ISERROR(1/VLOOKUP($N124,Capa!$A:$AE,AW$5,0)),0,1/VLOOKUP($N124,Capa!$A:$AE,AW$5,0))))</f>
        <v/>
      </c>
      <c r="AX124" s="118" t="str">
        <f>IF(AX$6="","",IF(AX$3="Maior",IFERROR(IF(VLOOKUP($N124,Capa!$A:$AE,AX$5,0)="",0,VLOOKUP($N124,Capa!$A:$AE,AX$5,0)),0),IF(ISERROR(1/VLOOKUP($N124,Capa!$A:$AE,AX$5,0)),0,1/VLOOKUP($N124,Capa!$A:$AE,AX$5,0))))</f>
        <v/>
      </c>
      <c r="AY124" s="118" t="str">
        <f>IF(AY$6="","",IF(AY$3="Maior",IFERROR(IF(VLOOKUP($N124,Capa!$A:$AE,AY$5,0)="",0,VLOOKUP($N124,Capa!$A:$AE,AY$5,0)),0),IF(ISERROR(1/VLOOKUP($N124,Capa!$A:$AE,AY$5,0)),0,1/VLOOKUP($N124,Capa!$A:$AE,AY$5,0))))</f>
        <v/>
      </c>
      <c r="AZ124" s="118" t="str">
        <f>IF(AZ$6="","",IF(AZ$3="Maior",IFERROR(IF(VLOOKUP($N124,Capa!$A:$AE,AZ$5,0)="",0,VLOOKUP($N124,Capa!$A:$AE,AZ$5,0)),0),IF(ISERROR(1/VLOOKUP($N124,Capa!$A:$AE,AZ$5,0)),0,1/VLOOKUP($N124,Capa!$A:$AE,AZ$5,0))))</f>
        <v/>
      </c>
      <c r="BA124" s="118" t="str">
        <f>IF(BA$6="","",IF(BA$3="Maior",IFERROR(IF(VLOOKUP($N124,Capa!$A:$AE,BA$5,0)="",0,VLOOKUP($N124,Capa!$A:$AE,BA$5,0)),0),IF(ISERROR(1/VLOOKUP($N124,Capa!$A:$AE,BA$5,0)),0,1/VLOOKUP($N124,Capa!$A:$AE,BA$5,0))))</f>
        <v/>
      </c>
      <c r="BB124" s="118" t="str">
        <f>IF(BB$6="","",IF(BB$3="Maior",IFERROR(IF(VLOOKUP($N124,Capa!$A:$AE,BB$5,0)="",0,VLOOKUP($N124,Capa!$A:$AE,BB$5,0)),0),IF(ISERROR(1/VLOOKUP($N124,Capa!$A:$AE,BB$5,0)),0,1/VLOOKUP($N124,Capa!$A:$AE,BB$5,0))))</f>
        <v/>
      </c>
      <c r="BC124" s="118" t="str">
        <f>IF(BC$6="","",IF(BC$3="Maior",IFERROR(IF(VLOOKUP($N124,Capa!$A:$AE,BC$5,0)="",0,VLOOKUP($N124,Capa!$A:$AE,BC$5,0)),0),IF(ISERROR(1/VLOOKUP($N124,Capa!$A:$AE,BC$5,0)),0,1/VLOOKUP($N124,Capa!$A:$AE,BC$5,0))))</f>
        <v/>
      </c>
      <c r="BD124" s="118" t="str">
        <f>IF(BD$6="","",IF(BD$3="Maior",IFERROR(IF(VLOOKUP($N124,Capa!$A:$AE,BD$5,0)="",0,VLOOKUP($N124,Capa!$A:$AE,BD$5,0)),0),IF(ISERROR(1/VLOOKUP($N124,Capa!$A:$AE,BD$5,0)),0,1/VLOOKUP($N124,Capa!$A:$AE,BD$5,0))))</f>
        <v/>
      </c>
      <c r="BE124" s="118" t="str">
        <f>IF(BE$6="","",IF(BE$3="Maior",IFERROR(IF(VLOOKUP($N124,Capa!$A:$AE,BE$5,0)="",0,VLOOKUP($N124,Capa!$A:$AE,BE$5,0)),0),IF(ISERROR(1/VLOOKUP($N124,Capa!$A:$AE,BE$5,0)),0,1/VLOOKUP($N124,Capa!$A:$AE,BE$5,0))))</f>
        <v/>
      </c>
      <c r="BF124" s="118" t="str">
        <f>IF(BF$6="","",IF(BF$3="Maior",IFERROR(IF(VLOOKUP($N124,Capa!$A:$AE,BF$5,0)="",0,VLOOKUP($N124,Capa!$A:$AE,BF$5,0)),0),IF(ISERROR(1/VLOOKUP($N124,Capa!$A:$AE,BF$5,0)),0,1/VLOOKUP($N124,Capa!$A:$AE,BF$5,0))))</f>
        <v/>
      </c>
      <c r="BG124" s="118" t="str">
        <f>IF(BG$6="","",IF(BG$3="Maior",IFERROR(IF(VLOOKUP($N124,Capa!$A:$AE,BG$5,0)="",0,VLOOKUP($N124,Capa!$A:$AE,BG$5,0)),0),IF(ISERROR(1/VLOOKUP($N124,Capa!$A:$AE,BG$5,0)),0,1/VLOOKUP($N124,Capa!$A:$AE,BG$5,0))))</f>
        <v/>
      </c>
      <c r="BH124" s="118" t="str">
        <f>IF(BH$6="","",IF(BH$3="Maior",IFERROR(IF(VLOOKUP($N124,Capa!$A:$AE,BH$5,0)="",0,VLOOKUP($N124,Capa!$A:$AE,BH$5,0)),0),IF(ISERROR(1/VLOOKUP($N124,Capa!$A:$AE,BH$5,0)),0,1/VLOOKUP($N124,Capa!$A:$AE,BH$5,0))))</f>
        <v/>
      </c>
      <c r="BI124" s="118" t="str">
        <f>IF(BI$6="","",IF(BI$3="Maior",IFERROR(IF(VLOOKUP($N124,Capa!$A:$AE,BI$5,0)="",0,VLOOKUP($N124,Capa!$A:$AE,BI$5,0)),0),IF(ISERROR(1/VLOOKUP($N124,Capa!$A:$AE,BI$5,0)),0,1/VLOOKUP($N124,Capa!$A:$AE,BI$5,0))))</f>
        <v/>
      </c>
      <c r="BJ124" s="118" t="str">
        <f>IF(BJ$6="","",IF(BJ$3="Maior",IFERROR(IF(VLOOKUP($N124,Capa!$A:$AE,BJ$5,0)="",0,VLOOKUP($N124,Capa!$A:$AE,BJ$5,0)),0),IF(ISERROR(1/VLOOKUP($N124,Capa!$A:$AE,BJ$5,0)),0,1/VLOOKUP($N124,Capa!$A:$AE,BJ$5,0))))</f>
        <v/>
      </c>
      <c r="BK124" s="118" t="str">
        <f>IF(BK$6="","",IF(BK$3="Maior",IFERROR(IF(VLOOKUP($N124,Capa!$A:$AE,BK$5,0)="",0,VLOOKUP($N124,Capa!$A:$AE,BK$5,0)),0),IF(ISERROR(1/VLOOKUP($N124,Capa!$A:$AE,BK$5,0)),0,1/VLOOKUP($N124,Capa!$A:$AE,BK$5,0))))</f>
        <v/>
      </c>
      <c r="BL124" s="118" t="str">
        <f>IF(BL$6="","",IF(BL$3="Maior",IFERROR(IF(VLOOKUP($N124,Capa!$A:$AE,BL$5,0)="",0,VLOOKUP($N124,Capa!$A:$AE,BL$5,0)),0),IF(ISERROR(1/VLOOKUP($N124,Capa!$A:$AE,BL$5,0)),0,1/VLOOKUP($N124,Capa!$A:$AE,BL$5,0))))</f>
        <v/>
      </c>
      <c r="BM124" s="118" t="str">
        <f>IF(BM$6="","",IF(BM$3="Maior",IFERROR(IF(VLOOKUP($N124,Capa!$A:$AE,BM$5,0)="",0,VLOOKUP($N124,Capa!$A:$AE,BM$5,0)),0),IF(ISERROR(1/VLOOKUP($N124,Capa!$A:$AE,BM$5,0)),0,1/VLOOKUP($N124,Capa!$A:$AE,BM$5,0))))</f>
        <v/>
      </c>
      <c r="BN124" s="118" t="str">
        <f>IF(BN$6="","",IF(BN$3="Maior",IFERROR(IF(VLOOKUP($N124,Capa!$A:$AE,BN$5,0)="",0,VLOOKUP($N124,Capa!$A:$AE,BN$5,0)),0),IF(ISERROR(1/VLOOKUP($N124,Capa!$A:$AE,BN$5,0)),0,1/VLOOKUP($N124,Capa!$A:$AE,BN$5,0))))</f>
        <v/>
      </c>
      <c r="BO124" s="92"/>
    </row>
    <row r="125">
      <c r="G125" s="11"/>
      <c r="H125" s="8">
        <v>119.0</v>
      </c>
      <c r="I125" s="110" t="str">
        <f t="shared" si="6"/>
        <v>CLSA3</v>
      </c>
      <c r="J125" s="111" t="str">
        <f>VLOOKUP(left(I125,4),Setor!A:D,3,0)&amp;" | "&amp;VLOOKUP(left(I125,4),Setor!A:D,4,0)</f>
        <v>#N/A</v>
      </c>
      <c r="K125" s="112">
        <f t="shared" si="7"/>
        <v>16451825.5</v>
      </c>
      <c r="L125" s="11"/>
      <c r="M125" s="11"/>
      <c r="N125" s="10" t="s">
        <v>171</v>
      </c>
      <c r="O125" s="113">
        <f t="shared" si="8"/>
        <v>513.0221</v>
      </c>
      <c r="P125" s="114">
        <f>VLOOKUP(N125,'Dados StatusInvest'!A:Z,26,0)</f>
        <v>41349862.63</v>
      </c>
      <c r="Q125" s="115">
        <f t="shared" si="9"/>
        <v>221.0221</v>
      </c>
      <c r="R125" s="116">
        <f t="shared" ref="R125:AO125" si="128">IF(AQ125="","", RANK(AQ125,AQ$7:AQ$503,0))</f>
        <v>103</v>
      </c>
      <c r="S125" s="115">
        <f t="shared" si="128"/>
        <v>189</v>
      </c>
      <c r="T125" s="115" t="str">
        <f t="shared" si="128"/>
        <v/>
      </c>
      <c r="U125" s="115" t="str">
        <f t="shared" si="128"/>
        <v/>
      </c>
      <c r="V125" s="115" t="str">
        <f t="shared" si="128"/>
        <v/>
      </c>
      <c r="W125" s="115" t="str">
        <f t="shared" si="128"/>
        <v/>
      </c>
      <c r="X125" s="115" t="str">
        <f t="shared" si="128"/>
        <v/>
      </c>
      <c r="Y125" s="115" t="str">
        <f t="shared" si="128"/>
        <v/>
      </c>
      <c r="Z125" s="115" t="str">
        <f t="shared" si="128"/>
        <v/>
      </c>
      <c r="AA125" s="115" t="str">
        <f t="shared" si="128"/>
        <v/>
      </c>
      <c r="AB125" s="115" t="str">
        <f t="shared" si="128"/>
        <v/>
      </c>
      <c r="AC125" s="115" t="str">
        <f t="shared" si="128"/>
        <v/>
      </c>
      <c r="AD125" s="115" t="str">
        <f t="shared" si="128"/>
        <v/>
      </c>
      <c r="AE125" s="115" t="str">
        <f t="shared" si="128"/>
        <v/>
      </c>
      <c r="AF125" s="115" t="str">
        <f t="shared" si="128"/>
        <v/>
      </c>
      <c r="AG125" s="115" t="str">
        <f t="shared" si="128"/>
        <v/>
      </c>
      <c r="AH125" s="115" t="str">
        <f t="shared" si="128"/>
        <v/>
      </c>
      <c r="AI125" s="115" t="str">
        <f t="shared" si="128"/>
        <v/>
      </c>
      <c r="AJ125" s="115" t="str">
        <f t="shared" si="128"/>
        <v/>
      </c>
      <c r="AK125" s="115" t="str">
        <f t="shared" si="128"/>
        <v/>
      </c>
      <c r="AL125" s="115" t="str">
        <f t="shared" si="128"/>
        <v/>
      </c>
      <c r="AM125" s="115" t="str">
        <f t="shared" si="128"/>
        <v/>
      </c>
      <c r="AN125" s="115" t="str">
        <f t="shared" si="128"/>
        <v/>
      </c>
      <c r="AO125" s="115" t="str">
        <f t="shared" si="128"/>
        <v/>
      </c>
      <c r="AP125" s="117">
        <f>IF(AP$6="","",IF(AP$3="Maior",IFERROR(IF(VLOOKUP($N125,Capa!$A:$AE,AP$5,0)="",0,VLOOKUP($N125,Capa!$A:$AE,AP$5,0)),0),IF(ISERROR(1/VLOOKUP($N125,Capa!$A:$AE,AP$5,0)),0,1/VLOOKUP($N125,Capa!$A:$AE,AP$5,0))))</f>
        <v>0.09537237151</v>
      </c>
      <c r="AQ125" s="118">
        <f>IF(AQ$6="","",IF(AQ$3="Maior",IFERROR(IF(VLOOKUP($N125,Capa!$A:$AE,AQ$5,0)="",0,VLOOKUP($N125,Capa!$A:$AE,AQ$5,0)),0),IF(ISERROR(1/VLOOKUP($N125,Capa!$A:$AE,AQ$5,0)),0,1/VLOOKUP($N125,Capa!$A:$AE,AQ$5,0))))</f>
        <v>17.63</v>
      </c>
      <c r="AR125" s="118">
        <f>IF(AR$6="","",IF(AR$3="Maior",IFERROR(IF(VLOOKUP($N125,Capa!$A:$AE,AR$5,0)="",0,VLOOKUP($N125,Capa!$A:$AE,AR$5,0)),0),IF(ISERROR(1/VLOOKUP($N125,Capa!$A:$AE,AR$5,0)),0,1/VLOOKUP($N125,Capa!$A:$AE,AR$5,0))))</f>
        <v>5.12</v>
      </c>
      <c r="AS125" s="118" t="str">
        <f>IF(AS$6="","",IF(AS$3="Maior",IFERROR(IF(VLOOKUP($N125,Capa!$A:$AE,AS$5,0)="",0,VLOOKUP($N125,Capa!$A:$AE,AS$5,0)),0),IF(ISERROR(1/VLOOKUP($N125,Capa!$A:$AE,AS$5,0)),0,1/VLOOKUP($N125,Capa!$A:$AE,AS$5,0))))</f>
        <v/>
      </c>
      <c r="AT125" s="118" t="str">
        <f>IF(AT$6="","",IF(AT$3="Maior",IFERROR(IF(VLOOKUP($N125,Capa!$A:$AE,AT$5,0)="",0,VLOOKUP($N125,Capa!$A:$AE,AT$5,0)),0),IF(ISERROR(1/VLOOKUP($N125,Capa!$A:$AE,AT$5,0)),0,1/VLOOKUP($N125,Capa!$A:$AE,AT$5,0))))</f>
        <v/>
      </c>
      <c r="AU125" s="118" t="str">
        <f>IF(AU$6="","",IF(AU$3="Maior",IFERROR(IF(VLOOKUP($N125,Capa!$A:$AE,AU$5,0)="",0,VLOOKUP($N125,Capa!$A:$AE,AU$5,0)),0),IF(ISERROR(1/VLOOKUP($N125,Capa!$A:$AE,AU$5,0)),0,1/VLOOKUP($N125,Capa!$A:$AE,AU$5,0))))</f>
        <v/>
      </c>
      <c r="AV125" s="118" t="str">
        <f>IF(AV$6="","",IF(AV$3="Maior",IFERROR(IF(VLOOKUP($N125,Capa!$A:$AE,AV$5,0)="",0,VLOOKUP($N125,Capa!$A:$AE,AV$5,0)),0),IF(ISERROR(1/VLOOKUP($N125,Capa!$A:$AE,AV$5,0)),0,1/VLOOKUP($N125,Capa!$A:$AE,AV$5,0))))</f>
        <v/>
      </c>
      <c r="AW125" s="118" t="str">
        <f>IF(AW$6="","",IF(AW$3="Maior",IFERROR(IF(VLOOKUP($N125,Capa!$A:$AE,AW$5,0)="",0,VLOOKUP($N125,Capa!$A:$AE,AW$5,0)),0),IF(ISERROR(1/VLOOKUP($N125,Capa!$A:$AE,AW$5,0)),0,1/VLOOKUP($N125,Capa!$A:$AE,AW$5,0))))</f>
        <v/>
      </c>
      <c r="AX125" s="118" t="str">
        <f>IF(AX$6="","",IF(AX$3="Maior",IFERROR(IF(VLOOKUP($N125,Capa!$A:$AE,AX$5,0)="",0,VLOOKUP($N125,Capa!$A:$AE,AX$5,0)),0),IF(ISERROR(1/VLOOKUP($N125,Capa!$A:$AE,AX$5,0)),0,1/VLOOKUP($N125,Capa!$A:$AE,AX$5,0))))</f>
        <v/>
      </c>
      <c r="AY125" s="118" t="str">
        <f>IF(AY$6="","",IF(AY$3="Maior",IFERROR(IF(VLOOKUP($N125,Capa!$A:$AE,AY$5,0)="",0,VLOOKUP($N125,Capa!$A:$AE,AY$5,0)),0),IF(ISERROR(1/VLOOKUP($N125,Capa!$A:$AE,AY$5,0)),0,1/VLOOKUP($N125,Capa!$A:$AE,AY$5,0))))</f>
        <v/>
      </c>
      <c r="AZ125" s="118" t="str">
        <f>IF(AZ$6="","",IF(AZ$3="Maior",IFERROR(IF(VLOOKUP($N125,Capa!$A:$AE,AZ$5,0)="",0,VLOOKUP($N125,Capa!$A:$AE,AZ$5,0)),0),IF(ISERROR(1/VLOOKUP($N125,Capa!$A:$AE,AZ$5,0)),0,1/VLOOKUP($N125,Capa!$A:$AE,AZ$5,0))))</f>
        <v/>
      </c>
      <c r="BA125" s="118" t="str">
        <f>IF(BA$6="","",IF(BA$3="Maior",IFERROR(IF(VLOOKUP($N125,Capa!$A:$AE,BA$5,0)="",0,VLOOKUP($N125,Capa!$A:$AE,BA$5,0)),0),IF(ISERROR(1/VLOOKUP($N125,Capa!$A:$AE,BA$5,0)),0,1/VLOOKUP($N125,Capa!$A:$AE,BA$5,0))))</f>
        <v/>
      </c>
      <c r="BB125" s="118" t="str">
        <f>IF(BB$6="","",IF(BB$3="Maior",IFERROR(IF(VLOOKUP($N125,Capa!$A:$AE,BB$5,0)="",0,VLOOKUP($N125,Capa!$A:$AE,BB$5,0)),0),IF(ISERROR(1/VLOOKUP($N125,Capa!$A:$AE,BB$5,0)),0,1/VLOOKUP($N125,Capa!$A:$AE,BB$5,0))))</f>
        <v/>
      </c>
      <c r="BC125" s="118" t="str">
        <f>IF(BC$6="","",IF(BC$3="Maior",IFERROR(IF(VLOOKUP($N125,Capa!$A:$AE,BC$5,0)="",0,VLOOKUP($N125,Capa!$A:$AE,BC$5,0)),0),IF(ISERROR(1/VLOOKUP($N125,Capa!$A:$AE,BC$5,0)),0,1/VLOOKUP($N125,Capa!$A:$AE,BC$5,0))))</f>
        <v/>
      </c>
      <c r="BD125" s="118" t="str">
        <f>IF(BD$6="","",IF(BD$3="Maior",IFERROR(IF(VLOOKUP($N125,Capa!$A:$AE,BD$5,0)="",0,VLOOKUP($N125,Capa!$A:$AE,BD$5,0)),0),IF(ISERROR(1/VLOOKUP($N125,Capa!$A:$AE,BD$5,0)),0,1/VLOOKUP($N125,Capa!$A:$AE,BD$5,0))))</f>
        <v/>
      </c>
      <c r="BE125" s="118" t="str">
        <f>IF(BE$6="","",IF(BE$3="Maior",IFERROR(IF(VLOOKUP($N125,Capa!$A:$AE,BE$5,0)="",0,VLOOKUP($N125,Capa!$A:$AE,BE$5,0)),0),IF(ISERROR(1/VLOOKUP($N125,Capa!$A:$AE,BE$5,0)),0,1/VLOOKUP($N125,Capa!$A:$AE,BE$5,0))))</f>
        <v/>
      </c>
      <c r="BF125" s="118" t="str">
        <f>IF(BF$6="","",IF(BF$3="Maior",IFERROR(IF(VLOOKUP($N125,Capa!$A:$AE,BF$5,0)="",0,VLOOKUP($N125,Capa!$A:$AE,BF$5,0)),0),IF(ISERROR(1/VLOOKUP($N125,Capa!$A:$AE,BF$5,0)),0,1/VLOOKUP($N125,Capa!$A:$AE,BF$5,0))))</f>
        <v/>
      </c>
      <c r="BG125" s="118" t="str">
        <f>IF(BG$6="","",IF(BG$3="Maior",IFERROR(IF(VLOOKUP($N125,Capa!$A:$AE,BG$5,0)="",0,VLOOKUP($N125,Capa!$A:$AE,BG$5,0)),0),IF(ISERROR(1/VLOOKUP($N125,Capa!$A:$AE,BG$5,0)),0,1/VLOOKUP($N125,Capa!$A:$AE,BG$5,0))))</f>
        <v/>
      </c>
      <c r="BH125" s="118" t="str">
        <f>IF(BH$6="","",IF(BH$3="Maior",IFERROR(IF(VLOOKUP($N125,Capa!$A:$AE,BH$5,0)="",0,VLOOKUP($N125,Capa!$A:$AE,BH$5,0)),0),IF(ISERROR(1/VLOOKUP($N125,Capa!$A:$AE,BH$5,0)),0,1/VLOOKUP($N125,Capa!$A:$AE,BH$5,0))))</f>
        <v/>
      </c>
      <c r="BI125" s="118" t="str">
        <f>IF(BI$6="","",IF(BI$3="Maior",IFERROR(IF(VLOOKUP($N125,Capa!$A:$AE,BI$5,0)="",0,VLOOKUP($N125,Capa!$A:$AE,BI$5,0)),0),IF(ISERROR(1/VLOOKUP($N125,Capa!$A:$AE,BI$5,0)),0,1/VLOOKUP($N125,Capa!$A:$AE,BI$5,0))))</f>
        <v/>
      </c>
      <c r="BJ125" s="118" t="str">
        <f>IF(BJ$6="","",IF(BJ$3="Maior",IFERROR(IF(VLOOKUP($N125,Capa!$A:$AE,BJ$5,0)="",0,VLOOKUP($N125,Capa!$A:$AE,BJ$5,0)),0),IF(ISERROR(1/VLOOKUP($N125,Capa!$A:$AE,BJ$5,0)),0,1/VLOOKUP($N125,Capa!$A:$AE,BJ$5,0))))</f>
        <v/>
      </c>
      <c r="BK125" s="118" t="str">
        <f>IF(BK$6="","",IF(BK$3="Maior",IFERROR(IF(VLOOKUP($N125,Capa!$A:$AE,BK$5,0)="",0,VLOOKUP($N125,Capa!$A:$AE,BK$5,0)),0),IF(ISERROR(1/VLOOKUP($N125,Capa!$A:$AE,BK$5,0)),0,1/VLOOKUP($N125,Capa!$A:$AE,BK$5,0))))</f>
        <v/>
      </c>
      <c r="BL125" s="118" t="str">
        <f>IF(BL$6="","",IF(BL$3="Maior",IFERROR(IF(VLOOKUP($N125,Capa!$A:$AE,BL$5,0)="",0,VLOOKUP($N125,Capa!$A:$AE,BL$5,0)),0),IF(ISERROR(1/VLOOKUP($N125,Capa!$A:$AE,BL$5,0)),0,1/VLOOKUP($N125,Capa!$A:$AE,BL$5,0))))</f>
        <v/>
      </c>
      <c r="BM125" s="118" t="str">
        <f>IF(BM$6="","",IF(BM$3="Maior",IFERROR(IF(VLOOKUP($N125,Capa!$A:$AE,BM$5,0)="",0,VLOOKUP($N125,Capa!$A:$AE,BM$5,0)),0),IF(ISERROR(1/VLOOKUP($N125,Capa!$A:$AE,BM$5,0)),0,1/VLOOKUP($N125,Capa!$A:$AE,BM$5,0))))</f>
        <v/>
      </c>
      <c r="BN125" s="118" t="str">
        <f>IF(BN$6="","",IF(BN$3="Maior",IFERROR(IF(VLOOKUP($N125,Capa!$A:$AE,BN$5,0)="",0,VLOOKUP($N125,Capa!$A:$AE,BN$5,0)),0),IF(ISERROR(1/VLOOKUP($N125,Capa!$A:$AE,BN$5,0)),0,1/VLOOKUP($N125,Capa!$A:$AE,BN$5,0))))</f>
        <v/>
      </c>
      <c r="BO125" s="92"/>
    </row>
    <row r="126">
      <c r="G126" s="11"/>
      <c r="H126" s="8">
        <v>120.0</v>
      </c>
      <c r="I126" s="110" t="str">
        <f t="shared" si="6"/>
        <v>MRVE3</v>
      </c>
      <c r="J126" s="111" t="str">
        <f>VLOOKUP(left(I126,4),Setor!A:D,3,0)&amp;" | "&amp;VLOOKUP(left(I126,4),Setor!A:D,4,0)</f>
        <v>Consumo Cíclico | Construção Civil</v>
      </c>
      <c r="K126" s="112">
        <f t="shared" si="7"/>
        <v>88404221.96</v>
      </c>
      <c r="L126" s="11"/>
      <c r="M126" s="11"/>
      <c r="N126" s="10" t="s">
        <v>172</v>
      </c>
      <c r="O126" s="113">
        <f t="shared" si="8"/>
        <v>709.0305</v>
      </c>
      <c r="P126" s="114">
        <f>VLOOKUP(N126,'Dados StatusInvest'!A:Z,26,0)</f>
        <v>42105743.46</v>
      </c>
      <c r="Q126" s="115">
        <f t="shared" si="9"/>
        <v>305.0305</v>
      </c>
      <c r="R126" s="116">
        <f t="shared" ref="R126:AO126" si="129">IF(AQ126="","", RANK(AQ126,AQ$7:AQ$503,0))</f>
        <v>185</v>
      </c>
      <c r="S126" s="115">
        <f t="shared" si="129"/>
        <v>219</v>
      </c>
      <c r="T126" s="115" t="str">
        <f t="shared" si="129"/>
        <v/>
      </c>
      <c r="U126" s="115" t="str">
        <f t="shared" si="129"/>
        <v/>
      </c>
      <c r="V126" s="115" t="str">
        <f t="shared" si="129"/>
        <v/>
      </c>
      <c r="W126" s="115" t="str">
        <f t="shared" si="129"/>
        <v/>
      </c>
      <c r="X126" s="115" t="str">
        <f t="shared" si="129"/>
        <v/>
      </c>
      <c r="Y126" s="115" t="str">
        <f t="shared" si="129"/>
        <v/>
      </c>
      <c r="Z126" s="115" t="str">
        <f t="shared" si="129"/>
        <v/>
      </c>
      <c r="AA126" s="115" t="str">
        <f t="shared" si="129"/>
        <v/>
      </c>
      <c r="AB126" s="115" t="str">
        <f t="shared" si="129"/>
        <v/>
      </c>
      <c r="AC126" s="115" t="str">
        <f t="shared" si="129"/>
        <v/>
      </c>
      <c r="AD126" s="115" t="str">
        <f t="shared" si="129"/>
        <v/>
      </c>
      <c r="AE126" s="115" t="str">
        <f t="shared" si="129"/>
        <v/>
      </c>
      <c r="AF126" s="115" t="str">
        <f t="shared" si="129"/>
        <v/>
      </c>
      <c r="AG126" s="115" t="str">
        <f t="shared" si="129"/>
        <v/>
      </c>
      <c r="AH126" s="115" t="str">
        <f t="shared" si="129"/>
        <v/>
      </c>
      <c r="AI126" s="115" t="str">
        <f t="shared" si="129"/>
        <v/>
      </c>
      <c r="AJ126" s="115" t="str">
        <f t="shared" si="129"/>
        <v/>
      </c>
      <c r="AK126" s="115" t="str">
        <f t="shared" si="129"/>
        <v/>
      </c>
      <c r="AL126" s="115" t="str">
        <f t="shared" si="129"/>
        <v/>
      </c>
      <c r="AM126" s="115" t="str">
        <f t="shared" si="129"/>
        <v/>
      </c>
      <c r="AN126" s="115" t="str">
        <f t="shared" si="129"/>
        <v/>
      </c>
      <c r="AO126" s="115" t="str">
        <f t="shared" si="129"/>
        <v/>
      </c>
      <c r="AP126" s="117">
        <f>IF(AP$6="","",IF(AP$3="Maior",IFERROR(IF(VLOOKUP($N126,Capa!$A:$AE,AP$5,0)="",0,VLOOKUP($N126,Capa!$A:$AE,AP$5,0)),0),IF(ISERROR(1/VLOOKUP($N126,Capa!$A:$AE,AP$5,0)),0,1/VLOOKUP($N126,Capa!$A:$AE,AP$5,0))))</f>
        <v>0.05172951033</v>
      </c>
      <c r="AQ126" s="118">
        <f>IF(AQ$6="","",IF(AQ$3="Maior",IFERROR(IF(VLOOKUP($N126,Capa!$A:$AE,AQ$5,0)="",0,VLOOKUP($N126,Capa!$A:$AE,AQ$5,0)),0),IF(ISERROR(1/VLOOKUP($N126,Capa!$A:$AE,AQ$5,0)),0,1/VLOOKUP($N126,Capa!$A:$AE,AQ$5,0))))</f>
        <v>12.11</v>
      </c>
      <c r="AR126" s="118">
        <f>IF(AR$6="","",IF(AR$3="Maior",IFERROR(IF(VLOOKUP($N126,Capa!$A:$AE,AR$5,0)="",0,VLOOKUP($N126,Capa!$A:$AE,AR$5,0)),0),IF(ISERROR(1/VLOOKUP($N126,Capa!$A:$AE,AR$5,0)),0,1/VLOOKUP($N126,Capa!$A:$AE,AR$5,0))))</f>
        <v>0</v>
      </c>
      <c r="AS126" s="118" t="str">
        <f>IF(AS$6="","",IF(AS$3="Maior",IFERROR(IF(VLOOKUP($N126,Capa!$A:$AE,AS$5,0)="",0,VLOOKUP($N126,Capa!$A:$AE,AS$5,0)),0),IF(ISERROR(1/VLOOKUP($N126,Capa!$A:$AE,AS$5,0)),0,1/VLOOKUP($N126,Capa!$A:$AE,AS$5,0))))</f>
        <v/>
      </c>
      <c r="AT126" s="118" t="str">
        <f>IF(AT$6="","",IF(AT$3="Maior",IFERROR(IF(VLOOKUP($N126,Capa!$A:$AE,AT$5,0)="",0,VLOOKUP($N126,Capa!$A:$AE,AT$5,0)),0),IF(ISERROR(1/VLOOKUP($N126,Capa!$A:$AE,AT$5,0)),0,1/VLOOKUP($N126,Capa!$A:$AE,AT$5,0))))</f>
        <v/>
      </c>
      <c r="AU126" s="118" t="str">
        <f>IF(AU$6="","",IF(AU$3="Maior",IFERROR(IF(VLOOKUP($N126,Capa!$A:$AE,AU$5,0)="",0,VLOOKUP($N126,Capa!$A:$AE,AU$5,0)),0),IF(ISERROR(1/VLOOKUP($N126,Capa!$A:$AE,AU$5,0)),0,1/VLOOKUP($N126,Capa!$A:$AE,AU$5,0))))</f>
        <v/>
      </c>
      <c r="AV126" s="118" t="str">
        <f>IF(AV$6="","",IF(AV$3="Maior",IFERROR(IF(VLOOKUP($N126,Capa!$A:$AE,AV$5,0)="",0,VLOOKUP($N126,Capa!$A:$AE,AV$5,0)),0),IF(ISERROR(1/VLOOKUP($N126,Capa!$A:$AE,AV$5,0)),0,1/VLOOKUP($N126,Capa!$A:$AE,AV$5,0))))</f>
        <v/>
      </c>
      <c r="AW126" s="118" t="str">
        <f>IF(AW$6="","",IF(AW$3="Maior",IFERROR(IF(VLOOKUP($N126,Capa!$A:$AE,AW$5,0)="",0,VLOOKUP($N126,Capa!$A:$AE,AW$5,0)),0),IF(ISERROR(1/VLOOKUP($N126,Capa!$A:$AE,AW$5,0)),0,1/VLOOKUP($N126,Capa!$A:$AE,AW$5,0))))</f>
        <v/>
      </c>
      <c r="AX126" s="118" t="str">
        <f>IF(AX$6="","",IF(AX$3="Maior",IFERROR(IF(VLOOKUP($N126,Capa!$A:$AE,AX$5,0)="",0,VLOOKUP($N126,Capa!$A:$AE,AX$5,0)),0),IF(ISERROR(1/VLOOKUP($N126,Capa!$A:$AE,AX$5,0)),0,1/VLOOKUP($N126,Capa!$A:$AE,AX$5,0))))</f>
        <v/>
      </c>
      <c r="AY126" s="118" t="str">
        <f>IF(AY$6="","",IF(AY$3="Maior",IFERROR(IF(VLOOKUP($N126,Capa!$A:$AE,AY$5,0)="",0,VLOOKUP($N126,Capa!$A:$AE,AY$5,0)),0),IF(ISERROR(1/VLOOKUP($N126,Capa!$A:$AE,AY$5,0)),0,1/VLOOKUP($N126,Capa!$A:$AE,AY$5,0))))</f>
        <v/>
      </c>
      <c r="AZ126" s="118" t="str">
        <f>IF(AZ$6="","",IF(AZ$3="Maior",IFERROR(IF(VLOOKUP($N126,Capa!$A:$AE,AZ$5,0)="",0,VLOOKUP($N126,Capa!$A:$AE,AZ$5,0)),0),IF(ISERROR(1/VLOOKUP($N126,Capa!$A:$AE,AZ$5,0)),0,1/VLOOKUP($N126,Capa!$A:$AE,AZ$5,0))))</f>
        <v/>
      </c>
      <c r="BA126" s="118" t="str">
        <f>IF(BA$6="","",IF(BA$3="Maior",IFERROR(IF(VLOOKUP($N126,Capa!$A:$AE,BA$5,0)="",0,VLOOKUP($N126,Capa!$A:$AE,BA$5,0)),0),IF(ISERROR(1/VLOOKUP($N126,Capa!$A:$AE,BA$5,0)),0,1/VLOOKUP($N126,Capa!$A:$AE,BA$5,0))))</f>
        <v/>
      </c>
      <c r="BB126" s="118" t="str">
        <f>IF(BB$6="","",IF(BB$3="Maior",IFERROR(IF(VLOOKUP($N126,Capa!$A:$AE,BB$5,0)="",0,VLOOKUP($N126,Capa!$A:$AE,BB$5,0)),0),IF(ISERROR(1/VLOOKUP($N126,Capa!$A:$AE,BB$5,0)),0,1/VLOOKUP($N126,Capa!$A:$AE,BB$5,0))))</f>
        <v/>
      </c>
      <c r="BC126" s="118" t="str">
        <f>IF(BC$6="","",IF(BC$3="Maior",IFERROR(IF(VLOOKUP($N126,Capa!$A:$AE,BC$5,0)="",0,VLOOKUP($N126,Capa!$A:$AE,BC$5,0)),0),IF(ISERROR(1/VLOOKUP($N126,Capa!$A:$AE,BC$5,0)),0,1/VLOOKUP($N126,Capa!$A:$AE,BC$5,0))))</f>
        <v/>
      </c>
      <c r="BD126" s="118" t="str">
        <f>IF(BD$6="","",IF(BD$3="Maior",IFERROR(IF(VLOOKUP($N126,Capa!$A:$AE,BD$5,0)="",0,VLOOKUP($N126,Capa!$A:$AE,BD$5,0)),0),IF(ISERROR(1/VLOOKUP($N126,Capa!$A:$AE,BD$5,0)),0,1/VLOOKUP($N126,Capa!$A:$AE,BD$5,0))))</f>
        <v/>
      </c>
      <c r="BE126" s="118" t="str">
        <f>IF(BE$6="","",IF(BE$3="Maior",IFERROR(IF(VLOOKUP($N126,Capa!$A:$AE,BE$5,0)="",0,VLOOKUP($N126,Capa!$A:$AE,BE$5,0)),0),IF(ISERROR(1/VLOOKUP($N126,Capa!$A:$AE,BE$5,0)),0,1/VLOOKUP($N126,Capa!$A:$AE,BE$5,0))))</f>
        <v/>
      </c>
      <c r="BF126" s="118" t="str">
        <f>IF(BF$6="","",IF(BF$3="Maior",IFERROR(IF(VLOOKUP($N126,Capa!$A:$AE,BF$5,0)="",0,VLOOKUP($N126,Capa!$A:$AE,BF$5,0)),0),IF(ISERROR(1/VLOOKUP($N126,Capa!$A:$AE,BF$5,0)),0,1/VLOOKUP($N126,Capa!$A:$AE,BF$5,0))))</f>
        <v/>
      </c>
      <c r="BG126" s="118" t="str">
        <f>IF(BG$6="","",IF(BG$3="Maior",IFERROR(IF(VLOOKUP($N126,Capa!$A:$AE,BG$5,0)="",0,VLOOKUP($N126,Capa!$A:$AE,BG$5,0)),0),IF(ISERROR(1/VLOOKUP($N126,Capa!$A:$AE,BG$5,0)),0,1/VLOOKUP($N126,Capa!$A:$AE,BG$5,0))))</f>
        <v/>
      </c>
      <c r="BH126" s="118" t="str">
        <f>IF(BH$6="","",IF(BH$3="Maior",IFERROR(IF(VLOOKUP($N126,Capa!$A:$AE,BH$5,0)="",0,VLOOKUP($N126,Capa!$A:$AE,BH$5,0)),0),IF(ISERROR(1/VLOOKUP($N126,Capa!$A:$AE,BH$5,0)),0,1/VLOOKUP($N126,Capa!$A:$AE,BH$5,0))))</f>
        <v/>
      </c>
      <c r="BI126" s="118" t="str">
        <f>IF(BI$6="","",IF(BI$3="Maior",IFERROR(IF(VLOOKUP($N126,Capa!$A:$AE,BI$5,0)="",0,VLOOKUP($N126,Capa!$A:$AE,BI$5,0)),0),IF(ISERROR(1/VLOOKUP($N126,Capa!$A:$AE,BI$5,0)),0,1/VLOOKUP($N126,Capa!$A:$AE,BI$5,0))))</f>
        <v/>
      </c>
      <c r="BJ126" s="118" t="str">
        <f>IF(BJ$6="","",IF(BJ$3="Maior",IFERROR(IF(VLOOKUP($N126,Capa!$A:$AE,BJ$5,0)="",0,VLOOKUP($N126,Capa!$A:$AE,BJ$5,0)),0),IF(ISERROR(1/VLOOKUP($N126,Capa!$A:$AE,BJ$5,0)),0,1/VLOOKUP($N126,Capa!$A:$AE,BJ$5,0))))</f>
        <v/>
      </c>
      <c r="BK126" s="118" t="str">
        <f>IF(BK$6="","",IF(BK$3="Maior",IFERROR(IF(VLOOKUP($N126,Capa!$A:$AE,BK$5,0)="",0,VLOOKUP($N126,Capa!$A:$AE,BK$5,0)),0),IF(ISERROR(1/VLOOKUP($N126,Capa!$A:$AE,BK$5,0)),0,1/VLOOKUP($N126,Capa!$A:$AE,BK$5,0))))</f>
        <v/>
      </c>
      <c r="BL126" s="118" t="str">
        <f>IF(BL$6="","",IF(BL$3="Maior",IFERROR(IF(VLOOKUP($N126,Capa!$A:$AE,BL$5,0)="",0,VLOOKUP($N126,Capa!$A:$AE,BL$5,0)),0),IF(ISERROR(1/VLOOKUP($N126,Capa!$A:$AE,BL$5,0)),0,1/VLOOKUP($N126,Capa!$A:$AE,BL$5,0))))</f>
        <v/>
      </c>
      <c r="BM126" s="118" t="str">
        <f>IF(BM$6="","",IF(BM$3="Maior",IFERROR(IF(VLOOKUP($N126,Capa!$A:$AE,BM$5,0)="",0,VLOOKUP($N126,Capa!$A:$AE,BM$5,0)),0),IF(ISERROR(1/VLOOKUP($N126,Capa!$A:$AE,BM$5,0)),0,1/VLOOKUP($N126,Capa!$A:$AE,BM$5,0))))</f>
        <v/>
      </c>
      <c r="BN126" s="118" t="str">
        <f>IF(BN$6="","",IF(BN$3="Maior",IFERROR(IF(VLOOKUP($N126,Capa!$A:$AE,BN$5,0)="",0,VLOOKUP($N126,Capa!$A:$AE,BN$5,0)),0),IF(ISERROR(1/VLOOKUP($N126,Capa!$A:$AE,BN$5,0)),0,1/VLOOKUP($N126,Capa!$A:$AE,BN$5,0))))</f>
        <v/>
      </c>
      <c r="BO126" s="92"/>
    </row>
    <row r="127">
      <c r="G127" s="11"/>
      <c r="H127" s="8">
        <v>121.0</v>
      </c>
      <c r="I127" s="110" t="str">
        <f t="shared" si="6"/>
        <v>AZUL4</v>
      </c>
      <c r="J127" s="111" t="str">
        <f>VLOOKUP(left(I127,4),Setor!A:D,3,0)&amp;" | "&amp;VLOOKUP(left(I127,4),Setor!A:D,4,0)</f>
        <v>Bens Industriais | Transporte</v>
      </c>
      <c r="K127" s="112">
        <f t="shared" si="7"/>
        <v>166924963.7</v>
      </c>
      <c r="L127" s="11"/>
      <c r="M127" s="11"/>
      <c r="N127" s="10" t="s">
        <v>173</v>
      </c>
      <c r="O127" s="113">
        <f t="shared" si="8"/>
        <v>293.0059</v>
      </c>
      <c r="P127" s="114">
        <f>VLOOKUP(N127,'Dados StatusInvest'!A:Z,26,0)</f>
        <v>32066558.58</v>
      </c>
      <c r="Q127" s="115">
        <f t="shared" si="9"/>
        <v>59.0059</v>
      </c>
      <c r="R127" s="116">
        <f t="shared" ref="R127:AO127" si="130">IF(AQ127="","", RANK(AQ127,AQ$7:AQ$503,0))</f>
        <v>15</v>
      </c>
      <c r="S127" s="115">
        <f t="shared" si="130"/>
        <v>219</v>
      </c>
      <c r="T127" s="115" t="str">
        <f t="shared" si="130"/>
        <v/>
      </c>
      <c r="U127" s="115" t="str">
        <f t="shared" si="130"/>
        <v/>
      </c>
      <c r="V127" s="115" t="str">
        <f t="shared" si="130"/>
        <v/>
      </c>
      <c r="W127" s="115" t="str">
        <f t="shared" si="130"/>
        <v/>
      </c>
      <c r="X127" s="115" t="str">
        <f t="shared" si="130"/>
        <v/>
      </c>
      <c r="Y127" s="115" t="str">
        <f t="shared" si="130"/>
        <v/>
      </c>
      <c r="Z127" s="115" t="str">
        <f t="shared" si="130"/>
        <v/>
      </c>
      <c r="AA127" s="115" t="str">
        <f t="shared" si="130"/>
        <v/>
      </c>
      <c r="AB127" s="115" t="str">
        <f t="shared" si="130"/>
        <v/>
      </c>
      <c r="AC127" s="115" t="str">
        <f t="shared" si="130"/>
        <v/>
      </c>
      <c r="AD127" s="115" t="str">
        <f t="shared" si="130"/>
        <v/>
      </c>
      <c r="AE127" s="115" t="str">
        <f t="shared" si="130"/>
        <v/>
      </c>
      <c r="AF127" s="115" t="str">
        <f t="shared" si="130"/>
        <v/>
      </c>
      <c r="AG127" s="115" t="str">
        <f t="shared" si="130"/>
        <v/>
      </c>
      <c r="AH127" s="115" t="str">
        <f t="shared" si="130"/>
        <v/>
      </c>
      <c r="AI127" s="115" t="str">
        <f t="shared" si="130"/>
        <v/>
      </c>
      <c r="AJ127" s="115" t="str">
        <f t="shared" si="130"/>
        <v/>
      </c>
      <c r="AK127" s="115" t="str">
        <f t="shared" si="130"/>
        <v/>
      </c>
      <c r="AL127" s="115" t="str">
        <f t="shared" si="130"/>
        <v/>
      </c>
      <c r="AM127" s="115" t="str">
        <f t="shared" si="130"/>
        <v/>
      </c>
      <c r="AN127" s="115" t="str">
        <f t="shared" si="130"/>
        <v/>
      </c>
      <c r="AO127" s="115" t="str">
        <f t="shared" si="130"/>
        <v/>
      </c>
      <c r="AP127" s="117">
        <f>IF(AP$6="","",IF(AP$3="Maior",IFERROR(IF(VLOOKUP($N127,Capa!$A:$AE,AP$5,0)="",0,VLOOKUP($N127,Capa!$A:$AE,AP$5,0)),0),IF(ISERROR(1/VLOOKUP($N127,Capa!$A:$AE,AP$5,0)),0,1/VLOOKUP($N127,Capa!$A:$AE,AP$5,0))))</f>
        <v>0.2345231937</v>
      </c>
      <c r="AQ127" s="118">
        <f>IF(AQ$6="","",IF(AQ$3="Maior",IFERROR(IF(VLOOKUP($N127,Capa!$A:$AE,AQ$5,0)="",0,VLOOKUP($N127,Capa!$A:$AE,AQ$5,0)),0),IF(ISERROR(1/VLOOKUP($N127,Capa!$A:$AE,AQ$5,0)),0,1/VLOOKUP($N127,Capa!$A:$AE,AQ$5,0))))</f>
        <v>69.02</v>
      </c>
      <c r="AR127" s="118">
        <f>IF(AR$6="","",IF(AR$3="Maior",IFERROR(IF(VLOOKUP($N127,Capa!$A:$AE,AR$5,0)="",0,VLOOKUP($N127,Capa!$A:$AE,AR$5,0)),0),IF(ISERROR(1/VLOOKUP($N127,Capa!$A:$AE,AR$5,0)),0,1/VLOOKUP($N127,Capa!$A:$AE,AR$5,0))))</f>
        <v>0</v>
      </c>
      <c r="AS127" s="118" t="str">
        <f>IF(AS$6="","",IF(AS$3="Maior",IFERROR(IF(VLOOKUP($N127,Capa!$A:$AE,AS$5,0)="",0,VLOOKUP($N127,Capa!$A:$AE,AS$5,0)),0),IF(ISERROR(1/VLOOKUP($N127,Capa!$A:$AE,AS$5,0)),0,1/VLOOKUP($N127,Capa!$A:$AE,AS$5,0))))</f>
        <v/>
      </c>
      <c r="AT127" s="118" t="str">
        <f>IF(AT$6="","",IF(AT$3="Maior",IFERROR(IF(VLOOKUP($N127,Capa!$A:$AE,AT$5,0)="",0,VLOOKUP($N127,Capa!$A:$AE,AT$5,0)),0),IF(ISERROR(1/VLOOKUP($N127,Capa!$A:$AE,AT$5,0)),0,1/VLOOKUP($N127,Capa!$A:$AE,AT$5,0))))</f>
        <v/>
      </c>
      <c r="AU127" s="118" t="str">
        <f>IF(AU$6="","",IF(AU$3="Maior",IFERROR(IF(VLOOKUP($N127,Capa!$A:$AE,AU$5,0)="",0,VLOOKUP($N127,Capa!$A:$AE,AU$5,0)),0),IF(ISERROR(1/VLOOKUP($N127,Capa!$A:$AE,AU$5,0)),0,1/VLOOKUP($N127,Capa!$A:$AE,AU$5,0))))</f>
        <v/>
      </c>
      <c r="AV127" s="118" t="str">
        <f>IF(AV$6="","",IF(AV$3="Maior",IFERROR(IF(VLOOKUP($N127,Capa!$A:$AE,AV$5,0)="",0,VLOOKUP($N127,Capa!$A:$AE,AV$5,0)),0),IF(ISERROR(1/VLOOKUP($N127,Capa!$A:$AE,AV$5,0)),0,1/VLOOKUP($N127,Capa!$A:$AE,AV$5,0))))</f>
        <v/>
      </c>
      <c r="AW127" s="118" t="str">
        <f>IF(AW$6="","",IF(AW$3="Maior",IFERROR(IF(VLOOKUP($N127,Capa!$A:$AE,AW$5,0)="",0,VLOOKUP($N127,Capa!$A:$AE,AW$5,0)),0),IF(ISERROR(1/VLOOKUP($N127,Capa!$A:$AE,AW$5,0)),0,1/VLOOKUP($N127,Capa!$A:$AE,AW$5,0))))</f>
        <v/>
      </c>
      <c r="AX127" s="118" t="str">
        <f>IF(AX$6="","",IF(AX$3="Maior",IFERROR(IF(VLOOKUP($N127,Capa!$A:$AE,AX$5,0)="",0,VLOOKUP($N127,Capa!$A:$AE,AX$5,0)),0),IF(ISERROR(1/VLOOKUP($N127,Capa!$A:$AE,AX$5,0)),0,1/VLOOKUP($N127,Capa!$A:$AE,AX$5,0))))</f>
        <v/>
      </c>
      <c r="AY127" s="118" t="str">
        <f>IF(AY$6="","",IF(AY$3="Maior",IFERROR(IF(VLOOKUP($N127,Capa!$A:$AE,AY$5,0)="",0,VLOOKUP($N127,Capa!$A:$AE,AY$5,0)),0),IF(ISERROR(1/VLOOKUP($N127,Capa!$A:$AE,AY$5,0)),0,1/VLOOKUP($N127,Capa!$A:$AE,AY$5,0))))</f>
        <v/>
      </c>
      <c r="AZ127" s="118" t="str">
        <f>IF(AZ$6="","",IF(AZ$3="Maior",IFERROR(IF(VLOOKUP($N127,Capa!$A:$AE,AZ$5,0)="",0,VLOOKUP($N127,Capa!$A:$AE,AZ$5,0)),0),IF(ISERROR(1/VLOOKUP($N127,Capa!$A:$AE,AZ$5,0)),0,1/VLOOKUP($N127,Capa!$A:$AE,AZ$5,0))))</f>
        <v/>
      </c>
      <c r="BA127" s="118" t="str">
        <f>IF(BA$6="","",IF(BA$3="Maior",IFERROR(IF(VLOOKUP($N127,Capa!$A:$AE,BA$5,0)="",0,VLOOKUP($N127,Capa!$A:$AE,BA$5,0)),0),IF(ISERROR(1/VLOOKUP($N127,Capa!$A:$AE,BA$5,0)),0,1/VLOOKUP($N127,Capa!$A:$AE,BA$5,0))))</f>
        <v/>
      </c>
      <c r="BB127" s="118" t="str">
        <f>IF(BB$6="","",IF(BB$3="Maior",IFERROR(IF(VLOOKUP($N127,Capa!$A:$AE,BB$5,0)="",0,VLOOKUP($N127,Capa!$A:$AE,BB$5,0)),0),IF(ISERROR(1/VLOOKUP($N127,Capa!$A:$AE,BB$5,0)),0,1/VLOOKUP($N127,Capa!$A:$AE,BB$5,0))))</f>
        <v/>
      </c>
      <c r="BC127" s="118" t="str">
        <f>IF(BC$6="","",IF(BC$3="Maior",IFERROR(IF(VLOOKUP($N127,Capa!$A:$AE,BC$5,0)="",0,VLOOKUP($N127,Capa!$A:$AE,BC$5,0)),0),IF(ISERROR(1/VLOOKUP($N127,Capa!$A:$AE,BC$5,0)),0,1/VLOOKUP($N127,Capa!$A:$AE,BC$5,0))))</f>
        <v/>
      </c>
      <c r="BD127" s="118" t="str">
        <f>IF(BD$6="","",IF(BD$3="Maior",IFERROR(IF(VLOOKUP($N127,Capa!$A:$AE,BD$5,0)="",0,VLOOKUP($N127,Capa!$A:$AE,BD$5,0)),0),IF(ISERROR(1/VLOOKUP($N127,Capa!$A:$AE,BD$5,0)),0,1/VLOOKUP($N127,Capa!$A:$AE,BD$5,0))))</f>
        <v/>
      </c>
      <c r="BE127" s="118" t="str">
        <f>IF(BE$6="","",IF(BE$3="Maior",IFERROR(IF(VLOOKUP($N127,Capa!$A:$AE,BE$5,0)="",0,VLOOKUP($N127,Capa!$A:$AE,BE$5,0)),0),IF(ISERROR(1/VLOOKUP($N127,Capa!$A:$AE,BE$5,0)),0,1/VLOOKUP($N127,Capa!$A:$AE,BE$5,0))))</f>
        <v/>
      </c>
      <c r="BF127" s="118" t="str">
        <f>IF(BF$6="","",IF(BF$3="Maior",IFERROR(IF(VLOOKUP($N127,Capa!$A:$AE,BF$5,0)="",0,VLOOKUP($N127,Capa!$A:$AE,BF$5,0)),0),IF(ISERROR(1/VLOOKUP($N127,Capa!$A:$AE,BF$5,0)),0,1/VLOOKUP($N127,Capa!$A:$AE,BF$5,0))))</f>
        <v/>
      </c>
      <c r="BG127" s="118" t="str">
        <f>IF(BG$6="","",IF(BG$3="Maior",IFERROR(IF(VLOOKUP($N127,Capa!$A:$AE,BG$5,0)="",0,VLOOKUP($N127,Capa!$A:$AE,BG$5,0)),0),IF(ISERROR(1/VLOOKUP($N127,Capa!$A:$AE,BG$5,0)),0,1/VLOOKUP($N127,Capa!$A:$AE,BG$5,0))))</f>
        <v/>
      </c>
      <c r="BH127" s="118" t="str">
        <f>IF(BH$6="","",IF(BH$3="Maior",IFERROR(IF(VLOOKUP($N127,Capa!$A:$AE,BH$5,0)="",0,VLOOKUP($N127,Capa!$A:$AE,BH$5,0)),0),IF(ISERROR(1/VLOOKUP($N127,Capa!$A:$AE,BH$5,0)),0,1/VLOOKUP($N127,Capa!$A:$AE,BH$5,0))))</f>
        <v/>
      </c>
      <c r="BI127" s="118" t="str">
        <f>IF(BI$6="","",IF(BI$3="Maior",IFERROR(IF(VLOOKUP($N127,Capa!$A:$AE,BI$5,0)="",0,VLOOKUP($N127,Capa!$A:$AE,BI$5,0)),0),IF(ISERROR(1/VLOOKUP($N127,Capa!$A:$AE,BI$5,0)),0,1/VLOOKUP($N127,Capa!$A:$AE,BI$5,0))))</f>
        <v/>
      </c>
      <c r="BJ127" s="118" t="str">
        <f>IF(BJ$6="","",IF(BJ$3="Maior",IFERROR(IF(VLOOKUP($N127,Capa!$A:$AE,BJ$5,0)="",0,VLOOKUP($N127,Capa!$A:$AE,BJ$5,0)),0),IF(ISERROR(1/VLOOKUP($N127,Capa!$A:$AE,BJ$5,0)),0,1/VLOOKUP($N127,Capa!$A:$AE,BJ$5,0))))</f>
        <v/>
      </c>
      <c r="BK127" s="118" t="str">
        <f>IF(BK$6="","",IF(BK$3="Maior",IFERROR(IF(VLOOKUP($N127,Capa!$A:$AE,BK$5,0)="",0,VLOOKUP($N127,Capa!$A:$AE,BK$5,0)),0),IF(ISERROR(1/VLOOKUP($N127,Capa!$A:$AE,BK$5,0)),0,1/VLOOKUP($N127,Capa!$A:$AE,BK$5,0))))</f>
        <v/>
      </c>
      <c r="BL127" s="118" t="str">
        <f>IF(BL$6="","",IF(BL$3="Maior",IFERROR(IF(VLOOKUP($N127,Capa!$A:$AE,BL$5,0)="",0,VLOOKUP($N127,Capa!$A:$AE,BL$5,0)),0),IF(ISERROR(1/VLOOKUP($N127,Capa!$A:$AE,BL$5,0)),0,1/VLOOKUP($N127,Capa!$A:$AE,BL$5,0))))</f>
        <v/>
      </c>
      <c r="BM127" s="118" t="str">
        <f>IF(BM$6="","",IF(BM$3="Maior",IFERROR(IF(VLOOKUP($N127,Capa!$A:$AE,BM$5,0)="",0,VLOOKUP($N127,Capa!$A:$AE,BM$5,0)),0),IF(ISERROR(1/VLOOKUP($N127,Capa!$A:$AE,BM$5,0)),0,1/VLOOKUP($N127,Capa!$A:$AE,BM$5,0))))</f>
        <v/>
      </c>
      <c r="BN127" s="118" t="str">
        <f>IF(BN$6="","",IF(BN$3="Maior",IFERROR(IF(VLOOKUP($N127,Capa!$A:$AE,BN$5,0)="",0,VLOOKUP($N127,Capa!$A:$AE,BN$5,0)),0),IF(ISERROR(1/VLOOKUP($N127,Capa!$A:$AE,BN$5,0)),0,1/VLOOKUP($N127,Capa!$A:$AE,BN$5,0))))</f>
        <v/>
      </c>
      <c r="BO127" s="92"/>
    </row>
    <row r="128">
      <c r="G128" s="11"/>
      <c r="H128" s="8">
        <v>122.0</v>
      </c>
      <c r="I128" s="110" t="str">
        <f t="shared" si="6"/>
        <v>MGLU3</v>
      </c>
      <c r="J128" s="111" t="str">
        <f>VLOOKUP(left(I128,4),Setor!A:D,3,0)&amp;" | "&amp;VLOOKUP(left(I128,4),Setor!A:D,4,0)</f>
        <v>Consumo Cíclico | Comércio</v>
      </c>
      <c r="K128" s="112">
        <f t="shared" si="7"/>
        <v>598729703.8</v>
      </c>
      <c r="L128" s="11"/>
      <c r="M128" s="11"/>
      <c r="N128" s="10" t="s">
        <v>174</v>
      </c>
      <c r="O128" s="113">
        <f t="shared" si="8"/>
        <v>837.0338</v>
      </c>
      <c r="P128" s="114">
        <f>VLOOKUP(N128,'Dados StatusInvest'!A:Z,26,0)</f>
        <v>25911061.38</v>
      </c>
      <c r="Q128" s="115">
        <f t="shared" si="9"/>
        <v>338.0338</v>
      </c>
      <c r="R128" s="116">
        <f t="shared" ref="R128:AO128" si="131">IF(AQ128="","", RANK(AQ128,AQ$7:AQ$503,0))</f>
        <v>280</v>
      </c>
      <c r="S128" s="115">
        <f t="shared" si="131"/>
        <v>219</v>
      </c>
      <c r="T128" s="115" t="str">
        <f t="shared" si="131"/>
        <v/>
      </c>
      <c r="U128" s="115" t="str">
        <f t="shared" si="131"/>
        <v/>
      </c>
      <c r="V128" s="115" t="str">
        <f t="shared" si="131"/>
        <v/>
      </c>
      <c r="W128" s="115" t="str">
        <f t="shared" si="131"/>
        <v/>
      </c>
      <c r="X128" s="115" t="str">
        <f t="shared" si="131"/>
        <v/>
      </c>
      <c r="Y128" s="115" t="str">
        <f t="shared" si="131"/>
        <v/>
      </c>
      <c r="Z128" s="115" t="str">
        <f t="shared" si="131"/>
        <v/>
      </c>
      <c r="AA128" s="115" t="str">
        <f t="shared" si="131"/>
        <v/>
      </c>
      <c r="AB128" s="115" t="str">
        <f t="shared" si="131"/>
        <v/>
      </c>
      <c r="AC128" s="115" t="str">
        <f t="shared" si="131"/>
        <v/>
      </c>
      <c r="AD128" s="115" t="str">
        <f t="shared" si="131"/>
        <v/>
      </c>
      <c r="AE128" s="115" t="str">
        <f t="shared" si="131"/>
        <v/>
      </c>
      <c r="AF128" s="115" t="str">
        <f t="shared" si="131"/>
        <v/>
      </c>
      <c r="AG128" s="115" t="str">
        <f t="shared" si="131"/>
        <v/>
      </c>
      <c r="AH128" s="115" t="str">
        <f t="shared" si="131"/>
        <v/>
      </c>
      <c r="AI128" s="115" t="str">
        <f t="shared" si="131"/>
        <v/>
      </c>
      <c r="AJ128" s="115" t="str">
        <f t="shared" si="131"/>
        <v/>
      </c>
      <c r="AK128" s="115" t="str">
        <f t="shared" si="131"/>
        <v/>
      </c>
      <c r="AL128" s="115" t="str">
        <f t="shared" si="131"/>
        <v/>
      </c>
      <c r="AM128" s="115" t="str">
        <f t="shared" si="131"/>
        <v/>
      </c>
      <c r="AN128" s="115" t="str">
        <f t="shared" si="131"/>
        <v/>
      </c>
      <c r="AO128" s="115" t="str">
        <f t="shared" si="131"/>
        <v/>
      </c>
      <c r="AP128" s="117">
        <f>IF(AP$6="","",IF(AP$3="Maior",IFERROR(IF(VLOOKUP($N128,Capa!$A:$AE,AP$5,0)="",0,VLOOKUP($N128,Capa!$A:$AE,AP$5,0)),0),IF(ISERROR(1/VLOOKUP($N128,Capa!$A:$AE,AP$5,0)),0,1/VLOOKUP($N128,Capa!$A:$AE,AP$5,0))))</f>
        <v>0.03668908456</v>
      </c>
      <c r="AQ128" s="118">
        <f>IF(AQ$6="","",IF(AQ$3="Maior",IFERROR(IF(VLOOKUP($N128,Capa!$A:$AE,AQ$5,0)="",0,VLOOKUP($N128,Capa!$A:$AE,AQ$5,0)),0),IF(ISERROR(1/VLOOKUP($N128,Capa!$A:$AE,AQ$5,0)),0,1/VLOOKUP($N128,Capa!$A:$AE,AQ$5,0))))</f>
        <v>6.16</v>
      </c>
      <c r="AR128" s="118">
        <f>IF(AR$6="","",IF(AR$3="Maior",IFERROR(IF(VLOOKUP($N128,Capa!$A:$AE,AR$5,0)="",0,VLOOKUP($N128,Capa!$A:$AE,AR$5,0)),0),IF(ISERROR(1/VLOOKUP($N128,Capa!$A:$AE,AR$5,0)),0,1/VLOOKUP($N128,Capa!$A:$AE,AR$5,0))))</f>
        <v>0</v>
      </c>
      <c r="AS128" s="118" t="str">
        <f>IF(AS$6="","",IF(AS$3="Maior",IFERROR(IF(VLOOKUP($N128,Capa!$A:$AE,AS$5,0)="",0,VLOOKUP($N128,Capa!$A:$AE,AS$5,0)),0),IF(ISERROR(1/VLOOKUP($N128,Capa!$A:$AE,AS$5,0)),0,1/VLOOKUP($N128,Capa!$A:$AE,AS$5,0))))</f>
        <v/>
      </c>
      <c r="AT128" s="118" t="str">
        <f>IF(AT$6="","",IF(AT$3="Maior",IFERROR(IF(VLOOKUP($N128,Capa!$A:$AE,AT$5,0)="",0,VLOOKUP($N128,Capa!$A:$AE,AT$5,0)),0),IF(ISERROR(1/VLOOKUP($N128,Capa!$A:$AE,AT$5,0)),0,1/VLOOKUP($N128,Capa!$A:$AE,AT$5,0))))</f>
        <v/>
      </c>
      <c r="AU128" s="118" t="str">
        <f>IF(AU$6="","",IF(AU$3="Maior",IFERROR(IF(VLOOKUP($N128,Capa!$A:$AE,AU$5,0)="",0,VLOOKUP($N128,Capa!$A:$AE,AU$5,0)),0),IF(ISERROR(1/VLOOKUP($N128,Capa!$A:$AE,AU$5,0)),0,1/VLOOKUP($N128,Capa!$A:$AE,AU$5,0))))</f>
        <v/>
      </c>
      <c r="AV128" s="118" t="str">
        <f>IF(AV$6="","",IF(AV$3="Maior",IFERROR(IF(VLOOKUP($N128,Capa!$A:$AE,AV$5,0)="",0,VLOOKUP($N128,Capa!$A:$AE,AV$5,0)),0),IF(ISERROR(1/VLOOKUP($N128,Capa!$A:$AE,AV$5,0)),0,1/VLOOKUP($N128,Capa!$A:$AE,AV$5,0))))</f>
        <v/>
      </c>
      <c r="AW128" s="118" t="str">
        <f>IF(AW$6="","",IF(AW$3="Maior",IFERROR(IF(VLOOKUP($N128,Capa!$A:$AE,AW$5,0)="",0,VLOOKUP($N128,Capa!$A:$AE,AW$5,0)),0),IF(ISERROR(1/VLOOKUP($N128,Capa!$A:$AE,AW$5,0)),0,1/VLOOKUP($N128,Capa!$A:$AE,AW$5,0))))</f>
        <v/>
      </c>
      <c r="AX128" s="118" t="str">
        <f>IF(AX$6="","",IF(AX$3="Maior",IFERROR(IF(VLOOKUP($N128,Capa!$A:$AE,AX$5,0)="",0,VLOOKUP($N128,Capa!$A:$AE,AX$5,0)),0),IF(ISERROR(1/VLOOKUP($N128,Capa!$A:$AE,AX$5,0)),0,1/VLOOKUP($N128,Capa!$A:$AE,AX$5,0))))</f>
        <v/>
      </c>
      <c r="AY128" s="118" t="str">
        <f>IF(AY$6="","",IF(AY$3="Maior",IFERROR(IF(VLOOKUP($N128,Capa!$A:$AE,AY$5,0)="",0,VLOOKUP($N128,Capa!$A:$AE,AY$5,0)),0),IF(ISERROR(1/VLOOKUP($N128,Capa!$A:$AE,AY$5,0)),0,1/VLOOKUP($N128,Capa!$A:$AE,AY$5,0))))</f>
        <v/>
      </c>
      <c r="AZ128" s="118" t="str">
        <f>IF(AZ$6="","",IF(AZ$3="Maior",IFERROR(IF(VLOOKUP($N128,Capa!$A:$AE,AZ$5,0)="",0,VLOOKUP($N128,Capa!$A:$AE,AZ$5,0)),0),IF(ISERROR(1/VLOOKUP($N128,Capa!$A:$AE,AZ$5,0)),0,1/VLOOKUP($N128,Capa!$A:$AE,AZ$5,0))))</f>
        <v/>
      </c>
      <c r="BA128" s="118" t="str">
        <f>IF(BA$6="","",IF(BA$3="Maior",IFERROR(IF(VLOOKUP($N128,Capa!$A:$AE,BA$5,0)="",0,VLOOKUP($N128,Capa!$A:$AE,BA$5,0)),0),IF(ISERROR(1/VLOOKUP($N128,Capa!$A:$AE,BA$5,0)),0,1/VLOOKUP($N128,Capa!$A:$AE,BA$5,0))))</f>
        <v/>
      </c>
      <c r="BB128" s="118" t="str">
        <f>IF(BB$6="","",IF(BB$3="Maior",IFERROR(IF(VLOOKUP($N128,Capa!$A:$AE,BB$5,0)="",0,VLOOKUP($N128,Capa!$A:$AE,BB$5,0)),0),IF(ISERROR(1/VLOOKUP($N128,Capa!$A:$AE,BB$5,0)),0,1/VLOOKUP($N128,Capa!$A:$AE,BB$5,0))))</f>
        <v/>
      </c>
      <c r="BC128" s="118" t="str">
        <f>IF(BC$6="","",IF(BC$3="Maior",IFERROR(IF(VLOOKUP($N128,Capa!$A:$AE,BC$5,0)="",0,VLOOKUP($N128,Capa!$A:$AE,BC$5,0)),0),IF(ISERROR(1/VLOOKUP($N128,Capa!$A:$AE,BC$5,0)),0,1/VLOOKUP($N128,Capa!$A:$AE,BC$5,0))))</f>
        <v/>
      </c>
      <c r="BD128" s="118" t="str">
        <f>IF(BD$6="","",IF(BD$3="Maior",IFERROR(IF(VLOOKUP($N128,Capa!$A:$AE,BD$5,0)="",0,VLOOKUP($N128,Capa!$A:$AE,BD$5,0)),0),IF(ISERROR(1/VLOOKUP($N128,Capa!$A:$AE,BD$5,0)),0,1/VLOOKUP($N128,Capa!$A:$AE,BD$5,0))))</f>
        <v/>
      </c>
      <c r="BE128" s="118" t="str">
        <f>IF(BE$6="","",IF(BE$3="Maior",IFERROR(IF(VLOOKUP($N128,Capa!$A:$AE,BE$5,0)="",0,VLOOKUP($N128,Capa!$A:$AE,BE$5,0)),0),IF(ISERROR(1/VLOOKUP($N128,Capa!$A:$AE,BE$5,0)),0,1/VLOOKUP($N128,Capa!$A:$AE,BE$5,0))))</f>
        <v/>
      </c>
      <c r="BF128" s="118" t="str">
        <f>IF(BF$6="","",IF(BF$3="Maior",IFERROR(IF(VLOOKUP($N128,Capa!$A:$AE,BF$5,0)="",0,VLOOKUP($N128,Capa!$A:$AE,BF$5,0)),0),IF(ISERROR(1/VLOOKUP($N128,Capa!$A:$AE,BF$5,0)),0,1/VLOOKUP($N128,Capa!$A:$AE,BF$5,0))))</f>
        <v/>
      </c>
      <c r="BG128" s="118" t="str">
        <f>IF(BG$6="","",IF(BG$3="Maior",IFERROR(IF(VLOOKUP($N128,Capa!$A:$AE,BG$5,0)="",0,VLOOKUP($N128,Capa!$A:$AE,BG$5,0)),0),IF(ISERROR(1/VLOOKUP($N128,Capa!$A:$AE,BG$5,0)),0,1/VLOOKUP($N128,Capa!$A:$AE,BG$5,0))))</f>
        <v/>
      </c>
      <c r="BH128" s="118" t="str">
        <f>IF(BH$6="","",IF(BH$3="Maior",IFERROR(IF(VLOOKUP($N128,Capa!$A:$AE,BH$5,0)="",0,VLOOKUP($N128,Capa!$A:$AE,BH$5,0)),0),IF(ISERROR(1/VLOOKUP($N128,Capa!$A:$AE,BH$5,0)),0,1/VLOOKUP($N128,Capa!$A:$AE,BH$5,0))))</f>
        <v/>
      </c>
      <c r="BI128" s="118" t="str">
        <f>IF(BI$6="","",IF(BI$3="Maior",IFERROR(IF(VLOOKUP($N128,Capa!$A:$AE,BI$5,0)="",0,VLOOKUP($N128,Capa!$A:$AE,BI$5,0)),0),IF(ISERROR(1/VLOOKUP($N128,Capa!$A:$AE,BI$5,0)),0,1/VLOOKUP($N128,Capa!$A:$AE,BI$5,0))))</f>
        <v/>
      </c>
      <c r="BJ128" s="118" t="str">
        <f>IF(BJ$6="","",IF(BJ$3="Maior",IFERROR(IF(VLOOKUP($N128,Capa!$A:$AE,BJ$5,0)="",0,VLOOKUP($N128,Capa!$A:$AE,BJ$5,0)),0),IF(ISERROR(1/VLOOKUP($N128,Capa!$A:$AE,BJ$5,0)),0,1/VLOOKUP($N128,Capa!$A:$AE,BJ$5,0))))</f>
        <v/>
      </c>
      <c r="BK128" s="118" t="str">
        <f>IF(BK$6="","",IF(BK$3="Maior",IFERROR(IF(VLOOKUP($N128,Capa!$A:$AE,BK$5,0)="",0,VLOOKUP($N128,Capa!$A:$AE,BK$5,0)),0),IF(ISERROR(1/VLOOKUP($N128,Capa!$A:$AE,BK$5,0)),0,1/VLOOKUP($N128,Capa!$A:$AE,BK$5,0))))</f>
        <v/>
      </c>
      <c r="BL128" s="118" t="str">
        <f>IF(BL$6="","",IF(BL$3="Maior",IFERROR(IF(VLOOKUP($N128,Capa!$A:$AE,BL$5,0)="",0,VLOOKUP($N128,Capa!$A:$AE,BL$5,0)),0),IF(ISERROR(1/VLOOKUP($N128,Capa!$A:$AE,BL$5,0)),0,1/VLOOKUP($N128,Capa!$A:$AE,BL$5,0))))</f>
        <v/>
      </c>
      <c r="BM128" s="118" t="str">
        <f>IF(BM$6="","",IF(BM$3="Maior",IFERROR(IF(VLOOKUP($N128,Capa!$A:$AE,BM$5,0)="",0,VLOOKUP($N128,Capa!$A:$AE,BM$5,0)),0),IF(ISERROR(1/VLOOKUP($N128,Capa!$A:$AE,BM$5,0)),0,1/VLOOKUP($N128,Capa!$A:$AE,BM$5,0))))</f>
        <v/>
      </c>
      <c r="BN128" s="118" t="str">
        <f>IF(BN$6="","",IF(BN$3="Maior",IFERROR(IF(VLOOKUP($N128,Capa!$A:$AE,BN$5,0)="",0,VLOOKUP($N128,Capa!$A:$AE,BN$5,0)),0),IF(ISERROR(1/VLOOKUP($N128,Capa!$A:$AE,BN$5,0)),0,1/VLOOKUP($N128,Capa!$A:$AE,BN$5,0))))</f>
        <v/>
      </c>
      <c r="BO128" s="92"/>
    </row>
    <row r="129">
      <c r="G129" s="11"/>
      <c r="H129" s="8">
        <v>123.0</v>
      </c>
      <c r="I129" s="110" t="str">
        <f t="shared" si="6"/>
        <v>BPAC11</v>
      </c>
      <c r="J129" s="111" t="str">
        <f>VLOOKUP(left(I129,4),Setor!A:D,3,0)&amp;" | "&amp;VLOOKUP(left(I129,4),Setor!A:D,4,0)</f>
        <v>Financeiro | Intermediários Financeiros</v>
      </c>
      <c r="K129" s="112">
        <f t="shared" si="7"/>
        <v>304905653.4</v>
      </c>
      <c r="L129" s="11"/>
      <c r="M129" s="11"/>
      <c r="N129" s="10" t="s">
        <v>175</v>
      </c>
      <c r="O129" s="113">
        <f t="shared" si="8"/>
        <v>385.0104</v>
      </c>
      <c r="P129" s="114">
        <f>VLOOKUP(N129,'Dados StatusInvest'!A:Z,26,0)</f>
        <v>36615214.42</v>
      </c>
      <c r="Q129" s="115">
        <f t="shared" si="9"/>
        <v>104.0104</v>
      </c>
      <c r="R129" s="116">
        <f t="shared" ref="R129:AO129" si="132">IF(AQ129="","", RANK(AQ129,AQ$7:AQ$503,0))</f>
        <v>252</v>
      </c>
      <c r="S129" s="115">
        <f t="shared" si="132"/>
        <v>29</v>
      </c>
      <c r="T129" s="115" t="str">
        <f t="shared" si="132"/>
        <v/>
      </c>
      <c r="U129" s="115" t="str">
        <f t="shared" si="132"/>
        <v/>
      </c>
      <c r="V129" s="115" t="str">
        <f t="shared" si="132"/>
        <v/>
      </c>
      <c r="W129" s="115" t="str">
        <f t="shared" si="132"/>
        <v/>
      </c>
      <c r="X129" s="115" t="str">
        <f t="shared" si="132"/>
        <v/>
      </c>
      <c r="Y129" s="115" t="str">
        <f t="shared" si="132"/>
        <v/>
      </c>
      <c r="Z129" s="115" t="str">
        <f t="shared" si="132"/>
        <v/>
      </c>
      <c r="AA129" s="115" t="str">
        <f t="shared" si="132"/>
        <v/>
      </c>
      <c r="AB129" s="115" t="str">
        <f t="shared" si="132"/>
        <v/>
      </c>
      <c r="AC129" s="115" t="str">
        <f t="shared" si="132"/>
        <v/>
      </c>
      <c r="AD129" s="115" t="str">
        <f t="shared" si="132"/>
        <v/>
      </c>
      <c r="AE129" s="115" t="str">
        <f t="shared" si="132"/>
        <v/>
      </c>
      <c r="AF129" s="115" t="str">
        <f t="shared" si="132"/>
        <v/>
      </c>
      <c r="AG129" s="115" t="str">
        <f t="shared" si="132"/>
        <v/>
      </c>
      <c r="AH129" s="115" t="str">
        <f t="shared" si="132"/>
        <v/>
      </c>
      <c r="AI129" s="115" t="str">
        <f t="shared" si="132"/>
        <v/>
      </c>
      <c r="AJ129" s="115" t="str">
        <f t="shared" si="132"/>
        <v/>
      </c>
      <c r="AK129" s="115" t="str">
        <f t="shared" si="132"/>
        <v/>
      </c>
      <c r="AL129" s="115" t="str">
        <f t="shared" si="132"/>
        <v/>
      </c>
      <c r="AM129" s="115" t="str">
        <f t="shared" si="132"/>
        <v/>
      </c>
      <c r="AN129" s="115" t="str">
        <f t="shared" si="132"/>
        <v/>
      </c>
      <c r="AO129" s="115" t="str">
        <f t="shared" si="132"/>
        <v/>
      </c>
      <c r="AP129" s="117">
        <f>IF(AP$6="","",IF(AP$3="Maior",IFERROR(IF(VLOOKUP($N129,Capa!$A:$AE,AP$5,0)="",0,VLOOKUP($N129,Capa!$A:$AE,AP$5,0)),0),IF(ISERROR(1/VLOOKUP($N129,Capa!$A:$AE,AP$5,0)),0,1/VLOOKUP($N129,Capa!$A:$AE,AP$5,0))))</f>
        <v>0.1808308218</v>
      </c>
      <c r="AQ129" s="118">
        <f>IF(AQ$6="","",IF(AQ$3="Maior",IFERROR(IF(VLOOKUP($N129,Capa!$A:$AE,AQ$5,0)="",0,VLOOKUP($N129,Capa!$A:$AE,AQ$5,0)),0),IF(ISERROR(1/VLOOKUP($N129,Capa!$A:$AE,AQ$5,0)),0,1/VLOOKUP($N129,Capa!$A:$AE,AQ$5,0))))</f>
        <v>8.2</v>
      </c>
      <c r="AR129" s="118">
        <f>IF(AR$6="","",IF(AR$3="Maior",IFERROR(IF(VLOOKUP($N129,Capa!$A:$AE,AR$5,0)="",0,VLOOKUP($N129,Capa!$A:$AE,AR$5,0)),0),IF(ISERROR(1/VLOOKUP($N129,Capa!$A:$AE,AR$5,0)),0,1/VLOOKUP($N129,Capa!$A:$AE,AR$5,0))))</f>
        <v>69.63</v>
      </c>
      <c r="AS129" s="118" t="str">
        <f>IF(AS$6="","",IF(AS$3="Maior",IFERROR(IF(VLOOKUP($N129,Capa!$A:$AE,AS$5,0)="",0,VLOOKUP($N129,Capa!$A:$AE,AS$5,0)),0),IF(ISERROR(1/VLOOKUP($N129,Capa!$A:$AE,AS$5,0)),0,1/VLOOKUP($N129,Capa!$A:$AE,AS$5,0))))</f>
        <v/>
      </c>
      <c r="AT129" s="118" t="str">
        <f>IF(AT$6="","",IF(AT$3="Maior",IFERROR(IF(VLOOKUP($N129,Capa!$A:$AE,AT$5,0)="",0,VLOOKUP($N129,Capa!$A:$AE,AT$5,0)),0),IF(ISERROR(1/VLOOKUP($N129,Capa!$A:$AE,AT$5,0)),0,1/VLOOKUP($N129,Capa!$A:$AE,AT$5,0))))</f>
        <v/>
      </c>
      <c r="AU129" s="118" t="str">
        <f>IF(AU$6="","",IF(AU$3="Maior",IFERROR(IF(VLOOKUP($N129,Capa!$A:$AE,AU$5,0)="",0,VLOOKUP($N129,Capa!$A:$AE,AU$5,0)),0),IF(ISERROR(1/VLOOKUP($N129,Capa!$A:$AE,AU$5,0)),0,1/VLOOKUP($N129,Capa!$A:$AE,AU$5,0))))</f>
        <v/>
      </c>
      <c r="AV129" s="118" t="str">
        <f>IF(AV$6="","",IF(AV$3="Maior",IFERROR(IF(VLOOKUP($N129,Capa!$A:$AE,AV$5,0)="",0,VLOOKUP($N129,Capa!$A:$AE,AV$5,0)),0),IF(ISERROR(1/VLOOKUP($N129,Capa!$A:$AE,AV$5,0)),0,1/VLOOKUP($N129,Capa!$A:$AE,AV$5,0))))</f>
        <v/>
      </c>
      <c r="AW129" s="118" t="str">
        <f>IF(AW$6="","",IF(AW$3="Maior",IFERROR(IF(VLOOKUP($N129,Capa!$A:$AE,AW$5,0)="",0,VLOOKUP($N129,Capa!$A:$AE,AW$5,0)),0),IF(ISERROR(1/VLOOKUP($N129,Capa!$A:$AE,AW$5,0)),0,1/VLOOKUP($N129,Capa!$A:$AE,AW$5,0))))</f>
        <v/>
      </c>
      <c r="AX129" s="118" t="str">
        <f>IF(AX$6="","",IF(AX$3="Maior",IFERROR(IF(VLOOKUP($N129,Capa!$A:$AE,AX$5,0)="",0,VLOOKUP($N129,Capa!$A:$AE,AX$5,0)),0),IF(ISERROR(1/VLOOKUP($N129,Capa!$A:$AE,AX$5,0)),0,1/VLOOKUP($N129,Capa!$A:$AE,AX$5,0))))</f>
        <v/>
      </c>
      <c r="AY129" s="118" t="str">
        <f>IF(AY$6="","",IF(AY$3="Maior",IFERROR(IF(VLOOKUP($N129,Capa!$A:$AE,AY$5,0)="",0,VLOOKUP($N129,Capa!$A:$AE,AY$5,0)),0),IF(ISERROR(1/VLOOKUP($N129,Capa!$A:$AE,AY$5,0)),0,1/VLOOKUP($N129,Capa!$A:$AE,AY$5,0))))</f>
        <v/>
      </c>
      <c r="AZ129" s="118" t="str">
        <f>IF(AZ$6="","",IF(AZ$3="Maior",IFERROR(IF(VLOOKUP($N129,Capa!$A:$AE,AZ$5,0)="",0,VLOOKUP($N129,Capa!$A:$AE,AZ$5,0)),0),IF(ISERROR(1/VLOOKUP($N129,Capa!$A:$AE,AZ$5,0)),0,1/VLOOKUP($N129,Capa!$A:$AE,AZ$5,0))))</f>
        <v/>
      </c>
      <c r="BA129" s="118" t="str">
        <f>IF(BA$6="","",IF(BA$3="Maior",IFERROR(IF(VLOOKUP($N129,Capa!$A:$AE,BA$5,0)="",0,VLOOKUP($N129,Capa!$A:$AE,BA$5,0)),0),IF(ISERROR(1/VLOOKUP($N129,Capa!$A:$AE,BA$5,0)),0,1/VLOOKUP($N129,Capa!$A:$AE,BA$5,0))))</f>
        <v/>
      </c>
      <c r="BB129" s="118" t="str">
        <f>IF(BB$6="","",IF(BB$3="Maior",IFERROR(IF(VLOOKUP($N129,Capa!$A:$AE,BB$5,0)="",0,VLOOKUP($N129,Capa!$A:$AE,BB$5,0)),0),IF(ISERROR(1/VLOOKUP($N129,Capa!$A:$AE,BB$5,0)),0,1/VLOOKUP($N129,Capa!$A:$AE,BB$5,0))))</f>
        <v/>
      </c>
      <c r="BC129" s="118" t="str">
        <f>IF(BC$6="","",IF(BC$3="Maior",IFERROR(IF(VLOOKUP($N129,Capa!$A:$AE,BC$5,0)="",0,VLOOKUP($N129,Capa!$A:$AE,BC$5,0)),0),IF(ISERROR(1/VLOOKUP($N129,Capa!$A:$AE,BC$5,0)),0,1/VLOOKUP($N129,Capa!$A:$AE,BC$5,0))))</f>
        <v/>
      </c>
      <c r="BD129" s="118" t="str">
        <f>IF(BD$6="","",IF(BD$3="Maior",IFERROR(IF(VLOOKUP($N129,Capa!$A:$AE,BD$5,0)="",0,VLOOKUP($N129,Capa!$A:$AE,BD$5,0)),0),IF(ISERROR(1/VLOOKUP($N129,Capa!$A:$AE,BD$5,0)),0,1/VLOOKUP($N129,Capa!$A:$AE,BD$5,0))))</f>
        <v/>
      </c>
      <c r="BE129" s="118" t="str">
        <f>IF(BE$6="","",IF(BE$3="Maior",IFERROR(IF(VLOOKUP($N129,Capa!$A:$AE,BE$5,0)="",0,VLOOKUP($N129,Capa!$A:$AE,BE$5,0)),0),IF(ISERROR(1/VLOOKUP($N129,Capa!$A:$AE,BE$5,0)),0,1/VLOOKUP($N129,Capa!$A:$AE,BE$5,0))))</f>
        <v/>
      </c>
      <c r="BF129" s="118" t="str">
        <f>IF(BF$6="","",IF(BF$3="Maior",IFERROR(IF(VLOOKUP($N129,Capa!$A:$AE,BF$5,0)="",0,VLOOKUP($N129,Capa!$A:$AE,BF$5,0)),0),IF(ISERROR(1/VLOOKUP($N129,Capa!$A:$AE,BF$5,0)),0,1/VLOOKUP($N129,Capa!$A:$AE,BF$5,0))))</f>
        <v/>
      </c>
      <c r="BG129" s="118" t="str">
        <f>IF(BG$6="","",IF(BG$3="Maior",IFERROR(IF(VLOOKUP($N129,Capa!$A:$AE,BG$5,0)="",0,VLOOKUP($N129,Capa!$A:$AE,BG$5,0)),0),IF(ISERROR(1/VLOOKUP($N129,Capa!$A:$AE,BG$5,0)),0,1/VLOOKUP($N129,Capa!$A:$AE,BG$5,0))))</f>
        <v/>
      </c>
      <c r="BH129" s="118" t="str">
        <f>IF(BH$6="","",IF(BH$3="Maior",IFERROR(IF(VLOOKUP($N129,Capa!$A:$AE,BH$5,0)="",0,VLOOKUP($N129,Capa!$A:$AE,BH$5,0)),0),IF(ISERROR(1/VLOOKUP($N129,Capa!$A:$AE,BH$5,0)),0,1/VLOOKUP($N129,Capa!$A:$AE,BH$5,0))))</f>
        <v/>
      </c>
      <c r="BI129" s="118" t="str">
        <f>IF(BI$6="","",IF(BI$3="Maior",IFERROR(IF(VLOOKUP($N129,Capa!$A:$AE,BI$5,0)="",0,VLOOKUP($N129,Capa!$A:$AE,BI$5,0)),0),IF(ISERROR(1/VLOOKUP($N129,Capa!$A:$AE,BI$5,0)),0,1/VLOOKUP($N129,Capa!$A:$AE,BI$5,0))))</f>
        <v/>
      </c>
      <c r="BJ129" s="118" t="str">
        <f>IF(BJ$6="","",IF(BJ$3="Maior",IFERROR(IF(VLOOKUP($N129,Capa!$A:$AE,BJ$5,0)="",0,VLOOKUP($N129,Capa!$A:$AE,BJ$5,0)),0),IF(ISERROR(1/VLOOKUP($N129,Capa!$A:$AE,BJ$5,0)),0,1/VLOOKUP($N129,Capa!$A:$AE,BJ$5,0))))</f>
        <v/>
      </c>
      <c r="BK129" s="118" t="str">
        <f>IF(BK$6="","",IF(BK$3="Maior",IFERROR(IF(VLOOKUP($N129,Capa!$A:$AE,BK$5,0)="",0,VLOOKUP($N129,Capa!$A:$AE,BK$5,0)),0),IF(ISERROR(1/VLOOKUP($N129,Capa!$A:$AE,BK$5,0)),0,1/VLOOKUP($N129,Capa!$A:$AE,BK$5,0))))</f>
        <v/>
      </c>
      <c r="BL129" s="118" t="str">
        <f>IF(BL$6="","",IF(BL$3="Maior",IFERROR(IF(VLOOKUP($N129,Capa!$A:$AE,BL$5,0)="",0,VLOOKUP($N129,Capa!$A:$AE,BL$5,0)),0),IF(ISERROR(1/VLOOKUP($N129,Capa!$A:$AE,BL$5,0)),0,1/VLOOKUP($N129,Capa!$A:$AE,BL$5,0))))</f>
        <v/>
      </c>
      <c r="BM129" s="118" t="str">
        <f>IF(BM$6="","",IF(BM$3="Maior",IFERROR(IF(VLOOKUP($N129,Capa!$A:$AE,BM$5,0)="",0,VLOOKUP($N129,Capa!$A:$AE,BM$5,0)),0),IF(ISERROR(1/VLOOKUP($N129,Capa!$A:$AE,BM$5,0)),0,1/VLOOKUP($N129,Capa!$A:$AE,BM$5,0))))</f>
        <v/>
      </c>
      <c r="BN129" s="118" t="str">
        <f>IF(BN$6="","",IF(BN$3="Maior",IFERROR(IF(VLOOKUP($N129,Capa!$A:$AE,BN$5,0)="",0,VLOOKUP($N129,Capa!$A:$AE,BN$5,0)),0),IF(ISERROR(1/VLOOKUP($N129,Capa!$A:$AE,BN$5,0)),0,1/VLOOKUP($N129,Capa!$A:$AE,BN$5,0))))</f>
        <v/>
      </c>
      <c r="BO129" s="92"/>
    </row>
    <row r="130">
      <c r="G130" s="11"/>
      <c r="H130" s="8">
        <v>124.0</v>
      </c>
      <c r="I130" s="110" t="str">
        <f t="shared" si="6"/>
        <v>BPAN4</v>
      </c>
      <c r="J130" s="111" t="str">
        <f>VLOOKUP(left(I130,4),Setor!A:D,3,0)&amp;" | "&amp;VLOOKUP(left(I130,4),Setor!A:D,4,0)</f>
        <v>Financeiro | Intermediários Financeiros</v>
      </c>
      <c r="K130" s="112">
        <f t="shared" si="7"/>
        <v>124476175.9</v>
      </c>
      <c r="L130" s="11"/>
      <c r="M130" s="11"/>
      <c r="N130" s="10" t="s">
        <v>176</v>
      </c>
      <c r="O130" s="113">
        <f t="shared" si="8"/>
        <v>407.0203</v>
      </c>
      <c r="P130" s="114">
        <f>VLOOKUP(N130,'Dados StatusInvest'!A:Z,26,0)</f>
        <v>26437656</v>
      </c>
      <c r="Q130" s="115">
        <f t="shared" si="9"/>
        <v>203.0203</v>
      </c>
      <c r="R130" s="116">
        <f t="shared" ref="R130:AO130" si="133">IF(AQ130="","", RANK(AQ130,AQ$7:AQ$503,0))</f>
        <v>79</v>
      </c>
      <c r="S130" s="115">
        <f t="shared" si="133"/>
        <v>125</v>
      </c>
      <c r="T130" s="115" t="str">
        <f t="shared" si="133"/>
        <v/>
      </c>
      <c r="U130" s="115" t="str">
        <f t="shared" si="133"/>
        <v/>
      </c>
      <c r="V130" s="115" t="str">
        <f t="shared" si="133"/>
        <v/>
      </c>
      <c r="W130" s="115" t="str">
        <f t="shared" si="133"/>
        <v/>
      </c>
      <c r="X130" s="115" t="str">
        <f t="shared" si="133"/>
        <v/>
      </c>
      <c r="Y130" s="115" t="str">
        <f t="shared" si="133"/>
        <v/>
      </c>
      <c r="Z130" s="115" t="str">
        <f t="shared" si="133"/>
        <v/>
      </c>
      <c r="AA130" s="115" t="str">
        <f t="shared" si="133"/>
        <v/>
      </c>
      <c r="AB130" s="115" t="str">
        <f t="shared" si="133"/>
        <v/>
      </c>
      <c r="AC130" s="115" t="str">
        <f t="shared" si="133"/>
        <v/>
      </c>
      <c r="AD130" s="115" t="str">
        <f t="shared" si="133"/>
        <v/>
      </c>
      <c r="AE130" s="115" t="str">
        <f t="shared" si="133"/>
        <v/>
      </c>
      <c r="AF130" s="115" t="str">
        <f t="shared" si="133"/>
        <v/>
      </c>
      <c r="AG130" s="115" t="str">
        <f t="shared" si="133"/>
        <v/>
      </c>
      <c r="AH130" s="115" t="str">
        <f t="shared" si="133"/>
        <v/>
      </c>
      <c r="AI130" s="115" t="str">
        <f t="shared" si="133"/>
        <v/>
      </c>
      <c r="AJ130" s="115" t="str">
        <f t="shared" si="133"/>
        <v/>
      </c>
      <c r="AK130" s="115" t="str">
        <f t="shared" si="133"/>
        <v/>
      </c>
      <c r="AL130" s="115" t="str">
        <f t="shared" si="133"/>
        <v/>
      </c>
      <c r="AM130" s="115" t="str">
        <f t="shared" si="133"/>
        <v/>
      </c>
      <c r="AN130" s="115" t="str">
        <f t="shared" si="133"/>
        <v/>
      </c>
      <c r="AO130" s="115" t="str">
        <f t="shared" si="133"/>
        <v/>
      </c>
      <c r="AP130" s="117">
        <f>IF(AP$6="","",IF(AP$3="Maior",IFERROR(IF(VLOOKUP($N130,Capa!$A:$AE,AP$5,0)="",0,VLOOKUP($N130,Capa!$A:$AE,AP$5,0)),0),IF(ISERROR(1/VLOOKUP($N130,Capa!$A:$AE,AP$5,0)),0,1/VLOOKUP($N130,Capa!$A:$AE,AP$5,0))))</f>
        <v>0.1055047806</v>
      </c>
      <c r="AQ130" s="118">
        <f>IF(AQ$6="","",IF(AQ$3="Maior",IFERROR(IF(VLOOKUP($N130,Capa!$A:$AE,AQ$5,0)="",0,VLOOKUP($N130,Capa!$A:$AE,AQ$5,0)),0),IF(ISERROR(1/VLOOKUP($N130,Capa!$A:$AE,AQ$5,0)),0,1/VLOOKUP($N130,Capa!$A:$AE,AQ$5,0))))</f>
        <v>20.11</v>
      </c>
      <c r="AR130" s="118">
        <f>IF(AR$6="","",IF(AR$3="Maior",IFERROR(IF(VLOOKUP($N130,Capa!$A:$AE,AR$5,0)="",0,VLOOKUP($N130,Capa!$A:$AE,AR$5,0)),0),IF(ISERROR(1/VLOOKUP($N130,Capa!$A:$AE,AR$5,0)),0,1/VLOOKUP($N130,Capa!$A:$AE,AR$5,0))))</f>
        <v>20.9</v>
      </c>
      <c r="AS130" s="118" t="str">
        <f>IF(AS$6="","",IF(AS$3="Maior",IFERROR(IF(VLOOKUP($N130,Capa!$A:$AE,AS$5,0)="",0,VLOOKUP($N130,Capa!$A:$AE,AS$5,0)),0),IF(ISERROR(1/VLOOKUP($N130,Capa!$A:$AE,AS$5,0)),0,1/VLOOKUP($N130,Capa!$A:$AE,AS$5,0))))</f>
        <v/>
      </c>
      <c r="AT130" s="118" t="str">
        <f>IF(AT$6="","",IF(AT$3="Maior",IFERROR(IF(VLOOKUP($N130,Capa!$A:$AE,AT$5,0)="",0,VLOOKUP($N130,Capa!$A:$AE,AT$5,0)),0),IF(ISERROR(1/VLOOKUP($N130,Capa!$A:$AE,AT$5,0)),0,1/VLOOKUP($N130,Capa!$A:$AE,AT$5,0))))</f>
        <v/>
      </c>
      <c r="AU130" s="118" t="str">
        <f>IF(AU$6="","",IF(AU$3="Maior",IFERROR(IF(VLOOKUP($N130,Capa!$A:$AE,AU$5,0)="",0,VLOOKUP($N130,Capa!$A:$AE,AU$5,0)),0),IF(ISERROR(1/VLOOKUP($N130,Capa!$A:$AE,AU$5,0)),0,1/VLOOKUP($N130,Capa!$A:$AE,AU$5,0))))</f>
        <v/>
      </c>
      <c r="AV130" s="118" t="str">
        <f>IF(AV$6="","",IF(AV$3="Maior",IFERROR(IF(VLOOKUP($N130,Capa!$A:$AE,AV$5,0)="",0,VLOOKUP($N130,Capa!$A:$AE,AV$5,0)),0),IF(ISERROR(1/VLOOKUP($N130,Capa!$A:$AE,AV$5,0)),0,1/VLOOKUP($N130,Capa!$A:$AE,AV$5,0))))</f>
        <v/>
      </c>
      <c r="AW130" s="118" t="str">
        <f>IF(AW$6="","",IF(AW$3="Maior",IFERROR(IF(VLOOKUP($N130,Capa!$A:$AE,AW$5,0)="",0,VLOOKUP($N130,Capa!$A:$AE,AW$5,0)),0),IF(ISERROR(1/VLOOKUP($N130,Capa!$A:$AE,AW$5,0)),0,1/VLOOKUP($N130,Capa!$A:$AE,AW$5,0))))</f>
        <v/>
      </c>
      <c r="AX130" s="118" t="str">
        <f>IF(AX$6="","",IF(AX$3="Maior",IFERROR(IF(VLOOKUP($N130,Capa!$A:$AE,AX$5,0)="",0,VLOOKUP($N130,Capa!$A:$AE,AX$5,0)),0),IF(ISERROR(1/VLOOKUP($N130,Capa!$A:$AE,AX$5,0)),0,1/VLOOKUP($N130,Capa!$A:$AE,AX$5,0))))</f>
        <v/>
      </c>
      <c r="AY130" s="118" t="str">
        <f>IF(AY$6="","",IF(AY$3="Maior",IFERROR(IF(VLOOKUP($N130,Capa!$A:$AE,AY$5,0)="",0,VLOOKUP($N130,Capa!$A:$AE,AY$5,0)),0),IF(ISERROR(1/VLOOKUP($N130,Capa!$A:$AE,AY$5,0)),0,1/VLOOKUP($N130,Capa!$A:$AE,AY$5,0))))</f>
        <v/>
      </c>
      <c r="AZ130" s="118" t="str">
        <f>IF(AZ$6="","",IF(AZ$3="Maior",IFERROR(IF(VLOOKUP($N130,Capa!$A:$AE,AZ$5,0)="",0,VLOOKUP($N130,Capa!$A:$AE,AZ$5,0)),0),IF(ISERROR(1/VLOOKUP($N130,Capa!$A:$AE,AZ$5,0)),0,1/VLOOKUP($N130,Capa!$A:$AE,AZ$5,0))))</f>
        <v/>
      </c>
      <c r="BA130" s="118" t="str">
        <f>IF(BA$6="","",IF(BA$3="Maior",IFERROR(IF(VLOOKUP($N130,Capa!$A:$AE,BA$5,0)="",0,VLOOKUP($N130,Capa!$A:$AE,BA$5,0)),0),IF(ISERROR(1/VLOOKUP($N130,Capa!$A:$AE,BA$5,0)),0,1/VLOOKUP($N130,Capa!$A:$AE,BA$5,0))))</f>
        <v/>
      </c>
      <c r="BB130" s="118" t="str">
        <f>IF(BB$6="","",IF(BB$3="Maior",IFERROR(IF(VLOOKUP($N130,Capa!$A:$AE,BB$5,0)="",0,VLOOKUP($N130,Capa!$A:$AE,BB$5,0)),0),IF(ISERROR(1/VLOOKUP($N130,Capa!$A:$AE,BB$5,0)),0,1/VLOOKUP($N130,Capa!$A:$AE,BB$5,0))))</f>
        <v/>
      </c>
      <c r="BC130" s="118" t="str">
        <f>IF(BC$6="","",IF(BC$3="Maior",IFERROR(IF(VLOOKUP($N130,Capa!$A:$AE,BC$5,0)="",0,VLOOKUP($N130,Capa!$A:$AE,BC$5,0)),0),IF(ISERROR(1/VLOOKUP($N130,Capa!$A:$AE,BC$5,0)),0,1/VLOOKUP($N130,Capa!$A:$AE,BC$5,0))))</f>
        <v/>
      </c>
      <c r="BD130" s="118" t="str">
        <f>IF(BD$6="","",IF(BD$3="Maior",IFERROR(IF(VLOOKUP($N130,Capa!$A:$AE,BD$5,0)="",0,VLOOKUP($N130,Capa!$A:$AE,BD$5,0)),0),IF(ISERROR(1/VLOOKUP($N130,Capa!$A:$AE,BD$5,0)),0,1/VLOOKUP($N130,Capa!$A:$AE,BD$5,0))))</f>
        <v/>
      </c>
      <c r="BE130" s="118" t="str">
        <f>IF(BE$6="","",IF(BE$3="Maior",IFERROR(IF(VLOOKUP($N130,Capa!$A:$AE,BE$5,0)="",0,VLOOKUP($N130,Capa!$A:$AE,BE$5,0)),0),IF(ISERROR(1/VLOOKUP($N130,Capa!$A:$AE,BE$5,0)),0,1/VLOOKUP($N130,Capa!$A:$AE,BE$5,0))))</f>
        <v/>
      </c>
      <c r="BF130" s="118" t="str">
        <f>IF(BF$6="","",IF(BF$3="Maior",IFERROR(IF(VLOOKUP($N130,Capa!$A:$AE,BF$5,0)="",0,VLOOKUP($N130,Capa!$A:$AE,BF$5,0)),0),IF(ISERROR(1/VLOOKUP($N130,Capa!$A:$AE,BF$5,0)),0,1/VLOOKUP($N130,Capa!$A:$AE,BF$5,0))))</f>
        <v/>
      </c>
      <c r="BG130" s="118" t="str">
        <f>IF(BG$6="","",IF(BG$3="Maior",IFERROR(IF(VLOOKUP($N130,Capa!$A:$AE,BG$5,0)="",0,VLOOKUP($N130,Capa!$A:$AE,BG$5,0)),0),IF(ISERROR(1/VLOOKUP($N130,Capa!$A:$AE,BG$5,0)),0,1/VLOOKUP($N130,Capa!$A:$AE,BG$5,0))))</f>
        <v/>
      </c>
      <c r="BH130" s="118" t="str">
        <f>IF(BH$6="","",IF(BH$3="Maior",IFERROR(IF(VLOOKUP($N130,Capa!$A:$AE,BH$5,0)="",0,VLOOKUP($N130,Capa!$A:$AE,BH$5,0)),0),IF(ISERROR(1/VLOOKUP($N130,Capa!$A:$AE,BH$5,0)),0,1/VLOOKUP($N130,Capa!$A:$AE,BH$5,0))))</f>
        <v/>
      </c>
      <c r="BI130" s="118" t="str">
        <f>IF(BI$6="","",IF(BI$3="Maior",IFERROR(IF(VLOOKUP($N130,Capa!$A:$AE,BI$5,0)="",0,VLOOKUP($N130,Capa!$A:$AE,BI$5,0)),0),IF(ISERROR(1/VLOOKUP($N130,Capa!$A:$AE,BI$5,0)),0,1/VLOOKUP($N130,Capa!$A:$AE,BI$5,0))))</f>
        <v/>
      </c>
      <c r="BJ130" s="118" t="str">
        <f>IF(BJ$6="","",IF(BJ$3="Maior",IFERROR(IF(VLOOKUP($N130,Capa!$A:$AE,BJ$5,0)="",0,VLOOKUP($N130,Capa!$A:$AE,BJ$5,0)),0),IF(ISERROR(1/VLOOKUP($N130,Capa!$A:$AE,BJ$5,0)),0,1/VLOOKUP($N130,Capa!$A:$AE,BJ$5,0))))</f>
        <v/>
      </c>
      <c r="BK130" s="118" t="str">
        <f>IF(BK$6="","",IF(BK$3="Maior",IFERROR(IF(VLOOKUP($N130,Capa!$A:$AE,BK$5,0)="",0,VLOOKUP($N130,Capa!$A:$AE,BK$5,0)),0),IF(ISERROR(1/VLOOKUP($N130,Capa!$A:$AE,BK$5,0)),0,1/VLOOKUP($N130,Capa!$A:$AE,BK$5,0))))</f>
        <v/>
      </c>
      <c r="BL130" s="118" t="str">
        <f>IF(BL$6="","",IF(BL$3="Maior",IFERROR(IF(VLOOKUP($N130,Capa!$A:$AE,BL$5,0)="",0,VLOOKUP($N130,Capa!$A:$AE,BL$5,0)),0),IF(ISERROR(1/VLOOKUP($N130,Capa!$A:$AE,BL$5,0)),0,1/VLOOKUP($N130,Capa!$A:$AE,BL$5,0))))</f>
        <v/>
      </c>
      <c r="BM130" s="118" t="str">
        <f>IF(BM$6="","",IF(BM$3="Maior",IFERROR(IF(VLOOKUP($N130,Capa!$A:$AE,BM$5,0)="",0,VLOOKUP($N130,Capa!$A:$AE,BM$5,0)),0),IF(ISERROR(1/VLOOKUP($N130,Capa!$A:$AE,BM$5,0)),0,1/VLOOKUP($N130,Capa!$A:$AE,BM$5,0))))</f>
        <v/>
      </c>
      <c r="BN130" s="118" t="str">
        <f>IF(BN$6="","",IF(BN$3="Maior",IFERROR(IF(VLOOKUP($N130,Capa!$A:$AE,BN$5,0)="",0,VLOOKUP($N130,Capa!$A:$AE,BN$5,0)),0),IF(ISERROR(1/VLOOKUP($N130,Capa!$A:$AE,BN$5,0)),0,1/VLOOKUP($N130,Capa!$A:$AE,BN$5,0))))</f>
        <v/>
      </c>
      <c r="BO130" s="92"/>
    </row>
    <row r="131">
      <c r="G131" s="11"/>
      <c r="H131" s="8">
        <v>125.0</v>
      </c>
      <c r="I131" s="110" t="str">
        <f t="shared" si="6"/>
        <v>EZTC3</v>
      </c>
      <c r="J131" s="111" t="str">
        <f>VLOOKUP(left(I131,4),Setor!A:D,3,0)&amp;" | "&amp;VLOOKUP(left(I131,4),Setor!A:D,4,0)</f>
        <v>Consumo Cíclico | Construção Civil</v>
      </c>
      <c r="K131" s="112">
        <f t="shared" si="7"/>
        <v>54716516.75</v>
      </c>
      <c r="L131" s="11"/>
      <c r="M131" s="11"/>
      <c r="N131" s="10" t="s">
        <v>177</v>
      </c>
      <c r="O131" s="113">
        <f t="shared" si="8"/>
        <v>830.0318</v>
      </c>
      <c r="P131" s="114">
        <f>VLOOKUP(N131,'Dados StatusInvest'!A:Z,26,0)</f>
        <v>59572202.88</v>
      </c>
      <c r="Q131" s="115">
        <f t="shared" si="9"/>
        <v>318.0318</v>
      </c>
      <c r="R131" s="116">
        <f t="shared" ref="R131:AO131" si="134">IF(AQ131="","", RANK(AQ131,AQ$7:AQ$503,0))</f>
        <v>293</v>
      </c>
      <c r="S131" s="115">
        <f t="shared" si="134"/>
        <v>219</v>
      </c>
      <c r="T131" s="115" t="str">
        <f t="shared" si="134"/>
        <v/>
      </c>
      <c r="U131" s="115" t="str">
        <f t="shared" si="134"/>
        <v/>
      </c>
      <c r="V131" s="115" t="str">
        <f t="shared" si="134"/>
        <v/>
      </c>
      <c r="W131" s="115" t="str">
        <f t="shared" si="134"/>
        <v/>
      </c>
      <c r="X131" s="115" t="str">
        <f t="shared" si="134"/>
        <v/>
      </c>
      <c r="Y131" s="115" t="str">
        <f t="shared" si="134"/>
        <v/>
      </c>
      <c r="Z131" s="115" t="str">
        <f t="shared" si="134"/>
        <v/>
      </c>
      <c r="AA131" s="115" t="str">
        <f t="shared" si="134"/>
        <v/>
      </c>
      <c r="AB131" s="115" t="str">
        <f t="shared" si="134"/>
        <v/>
      </c>
      <c r="AC131" s="115" t="str">
        <f t="shared" si="134"/>
        <v/>
      </c>
      <c r="AD131" s="115" t="str">
        <f t="shared" si="134"/>
        <v/>
      </c>
      <c r="AE131" s="115" t="str">
        <f t="shared" si="134"/>
        <v/>
      </c>
      <c r="AF131" s="115" t="str">
        <f t="shared" si="134"/>
        <v/>
      </c>
      <c r="AG131" s="115" t="str">
        <f t="shared" si="134"/>
        <v/>
      </c>
      <c r="AH131" s="115" t="str">
        <f t="shared" si="134"/>
        <v/>
      </c>
      <c r="AI131" s="115" t="str">
        <f t="shared" si="134"/>
        <v/>
      </c>
      <c r="AJ131" s="115" t="str">
        <f t="shared" si="134"/>
        <v/>
      </c>
      <c r="AK131" s="115" t="str">
        <f t="shared" si="134"/>
        <v/>
      </c>
      <c r="AL131" s="115" t="str">
        <f t="shared" si="134"/>
        <v/>
      </c>
      <c r="AM131" s="115" t="str">
        <f t="shared" si="134"/>
        <v/>
      </c>
      <c r="AN131" s="115" t="str">
        <f t="shared" si="134"/>
        <v/>
      </c>
      <c r="AO131" s="115" t="str">
        <f t="shared" si="134"/>
        <v/>
      </c>
      <c r="AP131" s="117">
        <f>IF(AP$6="","",IF(AP$3="Maior",IFERROR(IF(VLOOKUP($N131,Capa!$A:$AE,AP$5,0)="",0,VLOOKUP($N131,Capa!$A:$AE,AP$5,0)),0),IF(ISERROR(1/VLOOKUP($N131,Capa!$A:$AE,AP$5,0)),0,1/VLOOKUP($N131,Capa!$A:$AE,AP$5,0))))</f>
        <v>0.04652485092</v>
      </c>
      <c r="AQ131" s="118">
        <f>IF(AQ$6="","",IF(AQ$3="Maior",IFERROR(IF(VLOOKUP($N131,Capa!$A:$AE,AQ$5,0)="",0,VLOOKUP($N131,Capa!$A:$AE,AQ$5,0)),0),IF(ISERROR(1/VLOOKUP($N131,Capa!$A:$AE,AQ$5,0)),0,1/VLOOKUP($N131,Capa!$A:$AE,AQ$5,0))))</f>
        <v>5.14</v>
      </c>
      <c r="AR131" s="118">
        <f>IF(AR$6="","",IF(AR$3="Maior",IFERROR(IF(VLOOKUP($N131,Capa!$A:$AE,AR$5,0)="",0,VLOOKUP($N131,Capa!$A:$AE,AR$5,0)),0),IF(ISERROR(1/VLOOKUP($N131,Capa!$A:$AE,AR$5,0)),0,1/VLOOKUP($N131,Capa!$A:$AE,AR$5,0))))</f>
        <v>0</v>
      </c>
      <c r="AS131" s="118" t="str">
        <f>IF(AS$6="","",IF(AS$3="Maior",IFERROR(IF(VLOOKUP($N131,Capa!$A:$AE,AS$5,0)="",0,VLOOKUP($N131,Capa!$A:$AE,AS$5,0)),0),IF(ISERROR(1/VLOOKUP($N131,Capa!$A:$AE,AS$5,0)),0,1/VLOOKUP($N131,Capa!$A:$AE,AS$5,0))))</f>
        <v/>
      </c>
      <c r="AT131" s="118" t="str">
        <f>IF(AT$6="","",IF(AT$3="Maior",IFERROR(IF(VLOOKUP($N131,Capa!$A:$AE,AT$5,0)="",0,VLOOKUP($N131,Capa!$A:$AE,AT$5,0)),0),IF(ISERROR(1/VLOOKUP($N131,Capa!$A:$AE,AT$5,0)),0,1/VLOOKUP($N131,Capa!$A:$AE,AT$5,0))))</f>
        <v/>
      </c>
      <c r="AU131" s="118" t="str">
        <f>IF(AU$6="","",IF(AU$3="Maior",IFERROR(IF(VLOOKUP($N131,Capa!$A:$AE,AU$5,0)="",0,VLOOKUP($N131,Capa!$A:$AE,AU$5,0)),0),IF(ISERROR(1/VLOOKUP($N131,Capa!$A:$AE,AU$5,0)),0,1/VLOOKUP($N131,Capa!$A:$AE,AU$5,0))))</f>
        <v/>
      </c>
      <c r="AV131" s="118" t="str">
        <f>IF(AV$6="","",IF(AV$3="Maior",IFERROR(IF(VLOOKUP($N131,Capa!$A:$AE,AV$5,0)="",0,VLOOKUP($N131,Capa!$A:$AE,AV$5,0)),0),IF(ISERROR(1/VLOOKUP($N131,Capa!$A:$AE,AV$5,0)),0,1/VLOOKUP($N131,Capa!$A:$AE,AV$5,0))))</f>
        <v/>
      </c>
      <c r="AW131" s="118" t="str">
        <f>IF(AW$6="","",IF(AW$3="Maior",IFERROR(IF(VLOOKUP($N131,Capa!$A:$AE,AW$5,0)="",0,VLOOKUP($N131,Capa!$A:$AE,AW$5,0)),0),IF(ISERROR(1/VLOOKUP($N131,Capa!$A:$AE,AW$5,0)),0,1/VLOOKUP($N131,Capa!$A:$AE,AW$5,0))))</f>
        <v/>
      </c>
      <c r="AX131" s="118" t="str">
        <f>IF(AX$6="","",IF(AX$3="Maior",IFERROR(IF(VLOOKUP($N131,Capa!$A:$AE,AX$5,0)="",0,VLOOKUP($N131,Capa!$A:$AE,AX$5,0)),0),IF(ISERROR(1/VLOOKUP($N131,Capa!$A:$AE,AX$5,0)),0,1/VLOOKUP($N131,Capa!$A:$AE,AX$5,0))))</f>
        <v/>
      </c>
      <c r="AY131" s="118" t="str">
        <f>IF(AY$6="","",IF(AY$3="Maior",IFERROR(IF(VLOOKUP($N131,Capa!$A:$AE,AY$5,0)="",0,VLOOKUP($N131,Capa!$A:$AE,AY$5,0)),0),IF(ISERROR(1/VLOOKUP($N131,Capa!$A:$AE,AY$5,0)),0,1/VLOOKUP($N131,Capa!$A:$AE,AY$5,0))))</f>
        <v/>
      </c>
      <c r="AZ131" s="118" t="str">
        <f>IF(AZ$6="","",IF(AZ$3="Maior",IFERROR(IF(VLOOKUP($N131,Capa!$A:$AE,AZ$5,0)="",0,VLOOKUP($N131,Capa!$A:$AE,AZ$5,0)),0),IF(ISERROR(1/VLOOKUP($N131,Capa!$A:$AE,AZ$5,0)),0,1/VLOOKUP($N131,Capa!$A:$AE,AZ$5,0))))</f>
        <v/>
      </c>
      <c r="BA131" s="118" t="str">
        <f>IF(BA$6="","",IF(BA$3="Maior",IFERROR(IF(VLOOKUP($N131,Capa!$A:$AE,BA$5,0)="",0,VLOOKUP($N131,Capa!$A:$AE,BA$5,0)),0),IF(ISERROR(1/VLOOKUP($N131,Capa!$A:$AE,BA$5,0)),0,1/VLOOKUP($N131,Capa!$A:$AE,BA$5,0))))</f>
        <v/>
      </c>
      <c r="BB131" s="118" t="str">
        <f>IF(BB$6="","",IF(BB$3="Maior",IFERROR(IF(VLOOKUP($N131,Capa!$A:$AE,BB$5,0)="",0,VLOOKUP($N131,Capa!$A:$AE,BB$5,0)),0),IF(ISERROR(1/VLOOKUP($N131,Capa!$A:$AE,BB$5,0)),0,1/VLOOKUP($N131,Capa!$A:$AE,BB$5,0))))</f>
        <v/>
      </c>
      <c r="BC131" s="118" t="str">
        <f>IF(BC$6="","",IF(BC$3="Maior",IFERROR(IF(VLOOKUP($N131,Capa!$A:$AE,BC$5,0)="",0,VLOOKUP($N131,Capa!$A:$AE,BC$5,0)),0),IF(ISERROR(1/VLOOKUP($N131,Capa!$A:$AE,BC$5,0)),0,1/VLOOKUP($N131,Capa!$A:$AE,BC$5,0))))</f>
        <v/>
      </c>
      <c r="BD131" s="118" t="str">
        <f>IF(BD$6="","",IF(BD$3="Maior",IFERROR(IF(VLOOKUP($N131,Capa!$A:$AE,BD$5,0)="",0,VLOOKUP($N131,Capa!$A:$AE,BD$5,0)),0),IF(ISERROR(1/VLOOKUP($N131,Capa!$A:$AE,BD$5,0)),0,1/VLOOKUP($N131,Capa!$A:$AE,BD$5,0))))</f>
        <v/>
      </c>
      <c r="BE131" s="118" t="str">
        <f>IF(BE$6="","",IF(BE$3="Maior",IFERROR(IF(VLOOKUP($N131,Capa!$A:$AE,BE$5,0)="",0,VLOOKUP($N131,Capa!$A:$AE,BE$5,0)),0),IF(ISERROR(1/VLOOKUP($N131,Capa!$A:$AE,BE$5,0)),0,1/VLOOKUP($N131,Capa!$A:$AE,BE$5,0))))</f>
        <v/>
      </c>
      <c r="BF131" s="118" t="str">
        <f>IF(BF$6="","",IF(BF$3="Maior",IFERROR(IF(VLOOKUP($N131,Capa!$A:$AE,BF$5,0)="",0,VLOOKUP($N131,Capa!$A:$AE,BF$5,0)),0),IF(ISERROR(1/VLOOKUP($N131,Capa!$A:$AE,BF$5,0)),0,1/VLOOKUP($N131,Capa!$A:$AE,BF$5,0))))</f>
        <v/>
      </c>
      <c r="BG131" s="118" t="str">
        <f>IF(BG$6="","",IF(BG$3="Maior",IFERROR(IF(VLOOKUP($N131,Capa!$A:$AE,BG$5,0)="",0,VLOOKUP($N131,Capa!$A:$AE,BG$5,0)),0),IF(ISERROR(1/VLOOKUP($N131,Capa!$A:$AE,BG$5,0)),0,1/VLOOKUP($N131,Capa!$A:$AE,BG$5,0))))</f>
        <v/>
      </c>
      <c r="BH131" s="118" t="str">
        <f>IF(BH$6="","",IF(BH$3="Maior",IFERROR(IF(VLOOKUP($N131,Capa!$A:$AE,BH$5,0)="",0,VLOOKUP($N131,Capa!$A:$AE,BH$5,0)),0),IF(ISERROR(1/VLOOKUP($N131,Capa!$A:$AE,BH$5,0)),0,1/VLOOKUP($N131,Capa!$A:$AE,BH$5,0))))</f>
        <v/>
      </c>
      <c r="BI131" s="118" t="str">
        <f>IF(BI$6="","",IF(BI$3="Maior",IFERROR(IF(VLOOKUP($N131,Capa!$A:$AE,BI$5,0)="",0,VLOOKUP($N131,Capa!$A:$AE,BI$5,0)),0),IF(ISERROR(1/VLOOKUP($N131,Capa!$A:$AE,BI$5,0)),0,1/VLOOKUP($N131,Capa!$A:$AE,BI$5,0))))</f>
        <v/>
      </c>
      <c r="BJ131" s="118" t="str">
        <f>IF(BJ$6="","",IF(BJ$3="Maior",IFERROR(IF(VLOOKUP($N131,Capa!$A:$AE,BJ$5,0)="",0,VLOOKUP($N131,Capa!$A:$AE,BJ$5,0)),0),IF(ISERROR(1/VLOOKUP($N131,Capa!$A:$AE,BJ$5,0)),0,1/VLOOKUP($N131,Capa!$A:$AE,BJ$5,0))))</f>
        <v/>
      </c>
      <c r="BK131" s="118" t="str">
        <f>IF(BK$6="","",IF(BK$3="Maior",IFERROR(IF(VLOOKUP($N131,Capa!$A:$AE,BK$5,0)="",0,VLOOKUP($N131,Capa!$A:$AE,BK$5,0)),0),IF(ISERROR(1/VLOOKUP($N131,Capa!$A:$AE,BK$5,0)),0,1/VLOOKUP($N131,Capa!$A:$AE,BK$5,0))))</f>
        <v/>
      </c>
      <c r="BL131" s="118" t="str">
        <f>IF(BL$6="","",IF(BL$3="Maior",IFERROR(IF(VLOOKUP($N131,Capa!$A:$AE,BL$5,0)="",0,VLOOKUP($N131,Capa!$A:$AE,BL$5,0)),0),IF(ISERROR(1/VLOOKUP($N131,Capa!$A:$AE,BL$5,0)),0,1/VLOOKUP($N131,Capa!$A:$AE,BL$5,0))))</f>
        <v/>
      </c>
      <c r="BM131" s="118" t="str">
        <f>IF(BM$6="","",IF(BM$3="Maior",IFERROR(IF(VLOOKUP($N131,Capa!$A:$AE,BM$5,0)="",0,VLOOKUP($N131,Capa!$A:$AE,BM$5,0)),0),IF(ISERROR(1/VLOOKUP($N131,Capa!$A:$AE,BM$5,0)),0,1/VLOOKUP($N131,Capa!$A:$AE,BM$5,0))))</f>
        <v/>
      </c>
      <c r="BN131" s="118" t="str">
        <f>IF(BN$6="","",IF(BN$3="Maior",IFERROR(IF(VLOOKUP($N131,Capa!$A:$AE,BN$5,0)="",0,VLOOKUP($N131,Capa!$A:$AE,BN$5,0)),0),IF(ISERROR(1/VLOOKUP($N131,Capa!$A:$AE,BN$5,0)),0,1/VLOOKUP($N131,Capa!$A:$AE,BN$5,0))))</f>
        <v/>
      </c>
      <c r="BO131" s="92"/>
    </row>
    <row r="132">
      <c r="G132" s="11"/>
      <c r="H132" s="8">
        <v>126.0</v>
      </c>
      <c r="I132" s="110" t="str">
        <f t="shared" si="6"/>
        <v>POMO4</v>
      </c>
      <c r="J132" s="111" t="str">
        <f>VLOOKUP(left(I132,4),Setor!A:D,3,0)&amp;" | "&amp;VLOOKUP(left(I132,4),Setor!A:D,4,0)</f>
        <v>Bens Industriais | Material de Transporte</v>
      </c>
      <c r="K132" s="112">
        <f t="shared" si="7"/>
        <v>11164113.42</v>
      </c>
      <c r="L132" s="11"/>
      <c r="M132" s="11"/>
      <c r="N132" s="10" t="s">
        <v>178</v>
      </c>
      <c r="O132" s="113">
        <f t="shared" si="8"/>
        <v>844.0324</v>
      </c>
      <c r="P132" s="114">
        <f>VLOOKUP(N132,'Dados StatusInvest'!A:Z,26,0)</f>
        <v>26889687.79</v>
      </c>
      <c r="Q132" s="115">
        <f t="shared" si="9"/>
        <v>324.0324</v>
      </c>
      <c r="R132" s="116">
        <f t="shared" ref="R132:AO132" si="135">IF(AQ132="","", RANK(AQ132,AQ$7:AQ$503,0))</f>
        <v>309</v>
      </c>
      <c r="S132" s="115">
        <f t="shared" si="135"/>
        <v>211</v>
      </c>
      <c r="T132" s="115" t="str">
        <f t="shared" si="135"/>
        <v/>
      </c>
      <c r="U132" s="115" t="str">
        <f t="shared" si="135"/>
        <v/>
      </c>
      <c r="V132" s="115" t="str">
        <f t="shared" si="135"/>
        <v/>
      </c>
      <c r="W132" s="115" t="str">
        <f t="shared" si="135"/>
        <v/>
      </c>
      <c r="X132" s="115" t="str">
        <f t="shared" si="135"/>
        <v/>
      </c>
      <c r="Y132" s="115" t="str">
        <f t="shared" si="135"/>
        <v/>
      </c>
      <c r="Z132" s="115" t="str">
        <f t="shared" si="135"/>
        <v/>
      </c>
      <c r="AA132" s="115" t="str">
        <f t="shared" si="135"/>
        <v/>
      </c>
      <c r="AB132" s="115" t="str">
        <f t="shared" si="135"/>
        <v/>
      </c>
      <c r="AC132" s="115" t="str">
        <f t="shared" si="135"/>
        <v/>
      </c>
      <c r="AD132" s="115" t="str">
        <f t="shared" si="135"/>
        <v/>
      </c>
      <c r="AE132" s="115" t="str">
        <f t="shared" si="135"/>
        <v/>
      </c>
      <c r="AF132" s="115" t="str">
        <f t="shared" si="135"/>
        <v/>
      </c>
      <c r="AG132" s="115" t="str">
        <f t="shared" si="135"/>
        <v/>
      </c>
      <c r="AH132" s="115" t="str">
        <f t="shared" si="135"/>
        <v/>
      </c>
      <c r="AI132" s="115" t="str">
        <f t="shared" si="135"/>
        <v/>
      </c>
      <c r="AJ132" s="115" t="str">
        <f t="shared" si="135"/>
        <v/>
      </c>
      <c r="AK132" s="115" t="str">
        <f t="shared" si="135"/>
        <v/>
      </c>
      <c r="AL132" s="115" t="str">
        <f t="shared" si="135"/>
        <v/>
      </c>
      <c r="AM132" s="115" t="str">
        <f t="shared" si="135"/>
        <v/>
      </c>
      <c r="AN132" s="115" t="str">
        <f t="shared" si="135"/>
        <v/>
      </c>
      <c r="AO132" s="115" t="str">
        <f t="shared" si="135"/>
        <v/>
      </c>
      <c r="AP132" s="117">
        <f>IF(AP$6="","",IF(AP$3="Maior",IFERROR(IF(VLOOKUP($N132,Capa!$A:$AE,AP$5,0)="",0,VLOOKUP($N132,Capa!$A:$AE,AP$5,0)),0),IF(ISERROR(1/VLOOKUP($N132,Capa!$A:$AE,AP$5,0)),0,1/VLOOKUP($N132,Capa!$A:$AE,AP$5,0))))</f>
        <v>0.04208970129</v>
      </c>
      <c r="AQ132" s="118">
        <f>IF(AQ$6="","",IF(AQ$3="Maior",IFERROR(IF(VLOOKUP($N132,Capa!$A:$AE,AQ$5,0)="",0,VLOOKUP($N132,Capa!$A:$AE,AQ$5,0)),0),IF(ISERROR(1/VLOOKUP($N132,Capa!$A:$AE,AQ$5,0)),0,1/VLOOKUP($N132,Capa!$A:$AE,AQ$5,0))))</f>
        <v>4.44</v>
      </c>
      <c r="AR132" s="118">
        <f>IF(AR$6="","",IF(AR$3="Maior",IFERROR(IF(VLOOKUP($N132,Capa!$A:$AE,AR$5,0)="",0,VLOOKUP($N132,Capa!$A:$AE,AR$5,0)),0),IF(ISERROR(1/VLOOKUP($N132,Capa!$A:$AE,AR$5,0)),0,1/VLOOKUP($N132,Capa!$A:$AE,AR$5,0))))</f>
        <v>0.9</v>
      </c>
      <c r="AS132" s="118" t="str">
        <f>IF(AS$6="","",IF(AS$3="Maior",IFERROR(IF(VLOOKUP($N132,Capa!$A:$AE,AS$5,0)="",0,VLOOKUP($N132,Capa!$A:$AE,AS$5,0)),0),IF(ISERROR(1/VLOOKUP($N132,Capa!$A:$AE,AS$5,0)),0,1/VLOOKUP($N132,Capa!$A:$AE,AS$5,0))))</f>
        <v/>
      </c>
      <c r="AT132" s="118" t="str">
        <f>IF(AT$6="","",IF(AT$3="Maior",IFERROR(IF(VLOOKUP($N132,Capa!$A:$AE,AT$5,0)="",0,VLOOKUP($N132,Capa!$A:$AE,AT$5,0)),0),IF(ISERROR(1/VLOOKUP($N132,Capa!$A:$AE,AT$5,0)),0,1/VLOOKUP($N132,Capa!$A:$AE,AT$5,0))))</f>
        <v/>
      </c>
      <c r="AU132" s="118" t="str">
        <f>IF(AU$6="","",IF(AU$3="Maior",IFERROR(IF(VLOOKUP($N132,Capa!$A:$AE,AU$5,0)="",0,VLOOKUP($N132,Capa!$A:$AE,AU$5,0)),0),IF(ISERROR(1/VLOOKUP($N132,Capa!$A:$AE,AU$5,0)),0,1/VLOOKUP($N132,Capa!$A:$AE,AU$5,0))))</f>
        <v/>
      </c>
      <c r="AV132" s="118" t="str">
        <f>IF(AV$6="","",IF(AV$3="Maior",IFERROR(IF(VLOOKUP($N132,Capa!$A:$AE,AV$5,0)="",0,VLOOKUP($N132,Capa!$A:$AE,AV$5,0)),0),IF(ISERROR(1/VLOOKUP($N132,Capa!$A:$AE,AV$5,0)),0,1/VLOOKUP($N132,Capa!$A:$AE,AV$5,0))))</f>
        <v/>
      </c>
      <c r="AW132" s="118" t="str">
        <f>IF(AW$6="","",IF(AW$3="Maior",IFERROR(IF(VLOOKUP($N132,Capa!$A:$AE,AW$5,0)="",0,VLOOKUP($N132,Capa!$A:$AE,AW$5,0)),0),IF(ISERROR(1/VLOOKUP($N132,Capa!$A:$AE,AW$5,0)),0,1/VLOOKUP($N132,Capa!$A:$AE,AW$5,0))))</f>
        <v/>
      </c>
      <c r="AX132" s="118" t="str">
        <f>IF(AX$6="","",IF(AX$3="Maior",IFERROR(IF(VLOOKUP($N132,Capa!$A:$AE,AX$5,0)="",0,VLOOKUP($N132,Capa!$A:$AE,AX$5,0)),0),IF(ISERROR(1/VLOOKUP($N132,Capa!$A:$AE,AX$5,0)),0,1/VLOOKUP($N132,Capa!$A:$AE,AX$5,0))))</f>
        <v/>
      </c>
      <c r="AY132" s="118" t="str">
        <f>IF(AY$6="","",IF(AY$3="Maior",IFERROR(IF(VLOOKUP($N132,Capa!$A:$AE,AY$5,0)="",0,VLOOKUP($N132,Capa!$A:$AE,AY$5,0)),0),IF(ISERROR(1/VLOOKUP($N132,Capa!$A:$AE,AY$5,0)),0,1/VLOOKUP($N132,Capa!$A:$AE,AY$5,0))))</f>
        <v/>
      </c>
      <c r="AZ132" s="118" t="str">
        <f>IF(AZ$6="","",IF(AZ$3="Maior",IFERROR(IF(VLOOKUP($N132,Capa!$A:$AE,AZ$5,0)="",0,VLOOKUP($N132,Capa!$A:$AE,AZ$5,0)),0),IF(ISERROR(1/VLOOKUP($N132,Capa!$A:$AE,AZ$5,0)),0,1/VLOOKUP($N132,Capa!$A:$AE,AZ$5,0))))</f>
        <v/>
      </c>
      <c r="BA132" s="118" t="str">
        <f>IF(BA$6="","",IF(BA$3="Maior",IFERROR(IF(VLOOKUP($N132,Capa!$A:$AE,BA$5,0)="",0,VLOOKUP($N132,Capa!$A:$AE,BA$5,0)),0),IF(ISERROR(1/VLOOKUP($N132,Capa!$A:$AE,BA$5,0)),0,1/VLOOKUP($N132,Capa!$A:$AE,BA$5,0))))</f>
        <v/>
      </c>
      <c r="BB132" s="118" t="str">
        <f>IF(BB$6="","",IF(BB$3="Maior",IFERROR(IF(VLOOKUP($N132,Capa!$A:$AE,BB$5,0)="",0,VLOOKUP($N132,Capa!$A:$AE,BB$5,0)),0),IF(ISERROR(1/VLOOKUP($N132,Capa!$A:$AE,BB$5,0)),0,1/VLOOKUP($N132,Capa!$A:$AE,BB$5,0))))</f>
        <v/>
      </c>
      <c r="BC132" s="118" t="str">
        <f>IF(BC$6="","",IF(BC$3="Maior",IFERROR(IF(VLOOKUP($N132,Capa!$A:$AE,BC$5,0)="",0,VLOOKUP($N132,Capa!$A:$AE,BC$5,0)),0),IF(ISERROR(1/VLOOKUP($N132,Capa!$A:$AE,BC$5,0)),0,1/VLOOKUP($N132,Capa!$A:$AE,BC$5,0))))</f>
        <v/>
      </c>
      <c r="BD132" s="118" t="str">
        <f>IF(BD$6="","",IF(BD$3="Maior",IFERROR(IF(VLOOKUP($N132,Capa!$A:$AE,BD$5,0)="",0,VLOOKUP($N132,Capa!$A:$AE,BD$5,0)),0),IF(ISERROR(1/VLOOKUP($N132,Capa!$A:$AE,BD$5,0)),0,1/VLOOKUP($N132,Capa!$A:$AE,BD$5,0))))</f>
        <v/>
      </c>
      <c r="BE132" s="118" t="str">
        <f>IF(BE$6="","",IF(BE$3="Maior",IFERROR(IF(VLOOKUP($N132,Capa!$A:$AE,BE$5,0)="",0,VLOOKUP($N132,Capa!$A:$AE,BE$5,0)),0),IF(ISERROR(1/VLOOKUP($N132,Capa!$A:$AE,BE$5,0)),0,1/VLOOKUP($N132,Capa!$A:$AE,BE$5,0))))</f>
        <v/>
      </c>
      <c r="BF132" s="118" t="str">
        <f>IF(BF$6="","",IF(BF$3="Maior",IFERROR(IF(VLOOKUP($N132,Capa!$A:$AE,BF$5,0)="",0,VLOOKUP($N132,Capa!$A:$AE,BF$5,0)),0),IF(ISERROR(1/VLOOKUP($N132,Capa!$A:$AE,BF$5,0)),0,1/VLOOKUP($N132,Capa!$A:$AE,BF$5,0))))</f>
        <v/>
      </c>
      <c r="BG132" s="118" t="str">
        <f>IF(BG$6="","",IF(BG$3="Maior",IFERROR(IF(VLOOKUP($N132,Capa!$A:$AE,BG$5,0)="",0,VLOOKUP($N132,Capa!$A:$AE,BG$5,0)),0),IF(ISERROR(1/VLOOKUP($N132,Capa!$A:$AE,BG$5,0)),0,1/VLOOKUP($N132,Capa!$A:$AE,BG$5,0))))</f>
        <v/>
      </c>
      <c r="BH132" s="118" t="str">
        <f>IF(BH$6="","",IF(BH$3="Maior",IFERROR(IF(VLOOKUP($N132,Capa!$A:$AE,BH$5,0)="",0,VLOOKUP($N132,Capa!$A:$AE,BH$5,0)),0),IF(ISERROR(1/VLOOKUP($N132,Capa!$A:$AE,BH$5,0)),0,1/VLOOKUP($N132,Capa!$A:$AE,BH$5,0))))</f>
        <v/>
      </c>
      <c r="BI132" s="118" t="str">
        <f>IF(BI$6="","",IF(BI$3="Maior",IFERROR(IF(VLOOKUP($N132,Capa!$A:$AE,BI$5,0)="",0,VLOOKUP($N132,Capa!$A:$AE,BI$5,0)),0),IF(ISERROR(1/VLOOKUP($N132,Capa!$A:$AE,BI$5,0)),0,1/VLOOKUP($N132,Capa!$A:$AE,BI$5,0))))</f>
        <v/>
      </c>
      <c r="BJ132" s="118" t="str">
        <f>IF(BJ$6="","",IF(BJ$3="Maior",IFERROR(IF(VLOOKUP($N132,Capa!$A:$AE,BJ$5,0)="",0,VLOOKUP($N132,Capa!$A:$AE,BJ$5,0)),0),IF(ISERROR(1/VLOOKUP($N132,Capa!$A:$AE,BJ$5,0)),0,1/VLOOKUP($N132,Capa!$A:$AE,BJ$5,0))))</f>
        <v/>
      </c>
      <c r="BK132" s="118" t="str">
        <f>IF(BK$6="","",IF(BK$3="Maior",IFERROR(IF(VLOOKUP($N132,Capa!$A:$AE,BK$5,0)="",0,VLOOKUP($N132,Capa!$A:$AE,BK$5,0)),0),IF(ISERROR(1/VLOOKUP($N132,Capa!$A:$AE,BK$5,0)),0,1/VLOOKUP($N132,Capa!$A:$AE,BK$5,0))))</f>
        <v/>
      </c>
      <c r="BL132" s="118" t="str">
        <f>IF(BL$6="","",IF(BL$3="Maior",IFERROR(IF(VLOOKUP($N132,Capa!$A:$AE,BL$5,0)="",0,VLOOKUP($N132,Capa!$A:$AE,BL$5,0)),0),IF(ISERROR(1/VLOOKUP($N132,Capa!$A:$AE,BL$5,0)),0,1/VLOOKUP($N132,Capa!$A:$AE,BL$5,0))))</f>
        <v/>
      </c>
      <c r="BM132" s="118" t="str">
        <f>IF(BM$6="","",IF(BM$3="Maior",IFERROR(IF(VLOOKUP($N132,Capa!$A:$AE,BM$5,0)="",0,VLOOKUP($N132,Capa!$A:$AE,BM$5,0)),0),IF(ISERROR(1/VLOOKUP($N132,Capa!$A:$AE,BM$5,0)),0,1/VLOOKUP($N132,Capa!$A:$AE,BM$5,0))))</f>
        <v/>
      </c>
      <c r="BN132" s="118" t="str">
        <f>IF(BN$6="","",IF(BN$3="Maior",IFERROR(IF(VLOOKUP($N132,Capa!$A:$AE,BN$5,0)="",0,VLOOKUP($N132,Capa!$A:$AE,BN$5,0)),0),IF(ISERROR(1/VLOOKUP($N132,Capa!$A:$AE,BN$5,0)),0,1/VLOOKUP($N132,Capa!$A:$AE,BN$5,0))))</f>
        <v/>
      </c>
      <c r="BO132" s="92"/>
    </row>
    <row r="133">
      <c r="G133" s="11"/>
      <c r="H133" s="8">
        <v>127.0</v>
      </c>
      <c r="I133" s="110" t="str">
        <f t="shared" si="6"/>
        <v>ECOR3</v>
      </c>
      <c r="J133" s="111" t="str">
        <f>VLOOKUP(left(I133,4),Setor!A:D,3,0)&amp;" | "&amp;VLOOKUP(left(I133,4),Setor!A:D,4,0)</f>
        <v>Bens Industriais | Transporte</v>
      </c>
      <c r="K133" s="112">
        <f t="shared" si="7"/>
        <v>54665926.67</v>
      </c>
      <c r="L133" s="11"/>
      <c r="M133" s="11"/>
      <c r="N133" s="10" t="s">
        <v>179</v>
      </c>
      <c r="O133" s="113">
        <f t="shared" si="8"/>
        <v>1099.0418</v>
      </c>
      <c r="P133" s="114">
        <f>VLOOKUP(N133,'Dados StatusInvest'!A:Z,26,0)</f>
        <v>16860190.88</v>
      </c>
      <c r="Q133" s="115">
        <f t="shared" si="9"/>
        <v>418.0418</v>
      </c>
      <c r="R133" s="116">
        <f t="shared" ref="R133:AO133" si="136">IF(AQ133="","", RANK(AQ133,AQ$7:AQ$503,0))</f>
        <v>462</v>
      </c>
      <c r="S133" s="115">
        <f t="shared" si="136"/>
        <v>219</v>
      </c>
      <c r="T133" s="115" t="str">
        <f t="shared" si="136"/>
        <v/>
      </c>
      <c r="U133" s="115" t="str">
        <f t="shared" si="136"/>
        <v/>
      </c>
      <c r="V133" s="115" t="str">
        <f t="shared" si="136"/>
        <v/>
      </c>
      <c r="W133" s="115" t="str">
        <f t="shared" si="136"/>
        <v/>
      </c>
      <c r="X133" s="115" t="str">
        <f t="shared" si="136"/>
        <v/>
      </c>
      <c r="Y133" s="115" t="str">
        <f t="shared" si="136"/>
        <v/>
      </c>
      <c r="Z133" s="115" t="str">
        <f t="shared" si="136"/>
        <v/>
      </c>
      <c r="AA133" s="115" t="str">
        <f t="shared" si="136"/>
        <v/>
      </c>
      <c r="AB133" s="115" t="str">
        <f t="shared" si="136"/>
        <v/>
      </c>
      <c r="AC133" s="115" t="str">
        <f t="shared" si="136"/>
        <v/>
      </c>
      <c r="AD133" s="115" t="str">
        <f t="shared" si="136"/>
        <v/>
      </c>
      <c r="AE133" s="115" t="str">
        <f t="shared" si="136"/>
        <v/>
      </c>
      <c r="AF133" s="115" t="str">
        <f t="shared" si="136"/>
        <v/>
      </c>
      <c r="AG133" s="115" t="str">
        <f t="shared" si="136"/>
        <v/>
      </c>
      <c r="AH133" s="115" t="str">
        <f t="shared" si="136"/>
        <v/>
      </c>
      <c r="AI133" s="115" t="str">
        <f t="shared" si="136"/>
        <v/>
      </c>
      <c r="AJ133" s="115" t="str">
        <f t="shared" si="136"/>
        <v/>
      </c>
      <c r="AK133" s="115" t="str">
        <f t="shared" si="136"/>
        <v/>
      </c>
      <c r="AL133" s="115" t="str">
        <f t="shared" si="136"/>
        <v/>
      </c>
      <c r="AM133" s="115" t="str">
        <f t="shared" si="136"/>
        <v/>
      </c>
      <c r="AN133" s="115" t="str">
        <f t="shared" si="136"/>
        <v/>
      </c>
      <c r="AO133" s="115" t="str">
        <f t="shared" si="136"/>
        <v/>
      </c>
      <c r="AP133" s="117">
        <f>IF(AP$6="","",IF(AP$3="Maior",IFERROR(IF(VLOOKUP($N133,Capa!$A:$AE,AP$5,0)="",0,VLOOKUP($N133,Capa!$A:$AE,AP$5,0)),0),IF(ISERROR(1/VLOOKUP($N133,Capa!$A:$AE,AP$5,0)),0,1/VLOOKUP($N133,Capa!$A:$AE,AP$5,0))))</f>
        <v>-0.01544678377</v>
      </c>
      <c r="AQ133" s="118">
        <f>IF(AQ$6="","",IF(AQ$3="Maior",IFERROR(IF(VLOOKUP($N133,Capa!$A:$AE,AQ$5,0)="",0,VLOOKUP($N133,Capa!$A:$AE,AQ$5,0)),0),IF(ISERROR(1/VLOOKUP($N133,Capa!$A:$AE,AQ$5,0)),0,1/VLOOKUP($N133,Capa!$A:$AE,AQ$5,0))))</f>
        <v>-8.63</v>
      </c>
      <c r="AR133" s="118">
        <f>IF(AR$6="","",IF(AR$3="Maior",IFERROR(IF(VLOOKUP($N133,Capa!$A:$AE,AR$5,0)="",0,VLOOKUP($N133,Capa!$A:$AE,AR$5,0)),0),IF(ISERROR(1/VLOOKUP($N133,Capa!$A:$AE,AR$5,0)),0,1/VLOOKUP($N133,Capa!$A:$AE,AR$5,0))))</f>
        <v>0</v>
      </c>
      <c r="AS133" s="118" t="str">
        <f>IF(AS$6="","",IF(AS$3="Maior",IFERROR(IF(VLOOKUP($N133,Capa!$A:$AE,AS$5,0)="",0,VLOOKUP($N133,Capa!$A:$AE,AS$5,0)),0),IF(ISERROR(1/VLOOKUP($N133,Capa!$A:$AE,AS$5,0)),0,1/VLOOKUP($N133,Capa!$A:$AE,AS$5,0))))</f>
        <v/>
      </c>
      <c r="AT133" s="118" t="str">
        <f>IF(AT$6="","",IF(AT$3="Maior",IFERROR(IF(VLOOKUP($N133,Capa!$A:$AE,AT$5,0)="",0,VLOOKUP($N133,Capa!$A:$AE,AT$5,0)),0),IF(ISERROR(1/VLOOKUP($N133,Capa!$A:$AE,AT$5,0)),0,1/VLOOKUP($N133,Capa!$A:$AE,AT$5,0))))</f>
        <v/>
      </c>
      <c r="AU133" s="118" t="str">
        <f>IF(AU$6="","",IF(AU$3="Maior",IFERROR(IF(VLOOKUP($N133,Capa!$A:$AE,AU$5,0)="",0,VLOOKUP($N133,Capa!$A:$AE,AU$5,0)),0),IF(ISERROR(1/VLOOKUP($N133,Capa!$A:$AE,AU$5,0)),0,1/VLOOKUP($N133,Capa!$A:$AE,AU$5,0))))</f>
        <v/>
      </c>
      <c r="AV133" s="118" t="str">
        <f>IF(AV$6="","",IF(AV$3="Maior",IFERROR(IF(VLOOKUP($N133,Capa!$A:$AE,AV$5,0)="",0,VLOOKUP($N133,Capa!$A:$AE,AV$5,0)),0),IF(ISERROR(1/VLOOKUP($N133,Capa!$A:$AE,AV$5,0)),0,1/VLOOKUP($N133,Capa!$A:$AE,AV$5,0))))</f>
        <v/>
      </c>
      <c r="AW133" s="118" t="str">
        <f>IF(AW$6="","",IF(AW$3="Maior",IFERROR(IF(VLOOKUP($N133,Capa!$A:$AE,AW$5,0)="",0,VLOOKUP($N133,Capa!$A:$AE,AW$5,0)),0),IF(ISERROR(1/VLOOKUP($N133,Capa!$A:$AE,AW$5,0)),0,1/VLOOKUP($N133,Capa!$A:$AE,AW$5,0))))</f>
        <v/>
      </c>
      <c r="AX133" s="118" t="str">
        <f>IF(AX$6="","",IF(AX$3="Maior",IFERROR(IF(VLOOKUP($N133,Capa!$A:$AE,AX$5,0)="",0,VLOOKUP($N133,Capa!$A:$AE,AX$5,0)),0),IF(ISERROR(1/VLOOKUP($N133,Capa!$A:$AE,AX$5,0)),0,1/VLOOKUP($N133,Capa!$A:$AE,AX$5,0))))</f>
        <v/>
      </c>
      <c r="AY133" s="118" t="str">
        <f>IF(AY$6="","",IF(AY$3="Maior",IFERROR(IF(VLOOKUP($N133,Capa!$A:$AE,AY$5,0)="",0,VLOOKUP($N133,Capa!$A:$AE,AY$5,0)),0),IF(ISERROR(1/VLOOKUP($N133,Capa!$A:$AE,AY$5,0)),0,1/VLOOKUP($N133,Capa!$A:$AE,AY$5,0))))</f>
        <v/>
      </c>
      <c r="AZ133" s="118" t="str">
        <f>IF(AZ$6="","",IF(AZ$3="Maior",IFERROR(IF(VLOOKUP($N133,Capa!$A:$AE,AZ$5,0)="",0,VLOOKUP($N133,Capa!$A:$AE,AZ$5,0)),0),IF(ISERROR(1/VLOOKUP($N133,Capa!$A:$AE,AZ$5,0)),0,1/VLOOKUP($N133,Capa!$A:$AE,AZ$5,0))))</f>
        <v/>
      </c>
      <c r="BA133" s="118" t="str">
        <f>IF(BA$6="","",IF(BA$3="Maior",IFERROR(IF(VLOOKUP($N133,Capa!$A:$AE,BA$5,0)="",0,VLOOKUP($N133,Capa!$A:$AE,BA$5,0)),0),IF(ISERROR(1/VLOOKUP($N133,Capa!$A:$AE,BA$5,0)),0,1/VLOOKUP($N133,Capa!$A:$AE,BA$5,0))))</f>
        <v/>
      </c>
      <c r="BB133" s="118" t="str">
        <f>IF(BB$6="","",IF(BB$3="Maior",IFERROR(IF(VLOOKUP($N133,Capa!$A:$AE,BB$5,0)="",0,VLOOKUP($N133,Capa!$A:$AE,BB$5,0)),0),IF(ISERROR(1/VLOOKUP($N133,Capa!$A:$AE,BB$5,0)),0,1/VLOOKUP($N133,Capa!$A:$AE,BB$5,0))))</f>
        <v/>
      </c>
      <c r="BC133" s="118" t="str">
        <f>IF(BC$6="","",IF(BC$3="Maior",IFERROR(IF(VLOOKUP($N133,Capa!$A:$AE,BC$5,0)="",0,VLOOKUP($N133,Capa!$A:$AE,BC$5,0)),0),IF(ISERROR(1/VLOOKUP($N133,Capa!$A:$AE,BC$5,0)),0,1/VLOOKUP($N133,Capa!$A:$AE,BC$5,0))))</f>
        <v/>
      </c>
      <c r="BD133" s="118" t="str">
        <f>IF(BD$6="","",IF(BD$3="Maior",IFERROR(IF(VLOOKUP($N133,Capa!$A:$AE,BD$5,0)="",0,VLOOKUP($N133,Capa!$A:$AE,BD$5,0)),0),IF(ISERROR(1/VLOOKUP($N133,Capa!$A:$AE,BD$5,0)),0,1/VLOOKUP($N133,Capa!$A:$AE,BD$5,0))))</f>
        <v/>
      </c>
      <c r="BE133" s="118" t="str">
        <f>IF(BE$6="","",IF(BE$3="Maior",IFERROR(IF(VLOOKUP($N133,Capa!$A:$AE,BE$5,0)="",0,VLOOKUP($N133,Capa!$A:$AE,BE$5,0)),0),IF(ISERROR(1/VLOOKUP($N133,Capa!$A:$AE,BE$5,0)),0,1/VLOOKUP($N133,Capa!$A:$AE,BE$5,0))))</f>
        <v/>
      </c>
      <c r="BF133" s="118" t="str">
        <f>IF(BF$6="","",IF(BF$3="Maior",IFERROR(IF(VLOOKUP($N133,Capa!$A:$AE,BF$5,0)="",0,VLOOKUP($N133,Capa!$A:$AE,BF$5,0)),0),IF(ISERROR(1/VLOOKUP($N133,Capa!$A:$AE,BF$5,0)),0,1/VLOOKUP($N133,Capa!$A:$AE,BF$5,0))))</f>
        <v/>
      </c>
      <c r="BG133" s="118" t="str">
        <f>IF(BG$6="","",IF(BG$3="Maior",IFERROR(IF(VLOOKUP($N133,Capa!$A:$AE,BG$5,0)="",0,VLOOKUP($N133,Capa!$A:$AE,BG$5,0)),0),IF(ISERROR(1/VLOOKUP($N133,Capa!$A:$AE,BG$5,0)),0,1/VLOOKUP($N133,Capa!$A:$AE,BG$5,0))))</f>
        <v/>
      </c>
      <c r="BH133" s="118" t="str">
        <f>IF(BH$6="","",IF(BH$3="Maior",IFERROR(IF(VLOOKUP($N133,Capa!$A:$AE,BH$5,0)="",0,VLOOKUP($N133,Capa!$A:$AE,BH$5,0)),0),IF(ISERROR(1/VLOOKUP($N133,Capa!$A:$AE,BH$5,0)),0,1/VLOOKUP($N133,Capa!$A:$AE,BH$5,0))))</f>
        <v/>
      </c>
      <c r="BI133" s="118" t="str">
        <f>IF(BI$6="","",IF(BI$3="Maior",IFERROR(IF(VLOOKUP($N133,Capa!$A:$AE,BI$5,0)="",0,VLOOKUP($N133,Capa!$A:$AE,BI$5,0)),0),IF(ISERROR(1/VLOOKUP($N133,Capa!$A:$AE,BI$5,0)),0,1/VLOOKUP($N133,Capa!$A:$AE,BI$5,0))))</f>
        <v/>
      </c>
      <c r="BJ133" s="118" t="str">
        <f>IF(BJ$6="","",IF(BJ$3="Maior",IFERROR(IF(VLOOKUP($N133,Capa!$A:$AE,BJ$5,0)="",0,VLOOKUP($N133,Capa!$A:$AE,BJ$5,0)),0),IF(ISERROR(1/VLOOKUP($N133,Capa!$A:$AE,BJ$5,0)),0,1/VLOOKUP($N133,Capa!$A:$AE,BJ$5,0))))</f>
        <v/>
      </c>
      <c r="BK133" s="118" t="str">
        <f>IF(BK$6="","",IF(BK$3="Maior",IFERROR(IF(VLOOKUP($N133,Capa!$A:$AE,BK$5,0)="",0,VLOOKUP($N133,Capa!$A:$AE,BK$5,0)),0),IF(ISERROR(1/VLOOKUP($N133,Capa!$A:$AE,BK$5,0)),0,1/VLOOKUP($N133,Capa!$A:$AE,BK$5,0))))</f>
        <v/>
      </c>
      <c r="BL133" s="118" t="str">
        <f>IF(BL$6="","",IF(BL$3="Maior",IFERROR(IF(VLOOKUP($N133,Capa!$A:$AE,BL$5,0)="",0,VLOOKUP($N133,Capa!$A:$AE,BL$5,0)),0),IF(ISERROR(1/VLOOKUP($N133,Capa!$A:$AE,BL$5,0)),0,1/VLOOKUP($N133,Capa!$A:$AE,BL$5,0))))</f>
        <v/>
      </c>
      <c r="BM133" s="118" t="str">
        <f>IF(BM$6="","",IF(BM$3="Maior",IFERROR(IF(VLOOKUP($N133,Capa!$A:$AE,BM$5,0)="",0,VLOOKUP($N133,Capa!$A:$AE,BM$5,0)),0),IF(ISERROR(1/VLOOKUP($N133,Capa!$A:$AE,BM$5,0)),0,1/VLOOKUP($N133,Capa!$A:$AE,BM$5,0))))</f>
        <v/>
      </c>
      <c r="BN133" s="118" t="str">
        <f>IF(BN$6="","",IF(BN$3="Maior",IFERROR(IF(VLOOKUP($N133,Capa!$A:$AE,BN$5,0)="",0,VLOOKUP($N133,Capa!$A:$AE,BN$5,0)),0),IF(ISERROR(1/VLOOKUP($N133,Capa!$A:$AE,BN$5,0)),0,1/VLOOKUP($N133,Capa!$A:$AE,BN$5,0))))</f>
        <v/>
      </c>
      <c r="BO133" s="92"/>
    </row>
    <row r="134">
      <c r="G134" s="11"/>
      <c r="H134" s="8">
        <v>128.0</v>
      </c>
      <c r="I134" s="110" t="str">
        <f t="shared" si="6"/>
        <v>GNDI3</v>
      </c>
      <c r="J134" s="111" t="str">
        <f>VLOOKUP(left(I134,4),Setor!A:D,3,0)&amp;" | "&amp;VLOOKUP(left(I134,4),Setor!A:D,4,0)</f>
        <v>Saúde | Análises e Diagnósticos</v>
      </c>
      <c r="K134" s="112">
        <f t="shared" si="7"/>
        <v>243191886.8</v>
      </c>
      <c r="L134" s="11"/>
      <c r="M134" s="11"/>
      <c r="N134" s="10" t="s">
        <v>180</v>
      </c>
      <c r="O134" s="113">
        <f t="shared" si="8"/>
        <v>1192.0357</v>
      </c>
      <c r="P134" s="114">
        <f>VLOOKUP(N134,'Dados StatusInvest'!A:Z,26,0)</f>
        <v>24392804.79</v>
      </c>
      <c r="Q134" s="115">
        <f t="shared" si="9"/>
        <v>357.0357</v>
      </c>
      <c r="R134" s="116">
        <f t="shared" ref="R134:AO134" si="137">IF(AQ134="","", RANK(AQ134,AQ$7:AQ$503,0))</f>
        <v>344</v>
      </c>
      <c r="S134" s="115">
        <f t="shared" si="137"/>
        <v>491</v>
      </c>
      <c r="T134" s="115" t="str">
        <f t="shared" si="137"/>
        <v/>
      </c>
      <c r="U134" s="115" t="str">
        <f t="shared" si="137"/>
        <v/>
      </c>
      <c r="V134" s="115" t="str">
        <f t="shared" si="137"/>
        <v/>
      </c>
      <c r="W134" s="115" t="str">
        <f t="shared" si="137"/>
        <v/>
      </c>
      <c r="X134" s="115" t="str">
        <f t="shared" si="137"/>
        <v/>
      </c>
      <c r="Y134" s="115" t="str">
        <f t="shared" si="137"/>
        <v/>
      </c>
      <c r="Z134" s="115" t="str">
        <f t="shared" si="137"/>
        <v/>
      </c>
      <c r="AA134" s="115" t="str">
        <f t="shared" si="137"/>
        <v/>
      </c>
      <c r="AB134" s="115" t="str">
        <f t="shared" si="137"/>
        <v/>
      </c>
      <c r="AC134" s="115" t="str">
        <f t="shared" si="137"/>
        <v/>
      </c>
      <c r="AD134" s="115" t="str">
        <f t="shared" si="137"/>
        <v/>
      </c>
      <c r="AE134" s="115" t="str">
        <f t="shared" si="137"/>
        <v/>
      </c>
      <c r="AF134" s="115" t="str">
        <f t="shared" si="137"/>
        <v/>
      </c>
      <c r="AG134" s="115" t="str">
        <f t="shared" si="137"/>
        <v/>
      </c>
      <c r="AH134" s="115" t="str">
        <f t="shared" si="137"/>
        <v/>
      </c>
      <c r="AI134" s="115" t="str">
        <f t="shared" si="137"/>
        <v/>
      </c>
      <c r="AJ134" s="115" t="str">
        <f t="shared" si="137"/>
        <v/>
      </c>
      <c r="AK134" s="115" t="str">
        <f t="shared" si="137"/>
        <v/>
      </c>
      <c r="AL134" s="115" t="str">
        <f t="shared" si="137"/>
        <v/>
      </c>
      <c r="AM134" s="115" t="str">
        <f t="shared" si="137"/>
        <v/>
      </c>
      <c r="AN134" s="115" t="str">
        <f t="shared" si="137"/>
        <v/>
      </c>
      <c r="AO134" s="115" t="str">
        <f t="shared" si="137"/>
        <v/>
      </c>
      <c r="AP134" s="117">
        <f>IF(AP$6="","",IF(AP$3="Maior",IFERROR(IF(VLOOKUP($N134,Capa!$A:$AE,AP$5,0)="",0,VLOOKUP($N134,Capa!$A:$AE,AP$5,0)),0),IF(ISERROR(1/VLOOKUP($N134,Capa!$A:$AE,AP$5,0)),0,1/VLOOKUP($N134,Capa!$A:$AE,AP$5,0))))</f>
        <v>0.0264068282</v>
      </c>
      <c r="AQ134" s="118">
        <f>IF(AQ$6="","",IF(AQ$3="Maior",IFERROR(IF(VLOOKUP($N134,Capa!$A:$AE,AQ$5,0)="",0,VLOOKUP($N134,Capa!$A:$AE,AQ$5,0)),0),IF(ISERROR(1/VLOOKUP($N134,Capa!$A:$AE,AQ$5,0)),0,1/VLOOKUP($N134,Capa!$A:$AE,AQ$5,0))))</f>
        <v>2.56</v>
      </c>
      <c r="AR134" s="118">
        <f>IF(AR$6="","",IF(AR$3="Maior",IFERROR(IF(VLOOKUP($N134,Capa!$A:$AE,AR$5,0)="",0,VLOOKUP($N134,Capa!$A:$AE,AR$5,0)),0),IF(ISERROR(1/VLOOKUP($N134,Capa!$A:$AE,AR$5,0)),0,1/VLOOKUP($N134,Capa!$A:$AE,AR$5,0))))</f>
        <v>-18.01</v>
      </c>
      <c r="AS134" s="118" t="str">
        <f>IF(AS$6="","",IF(AS$3="Maior",IFERROR(IF(VLOOKUP($N134,Capa!$A:$AE,AS$5,0)="",0,VLOOKUP($N134,Capa!$A:$AE,AS$5,0)),0),IF(ISERROR(1/VLOOKUP($N134,Capa!$A:$AE,AS$5,0)),0,1/VLOOKUP($N134,Capa!$A:$AE,AS$5,0))))</f>
        <v/>
      </c>
      <c r="AT134" s="118" t="str">
        <f>IF(AT$6="","",IF(AT$3="Maior",IFERROR(IF(VLOOKUP($N134,Capa!$A:$AE,AT$5,0)="",0,VLOOKUP($N134,Capa!$A:$AE,AT$5,0)),0),IF(ISERROR(1/VLOOKUP($N134,Capa!$A:$AE,AT$5,0)),0,1/VLOOKUP($N134,Capa!$A:$AE,AT$5,0))))</f>
        <v/>
      </c>
      <c r="AU134" s="118" t="str">
        <f>IF(AU$6="","",IF(AU$3="Maior",IFERROR(IF(VLOOKUP($N134,Capa!$A:$AE,AU$5,0)="",0,VLOOKUP($N134,Capa!$A:$AE,AU$5,0)),0),IF(ISERROR(1/VLOOKUP($N134,Capa!$A:$AE,AU$5,0)),0,1/VLOOKUP($N134,Capa!$A:$AE,AU$5,0))))</f>
        <v/>
      </c>
      <c r="AV134" s="118" t="str">
        <f>IF(AV$6="","",IF(AV$3="Maior",IFERROR(IF(VLOOKUP($N134,Capa!$A:$AE,AV$5,0)="",0,VLOOKUP($N134,Capa!$A:$AE,AV$5,0)),0),IF(ISERROR(1/VLOOKUP($N134,Capa!$A:$AE,AV$5,0)),0,1/VLOOKUP($N134,Capa!$A:$AE,AV$5,0))))</f>
        <v/>
      </c>
      <c r="AW134" s="118" t="str">
        <f>IF(AW$6="","",IF(AW$3="Maior",IFERROR(IF(VLOOKUP($N134,Capa!$A:$AE,AW$5,0)="",0,VLOOKUP($N134,Capa!$A:$AE,AW$5,0)),0),IF(ISERROR(1/VLOOKUP($N134,Capa!$A:$AE,AW$5,0)),0,1/VLOOKUP($N134,Capa!$A:$AE,AW$5,0))))</f>
        <v/>
      </c>
      <c r="AX134" s="118" t="str">
        <f>IF(AX$6="","",IF(AX$3="Maior",IFERROR(IF(VLOOKUP($N134,Capa!$A:$AE,AX$5,0)="",0,VLOOKUP($N134,Capa!$A:$AE,AX$5,0)),0),IF(ISERROR(1/VLOOKUP($N134,Capa!$A:$AE,AX$5,0)),0,1/VLOOKUP($N134,Capa!$A:$AE,AX$5,0))))</f>
        <v/>
      </c>
      <c r="AY134" s="118" t="str">
        <f>IF(AY$6="","",IF(AY$3="Maior",IFERROR(IF(VLOOKUP($N134,Capa!$A:$AE,AY$5,0)="",0,VLOOKUP($N134,Capa!$A:$AE,AY$5,0)),0),IF(ISERROR(1/VLOOKUP($N134,Capa!$A:$AE,AY$5,0)),0,1/VLOOKUP($N134,Capa!$A:$AE,AY$5,0))))</f>
        <v/>
      </c>
      <c r="AZ134" s="118" t="str">
        <f>IF(AZ$6="","",IF(AZ$3="Maior",IFERROR(IF(VLOOKUP($N134,Capa!$A:$AE,AZ$5,0)="",0,VLOOKUP($N134,Capa!$A:$AE,AZ$5,0)),0),IF(ISERROR(1/VLOOKUP($N134,Capa!$A:$AE,AZ$5,0)),0,1/VLOOKUP($N134,Capa!$A:$AE,AZ$5,0))))</f>
        <v/>
      </c>
      <c r="BA134" s="118" t="str">
        <f>IF(BA$6="","",IF(BA$3="Maior",IFERROR(IF(VLOOKUP($N134,Capa!$A:$AE,BA$5,0)="",0,VLOOKUP($N134,Capa!$A:$AE,BA$5,0)),0),IF(ISERROR(1/VLOOKUP($N134,Capa!$A:$AE,BA$5,0)),0,1/VLOOKUP($N134,Capa!$A:$AE,BA$5,0))))</f>
        <v/>
      </c>
      <c r="BB134" s="118" t="str">
        <f>IF(BB$6="","",IF(BB$3="Maior",IFERROR(IF(VLOOKUP($N134,Capa!$A:$AE,BB$5,0)="",0,VLOOKUP($N134,Capa!$A:$AE,BB$5,0)),0),IF(ISERROR(1/VLOOKUP($N134,Capa!$A:$AE,BB$5,0)),0,1/VLOOKUP($N134,Capa!$A:$AE,BB$5,0))))</f>
        <v/>
      </c>
      <c r="BC134" s="118" t="str">
        <f>IF(BC$6="","",IF(BC$3="Maior",IFERROR(IF(VLOOKUP($N134,Capa!$A:$AE,BC$5,0)="",0,VLOOKUP($N134,Capa!$A:$AE,BC$5,0)),0),IF(ISERROR(1/VLOOKUP($N134,Capa!$A:$AE,BC$5,0)),0,1/VLOOKUP($N134,Capa!$A:$AE,BC$5,0))))</f>
        <v/>
      </c>
      <c r="BD134" s="118" t="str">
        <f>IF(BD$6="","",IF(BD$3="Maior",IFERROR(IF(VLOOKUP($N134,Capa!$A:$AE,BD$5,0)="",0,VLOOKUP($N134,Capa!$A:$AE,BD$5,0)),0),IF(ISERROR(1/VLOOKUP($N134,Capa!$A:$AE,BD$5,0)),0,1/VLOOKUP($N134,Capa!$A:$AE,BD$5,0))))</f>
        <v/>
      </c>
      <c r="BE134" s="118" t="str">
        <f>IF(BE$6="","",IF(BE$3="Maior",IFERROR(IF(VLOOKUP($N134,Capa!$A:$AE,BE$5,0)="",0,VLOOKUP($N134,Capa!$A:$AE,BE$5,0)),0),IF(ISERROR(1/VLOOKUP($N134,Capa!$A:$AE,BE$5,0)),0,1/VLOOKUP($N134,Capa!$A:$AE,BE$5,0))))</f>
        <v/>
      </c>
      <c r="BF134" s="118" t="str">
        <f>IF(BF$6="","",IF(BF$3="Maior",IFERROR(IF(VLOOKUP($N134,Capa!$A:$AE,BF$5,0)="",0,VLOOKUP($N134,Capa!$A:$AE,BF$5,0)),0),IF(ISERROR(1/VLOOKUP($N134,Capa!$A:$AE,BF$5,0)),0,1/VLOOKUP($N134,Capa!$A:$AE,BF$5,0))))</f>
        <v/>
      </c>
      <c r="BG134" s="118" t="str">
        <f>IF(BG$6="","",IF(BG$3="Maior",IFERROR(IF(VLOOKUP($N134,Capa!$A:$AE,BG$5,0)="",0,VLOOKUP($N134,Capa!$A:$AE,BG$5,0)),0),IF(ISERROR(1/VLOOKUP($N134,Capa!$A:$AE,BG$5,0)),0,1/VLOOKUP($N134,Capa!$A:$AE,BG$5,0))))</f>
        <v/>
      </c>
      <c r="BH134" s="118" t="str">
        <f>IF(BH$6="","",IF(BH$3="Maior",IFERROR(IF(VLOOKUP($N134,Capa!$A:$AE,BH$5,0)="",0,VLOOKUP($N134,Capa!$A:$AE,BH$5,0)),0),IF(ISERROR(1/VLOOKUP($N134,Capa!$A:$AE,BH$5,0)),0,1/VLOOKUP($N134,Capa!$A:$AE,BH$5,0))))</f>
        <v/>
      </c>
      <c r="BI134" s="118" t="str">
        <f>IF(BI$6="","",IF(BI$3="Maior",IFERROR(IF(VLOOKUP($N134,Capa!$A:$AE,BI$5,0)="",0,VLOOKUP($N134,Capa!$A:$AE,BI$5,0)),0),IF(ISERROR(1/VLOOKUP($N134,Capa!$A:$AE,BI$5,0)),0,1/VLOOKUP($N134,Capa!$A:$AE,BI$5,0))))</f>
        <v/>
      </c>
      <c r="BJ134" s="118" t="str">
        <f>IF(BJ$6="","",IF(BJ$3="Maior",IFERROR(IF(VLOOKUP($N134,Capa!$A:$AE,BJ$5,0)="",0,VLOOKUP($N134,Capa!$A:$AE,BJ$5,0)),0),IF(ISERROR(1/VLOOKUP($N134,Capa!$A:$AE,BJ$5,0)),0,1/VLOOKUP($N134,Capa!$A:$AE,BJ$5,0))))</f>
        <v/>
      </c>
      <c r="BK134" s="118" t="str">
        <f>IF(BK$6="","",IF(BK$3="Maior",IFERROR(IF(VLOOKUP($N134,Capa!$A:$AE,BK$5,0)="",0,VLOOKUP($N134,Capa!$A:$AE,BK$5,0)),0),IF(ISERROR(1/VLOOKUP($N134,Capa!$A:$AE,BK$5,0)),0,1/VLOOKUP($N134,Capa!$A:$AE,BK$5,0))))</f>
        <v/>
      </c>
      <c r="BL134" s="118" t="str">
        <f>IF(BL$6="","",IF(BL$3="Maior",IFERROR(IF(VLOOKUP($N134,Capa!$A:$AE,BL$5,0)="",0,VLOOKUP($N134,Capa!$A:$AE,BL$5,0)),0),IF(ISERROR(1/VLOOKUP($N134,Capa!$A:$AE,BL$5,0)),0,1/VLOOKUP($N134,Capa!$A:$AE,BL$5,0))))</f>
        <v/>
      </c>
      <c r="BM134" s="118" t="str">
        <f>IF(BM$6="","",IF(BM$3="Maior",IFERROR(IF(VLOOKUP($N134,Capa!$A:$AE,BM$5,0)="",0,VLOOKUP($N134,Capa!$A:$AE,BM$5,0)),0),IF(ISERROR(1/VLOOKUP($N134,Capa!$A:$AE,BM$5,0)),0,1/VLOOKUP($N134,Capa!$A:$AE,BM$5,0))))</f>
        <v/>
      </c>
      <c r="BN134" s="118" t="str">
        <f>IF(BN$6="","",IF(BN$3="Maior",IFERROR(IF(VLOOKUP($N134,Capa!$A:$AE,BN$5,0)="",0,VLOOKUP($N134,Capa!$A:$AE,BN$5,0)),0),IF(ISERROR(1/VLOOKUP($N134,Capa!$A:$AE,BN$5,0)),0,1/VLOOKUP($N134,Capa!$A:$AE,BN$5,0))))</f>
        <v/>
      </c>
      <c r="BO134" s="92"/>
    </row>
    <row r="135">
      <c r="G135" s="11"/>
      <c r="H135" s="8">
        <v>129.0</v>
      </c>
      <c r="I135" s="110" t="str">
        <f t="shared" si="6"/>
        <v>PETZ3</v>
      </c>
      <c r="J135" s="111" t="str">
        <f>VLOOKUP(left(I135,4),Setor!A:D,3,0)&amp;" | "&amp;VLOOKUP(left(I135,4),Setor!A:D,4,0)</f>
        <v>Consumo Cíclico | Comércio</v>
      </c>
      <c r="K135" s="112">
        <f t="shared" si="7"/>
        <v>131178780.8</v>
      </c>
      <c r="L135" s="11"/>
      <c r="M135" s="11"/>
      <c r="N135" s="10" t="s">
        <v>181</v>
      </c>
      <c r="O135" s="113">
        <f t="shared" si="8"/>
        <v>717.028</v>
      </c>
      <c r="P135" s="114">
        <f>VLOOKUP(N135,'Dados StatusInvest'!A:Z,26,0)</f>
        <v>23342485.38</v>
      </c>
      <c r="Q135" s="115">
        <f t="shared" si="9"/>
        <v>280.028</v>
      </c>
      <c r="R135" s="116">
        <f t="shared" ref="R135:AO135" si="138">IF(AQ135="","", RANK(AQ135,AQ$7:AQ$503,0))</f>
        <v>228</v>
      </c>
      <c r="S135" s="115">
        <f t="shared" si="138"/>
        <v>209</v>
      </c>
      <c r="T135" s="115" t="str">
        <f t="shared" si="138"/>
        <v/>
      </c>
      <c r="U135" s="115" t="str">
        <f t="shared" si="138"/>
        <v/>
      </c>
      <c r="V135" s="115" t="str">
        <f t="shared" si="138"/>
        <v/>
      </c>
      <c r="W135" s="115" t="str">
        <f t="shared" si="138"/>
        <v/>
      </c>
      <c r="X135" s="115" t="str">
        <f t="shared" si="138"/>
        <v/>
      </c>
      <c r="Y135" s="115" t="str">
        <f t="shared" si="138"/>
        <v/>
      </c>
      <c r="Z135" s="115" t="str">
        <f t="shared" si="138"/>
        <v/>
      </c>
      <c r="AA135" s="115" t="str">
        <f t="shared" si="138"/>
        <v/>
      </c>
      <c r="AB135" s="115" t="str">
        <f t="shared" si="138"/>
        <v/>
      </c>
      <c r="AC135" s="115" t="str">
        <f t="shared" si="138"/>
        <v/>
      </c>
      <c r="AD135" s="115" t="str">
        <f t="shared" si="138"/>
        <v/>
      </c>
      <c r="AE135" s="115" t="str">
        <f t="shared" si="138"/>
        <v/>
      </c>
      <c r="AF135" s="115" t="str">
        <f t="shared" si="138"/>
        <v/>
      </c>
      <c r="AG135" s="115" t="str">
        <f t="shared" si="138"/>
        <v/>
      </c>
      <c r="AH135" s="115" t="str">
        <f t="shared" si="138"/>
        <v/>
      </c>
      <c r="AI135" s="115" t="str">
        <f t="shared" si="138"/>
        <v/>
      </c>
      <c r="AJ135" s="115" t="str">
        <f t="shared" si="138"/>
        <v/>
      </c>
      <c r="AK135" s="115" t="str">
        <f t="shared" si="138"/>
        <v/>
      </c>
      <c r="AL135" s="115" t="str">
        <f t="shared" si="138"/>
        <v/>
      </c>
      <c r="AM135" s="115" t="str">
        <f t="shared" si="138"/>
        <v/>
      </c>
      <c r="AN135" s="115" t="str">
        <f t="shared" si="138"/>
        <v/>
      </c>
      <c r="AO135" s="115" t="str">
        <f t="shared" si="138"/>
        <v/>
      </c>
      <c r="AP135" s="117">
        <f>IF(AP$6="","",IF(AP$3="Maior",IFERROR(IF(VLOOKUP($N135,Capa!$A:$AE,AP$5,0)="",0,VLOOKUP($N135,Capa!$A:$AE,AP$5,0)),0),IF(ISERROR(1/VLOOKUP($N135,Capa!$A:$AE,AP$5,0)),0,1/VLOOKUP($N135,Capa!$A:$AE,AP$5,0))))</f>
        <v>0.06450342958</v>
      </c>
      <c r="AQ135" s="118">
        <f>IF(AQ$6="","",IF(AQ$3="Maior",IFERROR(IF(VLOOKUP($N135,Capa!$A:$AE,AQ$5,0)="",0,VLOOKUP($N135,Capa!$A:$AE,AQ$5,0)),0),IF(ISERROR(1/VLOOKUP($N135,Capa!$A:$AE,AQ$5,0)),0,1/VLOOKUP($N135,Capa!$A:$AE,AQ$5,0))))</f>
        <v>9.77</v>
      </c>
      <c r="AR135" s="118">
        <f>IF(AR$6="","",IF(AR$3="Maior",IFERROR(IF(VLOOKUP($N135,Capa!$A:$AE,AR$5,0)="",0,VLOOKUP($N135,Capa!$A:$AE,AR$5,0)),0),IF(ISERROR(1/VLOOKUP($N135,Capa!$A:$AE,AR$5,0)),0,1/VLOOKUP($N135,Capa!$A:$AE,AR$5,0))))</f>
        <v>1.1</v>
      </c>
      <c r="AS135" s="118" t="str">
        <f>IF(AS$6="","",IF(AS$3="Maior",IFERROR(IF(VLOOKUP($N135,Capa!$A:$AE,AS$5,0)="",0,VLOOKUP($N135,Capa!$A:$AE,AS$5,0)),0),IF(ISERROR(1/VLOOKUP($N135,Capa!$A:$AE,AS$5,0)),0,1/VLOOKUP($N135,Capa!$A:$AE,AS$5,0))))</f>
        <v/>
      </c>
      <c r="AT135" s="118" t="str">
        <f>IF(AT$6="","",IF(AT$3="Maior",IFERROR(IF(VLOOKUP($N135,Capa!$A:$AE,AT$5,0)="",0,VLOOKUP($N135,Capa!$A:$AE,AT$5,0)),0),IF(ISERROR(1/VLOOKUP($N135,Capa!$A:$AE,AT$5,0)),0,1/VLOOKUP($N135,Capa!$A:$AE,AT$5,0))))</f>
        <v/>
      </c>
      <c r="AU135" s="118" t="str">
        <f>IF(AU$6="","",IF(AU$3="Maior",IFERROR(IF(VLOOKUP($N135,Capa!$A:$AE,AU$5,0)="",0,VLOOKUP($N135,Capa!$A:$AE,AU$5,0)),0),IF(ISERROR(1/VLOOKUP($N135,Capa!$A:$AE,AU$5,0)),0,1/VLOOKUP($N135,Capa!$A:$AE,AU$5,0))))</f>
        <v/>
      </c>
      <c r="AV135" s="118" t="str">
        <f>IF(AV$6="","",IF(AV$3="Maior",IFERROR(IF(VLOOKUP($N135,Capa!$A:$AE,AV$5,0)="",0,VLOOKUP($N135,Capa!$A:$AE,AV$5,0)),0),IF(ISERROR(1/VLOOKUP($N135,Capa!$A:$AE,AV$5,0)),0,1/VLOOKUP($N135,Capa!$A:$AE,AV$5,0))))</f>
        <v/>
      </c>
      <c r="AW135" s="118" t="str">
        <f>IF(AW$6="","",IF(AW$3="Maior",IFERROR(IF(VLOOKUP($N135,Capa!$A:$AE,AW$5,0)="",0,VLOOKUP($N135,Capa!$A:$AE,AW$5,0)),0),IF(ISERROR(1/VLOOKUP($N135,Capa!$A:$AE,AW$5,0)),0,1/VLOOKUP($N135,Capa!$A:$AE,AW$5,0))))</f>
        <v/>
      </c>
      <c r="AX135" s="118" t="str">
        <f>IF(AX$6="","",IF(AX$3="Maior",IFERROR(IF(VLOOKUP($N135,Capa!$A:$AE,AX$5,0)="",0,VLOOKUP($N135,Capa!$A:$AE,AX$5,0)),0),IF(ISERROR(1/VLOOKUP($N135,Capa!$A:$AE,AX$5,0)),0,1/VLOOKUP($N135,Capa!$A:$AE,AX$5,0))))</f>
        <v/>
      </c>
      <c r="AY135" s="118" t="str">
        <f>IF(AY$6="","",IF(AY$3="Maior",IFERROR(IF(VLOOKUP($N135,Capa!$A:$AE,AY$5,0)="",0,VLOOKUP($N135,Capa!$A:$AE,AY$5,0)),0),IF(ISERROR(1/VLOOKUP($N135,Capa!$A:$AE,AY$5,0)),0,1/VLOOKUP($N135,Capa!$A:$AE,AY$5,0))))</f>
        <v/>
      </c>
      <c r="AZ135" s="118" t="str">
        <f>IF(AZ$6="","",IF(AZ$3="Maior",IFERROR(IF(VLOOKUP($N135,Capa!$A:$AE,AZ$5,0)="",0,VLOOKUP($N135,Capa!$A:$AE,AZ$5,0)),0),IF(ISERROR(1/VLOOKUP($N135,Capa!$A:$AE,AZ$5,0)),0,1/VLOOKUP($N135,Capa!$A:$AE,AZ$5,0))))</f>
        <v/>
      </c>
      <c r="BA135" s="118" t="str">
        <f>IF(BA$6="","",IF(BA$3="Maior",IFERROR(IF(VLOOKUP($N135,Capa!$A:$AE,BA$5,0)="",0,VLOOKUP($N135,Capa!$A:$AE,BA$5,0)),0),IF(ISERROR(1/VLOOKUP($N135,Capa!$A:$AE,BA$5,0)),0,1/VLOOKUP($N135,Capa!$A:$AE,BA$5,0))))</f>
        <v/>
      </c>
      <c r="BB135" s="118" t="str">
        <f>IF(BB$6="","",IF(BB$3="Maior",IFERROR(IF(VLOOKUP($N135,Capa!$A:$AE,BB$5,0)="",0,VLOOKUP($N135,Capa!$A:$AE,BB$5,0)),0),IF(ISERROR(1/VLOOKUP($N135,Capa!$A:$AE,BB$5,0)),0,1/VLOOKUP($N135,Capa!$A:$AE,BB$5,0))))</f>
        <v/>
      </c>
      <c r="BC135" s="118" t="str">
        <f>IF(BC$6="","",IF(BC$3="Maior",IFERROR(IF(VLOOKUP($N135,Capa!$A:$AE,BC$5,0)="",0,VLOOKUP($N135,Capa!$A:$AE,BC$5,0)),0),IF(ISERROR(1/VLOOKUP($N135,Capa!$A:$AE,BC$5,0)),0,1/VLOOKUP($N135,Capa!$A:$AE,BC$5,0))))</f>
        <v/>
      </c>
      <c r="BD135" s="118" t="str">
        <f>IF(BD$6="","",IF(BD$3="Maior",IFERROR(IF(VLOOKUP($N135,Capa!$A:$AE,BD$5,0)="",0,VLOOKUP($N135,Capa!$A:$AE,BD$5,0)),0),IF(ISERROR(1/VLOOKUP($N135,Capa!$A:$AE,BD$5,0)),0,1/VLOOKUP($N135,Capa!$A:$AE,BD$5,0))))</f>
        <v/>
      </c>
      <c r="BE135" s="118" t="str">
        <f>IF(BE$6="","",IF(BE$3="Maior",IFERROR(IF(VLOOKUP($N135,Capa!$A:$AE,BE$5,0)="",0,VLOOKUP($N135,Capa!$A:$AE,BE$5,0)),0),IF(ISERROR(1/VLOOKUP($N135,Capa!$A:$AE,BE$5,0)),0,1/VLOOKUP($N135,Capa!$A:$AE,BE$5,0))))</f>
        <v/>
      </c>
      <c r="BF135" s="118" t="str">
        <f>IF(BF$6="","",IF(BF$3="Maior",IFERROR(IF(VLOOKUP($N135,Capa!$A:$AE,BF$5,0)="",0,VLOOKUP($N135,Capa!$A:$AE,BF$5,0)),0),IF(ISERROR(1/VLOOKUP($N135,Capa!$A:$AE,BF$5,0)),0,1/VLOOKUP($N135,Capa!$A:$AE,BF$5,0))))</f>
        <v/>
      </c>
      <c r="BG135" s="118" t="str">
        <f>IF(BG$6="","",IF(BG$3="Maior",IFERROR(IF(VLOOKUP($N135,Capa!$A:$AE,BG$5,0)="",0,VLOOKUP($N135,Capa!$A:$AE,BG$5,0)),0),IF(ISERROR(1/VLOOKUP($N135,Capa!$A:$AE,BG$5,0)),0,1/VLOOKUP($N135,Capa!$A:$AE,BG$5,0))))</f>
        <v/>
      </c>
      <c r="BH135" s="118" t="str">
        <f>IF(BH$6="","",IF(BH$3="Maior",IFERROR(IF(VLOOKUP($N135,Capa!$A:$AE,BH$5,0)="",0,VLOOKUP($N135,Capa!$A:$AE,BH$5,0)),0),IF(ISERROR(1/VLOOKUP($N135,Capa!$A:$AE,BH$5,0)),0,1/VLOOKUP($N135,Capa!$A:$AE,BH$5,0))))</f>
        <v/>
      </c>
      <c r="BI135" s="118" t="str">
        <f>IF(BI$6="","",IF(BI$3="Maior",IFERROR(IF(VLOOKUP($N135,Capa!$A:$AE,BI$5,0)="",0,VLOOKUP($N135,Capa!$A:$AE,BI$5,0)),0),IF(ISERROR(1/VLOOKUP($N135,Capa!$A:$AE,BI$5,0)),0,1/VLOOKUP($N135,Capa!$A:$AE,BI$5,0))))</f>
        <v/>
      </c>
      <c r="BJ135" s="118" t="str">
        <f>IF(BJ$6="","",IF(BJ$3="Maior",IFERROR(IF(VLOOKUP($N135,Capa!$A:$AE,BJ$5,0)="",0,VLOOKUP($N135,Capa!$A:$AE,BJ$5,0)),0),IF(ISERROR(1/VLOOKUP($N135,Capa!$A:$AE,BJ$5,0)),0,1/VLOOKUP($N135,Capa!$A:$AE,BJ$5,0))))</f>
        <v/>
      </c>
      <c r="BK135" s="118" t="str">
        <f>IF(BK$6="","",IF(BK$3="Maior",IFERROR(IF(VLOOKUP($N135,Capa!$A:$AE,BK$5,0)="",0,VLOOKUP($N135,Capa!$A:$AE,BK$5,0)),0),IF(ISERROR(1/VLOOKUP($N135,Capa!$A:$AE,BK$5,0)),0,1/VLOOKUP($N135,Capa!$A:$AE,BK$5,0))))</f>
        <v/>
      </c>
      <c r="BL135" s="118" t="str">
        <f>IF(BL$6="","",IF(BL$3="Maior",IFERROR(IF(VLOOKUP($N135,Capa!$A:$AE,BL$5,0)="",0,VLOOKUP($N135,Capa!$A:$AE,BL$5,0)),0),IF(ISERROR(1/VLOOKUP($N135,Capa!$A:$AE,BL$5,0)),0,1/VLOOKUP($N135,Capa!$A:$AE,BL$5,0))))</f>
        <v/>
      </c>
      <c r="BM135" s="118" t="str">
        <f>IF(BM$6="","",IF(BM$3="Maior",IFERROR(IF(VLOOKUP($N135,Capa!$A:$AE,BM$5,0)="",0,VLOOKUP($N135,Capa!$A:$AE,BM$5,0)),0),IF(ISERROR(1/VLOOKUP($N135,Capa!$A:$AE,BM$5,0)),0,1/VLOOKUP($N135,Capa!$A:$AE,BM$5,0))))</f>
        <v/>
      </c>
      <c r="BN135" s="118" t="str">
        <f>IF(BN$6="","",IF(BN$3="Maior",IFERROR(IF(VLOOKUP($N135,Capa!$A:$AE,BN$5,0)="",0,VLOOKUP($N135,Capa!$A:$AE,BN$5,0)),0),IF(ISERROR(1/VLOOKUP($N135,Capa!$A:$AE,BN$5,0)),0,1/VLOOKUP($N135,Capa!$A:$AE,BN$5,0))))</f>
        <v/>
      </c>
      <c r="BO135" s="92"/>
    </row>
    <row r="136">
      <c r="G136" s="11"/>
      <c r="H136" s="8">
        <v>130.0</v>
      </c>
      <c r="I136" s="110" t="str">
        <f t="shared" si="6"/>
        <v>GGPS3</v>
      </c>
      <c r="J136" s="111" t="str">
        <f>VLOOKUP(left(I136,4),Setor!A:D,3,0)&amp;" | "&amp;VLOOKUP(left(I136,4),Setor!A:D,4,0)</f>
        <v>#N/A</v>
      </c>
      <c r="K136" s="112">
        <f t="shared" si="7"/>
        <v>20623648.25</v>
      </c>
      <c r="L136" s="11"/>
      <c r="M136" s="11"/>
      <c r="N136" s="10" t="s">
        <v>182</v>
      </c>
      <c r="O136" s="113">
        <f t="shared" si="8"/>
        <v>945.0377</v>
      </c>
      <c r="P136" s="114">
        <f>VLOOKUP(N136,'Dados StatusInvest'!A:Z,26,0)</f>
        <v>31856502.88</v>
      </c>
      <c r="Q136" s="115">
        <f t="shared" si="9"/>
        <v>377.0377</v>
      </c>
      <c r="R136" s="116">
        <f t="shared" ref="R136:AO136" si="139">IF(AQ136="","", RANK(AQ136,AQ$7:AQ$503,0))</f>
        <v>349</v>
      </c>
      <c r="S136" s="115">
        <f t="shared" si="139"/>
        <v>219</v>
      </c>
      <c r="T136" s="115" t="str">
        <f t="shared" si="139"/>
        <v/>
      </c>
      <c r="U136" s="115" t="str">
        <f t="shared" si="139"/>
        <v/>
      </c>
      <c r="V136" s="115" t="str">
        <f t="shared" si="139"/>
        <v/>
      </c>
      <c r="W136" s="115" t="str">
        <f t="shared" si="139"/>
        <v/>
      </c>
      <c r="X136" s="115" t="str">
        <f t="shared" si="139"/>
        <v/>
      </c>
      <c r="Y136" s="115" t="str">
        <f t="shared" si="139"/>
        <v/>
      </c>
      <c r="Z136" s="115" t="str">
        <f t="shared" si="139"/>
        <v/>
      </c>
      <c r="AA136" s="115" t="str">
        <f t="shared" si="139"/>
        <v/>
      </c>
      <c r="AB136" s="115" t="str">
        <f t="shared" si="139"/>
        <v/>
      </c>
      <c r="AC136" s="115" t="str">
        <f t="shared" si="139"/>
        <v/>
      </c>
      <c r="AD136" s="115" t="str">
        <f t="shared" si="139"/>
        <v/>
      </c>
      <c r="AE136" s="115" t="str">
        <f t="shared" si="139"/>
        <v/>
      </c>
      <c r="AF136" s="115" t="str">
        <f t="shared" si="139"/>
        <v/>
      </c>
      <c r="AG136" s="115" t="str">
        <f t="shared" si="139"/>
        <v/>
      </c>
      <c r="AH136" s="115" t="str">
        <f t="shared" si="139"/>
        <v/>
      </c>
      <c r="AI136" s="115" t="str">
        <f t="shared" si="139"/>
        <v/>
      </c>
      <c r="AJ136" s="115" t="str">
        <f t="shared" si="139"/>
        <v/>
      </c>
      <c r="AK136" s="115" t="str">
        <f t="shared" si="139"/>
        <v/>
      </c>
      <c r="AL136" s="115" t="str">
        <f t="shared" si="139"/>
        <v/>
      </c>
      <c r="AM136" s="115" t="str">
        <f t="shared" si="139"/>
        <v/>
      </c>
      <c r="AN136" s="115" t="str">
        <f t="shared" si="139"/>
        <v/>
      </c>
      <c r="AO136" s="115" t="str">
        <f t="shared" si="139"/>
        <v/>
      </c>
      <c r="AP136" s="117">
        <f>IF(AP$6="","",IF(AP$3="Maior",IFERROR(IF(VLOOKUP($N136,Capa!$A:$AE,AP$5,0)="",0,VLOOKUP($N136,Capa!$A:$AE,AP$5,0)),0),IF(ISERROR(1/VLOOKUP($N136,Capa!$A:$AE,AP$5,0)),0,1/VLOOKUP($N136,Capa!$A:$AE,AP$5,0))))</f>
        <v>0.01744050623</v>
      </c>
      <c r="AQ136" s="118">
        <f>IF(AQ$6="","",IF(AQ$3="Maior",IFERROR(IF(VLOOKUP($N136,Capa!$A:$AE,AQ$5,0)="",0,VLOOKUP($N136,Capa!$A:$AE,AQ$5,0)),0),IF(ISERROR(1/VLOOKUP($N136,Capa!$A:$AE,AQ$5,0)),0,1/VLOOKUP($N136,Capa!$A:$AE,AQ$5,0))))</f>
        <v>2.35</v>
      </c>
      <c r="AR136" s="118">
        <f>IF(AR$6="","",IF(AR$3="Maior",IFERROR(IF(VLOOKUP($N136,Capa!$A:$AE,AR$5,0)="",0,VLOOKUP($N136,Capa!$A:$AE,AR$5,0)),0),IF(ISERROR(1/VLOOKUP($N136,Capa!$A:$AE,AR$5,0)),0,1/VLOOKUP($N136,Capa!$A:$AE,AR$5,0))))</f>
        <v>0</v>
      </c>
      <c r="AS136" s="118" t="str">
        <f>IF(AS$6="","",IF(AS$3="Maior",IFERROR(IF(VLOOKUP($N136,Capa!$A:$AE,AS$5,0)="",0,VLOOKUP($N136,Capa!$A:$AE,AS$5,0)),0),IF(ISERROR(1/VLOOKUP($N136,Capa!$A:$AE,AS$5,0)),0,1/VLOOKUP($N136,Capa!$A:$AE,AS$5,0))))</f>
        <v/>
      </c>
      <c r="AT136" s="118" t="str">
        <f>IF(AT$6="","",IF(AT$3="Maior",IFERROR(IF(VLOOKUP($N136,Capa!$A:$AE,AT$5,0)="",0,VLOOKUP($N136,Capa!$A:$AE,AT$5,0)),0),IF(ISERROR(1/VLOOKUP($N136,Capa!$A:$AE,AT$5,0)),0,1/VLOOKUP($N136,Capa!$A:$AE,AT$5,0))))</f>
        <v/>
      </c>
      <c r="AU136" s="118" t="str">
        <f>IF(AU$6="","",IF(AU$3="Maior",IFERROR(IF(VLOOKUP($N136,Capa!$A:$AE,AU$5,0)="",0,VLOOKUP($N136,Capa!$A:$AE,AU$5,0)),0),IF(ISERROR(1/VLOOKUP($N136,Capa!$A:$AE,AU$5,0)),0,1/VLOOKUP($N136,Capa!$A:$AE,AU$5,0))))</f>
        <v/>
      </c>
      <c r="AV136" s="118" t="str">
        <f>IF(AV$6="","",IF(AV$3="Maior",IFERROR(IF(VLOOKUP($N136,Capa!$A:$AE,AV$5,0)="",0,VLOOKUP($N136,Capa!$A:$AE,AV$5,0)),0),IF(ISERROR(1/VLOOKUP($N136,Capa!$A:$AE,AV$5,0)),0,1/VLOOKUP($N136,Capa!$A:$AE,AV$5,0))))</f>
        <v/>
      </c>
      <c r="AW136" s="118" t="str">
        <f>IF(AW$6="","",IF(AW$3="Maior",IFERROR(IF(VLOOKUP($N136,Capa!$A:$AE,AW$5,0)="",0,VLOOKUP($N136,Capa!$A:$AE,AW$5,0)),0),IF(ISERROR(1/VLOOKUP($N136,Capa!$A:$AE,AW$5,0)),0,1/VLOOKUP($N136,Capa!$A:$AE,AW$5,0))))</f>
        <v/>
      </c>
      <c r="AX136" s="118" t="str">
        <f>IF(AX$6="","",IF(AX$3="Maior",IFERROR(IF(VLOOKUP($N136,Capa!$A:$AE,AX$5,0)="",0,VLOOKUP($N136,Capa!$A:$AE,AX$5,0)),0),IF(ISERROR(1/VLOOKUP($N136,Capa!$A:$AE,AX$5,0)),0,1/VLOOKUP($N136,Capa!$A:$AE,AX$5,0))))</f>
        <v/>
      </c>
      <c r="AY136" s="118" t="str">
        <f>IF(AY$6="","",IF(AY$3="Maior",IFERROR(IF(VLOOKUP($N136,Capa!$A:$AE,AY$5,0)="",0,VLOOKUP($N136,Capa!$A:$AE,AY$5,0)),0),IF(ISERROR(1/VLOOKUP($N136,Capa!$A:$AE,AY$5,0)),0,1/VLOOKUP($N136,Capa!$A:$AE,AY$5,0))))</f>
        <v/>
      </c>
      <c r="AZ136" s="118" t="str">
        <f>IF(AZ$6="","",IF(AZ$3="Maior",IFERROR(IF(VLOOKUP($N136,Capa!$A:$AE,AZ$5,0)="",0,VLOOKUP($N136,Capa!$A:$AE,AZ$5,0)),0),IF(ISERROR(1/VLOOKUP($N136,Capa!$A:$AE,AZ$5,0)),0,1/VLOOKUP($N136,Capa!$A:$AE,AZ$5,0))))</f>
        <v/>
      </c>
      <c r="BA136" s="118" t="str">
        <f>IF(BA$6="","",IF(BA$3="Maior",IFERROR(IF(VLOOKUP($N136,Capa!$A:$AE,BA$5,0)="",0,VLOOKUP($N136,Capa!$A:$AE,BA$5,0)),0),IF(ISERROR(1/VLOOKUP($N136,Capa!$A:$AE,BA$5,0)),0,1/VLOOKUP($N136,Capa!$A:$AE,BA$5,0))))</f>
        <v/>
      </c>
      <c r="BB136" s="118" t="str">
        <f>IF(BB$6="","",IF(BB$3="Maior",IFERROR(IF(VLOOKUP($N136,Capa!$A:$AE,BB$5,0)="",0,VLOOKUP($N136,Capa!$A:$AE,BB$5,0)),0),IF(ISERROR(1/VLOOKUP($N136,Capa!$A:$AE,BB$5,0)),0,1/VLOOKUP($N136,Capa!$A:$AE,BB$5,0))))</f>
        <v/>
      </c>
      <c r="BC136" s="118" t="str">
        <f>IF(BC$6="","",IF(BC$3="Maior",IFERROR(IF(VLOOKUP($N136,Capa!$A:$AE,BC$5,0)="",0,VLOOKUP($N136,Capa!$A:$AE,BC$5,0)),0),IF(ISERROR(1/VLOOKUP($N136,Capa!$A:$AE,BC$5,0)),0,1/VLOOKUP($N136,Capa!$A:$AE,BC$5,0))))</f>
        <v/>
      </c>
      <c r="BD136" s="118" t="str">
        <f>IF(BD$6="","",IF(BD$3="Maior",IFERROR(IF(VLOOKUP($N136,Capa!$A:$AE,BD$5,0)="",0,VLOOKUP($N136,Capa!$A:$AE,BD$5,0)),0),IF(ISERROR(1/VLOOKUP($N136,Capa!$A:$AE,BD$5,0)),0,1/VLOOKUP($N136,Capa!$A:$AE,BD$5,0))))</f>
        <v/>
      </c>
      <c r="BE136" s="118" t="str">
        <f>IF(BE$6="","",IF(BE$3="Maior",IFERROR(IF(VLOOKUP($N136,Capa!$A:$AE,BE$5,0)="",0,VLOOKUP($N136,Capa!$A:$AE,BE$5,0)),0),IF(ISERROR(1/VLOOKUP($N136,Capa!$A:$AE,BE$5,0)),0,1/VLOOKUP($N136,Capa!$A:$AE,BE$5,0))))</f>
        <v/>
      </c>
      <c r="BF136" s="118" t="str">
        <f>IF(BF$6="","",IF(BF$3="Maior",IFERROR(IF(VLOOKUP($N136,Capa!$A:$AE,BF$5,0)="",0,VLOOKUP($N136,Capa!$A:$AE,BF$5,0)),0),IF(ISERROR(1/VLOOKUP($N136,Capa!$A:$AE,BF$5,0)),0,1/VLOOKUP($N136,Capa!$A:$AE,BF$5,0))))</f>
        <v/>
      </c>
      <c r="BG136" s="118" t="str">
        <f>IF(BG$6="","",IF(BG$3="Maior",IFERROR(IF(VLOOKUP($N136,Capa!$A:$AE,BG$5,0)="",0,VLOOKUP($N136,Capa!$A:$AE,BG$5,0)),0),IF(ISERROR(1/VLOOKUP($N136,Capa!$A:$AE,BG$5,0)),0,1/VLOOKUP($N136,Capa!$A:$AE,BG$5,0))))</f>
        <v/>
      </c>
      <c r="BH136" s="118" t="str">
        <f>IF(BH$6="","",IF(BH$3="Maior",IFERROR(IF(VLOOKUP($N136,Capa!$A:$AE,BH$5,0)="",0,VLOOKUP($N136,Capa!$A:$AE,BH$5,0)),0),IF(ISERROR(1/VLOOKUP($N136,Capa!$A:$AE,BH$5,0)),0,1/VLOOKUP($N136,Capa!$A:$AE,BH$5,0))))</f>
        <v/>
      </c>
      <c r="BI136" s="118" t="str">
        <f>IF(BI$6="","",IF(BI$3="Maior",IFERROR(IF(VLOOKUP($N136,Capa!$A:$AE,BI$5,0)="",0,VLOOKUP($N136,Capa!$A:$AE,BI$5,0)),0),IF(ISERROR(1/VLOOKUP($N136,Capa!$A:$AE,BI$5,0)),0,1/VLOOKUP($N136,Capa!$A:$AE,BI$5,0))))</f>
        <v/>
      </c>
      <c r="BJ136" s="118" t="str">
        <f>IF(BJ$6="","",IF(BJ$3="Maior",IFERROR(IF(VLOOKUP($N136,Capa!$A:$AE,BJ$5,0)="",0,VLOOKUP($N136,Capa!$A:$AE,BJ$5,0)),0),IF(ISERROR(1/VLOOKUP($N136,Capa!$A:$AE,BJ$5,0)),0,1/VLOOKUP($N136,Capa!$A:$AE,BJ$5,0))))</f>
        <v/>
      </c>
      <c r="BK136" s="118" t="str">
        <f>IF(BK$6="","",IF(BK$3="Maior",IFERROR(IF(VLOOKUP($N136,Capa!$A:$AE,BK$5,0)="",0,VLOOKUP($N136,Capa!$A:$AE,BK$5,0)),0),IF(ISERROR(1/VLOOKUP($N136,Capa!$A:$AE,BK$5,0)),0,1/VLOOKUP($N136,Capa!$A:$AE,BK$5,0))))</f>
        <v/>
      </c>
      <c r="BL136" s="118" t="str">
        <f>IF(BL$6="","",IF(BL$3="Maior",IFERROR(IF(VLOOKUP($N136,Capa!$A:$AE,BL$5,0)="",0,VLOOKUP($N136,Capa!$A:$AE,BL$5,0)),0),IF(ISERROR(1/VLOOKUP($N136,Capa!$A:$AE,BL$5,0)),0,1/VLOOKUP($N136,Capa!$A:$AE,BL$5,0))))</f>
        <v/>
      </c>
      <c r="BM136" s="118" t="str">
        <f>IF(BM$6="","",IF(BM$3="Maior",IFERROR(IF(VLOOKUP($N136,Capa!$A:$AE,BM$5,0)="",0,VLOOKUP($N136,Capa!$A:$AE,BM$5,0)),0),IF(ISERROR(1/VLOOKUP($N136,Capa!$A:$AE,BM$5,0)),0,1/VLOOKUP($N136,Capa!$A:$AE,BM$5,0))))</f>
        <v/>
      </c>
      <c r="BN136" s="118" t="str">
        <f>IF(BN$6="","",IF(BN$3="Maior",IFERROR(IF(VLOOKUP($N136,Capa!$A:$AE,BN$5,0)="",0,VLOOKUP($N136,Capa!$A:$AE,BN$5,0)),0),IF(ISERROR(1/VLOOKUP($N136,Capa!$A:$AE,BN$5,0)),0,1/VLOOKUP($N136,Capa!$A:$AE,BN$5,0))))</f>
        <v/>
      </c>
      <c r="BO136" s="92"/>
    </row>
    <row r="137">
      <c r="G137" s="11"/>
      <c r="H137" s="8">
        <v>131.0</v>
      </c>
      <c r="I137" s="110" t="str">
        <f t="shared" si="6"/>
        <v>PNVL3</v>
      </c>
      <c r="J137" s="111" t="str">
        <f>VLOOKUP(left(I137,4),Setor!A:D,3,0)&amp;" | "&amp;VLOOKUP(left(I137,4),Setor!A:D,4,0)</f>
        <v>Saúde | Comércio e Distribuição</v>
      </c>
      <c r="K137" s="112">
        <f t="shared" si="7"/>
        <v>14371874.46</v>
      </c>
      <c r="L137" s="11"/>
      <c r="M137" s="11"/>
      <c r="N137" s="10" t="s">
        <v>183</v>
      </c>
      <c r="O137" s="113">
        <f t="shared" si="8"/>
        <v>866.0334</v>
      </c>
      <c r="P137" s="114">
        <f>VLOOKUP(N137,'Dados StatusInvest'!A:Z,26,0)</f>
        <v>27694981.75</v>
      </c>
      <c r="Q137" s="115">
        <f t="shared" si="9"/>
        <v>334.0334</v>
      </c>
      <c r="R137" s="116">
        <f t="shared" ref="R137:AO137" si="140">IF(AQ137="","", RANK(AQ137,AQ$7:AQ$503,0))</f>
        <v>345</v>
      </c>
      <c r="S137" s="115">
        <f t="shared" si="140"/>
        <v>187</v>
      </c>
      <c r="T137" s="115" t="str">
        <f t="shared" si="140"/>
        <v/>
      </c>
      <c r="U137" s="115" t="str">
        <f t="shared" si="140"/>
        <v/>
      </c>
      <c r="V137" s="115" t="str">
        <f t="shared" si="140"/>
        <v/>
      </c>
      <c r="W137" s="115" t="str">
        <f t="shared" si="140"/>
        <v/>
      </c>
      <c r="X137" s="115" t="str">
        <f t="shared" si="140"/>
        <v/>
      </c>
      <c r="Y137" s="115" t="str">
        <f t="shared" si="140"/>
        <v/>
      </c>
      <c r="Z137" s="115" t="str">
        <f t="shared" si="140"/>
        <v/>
      </c>
      <c r="AA137" s="115" t="str">
        <f t="shared" si="140"/>
        <v/>
      </c>
      <c r="AB137" s="115" t="str">
        <f t="shared" si="140"/>
        <v/>
      </c>
      <c r="AC137" s="115" t="str">
        <f t="shared" si="140"/>
        <v/>
      </c>
      <c r="AD137" s="115" t="str">
        <f t="shared" si="140"/>
        <v/>
      </c>
      <c r="AE137" s="115" t="str">
        <f t="shared" si="140"/>
        <v/>
      </c>
      <c r="AF137" s="115" t="str">
        <f t="shared" si="140"/>
        <v/>
      </c>
      <c r="AG137" s="115" t="str">
        <f t="shared" si="140"/>
        <v/>
      </c>
      <c r="AH137" s="115" t="str">
        <f t="shared" si="140"/>
        <v/>
      </c>
      <c r="AI137" s="115" t="str">
        <f t="shared" si="140"/>
        <v/>
      </c>
      <c r="AJ137" s="115" t="str">
        <f t="shared" si="140"/>
        <v/>
      </c>
      <c r="AK137" s="115" t="str">
        <f t="shared" si="140"/>
        <v/>
      </c>
      <c r="AL137" s="115" t="str">
        <f t="shared" si="140"/>
        <v/>
      </c>
      <c r="AM137" s="115" t="str">
        <f t="shared" si="140"/>
        <v/>
      </c>
      <c r="AN137" s="115" t="str">
        <f t="shared" si="140"/>
        <v/>
      </c>
      <c r="AO137" s="115" t="str">
        <f t="shared" si="140"/>
        <v/>
      </c>
      <c r="AP137" s="117">
        <f>IF(AP$6="","",IF(AP$3="Maior",IFERROR(IF(VLOOKUP($N137,Capa!$A:$AE,AP$5,0)="",0,VLOOKUP($N137,Capa!$A:$AE,AP$5,0)),0),IF(ISERROR(1/VLOOKUP($N137,Capa!$A:$AE,AP$5,0)),0,1/VLOOKUP($N137,Capa!$A:$AE,AP$5,0))))</f>
        <v>0.03889829313</v>
      </c>
      <c r="AQ137" s="118">
        <f>IF(AQ$6="","",IF(AQ$3="Maior",IFERROR(IF(VLOOKUP($N137,Capa!$A:$AE,AQ$5,0)="",0,VLOOKUP($N137,Capa!$A:$AE,AQ$5,0)),0),IF(ISERROR(1/VLOOKUP($N137,Capa!$A:$AE,AQ$5,0)),0,1/VLOOKUP($N137,Capa!$A:$AE,AQ$5,0))))</f>
        <v>2.47</v>
      </c>
      <c r="AR137" s="118">
        <f>IF(AR$6="","",IF(AR$3="Maior",IFERROR(IF(VLOOKUP($N137,Capa!$A:$AE,AR$5,0)="",0,VLOOKUP($N137,Capa!$A:$AE,AR$5,0)),0),IF(ISERROR(1/VLOOKUP($N137,Capa!$A:$AE,AR$5,0)),0,1/VLOOKUP($N137,Capa!$A:$AE,AR$5,0))))</f>
        <v>5.68</v>
      </c>
      <c r="AS137" s="118" t="str">
        <f>IF(AS$6="","",IF(AS$3="Maior",IFERROR(IF(VLOOKUP($N137,Capa!$A:$AE,AS$5,0)="",0,VLOOKUP($N137,Capa!$A:$AE,AS$5,0)),0),IF(ISERROR(1/VLOOKUP($N137,Capa!$A:$AE,AS$5,0)),0,1/VLOOKUP($N137,Capa!$A:$AE,AS$5,0))))</f>
        <v/>
      </c>
      <c r="AT137" s="118" t="str">
        <f>IF(AT$6="","",IF(AT$3="Maior",IFERROR(IF(VLOOKUP($N137,Capa!$A:$AE,AT$5,0)="",0,VLOOKUP($N137,Capa!$A:$AE,AT$5,0)),0),IF(ISERROR(1/VLOOKUP($N137,Capa!$A:$AE,AT$5,0)),0,1/VLOOKUP($N137,Capa!$A:$AE,AT$5,0))))</f>
        <v/>
      </c>
      <c r="AU137" s="118" t="str">
        <f>IF(AU$6="","",IF(AU$3="Maior",IFERROR(IF(VLOOKUP($N137,Capa!$A:$AE,AU$5,0)="",0,VLOOKUP($N137,Capa!$A:$AE,AU$5,0)),0),IF(ISERROR(1/VLOOKUP($N137,Capa!$A:$AE,AU$5,0)),0,1/VLOOKUP($N137,Capa!$A:$AE,AU$5,0))))</f>
        <v/>
      </c>
      <c r="AV137" s="118" t="str">
        <f>IF(AV$6="","",IF(AV$3="Maior",IFERROR(IF(VLOOKUP($N137,Capa!$A:$AE,AV$5,0)="",0,VLOOKUP($N137,Capa!$A:$AE,AV$5,0)),0),IF(ISERROR(1/VLOOKUP($N137,Capa!$A:$AE,AV$5,0)),0,1/VLOOKUP($N137,Capa!$A:$AE,AV$5,0))))</f>
        <v/>
      </c>
      <c r="AW137" s="118" t="str">
        <f>IF(AW$6="","",IF(AW$3="Maior",IFERROR(IF(VLOOKUP($N137,Capa!$A:$AE,AW$5,0)="",0,VLOOKUP($N137,Capa!$A:$AE,AW$5,0)),0),IF(ISERROR(1/VLOOKUP($N137,Capa!$A:$AE,AW$5,0)),0,1/VLOOKUP($N137,Capa!$A:$AE,AW$5,0))))</f>
        <v/>
      </c>
      <c r="AX137" s="118" t="str">
        <f>IF(AX$6="","",IF(AX$3="Maior",IFERROR(IF(VLOOKUP($N137,Capa!$A:$AE,AX$5,0)="",0,VLOOKUP($N137,Capa!$A:$AE,AX$5,0)),0),IF(ISERROR(1/VLOOKUP($N137,Capa!$A:$AE,AX$5,0)),0,1/VLOOKUP($N137,Capa!$A:$AE,AX$5,0))))</f>
        <v/>
      </c>
      <c r="AY137" s="118" t="str">
        <f>IF(AY$6="","",IF(AY$3="Maior",IFERROR(IF(VLOOKUP($N137,Capa!$A:$AE,AY$5,0)="",0,VLOOKUP($N137,Capa!$A:$AE,AY$5,0)),0),IF(ISERROR(1/VLOOKUP($N137,Capa!$A:$AE,AY$5,0)),0,1/VLOOKUP($N137,Capa!$A:$AE,AY$5,0))))</f>
        <v/>
      </c>
      <c r="AZ137" s="118" t="str">
        <f>IF(AZ$6="","",IF(AZ$3="Maior",IFERROR(IF(VLOOKUP($N137,Capa!$A:$AE,AZ$5,0)="",0,VLOOKUP($N137,Capa!$A:$AE,AZ$5,0)),0),IF(ISERROR(1/VLOOKUP($N137,Capa!$A:$AE,AZ$5,0)),0,1/VLOOKUP($N137,Capa!$A:$AE,AZ$5,0))))</f>
        <v/>
      </c>
      <c r="BA137" s="118" t="str">
        <f>IF(BA$6="","",IF(BA$3="Maior",IFERROR(IF(VLOOKUP($N137,Capa!$A:$AE,BA$5,0)="",0,VLOOKUP($N137,Capa!$A:$AE,BA$5,0)),0),IF(ISERROR(1/VLOOKUP($N137,Capa!$A:$AE,BA$5,0)),0,1/VLOOKUP($N137,Capa!$A:$AE,BA$5,0))))</f>
        <v/>
      </c>
      <c r="BB137" s="118" t="str">
        <f>IF(BB$6="","",IF(BB$3="Maior",IFERROR(IF(VLOOKUP($N137,Capa!$A:$AE,BB$5,0)="",0,VLOOKUP($N137,Capa!$A:$AE,BB$5,0)),0),IF(ISERROR(1/VLOOKUP($N137,Capa!$A:$AE,BB$5,0)),0,1/VLOOKUP($N137,Capa!$A:$AE,BB$5,0))))</f>
        <v/>
      </c>
      <c r="BC137" s="118" t="str">
        <f>IF(BC$6="","",IF(BC$3="Maior",IFERROR(IF(VLOOKUP($N137,Capa!$A:$AE,BC$5,0)="",0,VLOOKUP($N137,Capa!$A:$AE,BC$5,0)),0),IF(ISERROR(1/VLOOKUP($N137,Capa!$A:$AE,BC$5,0)),0,1/VLOOKUP($N137,Capa!$A:$AE,BC$5,0))))</f>
        <v/>
      </c>
      <c r="BD137" s="118" t="str">
        <f>IF(BD$6="","",IF(BD$3="Maior",IFERROR(IF(VLOOKUP($N137,Capa!$A:$AE,BD$5,0)="",0,VLOOKUP($N137,Capa!$A:$AE,BD$5,0)),0),IF(ISERROR(1/VLOOKUP($N137,Capa!$A:$AE,BD$5,0)),0,1/VLOOKUP($N137,Capa!$A:$AE,BD$5,0))))</f>
        <v/>
      </c>
      <c r="BE137" s="118" t="str">
        <f>IF(BE$6="","",IF(BE$3="Maior",IFERROR(IF(VLOOKUP($N137,Capa!$A:$AE,BE$5,0)="",0,VLOOKUP($N137,Capa!$A:$AE,BE$5,0)),0),IF(ISERROR(1/VLOOKUP($N137,Capa!$A:$AE,BE$5,0)),0,1/VLOOKUP($N137,Capa!$A:$AE,BE$5,0))))</f>
        <v/>
      </c>
      <c r="BF137" s="118" t="str">
        <f>IF(BF$6="","",IF(BF$3="Maior",IFERROR(IF(VLOOKUP($N137,Capa!$A:$AE,BF$5,0)="",0,VLOOKUP($N137,Capa!$A:$AE,BF$5,0)),0),IF(ISERROR(1/VLOOKUP($N137,Capa!$A:$AE,BF$5,0)),0,1/VLOOKUP($N137,Capa!$A:$AE,BF$5,0))))</f>
        <v/>
      </c>
      <c r="BG137" s="118" t="str">
        <f>IF(BG$6="","",IF(BG$3="Maior",IFERROR(IF(VLOOKUP($N137,Capa!$A:$AE,BG$5,0)="",0,VLOOKUP($N137,Capa!$A:$AE,BG$5,0)),0),IF(ISERROR(1/VLOOKUP($N137,Capa!$A:$AE,BG$5,0)),0,1/VLOOKUP($N137,Capa!$A:$AE,BG$5,0))))</f>
        <v/>
      </c>
      <c r="BH137" s="118" t="str">
        <f>IF(BH$6="","",IF(BH$3="Maior",IFERROR(IF(VLOOKUP($N137,Capa!$A:$AE,BH$5,0)="",0,VLOOKUP($N137,Capa!$A:$AE,BH$5,0)),0),IF(ISERROR(1/VLOOKUP($N137,Capa!$A:$AE,BH$5,0)),0,1/VLOOKUP($N137,Capa!$A:$AE,BH$5,0))))</f>
        <v/>
      </c>
      <c r="BI137" s="118" t="str">
        <f>IF(BI$6="","",IF(BI$3="Maior",IFERROR(IF(VLOOKUP($N137,Capa!$A:$AE,BI$5,0)="",0,VLOOKUP($N137,Capa!$A:$AE,BI$5,0)),0),IF(ISERROR(1/VLOOKUP($N137,Capa!$A:$AE,BI$5,0)),0,1/VLOOKUP($N137,Capa!$A:$AE,BI$5,0))))</f>
        <v/>
      </c>
      <c r="BJ137" s="118" t="str">
        <f>IF(BJ$6="","",IF(BJ$3="Maior",IFERROR(IF(VLOOKUP($N137,Capa!$A:$AE,BJ$5,0)="",0,VLOOKUP($N137,Capa!$A:$AE,BJ$5,0)),0),IF(ISERROR(1/VLOOKUP($N137,Capa!$A:$AE,BJ$5,0)),0,1/VLOOKUP($N137,Capa!$A:$AE,BJ$5,0))))</f>
        <v/>
      </c>
      <c r="BK137" s="118" t="str">
        <f>IF(BK$6="","",IF(BK$3="Maior",IFERROR(IF(VLOOKUP($N137,Capa!$A:$AE,BK$5,0)="",0,VLOOKUP($N137,Capa!$A:$AE,BK$5,0)),0),IF(ISERROR(1/VLOOKUP($N137,Capa!$A:$AE,BK$5,0)),0,1/VLOOKUP($N137,Capa!$A:$AE,BK$5,0))))</f>
        <v/>
      </c>
      <c r="BL137" s="118" t="str">
        <f>IF(BL$6="","",IF(BL$3="Maior",IFERROR(IF(VLOOKUP($N137,Capa!$A:$AE,BL$5,0)="",0,VLOOKUP($N137,Capa!$A:$AE,BL$5,0)),0),IF(ISERROR(1/VLOOKUP($N137,Capa!$A:$AE,BL$5,0)),0,1/VLOOKUP($N137,Capa!$A:$AE,BL$5,0))))</f>
        <v/>
      </c>
      <c r="BM137" s="118" t="str">
        <f>IF(BM$6="","",IF(BM$3="Maior",IFERROR(IF(VLOOKUP($N137,Capa!$A:$AE,BM$5,0)="",0,VLOOKUP($N137,Capa!$A:$AE,BM$5,0)),0),IF(ISERROR(1/VLOOKUP($N137,Capa!$A:$AE,BM$5,0)),0,1/VLOOKUP($N137,Capa!$A:$AE,BM$5,0))))</f>
        <v/>
      </c>
      <c r="BN137" s="118" t="str">
        <f>IF(BN$6="","",IF(BN$3="Maior",IFERROR(IF(VLOOKUP($N137,Capa!$A:$AE,BN$5,0)="",0,VLOOKUP($N137,Capa!$A:$AE,BN$5,0)),0),IF(ISERROR(1/VLOOKUP($N137,Capa!$A:$AE,BN$5,0)),0,1/VLOOKUP($N137,Capa!$A:$AE,BN$5,0))))</f>
        <v/>
      </c>
      <c r="BO137" s="92"/>
    </row>
    <row r="138">
      <c r="G138" s="11"/>
      <c r="H138" s="8">
        <v>132.0</v>
      </c>
      <c r="I138" s="110" t="str">
        <f t="shared" si="6"/>
        <v>TOTS3</v>
      </c>
      <c r="J138" s="111" t="str">
        <f>VLOOKUP(left(I138,4),Setor!A:D,3,0)&amp;" | "&amp;VLOOKUP(left(I138,4),Setor!A:D,4,0)</f>
        <v>Tecnologia da Informação | Programas e Serviços</v>
      </c>
      <c r="K138" s="112">
        <f t="shared" si="7"/>
        <v>160657210</v>
      </c>
      <c r="L138" s="11"/>
      <c r="M138" s="11"/>
      <c r="N138" s="10" t="s">
        <v>184</v>
      </c>
      <c r="O138" s="113">
        <f t="shared" si="8"/>
        <v>635.0261</v>
      </c>
      <c r="P138" s="114">
        <f>VLOOKUP(N138,'Dados StatusInvest'!A:Z,26,0)</f>
        <v>24511374</v>
      </c>
      <c r="Q138" s="115">
        <f t="shared" si="9"/>
        <v>261.0261</v>
      </c>
      <c r="R138" s="116">
        <f t="shared" ref="R138:AO138" si="141">IF(AQ138="","", RANK(AQ138,AQ$7:AQ$503,0))</f>
        <v>155</v>
      </c>
      <c r="S138" s="115">
        <f t="shared" si="141"/>
        <v>219</v>
      </c>
      <c r="T138" s="115" t="str">
        <f t="shared" si="141"/>
        <v/>
      </c>
      <c r="U138" s="115" t="str">
        <f t="shared" si="141"/>
        <v/>
      </c>
      <c r="V138" s="115" t="str">
        <f t="shared" si="141"/>
        <v/>
      </c>
      <c r="W138" s="115" t="str">
        <f t="shared" si="141"/>
        <v/>
      </c>
      <c r="X138" s="115" t="str">
        <f t="shared" si="141"/>
        <v/>
      </c>
      <c r="Y138" s="115" t="str">
        <f t="shared" si="141"/>
        <v/>
      </c>
      <c r="Z138" s="115" t="str">
        <f t="shared" si="141"/>
        <v/>
      </c>
      <c r="AA138" s="115" t="str">
        <f t="shared" si="141"/>
        <v/>
      </c>
      <c r="AB138" s="115" t="str">
        <f t="shared" si="141"/>
        <v/>
      </c>
      <c r="AC138" s="115" t="str">
        <f t="shared" si="141"/>
        <v/>
      </c>
      <c r="AD138" s="115" t="str">
        <f t="shared" si="141"/>
        <v/>
      </c>
      <c r="AE138" s="115" t="str">
        <f t="shared" si="141"/>
        <v/>
      </c>
      <c r="AF138" s="115" t="str">
        <f t="shared" si="141"/>
        <v/>
      </c>
      <c r="AG138" s="115" t="str">
        <f t="shared" si="141"/>
        <v/>
      </c>
      <c r="AH138" s="115" t="str">
        <f t="shared" si="141"/>
        <v/>
      </c>
      <c r="AI138" s="115" t="str">
        <f t="shared" si="141"/>
        <v/>
      </c>
      <c r="AJ138" s="115" t="str">
        <f t="shared" si="141"/>
        <v/>
      </c>
      <c r="AK138" s="115" t="str">
        <f t="shared" si="141"/>
        <v/>
      </c>
      <c r="AL138" s="115" t="str">
        <f t="shared" si="141"/>
        <v/>
      </c>
      <c r="AM138" s="115" t="str">
        <f t="shared" si="141"/>
        <v/>
      </c>
      <c r="AN138" s="115" t="str">
        <f t="shared" si="141"/>
        <v/>
      </c>
      <c r="AO138" s="115" t="str">
        <f t="shared" si="141"/>
        <v/>
      </c>
      <c r="AP138" s="117">
        <f>IF(AP$6="","",IF(AP$3="Maior",IFERROR(IF(VLOOKUP($N138,Capa!$A:$AE,AP$5,0)="",0,VLOOKUP($N138,Capa!$A:$AE,AP$5,0)),0),IF(ISERROR(1/VLOOKUP($N138,Capa!$A:$AE,AP$5,0)),0,1/VLOOKUP($N138,Capa!$A:$AE,AP$5,0))))</f>
        <v>0.07460308028</v>
      </c>
      <c r="AQ138" s="118">
        <f>IF(AQ$6="","",IF(AQ$3="Maior",IFERROR(IF(VLOOKUP($N138,Capa!$A:$AE,AQ$5,0)="",0,VLOOKUP($N138,Capa!$A:$AE,AQ$5,0)),0),IF(ISERROR(1/VLOOKUP($N138,Capa!$A:$AE,AQ$5,0)),0,1/VLOOKUP($N138,Capa!$A:$AE,AQ$5,0))))</f>
        <v>14.07</v>
      </c>
      <c r="AR138" s="118">
        <f>IF(AR$6="","",IF(AR$3="Maior",IFERROR(IF(VLOOKUP($N138,Capa!$A:$AE,AR$5,0)="",0,VLOOKUP($N138,Capa!$A:$AE,AR$5,0)),0),IF(ISERROR(1/VLOOKUP($N138,Capa!$A:$AE,AR$5,0)),0,1/VLOOKUP($N138,Capa!$A:$AE,AR$5,0))))</f>
        <v>0</v>
      </c>
      <c r="AS138" s="118" t="str">
        <f>IF(AS$6="","",IF(AS$3="Maior",IFERROR(IF(VLOOKUP($N138,Capa!$A:$AE,AS$5,0)="",0,VLOOKUP($N138,Capa!$A:$AE,AS$5,0)),0),IF(ISERROR(1/VLOOKUP($N138,Capa!$A:$AE,AS$5,0)),0,1/VLOOKUP($N138,Capa!$A:$AE,AS$5,0))))</f>
        <v/>
      </c>
      <c r="AT138" s="118" t="str">
        <f>IF(AT$6="","",IF(AT$3="Maior",IFERROR(IF(VLOOKUP($N138,Capa!$A:$AE,AT$5,0)="",0,VLOOKUP($N138,Capa!$A:$AE,AT$5,0)),0),IF(ISERROR(1/VLOOKUP($N138,Capa!$A:$AE,AT$5,0)),0,1/VLOOKUP($N138,Capa!$A:$AE,AT$5,0))))</f>
        <v/>
      </c>
      <c r="AU138" s="118" t="str">
        <f>IF(AU$6="","",IF(AU$3="Maior",IFERROR(IF(VLOOKUP($N138,Capa!$A:$AE,AU$5,0)="",0,VLOOKUP($N138,Capa!$A:$AE,AU$5,0)),0),IF(ISERROR(1/VLOOKUP($N138,Capa!$A:$AE,AU$5,0)),0,1/VLOOKUP($N138,Capa!$A:$AE,AU$5,0))))</f>
        <v/>
      </c>
      <c r="AV138" s="118" t="str">
        <f>IF(AV$6="","",IF(AV$3="Maior",IFERROR(IF(VLOOKUP($N138,Capa!$A:$AE,AV$5,0)="",0,VLOOKUP($N138,Capa!$A:$AE,AV$5,0)),0),IF(ISERROR(1/VLOOKUP($N138,Capa!$A:$AE,AV$5,0)),0,1/VLOOKUP($N138,Capa!$A:$AE,AV$5,0))))</f>
        <v/>
      </c>
      <c r="AW138" s="118" t="str">
        <f>IF(AW$6="","",IF(AW$3="Maior",IFERROR(IF(VLOOKUP($N138,Capa!$A:$AE,AW$5,0)="",0,VLOOKUP($N138,Capa!$A:$AE,AW$5,0)),0),IF(ISERROR(1/VLOOKUP($N138,Capa!$A:$AE,AW$5,0)),0,1/VLOOKUP($N138,Capa!$A:$AE,AW$5,0))))</f>
        <v/>
      </c>
      <c r="AX138" s="118" t="str">
        <f>IF(AX$6="","",IF(AX$3="Maior",IFERROR(IF(VLOOKUP($N138,Capa!$A:$AE,AX$5,0)="",0,VLOOKUP($N138,Capa!$A:$AE,AX$5,0)),0),IF(ISERROR(1/VLOOKUP($N138,Capa!$A:$AE,AX$5,0)),0,1/VLOOKUP($N138,Capa!$A:$AE,AX$5,0))))</f>
        <v/>
      </c>
      <c r="AY138" s="118" t="str">
        <f>IF(AY$6="","",IF(AY$3="Maior",IFERROR(IF(VLOOKUP($N138,Capa!$A:$AE,AY$5,0)="",0,VLOOKUP($N138,Capa!$A:$AE,AY$5,0)),0),IF(ISERROR(1/VLOOKUP($N138,Capa!$A:$AE,AY$5,0)),0,1/VLOOKUP($N138,Capa!$A:$AE,AY$5,0))))</f>
        <v/>
      </c>
      <c r="AZ138" s="118" t="str">
        <f>IF(AZ$6="","",IF(AZ$3="Maior",IFERROR(IF(VLOOKUP($N138,Capa!$A:$AE,AZ$5,0)="",0,VLOOKUP($N138,Capa!$A:$AE,AZ$5,0)),0),IF(ISERROR(1/VLOOKUP($N138,Capa!$A:$AE,AZ$5,0)),0,1/VLOOKUP($N138,Capa!$A:$AE,AZ$5,0))))</f>
        <v/>
      </c>
      <c r="BA138" s="118" t="str">
        <f>IF(BA$6="","",IF(BA$3="Maior",IFERROR(IF(VLOOKUP($N138,Capa!$A:$AE,BA$5,0)="",0,VLOOKUP($N138,Capa!$A:$AE,BA$5,0)),0),IF(ISERROR(1/VLOOKUP($N138,Capa!$A:$AE,BA$5,0)),0,1/VLOOKUP($N138,Capa!$A:$AE,BA$5,0))))</f>
        <v/>
      </c>
      <c r="BB138" s="118" t="str">
        <f>IF(BB$6="","",IF(BB$3="Maior",IFERROR(IF(VLOOKUP($N138,Capa!$A:$AE,BB$5,0)="",0,VLOOKUP($N138,Capa!$A:$AE,BB$5,0)),0),IF(ISERROR(1/VLOOKUP($N138,Capa!$A:$AE,BB$5,0)),0,1/VLOOKUP($N138,Capa!$A:$AE,BB$5,0))))</f>
        <v/>
      </c>
      <c r="BC138" s="118" t="str">
        <f>IF(BC$6="","",IF(BC$3="Maior",IFERROR(IF(VLOOKUP($N138,Capa!$A:$AE,BC$5,0)="",0,VLOOKUP($N138,Capa!$A:$AE,BC$5,0)),0),IF(ISERROR(1/VLOOKUP($N138,Capa!$A:$AE,BC$5,0)),0,1/VLOOKUP($N138,Capa!$A:$AE,BC$5,0))))</f>
        <v/>
      </c>
      <c r="BD138" s="118" t="str">
        <f>IF(BD$6="","",IF(BD$3="Maior",IFERROR(IF(VLOOKUP($N138,Capa!$A:$AE,BD$5,0)="",0,VLOOKUP($N138,Capa!$A:$AE,BD$5,0)),0),IF(ISERROR(1/VLOOKUP($N138,Capa!$A:$AE,BD$5,0)),0,1/VLOOKUP($N138,Capa!$A:$AE,BD$5,0))))</f>
        <v/>
      </c>
      <c r="BE138" s="118" t="str">
        <f>IF(BE$6="","",IF(BE$3="Maior",IFERROR(IF(VLOOKUP($N138,Capa!$A:$AE,BE$5,0)="",0,VLOOKUP($N138,Capa!$A:$AE,BE$5,0)),0),IF(ISERROR(1/VLOOKUP($N138,Capa!$A:$AE,BE$5,0)),0,1/VLOOKUP($N138,Capa!$A:$AE,BE$5,0))))</f>
        <v/>
      </c>
      <c r="BF138" s="118" t="str">
        <f>IF(BF$6="","",IF(BF$3="Maior",IFERROR(IF(VLOOKUP($N138,Capa!$A:$AE,BF$5,0)="",0,VLOOKUP($N138,Capa!$A:$AE,BF$5,0)),0),IF(ISERROR(1/VLOOKUP($N138,Capa!$A:$AE,BF$5,0)),0,1/VLOOKUP($N138,Capa!$A:$AE,BF$5,0))))</f>
        <v/>
      </c>
      <c r="BG138" s="118" t="str">
        <f>IF(BG$6="","",IF(BG$3="Maior",IFERROR(IF(VLOOKUP($N138,Capa!$A:$AE,BG$5,0)="",0,VLOOKUP($N138,Capa!$A:$AE,BG$5,0)),0),IF(ISERROR(1/VLOOKUP($N138,Capa!$A:$AE,BG$5,0)),0,1/VLOOKUP($N138,Capa!$A:$AE,BG$5,0))))</f>
        <v/>
      </c>
      <c r="BH138" s="118" t="str">
        <f>IF(BH$6="","",IF(BH$3="Maior",IFERROR(IF(VLOOKUP($N138,Capa!$A:$AE,BH$5,0)="",0,VLOOKUP($N138,Capa!$A:$AE,BH$5,0)),0),IF(ISERROR(1/VLOOKUP($N138,Capa!$A:$AE,BH$5,0)),0,1/VLOOKUP($N138,Capa!$A:$AE,BH$5,0))))</f>
        <v/>
      </c>
      <c r="BI138" s="118" t="str">
        <f>IF(BI$6="","",IF(BI$3="Maior",IFERROR(IF(VLOOKUP($N138,Capa!$A:$AE,BI$5,0)="",0,VLOOKUP($N138,Capa!$A:$AE,BI$5,0)),0),IF(ISERROR(1/VLOOKUP($N138,Capa!$A:$AE,BI$5,0)),0,1/VLOOKUP($N138,Capa!$A:$AE,BI$5,0))))</f>
        <v/>
      </c>
      <c r="BJ138" s="118" t="str">
        <f>IF(BJ$6="","",IF(BJ$3="Maior",IFERROR(IF(VLOOKUP($N138,Capa!$A:$AE,BJ$5,0)="",0,VLOOKUP($N138,Capa!$A:$AE,BJ$5,0)),0),IF(ISERROR(1/VLOOKUP($N138,Capa!$A:$AE,BJ$5,0)),0,1/VLOOKUP($N138,Capa!$A:$AE,BJ$5,0))))</f>
        <v/>
      </c>
      <c r="BK138" s="118" t="str">
        <f>IF(BK$6="","",IF(BK$3="Maior",IFERROR(IF(VLOOKUP($N138,Capa!$A:$AE,BK$5,0)="",0,VLOOKUP($N138,Capa!$A:$AE,BK$5,0)),0),IF(ISERROR(1/VLOOKUP($N138,Capa!$A:$AE,BK$5,0)),0,1/VLOOKUP($N138,Capa!$A:$AE,BK$5,0))))</f>
        <v/>
      </c>
      <c r="BL138" s="118" t="str">
        <f>IF(BL$6="","",IF(BL$3="Maior",IFERROR(IF(VLOOKUP($N138,Capa!$A:$AE,BL$5,0)="",0,VLOOKUP($N138,Capa!$A:$AE,BL$5,0)),0),IF(ISERROR(1/VLOOKUP($N138,Capa!$A:$AE,BL$5,0)),0,1/VLOOKUP($N138,Capa!$A:$AE,BL$5,0))))</f>
        <v/>
      </c>
      <c r="BM138" s="118" t="str">
        <f>IF(BM$6="","",IF(BM$3="Maior",IFERROR(IF(VLOOKUP($N138,Capa!$A:$AE,BM$5,0)="",0,VLOOKUP($N138,Capa!$A:$AE,BM$5,0)),0),IF(ISERROR(1/VLOOKUP($N138,Capa!$A:$AE,BM$5,0)),0,1/VLOOKUP($N138,Capa!$A:$AE,BM$5,0))))</f>
        <v/>
      </c>
      <c r="BN138" s="118" t="str">
        <f>IF(BN$6="","",IF(BN$3="Maior",IFERROR(IF(VLOOKUP($N138,Capa!$A:$AE,BN$5,0)="",0,VLOOKUP($N138,Capa!$A:$AE,BN$5,0)),0),IF(ISERROR(1/VLOOKUP($N138,Capa!$A:$AE,BN$5,0)),0,1/VLOOKUP($N138,Capa!$A:$AE,BN$5,0))))</f>
        <v/>
      </c>
      <c r="BO138" s="92"/>
    </row>
    <row r="139">
      <c r="G139" s="11"/>
      <c r="H139" s="8">
        <v>133.0</v>
      </c>
      <c r="I139" s="110" t="str">
        <f t="shared" si="6"/>
        <v>AERI3</v>
      </c>
      <c r="J139" s="111" t="str">
        <f>VLOOKUP(left(I139,4),Setor!A:D,3,0)&amp;" | "&amp;VLOOKUP(left(I139,4),Setor!A:D,4,0)</f>
        <v>#N/A</v>
      </c>
      <c r="K139" s="112">
        <f t="shared" si="7"/>
        <v>27858884.75</v>
      </c>
      <c r="L139" s="11"/>
      <c r="M139" s="11"/>
      <c r="N139" s="10" t="s">
        <v>185</v>
      </c>
      <c r="O139" s="113">
        <f t="shared" si="8"/>
        <v>410.0128</v>
      </c>
      <c r="P139" s="114">
        <f>VLOOKUP(N139,'Dados StatusInvest'!A:Z,26,0)</f>
        <v>27995745.67</v>
      </c>
      <c r="Q139" s="115">
        <f t="shared" si="9"/>
        <v>128.0128</v>
      </c>
      <c r="R139" s="116">
        <f t="shared" ref="R139:AO139" si="142">IF(AQ139="","", RANK(AQ139,AQ$7:AQ$503,0))</f>
        <v>232</v>
      </c>
      <c r="S139" s="115">
        <f t="shared" si="142"/>
        <v>50</v>
      </c>
      <c r="T139" s="115" t="str">
        <f t="shared" si="142"/>
        <v/>
      </c>
      <c r="U139" s="115" t="str">
        <f t="shared" si="142"/>
        <v/>
      </c>
      <c r="V139" s="115" t="str">
        <f t="shared" si="142"/>
        <v/>
      </c>
      <c r="W139" s="115" t="str">
        <f t="shared" si="142"/>
        <v/>
      </c>
      <c r="X139" s="115" t="str">
        <f t="shared" si="142"/>
        <v/>
      </c>
      <c r="Y139" s="115" t="str">
        <f t="shared" si="142"/>
        <v/>
      </c>
      <c r="Z139" s="115" t="str">
        <f t="shared" si="142"/>
        <v/>
      </c>
      <c r="AA139" s="115" t="str">
        <f t="shared" si="142"/>
        <v/>
      </c>
      <c r="AB139" s="115" t="str">
        <f t="shared" si="142"/>
        <v/>
      </c>
      <c r="AC139" s="115" t="str">
        <f t="shared" si="142"/>
        <v/>
      </c>
      <c r="AD139" s="115" t="str">
        <f t="shared" si="142"/>
        <v/>
      </c>
      <c r="AE139" s="115" t="str">
        <f t="shared" si="142"/>
        <v/>
      </c>
      <c r="AF139" s="115" t="str">
        <f t="shared" si="142"/>
        <v/>
      </c>
      <c r="AG139" s="115" t="str">
        <f t="shared" si="142"/>
        <v/>
      </c>
      <c r="AH139" s="115" t="str">
        <f t="shared" si="142"/>
        <v/>
      </c>
      <c r="AI139" s="115" t="str">
        <f t="shared" si="142"/>
        <v/>
      </c>
      <c r="AJ139" s="115" t="str">
        <f t="shared" si="142"/>
        <v/>
      </c>
      <c r="AK139" s="115" t="str">
        <f t="shared" si="142"/>
        <v/>
      </c>
      <c r="AL139" s="115" t="str">
        <f t="shared" si="142"/>
        <v/>
      </c>
      <c r="AM139" s="115" t="str">
        <f t="shared" si="142"/>
        <v/>
      </c>
      <c r="AN139" s="115" t="str">
        <f t="shared" si="142"/>
        <v/>
      </c>
      <c r="AO139" s="115" t="str">
        <f t="shared" si="142"/>
        <v/>
      </c>
      <c r="AP139" s="117">
        <f>IF(AP$6="","",IF(AP$3="Maior",IFERROR(IF(VLOOKUP($N139,Capa!$A:$AE,AP$5,0)="",0,VLOOKUP($N139,Capa!$A:$AE,AP$5,0)),0),IF(ISERROR(1/VLOOKUP($N139,Capa!$A:$AE,AP$5,0)),0,1/VLOOKUP($N139,Capa!$A:$AE,AP$5,0))))</f>
        <v>0.145425994</v>
      </c>
      <c r="AQ139" s="118">
        <f>IF(AQ$6="","",IF(AQ$3="Maior",IFERROR(IF(VLOOKUP($N139,Capa!$A:$AE,AQ$5,0)="",0,VLOOKUP($N139,Capa!$A:$AE,AQ$5,0)),0),IF(ISERROR(1/VLOOKUP($N139,Capa!$A:$AE,AQ$5,0)),0,1/VLOOKUP($N139,Capa!$A:$AE,AQ$5,0))))</f>
        <v>9.51</v>
      </c>
      <c r="AR139" s="118">
        <f>IF(AR$6="","",IF(AR$3="Maior",IFERROR(IF(VLOOKUP($N139,Capa!$A:$AE,AR$5,0)="",0,VLOOKUP($N139,Capa!$A:$AE,AR$5,0)),0),IF(ISERROR(1/VLOOKUP($N139,Capa!$A:$AE,AR$5,0)),0,1/VLOOKUP($N139,Capa!$A:$AE,AR$5,0))))</f>
        <v>47.69</v>
      </c>
      <c r="AS139" s="118" t="str">
        <f>IF(AS$6="","",IF(AS$3="Maior",IFERROR(IF(VLOOKUP($N139,Capa!$A:$AE,AS$5,0)="",0,VLOOKUP($N139,Capa!$A:$AE,AS$5,0)),0),IF(ISERROR(1/VLOOKUP($N139,Capa!$A:$AE,AS$5,0)),0,1/VLOOKUP($N139,Capa!$A:$AE,AS$5,0))))</f>
        <v/>
      </c>
      <c r="AT139" s="118" t="str">
        <f>IF(AT$6="","",IF(AT$3="Maior",IFERROR(IF(VLOOKUP($N139,Capa!$A:$AE,AT$5,0)="",0,VLOOKUP($N139,Capa!$A:$AE,AT$5,0)),0),IF(ISERROR(1/VLOOKUP($N139,Capa!$A:$AE,AT$5,0)),0,1/VLOOKUP($N139,Capa!$A:$AE,AT$5,0))))</f>
        <v/>
      </c>
      <c r="AU139" s="118" t="str">
        <f>IF(AU$6="","",IF(AU$3="Maior",IFERROR(IF(VLOOKUP($N139,Capa!$A:$AE,AU$5,0)="",0,VLOOKUP($N139,Capa!$A:$AE,AU$5,0)),0),IF(ISERROR(1/VLOOKUP($N139,Capa!$A:$AE,AU$5,0)),0,1/VLOOKUP($N139,Capa!$A:$AE,AU$5,0))))</f>
        <v/>
      </c>
      <c r="AV139" s="118" t="str">
        <f>IF(AV$6="","",IF(AV$3="Maior",IFERROR(IF(VLOOKUP($N139,Capa!$A:$AE,AV$5,0)="",0,VLOOKUP($N139,Capa!$A:$AE,AV$5,0)),0),IF(ISERROR(1/VLOOKUP($N139,Capa!$A:$AE,AV$5,0)),0,1/VLOOKUP($N139,Capa!$A:$AE,AV$5,0))))</f>
        <v/>
      </c>
      <c r="AW139" s="118" t="str">
        <f>IF(AW$6="","",IF(AW$3="Maior",IFERROR(IF(VLOOKUP($N139,Capa!$A:$AE,AW$5,0)="",0,VLOOKUP($N139,Capa!$A:$AE,AW$5,0)),0),IF(ISERROR(1/VLOOKUP($N139,Capa!$A:$AE,AW$5,0)),0,1/VLOOKUP($N139,Capa!$A:$AE,AW$5,0))))</f>
        <v/>
      </c>
      <c r="AX139" s="118" t="str">
        <f>IF(AX$6="","",IF(AX$3="Maior",IFERROR(IF(VLOOKUP($N139,Capa!$A:$AE,AX$5,0)="",0,VLOOKUP($N139,Capa!$A:$AE,AX$5,0)),0),IF(ISERROR(1/VLOOKUP($N139,Capa!$A:$AE,AX$5,0)),0,1/VLOOKUP($N139,Capa!$A:$AE,AX$5,0))))</f>
        <v/>
      </c>
      <c r="AY139" s="118" t="str">
        <f>IF(AY$6="","",IF(AY$3="Maior",IFERROR(IF(VLOOKUP($N139,Capa!$A:$AE,AY$5,0)="",0,VLOOKUP($N139,Capa!$A:$AE,AY$5,0)),0),IF(ISERROR(1/VLOOKUP($N139,Capa!$A:$AE,AY$5,0)),0,1/VLOOKUP($N139,Capa!$A:$AE,AY$5,0))))</f>
        <v/>
      </c>
      <c r="AZ139" s="118" t="str">
        <f>IF(AZ$6="","",IF(AZ$3="Maior",IFERROR(IF(VLOOKUP($N139,Capa!$A:$AE,AZ$5,0)="",0,VLOOKUP($N139,Capa!$A:$AE,AZ$5,0)),0),IF(ISERROR(1/VLOOKUP($N139,Capa!$A:$AE,AZ$5,0)),0,1/VLOOKUP($N139,Capa!$A:$AE,AZ$5,0))))</f>
        <v/>
      </c>
      <c r="BA139" s="118" t="str">
        <f>IF(BA$6="","",IF(BA$3="Maior",IFERROR(IF(VLOOKUP($N139,Capa!$A:$AE,BA$5,0)="",0,VLOOKUP($N139,Capa!$A:$AE,BA$5,0)),0),IF(ISERROR(1/VLOOKUP($N139,Capa!$A:$AE,BA$5,0)),0,1/VLOOKUP($N139,Capa!$A:$AE,BA$5,0))))</f>
        <v/>
      </c>
      <c r="BB139" s="118" t="str">
        <f>IF(BB$6="","",IF(BB$3="Maior",IFERROR(IF(VLOOKUP($N139,Capa!$A:$AE,BB$5,0)="",0,VLOOKUP($N139,Capa!$A:$AE,BB$5,0)),0),IF(ISERROR(1/VLOOKUP($N139,Capa!$A:$AE,BB$5,0)),0,1/VLOOKUP($N139,Capa!$A:$AE,BB$5,0))))</f>
        <v/>
      </c>
      <c r="BC139" s="118" t="str">
        <f>IF(BC$6="","",IF(BC$3="Maior",IFERROR(IF(VLOOKUP($N139,Capa!$A:$AE,BC$5,0)="",0,VLOOKUP($N139,Capa!$A:$AE,BC$5,0)),0),IF(ISERROR(1/VLOOKUP($N139,Capa!$A:$AE,BC$5,0)),0,1/VLOOKUP($N139,Capa!$A:$AE,BC$5,0))))</f>
        <v/>
      </c>
      <c r="BD139" s="118" t="str">
        <f>IF(BD$6="","",IF(BD$3="Maior",IFERROR(IF(VLOOKUP($N139,Capa!$A:$AE,BD$5,0)="",0,VLOOKUP($N139,Capa!$A:$AE,BD$5,0)),0),IF(ISERROR(1/VLOOKUP($N139,Capa!$A:$AE,BD$5,0)),0,1/VLOOKUP($N139,Capa!$A:$AE,BD$5,0))))</f>
        <v/>
      </c>
      <c r="BE139" s="118" t="str">
        <f>IF(BE$6="","",IF(BE$3="Maior",IFERROR(IF(VLOOKUP($N139,Capa!$A:$AE,BE$5,0)="",0,VLOOKUP($N139,Capa!$A:$AE,BE$5,0)),0),IF(ISERROR(1/VLOOKUP($N139,Capa!$A:$AE,BE$5,0)),0,1/VLOOKUP($N139,Capa!$A:$AE,BE$5,0))))</f>
        <v/>
      </c>
      <c r="BF139" s="118" t="str">
        <f>IF(BF$6="","",IF(BF$3="Maior",IFERROR(IF(VLOOKUP($N139,Capa!$A:$AE,BF$5,0)="",0,VLOOKUP($N139,Capa!$A:$AE,BF$5,0)),0),IF(ISERROR(1/VLOOKUP($N139,Capa!$A:$AE,BF$5,0)),0,1/VLOOKUP($N139,Capa!$A:$AE,BF$5,0))))</f>
        <v/>
      </c>
      <c r="BG139" s="118" t="str">
        <f>IF(BG$6="","",IF(BG$3="Maior",IFERROR(IF(VLOOKUP($N139,Capa!$A:$AE,BG$5,0)="",0,VLOOKUP($N139,Capa!$A:$AE,BG$5,0)),0),IF(ISERROR(1/VLOOKUP($N139,Capa!$A:$AE,BG$5,0)),0,1/VLOOKUP($N139,Capa!$A:$AE,BG$5,0))))</f>
        <v/>
      </c>
      <c r="BH139" s="118" t="str">
        <f>IF(BH$6="","",IF(BH$3="Maior",IFERROR(IF(VLOOKUP($N139,Capa!$A:$AE,BH$5,0)="",0,VLOOKUP($N139,Capa!$A:$AE,BH$5,0)),0),IF(ISERROR(1/VLOOKUP($N139,Capa!$A:$AE,BH$5,0)),0,1/VLOOKUP($N139,Capa!$A:$AE,BH$5,0))))</f>
        <v/>
      </c>
      <c r="BI139" s="118" t="str">
        <f>IF(BI$6="","",IF(BI$3="Maior",IFERROR(IF(VLOOKUP($N139,Capa!$A:$AE,BI$5,0)="",0,VLOOKUP($N139,Capa!$A:$AE,BI$5,0)),0),IF(ISERROR(1/VLOOKUP($N139,Capa!$A:$AE,BI$5,0)),0,1/VLOOKUP($N139,Capa!$A:$AE,BI$5,0))))</f>
        <v/>
      </c>
      <c r="BJ139" s="118" t="str">
        <f>IF(BJ$6="","",IF(BJ$3="Maior",IFERROR(IF(VLOOKUP($N139,Capa!$A:$AE,BJ$5,0)="",0,VLOOKUP($N139,Capa!$A:$AE,BJ$5,0)),0),IF(ISERROR(1/VLOOKUP($N139,Capa!$A:$AE,BJ$5,0)),0,1/VLOOKUP($N139,Capa!$A:$AE,BJ$5,0))))</f>
        <v/>
      </c>
      <c r="BK139" s="118" t="str">
        <f>IF(BK$6="","",IF(BK$3="Maior",IFERROR(IF(VLOOKUP($N139,Capa!$A:$AE,BK$5,0)="",0,VLOOKUP($N139,Capa!$A:$AE,BK$5,0)),0),IF(ISERROR(1/VLOOKUP($N139,Capa!$A:$AE,BK$5,0)),0,1/VLOOKUP($N139,Capa!$A:$AE,BK$5,0))))</f>
        <v/>
      </c>
      <c r="BL139" s="118" t="str">
        <f>IF(BL$6="","",IF(BL$3="Maior",IFERROR(IF(VLOOKUP($N139,Capa!$A:$AE,BL$5,0)="",0,VLOOKUP($N139,Capa!$A:$AE,BL$5,0)),0),IF(ISERROR(1/VLOOKUP($N139,Capa!$A:$AE,BL$5,0)),0,1/VLOOKUP($N139,Capa!$A:$AE,BL$5,0))))</f>
        <v/>
      </c>
      <c r="BM139" s="118" t="str">
        <f>IF(BM$6="","",IF(BM$3="Maior",IFERROR(IF(VLOOKUP($N139,Capa!$A:$AE,BM$5,0)="",0,VLOOKUP($N139,Capa!$A:$AE,BM$5,0)),0),IF(ISERROR(1/VLOOKUP($N139,Capa!$A:$AE,BM$5,0)),0,1/VLOOKUP($N139,Capa!$A:$AE,BM$5,0))))</f>
        <v/>
      </c>
      <c r="BN139" s="118" t="str">
        <f>IF(BN$6="","",IF(BN$3="Maior",IFERROR(IF(VLOOKUP($N139,Capa!$A:$AE,BN$5,0)="",0,VLOOKUP($N139,Capa!$A:$AE,BN$5,0)),0),IF(ISERROR(1/VLOOKUP($N139,Capa!$A:$AE,BN$5,0)),0,1/VLOOKUP($N139,Capa!$A:$AE,BN$5,0))))</f>
        <v/>
      </c>
      <c r="BO139" s="92"/>
    </row>
    <row r="140">
      <c r="G140" s="11"/>
      <c r="H140" s="8">
        <v>134.0</v>
      </c>
      <c r="I140" s="110" t="str">
        <f t="shared" si="6"/>
        <v>VAMO3</v>
      </c>
      <c r="J140" s="111" t="str">
        <f>VLOOKUP(left(I140,4),Setor!A:D,3,0)&amp;" | "&amp;VLOOKUP(left(I140,4),Setor!A:D,4,0)</f>
        <v>#N/A</v>
      </c>
      <c r="K140" s="112">
        <f t="shared" si="7"/>
        <v>51807263.21</v>
      </c>
      <c r="L140" s="11"/>
      <c r="M140" s="11"/>
      <c r="N140" s="10" t="s">
        <v>186</v>
      </c>
      <c r="O140" s="113">
        <f t="shared" si="8"/>
        <v>225.0066</v>
      </c>
      <c r="P140" s="114">
        <f>VLOOKUP(N140,'Dados StatusInvest'!A:Z,26,0)</f>
        <v>22317820.42</v>
      </c>
      <c r="Q140" s="115">
        <f t="shared" si="9"/>
        <v>66.0066</v>
      </c>
      <c r="R140" s="116">
        <f t="shared" ref="R140:AO140" si="143">IF(AQ140="","", RANK(AQ140,AQ$7:AQ$503,0))</f>
        <v>119</v>
      </c>
      <c r="S140" s="115">
        <f t="shared" si="143"/>
        <v>40</v>
      </c>
      <c r="T140" s="115" t="str">
        <f t="shared" si="143"/>
        <v/>
      </c>
      <c r="U140" s="115" t="str">
        <f t="shared" si="143"/>
        <v/>
      </c>
      <c r="V140" s="115" t="str">
        <f t="shared" si="143"/>
        <v/>
      </c>
      <c r="W140" s="115" t="str">
        <f t="shared" si="143"/>
        <v/>
      </c>
      <c r="X140" s="115" t="str">
        <f t="shared" si="143"/>
        <v/>
      </c>
      <c r="Y140" s="115" t="str">
        <f t="shared" si="143"/>
        <v/>
      </c>
      <c r="Z140" s="115" t="str">
        <f t="shared" si="143"/>
        <v/>
      </c>
      <c r="AA140" s="115" t="str">
        <f t="shared" si="143"/>
        <v/>
      </c>
      <c r="AB140" s="115" t="str">
        <f t="shared" si="143"/>
        <v/>
      </c>
      <c r="AC140" s="115" t="str">
        <f t="shared" si="143"/>
        <v/>
      </c>
      <c r="AD140" s="115" t="str">
        <f t="shared" si="143"/>
        <v/>
      </c>
      <c r="AE140" s="115" t="str">
        <f t="shared" si="143"/>
        <v/>
      </c>
      <c r="AF140" s="115" t="str">
        <f t="shared" si="143"/>
        <v/>
      </c>
      <c r="AG140" s="115" t="str">
        <f t="shared" si="143"/>
        <v/>
      </c>
      <c r="AH140" s="115" t="str">
        <f t="shared" si="143"/>
        <v/>
      </c>
      <c r="AI140" s="115" t="str">
        <f t="shared" si="143"/>
        <v/>
      </c>
      <c r="AJ140" s="115" t="str">
        <f t="shared" si="143"/>
        <v/>
      </c>
      <c r="AK140" s="115" t="str">
        <f t="shared" si="143"/>
        <v/>
      </c>
      <c r="AL140" s="115" t="str">
        <f t="shared" si="143"/>
        <v/>
      </c>
      <c r="AM140" s="115" t="str">
        <f t="shared" si="143"/>
        <v/>
      </c>
      <c r="AN140" s="115" t="str">
        <f t="shared" si="143"/>
        <v/>
      </c>
      <c r="AO140" s="115" t="str">
        <f t="shared" si="143"/>
        <v/>
      </c>
      <c r="AP140" s="117">
        <f>IF(AP$6="","",IF(AP$3="Maior",IFERROR(IF(VLOOKUP($N140,Capa!$A:$AE,AP$5,0)="",0,VLOOKUP($N140,Capa!$A:$AE,AP$5,0)),0),IF(ISERROR(1/VLOOKUP($N140,Capa!$A:$AE,AP$5,0)),0,1/VLOOKUP($N140,Capa!$A:$AE,AP$5,0))))</f>
        <v>0.2255351682</v>
      </c>
      <c r="AQ140" s="118">
        <f>IF(AQ$6="","",IF(AQ$3="Maior",IFERROR(IF(VLOOKUP($N140,Capa!$A:$AE,AQ$5,0)="",0,VLOOKUP($N140,Capa!$A:$AE,AQ$5,0)),0),IF(ISERROR(1/VLOOKUP($N140,Capa!$A:$AE,AQ$5,0)),0,1/VLOOKUP($N140,Capa!$A:$AE,AQ$5,0))))</f>
        <v>15.84</v>
      </c>
      <c r="AR140" s="118">
        <f>IF(AR$6="","",IF(AR$3="Maior",IFERROR(IF(VLOOKUP($N140,Capa!$A:$AE,AR$5,0)="",0,VLOOKUP($N140,Capa!$A:$AE,AR$5,0)),0),IF(ISERROR(1/VLOOKUP($N140,Capa!$A:$AE,AR$5,0)),0,1/VLOOKUP($N140,Capa!$A:$AE,AR$5,0))))</f>
        <v>52.2</v>
      </c>
      <c r="AS140" s="118" t="str">
        <f>IF(AS$6="","",IF(AS$3="Maior",IFERROR(IF(VLOOKUP($N140,Capa!$A:$AE,AS$5,0)="",0,VLOOKUP($N140,Capa!$A:$AE,AS$5,0)),0),IF(ISERROR(1/VLOOKUP($N140,Capa!$A:$AE,AS$5,0)),0,1/VLOOKUP($N140,Capa!$A:$AE,AS$5,0))))</f>
        <v/>
      </c>
      <c r="AT140" s="118" t="str">
        <f>IF(AT$6="","",IF(AT$3="Maior",IFERROR(IF(VLOOKUP($N140,Capa!$A:$AE,AT$5,0)="",0,VLOOKUP($N140,Capa!$A:$AE,AT$5,0)),0),IF(ISERROR(1/VLOOKUP($N140,Capa!$A:$AE,AT$5,0)),0,1/VLOOKUP($N140,Capa!$A:$AE,AT$5,0))))</f>
        <v/>
      </c>
      <c r="AU140" s="118" t="str">
        <f>IF(AU$6="","",IF(AU$3="Maior",IFERROR(IF(VLOOKUP($N140,Capa!$A:$AE,AU$5,0)="",0,VLOOKUP($N140,Capa!$A:$AE,AU$5,0)),0),IF(ISERROR(1/VLOOKUP($N140,Capa!$A:$AE,AU$5,0)),0,1/VLOOKUP($N140,Capa!$A:$AE,AU$5,0))))</f>
        <v/>
      </c>
      <c r="AV140" s="118" t="str">
        <f>IF(AV$6="","",IF(AV$3="Maior",IFERROR(IF(VLOOKUP($N140,Capa!$A:$AE,AV$5,0)="",0,VLOOKUP($N140,Capa!$A:$AE,AV$5,0)),0),IF(ISERROR(1/VLOOKUP($N140,Capa!$A:$AE,AV$5,0)),0,1/VLOOKUP($N140,Capa!$A:$AE,AV$5,0))))</f>
        <v/>
      </c>
      <c r="AW140" s="118" t="str">
        <f>IF(AW$6="","",IF(AW$3="Maior",IFERROR(IF(VLOOKUP($N140,Capa!$A:$AE,AW$5,0)="",0,VLOOKUP($N140,Capa!$A:$AE,AW$5,0)),0),IF(ISERROR(1/VLOOKUP($N140,Capa!$A:$AE,AW$5,0)),0,1/VLOOKUP($N140,Capa!$A:$AE,AW$5,0))))</f>
        <v/>
      </c>
      <c r="AX140" s="118" t="str">
        <f>IF(AX$6="","",IF(AX$3="Maior",IFERROR(IF(VLOOKUP($N140,Capa!$A:$AE,AX$5,0)="",0,VLOOKUP($N140,Capa!$A:$AE,AX$5,0)),0),IF(ISERROR(1/VLOOKUP($N140,Capa!$A:$AE,AX$5,0)),0,1/VLOOKUP($N140,Capa!$A:$AE,AX$5,0))))</f>
        <v/>
      </c>
      <c r="AY140" s="118" t="str">
        <f>IF(AY$6="","",IF(AY$3="Maior",IFERROR(IF(VLOOKUP($N140,Capa!$A:$AE,AY$5,0)="",0,VLOOKUP($N140,Capa!$A:$AE,AY$5,0)),0),IF(ISERROR(1/VLOOKUP($N140,Capa!$A:$AE,AY$5,0)),0,1/VLOOKUP($N140,Capa!$A:$AE,AY$5,0))))</f>
        <v/>
      </c>
      <c r="AZ140" s="118" t="str">
        <f>IF(AZ$6="","",IF(AZ$3="Maior",IFERROR(IF(VLOOKUP($N140,Capa!$A:$AE,AZ$5,0)="",0,VLOOKUP($N140,Capa!$A:$AE,AZ$5,0)),0),IF(ISERROR(1/VLOOKUP($N140,Capa!$A:$AE,AZ$5,0)),0,1/VLOOKUP($N140,Capa!$A:$AE,AZ$5,0))))</f>
        <v/>
      </c>
      <c r="BA140" s="118" t="str">
        <f>IF(BA$6="","",IF(BA$3="Maior",IFERROR(IF(VLOOKUP($N140,Capa!$A:$AE,BA$5,0)="",0,VLOOKUP($N140,Capa!$A:$AE,BA$5,0)),0),IF(ISERROR(1/VLOOKUP($N140,Capa!$A:$AE,BA$5,0)),0,1/VLOOKUP($N140,Capa!$A:$AE,BA$5,0))))</f>
        <v/>
      </c>
      <c r="BB140" s="118" t="str">
        <f>IF(BB$6="","",IF(BB$3="Maior",IFERROR(IF(VLOOKUP($N140,Capa!$A:$AE,BB$5,0)="",0,VLOOKUP($N140,Capa!$A:$AE,BB$5,0)),0),IF(ISERROR(1/VLOOKUP($N140,Capa!$A:$AE,BB$5,0)),0,1/VLOOKUP($N140,Capa!$A:$AE,BB$5,0))))</f>
        <v/>
      </c>
      <c r="BC140" s="118" t="str">
        <f>IF(BC$6="","",IF(BC$3="Maior",IFERROR(IF(VLOOKUP($N140,Capa!$A:$AE,BC$5,0)="",0,VLOOKUP($N140,Capa!$A:$AE,BC$5,0)),0),IF(ISERROR(1/VLOOKUP($N140,Capa!$A:$AE,BC$5,0)),0,1/VLOOKUP($N140,Capa!$A:$AE,BC$5,0))))</f>
        <v/>
      </c>
      <c r="BD140" s="118" t="str">
        <f>IF(BD$6="","",IF(BD$3="Maior",IFERROR(IF(VLOOKUP($N140,Capa!$A:$AE,BD$5,0)="",0,VLOOKUP($N140,Capa!$A:$AE,BD$5,0)),0),IF(ISERROR(1/VLOOKUP($N140,Capa!$A:$AE,BD$5,0)),0,1/VLOOKUP($N140,Capa!$A:$AE,BD$5,0))))</f>
        <v/>
      </c>
      <c r="BE140" s="118" t="str">
        <f>IF(BE$6="","",IF(BE$3="Maior",IFERROR(IF(VLOOKUP($N140,Capa!$A:$AE,BE$5,0)="",0,VLOOKUP($N140,Capa!$A:$AE,BE$5,0)),0),IF(ISERROR(1/VLOOKUP($N140,Capa!$A:$AE,BE$5,0)),0,1/VLOOKUP($N140,Capa!$A:$AE,BE$5,0))))</f>
        <v/>
      </c>
      <c r="BF140" s="118" t="str">
        <f>IF(BF$6="","",IF(BF$3="Maior",IFERROR(IF(VLOOKUP($N140,Capa!$A:$AE,BF$5,0)="",0,VLOOKUP($N140,Capa!$A:$AE,BF$5,0)),0),IF(ISERROR(1/VLOOKUP($N140,Capa!$A:$AE,BF$5,0)),0,1/VLOOKUP($N140,Capa!$A:$AE,BF$5,0))))</f>
        <v/>
      </c>
      <c r="BG140" s="118" t="str">
        <f>IF(BG$6="","",IF(BG$3="Maior",IFERROR(IF(VLOOKUP($N140,Capa!$A:$AE,BG$5,0)="",0,VLOOKUP($N140,Capa!$A:$AE,BG$5,0)),0),IF(ISERROR(1/VLOOKUP($N140,Capa!$A:$AE,BG$5,0)),0,1/VLOOKUP($N140,Capa!$A:$AE,BG$5,0))))</f>
        <v/>
      </c>
      <c r="BH140" s="118" t="str">
        <f>IF(BH$6="","",IF(BH$3="Maior",IFERROR(IF(VLOOKUP($N140,Capa!$A:$AE,BH$5,0)="",0,VLOOKUP($N140,Capa!$A:$AE,BH$5,0)),0),IF(ISERROR(1/VLOOKUP($N140,Capa!$A:$AE,BH$5,0)),0,1/VLOOKUP($N140,Capa!$A:$AE,BH$5,0))))</f>
        <v/>
      </c>
      <c r="BI140" s="118" t="str">
        <f>IF(BI$6="","",IF(BI$3="Maior",IFERROR(IF(VLOOKUP($N140,Capa!$A:$AE,BI$5,0)="",0,VLOOKUP($N140,Capa!$A:$AE,BI$5,0)),0),IF(ISERROR(1/VLOOKUP($N140,Capa!$A:$AE,BI$5,0)),0,1/VLOOKUP($N140,Capa!$A:$AE,BI$5,0))))</f>
        <v/>
      </c>
      <c r="BJ140" s="118" t="str">
        <f>IF(BJ$6="","",IF(BJ$3="Maior",IFERROR(IF(VLOOKUP($N140,Capa!$A:$AE,BJ$5,0)="",0,VLOOKUP($N140,Capa!$A:$AE,BJ$5,0)),0),IF(ISERROR(1/VLOOKUP($N140,Capa!$A:$AE,BJ$5,0)),0,1/VLOOKUP($N140,Capa!$A:$AE,BJ$5,0))))</f>
        <v/>
      </c>
      <c r="BK140" s="118" t="str">
        <f>IF(BK$6="","",IF(BK$3="Maior",IFERROR(IF(VLOOKUP($N140,Capa!$A:$AE,BK$5,0)="",0,VLOOKUP($N140,Capa!$A:$AE,BK$5,0)),0),IF(ISERROR(1/VLOOKUP($N140,Capa!$A:$AE,BK$5,0)),0,1/VLOOKUP($N140,Capa!$A:$AE,BK$5,0))))</f>
        <v/>
      </c>
      <c r="BL140" s="118" t="str">
        <f>IF(BL$6="","",IF(BL$3="Maior",IFERROR(IF(VLOOKUP($N140,Capa!$A:$AE,BL$5,0)="",0,VLOOKUP($N140,Capa!$A:$AE,BL$5,0)),0),IF(ISERROR(1/VLOOKUP($N140,Capa!$A:$AE,BL$5,0)),0,1/VLOOKUP($N140,Capa!$A:$AE,BL$5,0))))</f>
        <v/>
      </c>
      <c r="BM140" s="118" t="str">
        <f>IF(BM$6="","",IF(BM$3="Maior",IFERROR(IF(VLOOKUP($N140,Capa!$A:$AE,BM$5,0)="",0,VLOOKUP($N140,Capa!$A:$AE,BM$5,0)),0),IF(ISERROR(1/VLOOKUP($N140,Capa!$A:$AE,BM$5,0)),0,1/VLOOKUP($N140,Capa!$A:$AE,BM$5,0))))</f>
        <v/>
      </c>
      <c r="BN140" s="118" t="str">
        <f>IF(BN$6="","",IF(BN$3="Maior",IFERROR(IF(VLOOKUP($N140,Capa!$A:$AE,BN$5,0)="",0,VLOOKUP($N140,Capa!$A:$AE,BN$5,0)),0),IF(ISERROR(1/VLOOKUP($N140,Capa!$A:$AE,BN$5,0)),0,1/VLOOKUP($N140,Capa!$A:$AE,BN$5,0))))</f>
        <v/>
      </c>
      <c r="BO140" s="92"/>
    </row>
    <row r="141">
      <c r="G141" s="11"/>
      <c r="H141" s="8">
        <v>135.0</v>
      </c>
      <c r="I141" s="110" t="str">
        <f t="shared" si="6"/>
        <v>IGTA3</v>
      </c>
      <c r="J141" s="111" t="str">
        <f>VLOOKUP(left(I141,4),Setor!A:D,3,0)&amp;" | "&amp;VLOOKUP(left(I141,4),Setor!A:D,4,0)</f>
        <v>Financeiro | Exploração de Imóveis</v>
      </c>
      <c r="K141" s="112">
        <f t="shared" si="7"/>
        <v>59295793.29</v>
      </c>
      <c r="L141" s="11"/>
      <c r="M141" s="11"/>
      <c r="N141" s="10" t="s">
        <v>187</v>
      </c>
      <c r="O141" s="113">
        <f t="shared" si="8"/>
        <v>713.024</v>
      </c>
      <c r="P141" s="114">
        <f>VLOOKUP(N141,'Dados StatusInvest'!A:Z,26,0)</f>
        <v>26491165.04</v>
      </c>
      <c r="Q141" s="115">
        <f t="shared" si="9"/>
        <v>240.024</v>
      </c>
      <c r="R141" s="116">
        <f t="shared" ref="R141:AO141" si="144">IF(AQ141="","", RANK(AQ141,AQ$7:AQ$503,0))</f>
        <v>327</v>
      </c>
      <c r="S141" s="115">
        <f t="shared" si="144"/>
        <v>146</v>
      </c>
      <c r="T141" s="115" t="str">
        <f t="shared" si="144"/>
        <v/>
      </c>
      <c r="U141" s="115" t="str">
        <f t="shared" si="144"/>
        <v/>
      </c>
      <c r="V141" s="115" t="str">
        <f t="shared" si="144"/>
        <v/>
      </c>
      <c r="W141" s="115" t="str">
        <f t="shared" si="144"/>
        <v/>
      </c>
      <c r="X141" s="115" t="str">
        <f t="shared" si="144"/>
        <v/>
      </c>
      <c r="Y141" s="115" t="str">
        <f t="shared" si="144"/>
        <v/>
      </c>
      <c r="Z141" s="115" t="str">
        <f t="shared" si="144"/>
        <v/>
      </c>
      <c r="AA141" s="115" t="str">
        <f t="shared" si="144"/>
        <v/>
      </c>
      <c r="AB141" s="115" t="str">
        <f t="shared" si="144"/>
        <v/>
      </c>
      <c r="AC141" s="115" t="str">
        <f t="shared" si="144"/>
        <v/>
      </c>
      <c r="AD141" s="115" t="str">
        <f t="shared" si="144"/>
        <v/>
      </c>
      <c r="AE141" s="115" t="str">
        <f t="shared" si="144"/>
        <v/>
      </c>
      <c r="AF141" s="115" t="str">
        <f t="shared" si="144"/>
        <v/>
      </c>
      <c r="AG141" s="115" t="str">
        <f t="shared" si="144"/>
        <v/>
      </c>
      <c r="AH141" s="115" t="str">
        <f t="shared" si="144"/>
        <v/>
      </c>
      <c r="AI141" s="115" t="str">
        <f t="shared" si="144"/>
        <v/>
      </c>
      <c r="AJ141" s="115" t="str">
        <f t="shared" si="144"/>
        <v/>
      </c>
      <c r="AK141" s="115" t="str">
        <f t="shared" si="144"/>
        <v/>
      </c>
      <c r="AL141" s="115" t="str">
        <f t="shared" si="144"/>
        <v/>
      </c>
      <c r="AM141" s="115" t="str">
        <f t="shared" si="144"/>
        <v/>
      </c>
      <c r="AN141" s="115" t="str">
        <f t="shared" si="144"/>
        <v/>
      </c>
      <c r="AO141" s="115" t="str">
        <f t="shared" si="144"/>
        <v/>
      </c>
      <c r="AP141" s="117">
        <f>IF(AP$6="","",IF(AP$3="Maior",IFERROR(IF(VLOOKUP($N141,Capa!$A:$AE,AP$5,0)="",0,VLOOKUP($N141,Capa!$A:$AE,AP$5,0)),0),IF(ISERROR(1/VLOOKUP($N141,Capa!$A:$AE,AP$5,0)),0,1/VLOOKUP($N141,Capa!$A:$AE,AP$5,0))))</f>
        <v>0.08393128126</v>
      </c>
      <c r="AQ141" s="118">
        <f>IF(AQ$6="","",IF(AQ$3="Maior",IFERROR(IF(VLOOKUP($N141,Capa!$A:$AE,AQ$5,0)="",0,VLOOKUP($N141,Capa!$A:$AE,AQ$5,0)),0),IF(ISERROR(1/VLOOKUP($N141,Capa!$A:$AE,AQ$5,0)),0,1/VLOOKUP($N141,Capa!$A:$AE,AQ$5,0))))</f>
        <v>3.19</v>
      </c>
      <c r="AR141" s="118">
        <f>IF(AR$6="","",IF(AR$3="Maior",IFERROR(IF(VLOOKUP($N141,Capa!$A:$AE,AR$5,0)="",0,VLOOKUP($N141,Capa!$A:$AE,AR$5,0)),0),IF(ISERROR(1/VLOOKUP($N141,Capa!$A:$AE,AR$5,0)),0,1/VLOOKUP($N141,Capa!$A:$AE,AR$5,0))))</f>
        <v>16.72</v>
      </c>
      <c r="AS141" s="118" t="str">
        <f>IF(AS$6="","",IF(AS$3="Maior",IFERROR(IF(VLOOKUP($N141,Capa!$A:$AE,AS$5,0)="",0,VLOOKUP($N141,Capa!$A:$AE,AS$5,0)),0),IF(ISERROR(1/VLOOKUP($N141,Capa!$A:$AE,AS$5,0)),0,1/VLOOKUP($N141,Capa!$A:$AE,AS$5,0))))</f>
        <v/>
      </c>
      <c r="AT141" s="118" t="str">
        <f>IF(AT$6="","",IF(AT$3="Maior",IFERROR(IF(VLOOKUP($N141,Capa!$A:$AE,AT$5,0)="",0,VLOOKUP($N141,Capa!$A:$AE,AT$5,0)),0),IF(ISERROR(1/VLOOKUP($N141,Capa!$A:$AE,AT$5,0)),0,1/VLOOKUP($N141,Capa!$A:$AE,AT$5,0))))</f>
        <v/>
      </c>
      <c r="AU141" s="118" t="str">
        <f>IF(AU$6="","",IF(AU$3="Maior",IFERROR(IF(VLOOKUP($N141,Capa!$A:$AE,AU$5,0)="",0,VLOOKUP($N141,Capa!$A:$AE,AU$5,0)),0),IF(ISERROR(1/VLOOKUP($N141,Capa!$A:$AE,AU$5,0)),0,1/VLOOKUP($N141,Capa!$A:$AE,AU$5,0))))</f>
        <v/>
      </c>
      <c r="AV141" s="118" t="str">
        <f>IF(AV$6="","",IF(AV$3="Maior",IFERROR(IF(VLOOKUP($N141,Capa!$A:$AE,AV$5,0)="",0,VLOOKUP($N141,Capa!$A:$AE,AV$5,0)),0),IF(ISERROR(1/VLOOKUP($N141,Capa!$A:$AE,AV$5,0)),0,1/VLOOKUP($N141,Capa!$A:$AE,AV$5,0))))</f>
        <v/>
      </c>
      <c r="AW141" s="118" t="str">
        <f>IF(AW$6="","",IF(AW$3="Maior",IFERROR(IF(VLOOKUP($N141,Capa!$A:$AE,AW$5,0)="",0,VLOOKUP($N141,Capa!$A:$AE,AW$5,0)),0),IF(ISERROR(1/VLOOKUP($N141,Capa!$A:$AE,AW$5,0)),0,1/VLOOKUP($N141,Capa!$A:$AE,AW$5,0))))</f>
        <v/>
      </c>
      <c r="AX141" s="118" t="str">
        <f>IF(AX$6="","",IF(AX$3="Maior",IFERROR(IF(VLOOKUP($N141,Capa!$A:$AE,AX$5,0)="",0,VLOOKUP($N141,Capa!$A:$AE,AX$5,0)),0),IF(ISERROR(1/VLOOKUP($N141,Capa!$A:$AE,AX$5,0)),0,1/VLOOKUP($N141,Capa!$A:$AE,AX$5,0))))</f>
        <v/>
      </c>
      <c r="AY141" s="118" t="str">
        <f>IF(AY$6="","",IF(AY$3="Maior",IFERROR(IF(VLOOKUP($N141,Capa!$A:$AE,AY$5,0)="",0,VLOOKUP($N141,Capa!$A:$AE,AY$5,0)),0),IF(ISERROR(1/VLOOKUP($N141,Capa!$A:$AE,AY$5,0)),0,1/VLOOKUP($N141,Capa!$A:$AE,AY$5,0))))</f>
        <v/>
      </c>
      <c r="AZ141" s="118" t="str">
        <f>IF(AZ$6="","",IF(AZ$3="Maior",IFERROR(IF(VLOOKUP($N141,Capa!$A:$AE,AZ$5,0)="",0,VLOOKUP($N141,Capa!$A:$AE,AZ$5,0)),0),IF(ISERROR(1/VLOOKUP($N141,Capa!$A:$AE,AZ$5,0)),0,1/VLOOKUP($N141,Capa!$A:$AE,AZ$5,0))))</f>
        <v/>
      </c>
      <c r="BA141" s="118" t="str">
        <f>IF(BA$6="","",IF(BA$3="Maior",IFERROR(IF(VLOOKUP($N141,Capa!$A:$AE,BA$5,0)="",0,VLOOKUP($N141,Capa!$A:$AE,BA$5,0)),0),IF(ISERROR(1/VLOOKUP($N141,Capa!$A:$AE,BA$5,0)),0,1/VLOOKUP($N141,Capa!$A:$AE,BA$5,0))))</f>
        <v/>
      </c>
      <c r="BB141" s="118" t="str">
        <f>IF(BB$6="","",IF(BB$3="Maior",IFERROR(IF(VLOOKUP($N141,Capa!$A:$AE,BB$5,0)="",0,VLOOKUP($N141,Capa!$A:$AE,BB$5,0)),0),IF(ISERROR(1/VLOOKUP($N141,Capa!$A:$AE,BB$5,0)),0,1/VLOOKUP($N141,Capa!$A:$AE,BB$5,0))))</f>
        <v/>
      </c>
      <c r="BC141" s="118" t="str">
        <f>IF(BC$6="","",IF(BC$3="Maior",IFERROR(IF(VLOOKUP($N141,Capa!$A:$AE,BC$5,0)="",0,VLOOKUP($N141,Capa!$A:$AE,BC$5,0)),0),IF(ISERROR(1/VLOOKUP($N141,Capa!$A:$AE,BC$5,0)),0,1/VLOOKUP($N141,Capa!$A:$AE,BC$5,0))))</f>
        <v/>
      </c>
      <c r="BD141" s="118" t="str">
        <f>IF(BD$6="","",IF(BD$3="Maior",IFERROR(IF(VLOOKUP($N141,Capa!$A:$AE,BD$5,0)="",0,VLOOKUP($N141,Capa!$A:$AE,BD$5,0)),0),IF(ISERROR(1/VLOOKUP($N141,Capa!$A:$AE,BD$5,0)),0,1/VLOOKUP($N141,Capa!$A:$AE,BD$5,0))))</f>
        <v/>
      </c>
      <c r="BE141" s="118" t="str">
        <f>IF(BE$6="","",IF(BE$3="Maior",IFERROR(IF(VLOOKUP($N141,Capa!$A:$AE,BE$5,0)="",0,VLOOKUP($N141,Capa!$A:$AE,BE$5,0)),0),IF(ISERROR(1/VLOOKUP($N141,Capa!$A:$AE,BE$5,0)),0,1/VLOOKUP($N141,Capa!$A:$AE,BE$5,0))))</f>
        <v/>
      </c>
      <c r="BF141" s="118" t="str">
        <f>IF(BF$6="","",IF(BF$3="Maior",IFERROR(IF(VLOOKUP($N141,Capa!$A:$AE,BF$5,0)="",0,VLOOKUP($N141,Capa!$A:$AE,BF$5,0)),0),IF(ISERROR(1/VLOOKUP($N141,Capa!$A:$AE,BF$5,0)),0,1/VLOOKUP($N141,Capa!$A:$AE,BF$5,0))))</f>
        <v/>
      </c>
      <c r="BG141" s="118" t="str">
        <f>IF(BG$6="","",IF(BG$3="Maior",IFERROR(IF(VLOOKUP($N141,Capa!$A:$AE,BG$5,0)="",0,VLOOKUP($N141,Capa!$A:$AE,BG$5,0)),0),IF(ISERROR(1/VLOOKUP($N141,Capa!$A:$AE,BG$5,0)),0,1/VLOOKUP($N141,Capa!$A:$AE,BG$5,0))))</f>
        <v/>
      </c>
      <c r="BH141" s="118" t="str">
        <f>IF(BH$6="","",IF(BH$3="Maior",IFERROR(IF(VLOOKUP($N141,Capa!$A:$AE,BH$5,0)="",0,VLOOKUP($N141,Capa!$A:$AE,BH$5,0)),0),IF(ISERROR(1/VLOOKUP($N141,Capa!$A:$AE,BH$5,0)),0,1/VLOOKUP($N141,Capa!$A:$AE,BH$5,0))))</f>
        <v/>
      </c>
      <c r="BI141" s="118" t="str">
        <f>IF(BI$6="","",IF(BI$3="Maior",IFERROR(IF(VLOOKUP($N141,Capa!$A:$AE,BI$5,0)="",0,VLOOKUP($N141,Capa!$A:$AE,BI$5,0)),0),IF(ISERROR(1/VLOOKUP($N141,Capa!$A:$AE,BI$5,0)),0,1/VLOOKUP($N141,Capa!$A:$AE,BI$5,0))))</f>
        <v/>
      </c>
      <c r="BJ141" s="118" t="str">
        <f>IF(BJ$6="","",IF(BJ$3="Maior",IFERROR(IF(VLOOKUP($N141,Capa!$A:$AE,BJ$5,0)="",0,VLOOKUP($N141,Capa!$A:$AE,BJ$5,0)),0),IF(ISERROR(1/VLOOKUP($N141,Capa!$A:$AE,BJ$5,0)),0,1/VLOOKUP($N141,Capa!$A:$AE,BJ$5,0))))</f>
        <v/>
      </c>
      <c r="BK141" s="118" t="str">
        <f>IF(BK$6="","",IF(BK$3="Maior",IFERROR(IF(VLOOKUP($N141,Capa!$A:$AE,BK$5,0)="",0,VLOOKUP($N141,Capa!$A:$AE,BK$5,0)),0),IF(ISERROR(1/VLOOKUP($N141,Capa!$A:$AE,BK$5,0)),0,1/VLOOKUP($N141,Capa!$A:$AE,BK$5,0))))</f>
        <v/>
      </c>
      <c r="BL141" s="118" t="str">
        <f>IF(BL$6="","",IF(BL$3="Maior",IFERROR(IF(VLOOKUP($N141,Capa!$A:$AE,BL$5,0)="",0,VLOOKUP($N141,Capa!$A:$AE,BL$5,0)),0),IF(ISERROR(1/VLOOKUP($N141,Capa!$A:$AE,BL$5,0)),0,1/VLOOKUP($N141,Capa!$A:$AE,BL$5,0))))</f>
        <v/>
      </c>
      <c r="BM141" s="118" t="str">
        <f>IF(BM$6="","",IF(BM$3="Maior",IFERROR(IF(VLOOKUP($N141,Capa!$A:$AE,BM$5,0)="",0,VLOOKUP($N141,Capa!$A:$AE,BM$5,0)),0),IF(ISERROR(1/VLOOKUP($N141,Capa!$A:$AE,BM$5,0)),0,1/VLOOKUP($N141,Capa!$A:$AE,BM$5,0))))</f>
        <v/>
      </c>
      <c r="BN141" s="118" t="str">
        <f>IF(BN$6="","",IF(BN$3="Maior",IFERROR(IF(VLOOKUP($N141,Capa!$A:$AE,BN$5,0)="",0,VLOOKUP($N141,Capa!$A:$AE,BN$5,0)),0),IF(ISERROR(1/VLOOKUP($N141,Capa!$A:$AE,BN$5,0)),0,1/VLOOKUP($N141,Capa!$A:$AE,BN$5,0))))</f>
        <v/>
      </c>
      <c r="BO141" s="92"/>
    </row>
    <row r="142">
      <c r="G142" s="11"/>
      <c r="H142" s="8">
        <v>136.0</v>
      </c>
      <c r="I142" s="110" t="str">
        <f t="shared" si="6"/>
        <v>AALR3</v>
      </c>
      <c r="J142" s="111" t="str">
        <f>VLOOKUP(left(I142,4),Setor!A:D,3,0)&amp;" | "&amp;VLOOKUP(left(I142,4),Setor!A:D,4,0)</f>
        <v>Saúde | Análises e Diagnósticos</v>
      </c>
      <c r="K142" s="112">
        <f t="shared" si="7"/>
        <v>10938296.63</v>
      </c>
      <c r="L142" s="11"/>
      <c r="M142" s="11"/>
      <c r="N142" s="10" t="s">
        <v>188</v>
      </c>
      <c r="O142" s="113">
        <f t="shared" si="8"/>
        <v>535.0105</v>
      </c>
      <c r="P142" s="114">
        <f>VLOOKUP(N142,'Dados StatusInvest'!A:Z,26,0)</f>
        <v>28027863.42</v>
      </c>
      <c r="Q142" s="115">
        <f t="shared" si="9"/>
        <v>105.0105</v>
      </c>
      <c r="R142" s="116">
        <f t="shared" ref="R142:AO142" si="145">IF(AQ142="","", RANK(AQ142,AQ$7:AQ$503,0))</f>
        <v>211</v>
      </c>
      <c r="S142" s="115">
        <f t="shared" si="145"/>
        <v>219</v>
      </c>
      <c r="T142" s="115" t="str">
        <f t="shared" si="145"/>
        <v/>
      </c>
      <c r="U142" s="115" t="str">
        <f t="shared" si="145"/>
        <v/>
      </c>
      <c r="V142" s="115" t="str">
        <f t="shared" si="145"/>
        <v/>
      </c>
      <c r="W142" s="115" t="str">
        <f t="shared" si="145"/>
        <v/>
      </c>
      <c r="X142" s="115" t="str">
        <f t="shared" si="145"/>
        <v/>
      </c>
      <c r="Y142" s="115" t="str">
        <f t="shared" si="145"/>
        <v/>
      </c>
      <c r="Z142" s="115" t="str">
        <f t="shared" si="145"/>
        <v/>
      </c>
      <c r="AA142" s="115" t="str">
        <f t="shared" si="145"/>
        <v/>
      </c>
      <c r="AB142" s="115" t="str">
        <f t="shared" si="145"/>
        <v/>
      </c>
      <c r="AC142" s="115" t="str">
        <f t="shared" si="145"/>
        <v/>
      </c>
      <c r="AD142" s="115" t="str">
        <f t="shared" si="145"/>
        <v/>
      </c>
      <c r="AE142" s="115" t="str">
        <f t="shared" si="145"/>
        <v/>
      </c>
      <c r="AF142" s="115" t="str">
        <f t="shared" si="145"/>
        <v/>
      </c>
      <c r="AG142" s="115" t="str">
        <f t="shared" si="145"/>
        <v/>
      </c>
      <c r="AH142" s="115" t="str">
        <f t="shared" si="145"/>
        <v/>
      </c>
      <c r="AI142" s="115" t="str">
        <f t="shared" si="145"/>
        <v/>
      </c>
      <c r="AJ142" s="115" t="str">
        <f t="shared" si="145"/>
        <v/>
      </c>
      <c r="AK142" s="115" t="str">
        <f t="shared" si="145"/>
        <v/>
      </c>
      <c r="AL142" s="115" t="str">
        <f t="shared" si="145"/>
        <v/>
      </c>
      <c r="AM142" s="115" t="str">
        <f t="shared" si="145"/>
        <v/>
      </c>
      <c r="AN142" s="115" t="str">
        <f t="shared" si="145"/>
        <v/>
      </c>
      <c r="AO142" s="115" t="str">
        <f t="shared" si="145"/>
        <v/>
      </c>
      <c r="AP142" s="117">
        <f>IF(AP$6="","",IF(AP$3="Maior",IFERROR(IF(VLOOKUP($N142,Capa!$A:$AE,AP$5,0)="",0,VLOOKUP($N142,Capa!$A:$AE,AP$5,0)),0),IF(ISERROR(1/VLOOKUP($N142,Capa!$A:$AE,AP$5,0)),0,1/VLOOKUP($N142,Capa!$A:$AE,AP$5,0))))</f>
        <v>0.1799712577</v>
      </c>
      <c r="AQ142" s="118">
        <f>IF(AQ$6="","",IF(AQ$3="Maior",IFERROR(IF(VLOOKUP($N142,Capa!$A:$AE,AQ$5,0)="",0,VLOOKUP($N142,Capa!$A:$AE,AQ$5,0)),0),IF(ISERROR(1/VLOOKUP($N142,Capa!$A:$AE,AQ$5,0)),0,1/VLOOKUP($N142,Capa!$A:$AE,AQ$5,0))))</f>
        <v>10.45</v>
      </c>
      <c r="AR142" s="118">
        <f>IF(AR$6="","",IF(AR$3="Maior",IFERROR(IF(VLOOKUP($N142,Capa!$A:$AE,AR$5,0)="",0,VLOOKUP($N142,Capa!$A:$AE,AR$5,0)),0),IF(ISERROR(1/VLOOKUP($N142,Capa!$A:$AE,AR$5,0)),0,1/VLOOKUP($N142,Capa!$A:$AE,AR$5,0))))</f>
        <v>0</v>
      </c>
      <c r="AS142" s="118" t="str">
        <f>IF(AS$6="","",IF(AS$3="Maior",IFERROR(IF(VLOOKUP($N142,Capa!$A:$AE,AS$5,0)="",0,VLOOKUP($N142,Capa!$A:$AE,AS$5,0)),0),IF(ISERROR(1/VLOOKUP($N142,Capa!$A:$AE,AS$5,0)),0,1/VLOOKUP($N142,Capa!$A:$AE,AS$5,0))))</f>
        <v/>
      </c>
      <c r="AT142" s="118" t="str">
        <f>IF(AT$6="","",IF(AT$3="Maior",IFERROR(IF(VLOOKUP($N142,Capa!$A:$AE,AT$5,0)="",0,VLOOKUP($N142,Capa!$A:$AE,AT$5,0)),0),IF(ISERROR(1/VLOOKUP($N142,Capa!$A:$AE,AT$5,0)),0,1/VLOOKUP($N142,Capa!$A:$AE,AT$5,0))))</f>
        <v/>
      </c>
      <c r="AU142" s="118" t="str">
        <f>IF(AU$6="","",IF(AU$3="Maior",IFERROR(IF(VLOOKUP($N142,Capa!$A:$AE,AU$5,0)="",0,VLOOKUP($N142,Capa!$A:$AE,AU$5,0)),0),IF(ISERROR(1/VLOOKUP($N142,Capa!$A:$AE,AU$5,0)),0,1/VLOOKUP($N142,Capa!$A:$AE,AU$5,0))))</f>
        <v/>
      </c>
      <c r="AV142" s="118" t="str">
        <f>IF(AV$6="","",IF(AV$3="Maior",IFERROR(IF(VLOOKUP($N142,Capa!$A:$AE,AV$5,0)="",0,VLOOKUP($N142,Capa!$A:$AE,AV$5,0)),0),IF(ISERROR(1/VLOOKUP($N142,Capa!$A:$AE,AV$5,0)),0,1/VLOOKUP($N142,Capa!$A:$AE,AV$5,0))))</f>
        <v/>
      </c>
      <c r="AW142" s="118" t="str">
        <f>IF(AW$6="","",IF(AW$3="Maior",IFERROR(IF(VLOOKUP($N142,Capa!$A:$AE,AW$5,0)="",0,VLOOKUP($N142,Capa!$A:$AE,AW$5,0)),0),IF(ISERROR(1/VLOOKUP($N142,Capa!$A:$AE,AW$5,0)),0,1/VLOOKUP($N142,Capa!$A:$AE,AW$5,0))))</f>
        <v/>
      </c>
      <c r="AX142" s="118" t="str">
        <f>IF(AX$6="","",IF(AX$3="Maior",IFERROR(IF(VLOOKUP($N142,Capa!$A:$AE,AX$5,0)="",0,VLOOKUP($N142,Capa!$A:$AE,AX$5,0)),0),IF(ISERROR(1/VLOOKUP($N142,Capa!$A:$AE,AX$5,0)),0,1/VLOOKUP($N142,Capa!$A:$AE,AX$5,0))))</f>
        <v/>
      </c>
      <c r="AY142" s="118" t="str">
        <f>IF(AY$6="","",IF(AY$3="Maior",IFERROR(IF(VLOOKUP($N142,Capa!$A:$AE,AY$5,0)="",0,VLOOKUP($N142,Capa!$A:$AE,AY$5,0)),0),IF(ISERROR(1/VLOOKUP($N142,Capa!$A:$AE,AY$5,0)),0,1/VLOOKUP($N142,Capa!$A:$AE,AY$5,0))))</f>
        <v/>
      </c>
      <c r="AZ142" s="118" t="str">
        <f>IF(AZ$6="","",IF(AZ$3="Maior",IFERROR(IF(VLOOKUP($N142,Capa!$A:$AE,AZ$5,0)="",0,VLOOKUP($N142,Capa!$A:$AE,AZ$5,0)),0),IF(ISERROR(1/VLOOKUP($N142,Capa!$A:$AE,AZ$5,0)),0,1/VLOOKUP($N142,Capa!$A:$AE,AZ$5,0))))</f>
        <v/>
      </c>
      <c r="BA142" s="118" t="str">
        <f>IF(BA$6="","",IF(BA$3="Maior",IFERROR(IF(VLOOKUP($N142,Capa!$A:$AE,BA$5,0)="",0,VLOOKUP($N142,Capa!$A:$AE,BA$5,0)),0),IF(ISERROR(1/VLOOKUP($N142,Capa!$A:$AE,BA$5,0)),0,1/VLOOKUP($N142,Capa!$A:$AE,BA$5,0))))</f>
        <v/>
      </c>
      <c r="BB142" s="118" t="str">
        <f>IF(BB$6="","",IF(BB$3="Maior",IFERROR(IF(VLOOKUP($N142,Capa!$A:$AE,BB$5,0)="",0,VLOOKUP($N142,Capa!$A:$AE,BB$5,0)),0),IF(ISERROR(1/VLOOKUP($N142,Capa!$A:$AE,BB$5,0)),0,1/VLOOKUP($N142,Capa!$A:$AE,BB$5,0))))</f>
        <v/>
      </c>
      <c r="BC142" s="118" t="str">
        <f>IF(BC$6="","",IF(BC$3="Maior",IFERROR(IF(VLOOKUP($N142,Capa!$A:$AE,BC$5,0)="",0,VLOOKUP($N142,Capa!$A:$AE,BC$5,0)),0),IF(ISERROR(1/VLOOKUP($N142,Capa!$A:$AE,BC$5,0)),0,1/VLOOKUP($N142,Capa!$A:$AE,BC$5,0))))</f>
        <v/>
      </c>
      <c r="BD142" s="118" t="str">
        <f>IF(BD$6="","",IF(BD$3="Maior",IFERROR(IF(VLOOKUP($N142,Capa!$A:$AE,BD$5,0)="",0,VLOOKUP($N142,Capa!$A:$AE,BD$5,0)),0),IF(ISERROR(1/VLOOKUP($N142,Capa!$A:$AE,BD$5,0)),0,1/VLOOKUP($N142,Capa!$A:$AE,BD$5,0))))</f>
        <v/>
      </c>
      <c r="BE142" s="118" t="str">
        <f>IF(BE$6="","",IF(BE$3="Maior",IFERROR(IF(VLOOKUP($N142,Capa!$A:$AE,BE$5,0)="",0,VLOOKUP($N142,Capa!$A:$AE,BE$5,0)),0),IF(ISERROR(1/VLOOKUP($N142,Capa!$A:$AE,BE$5,0)),0,1/VLOOKUP($N142,Capa!$A:$AE,BE$5,0))))</f>
        <v/>
      </c>
      <c r="BF142" s="118" t="str">
        <f>IF(BF$6="","",IF(BF$3="Maior",IFERROR(IF(VLOOKUP($N142,Capa!$A:$AE,BF$5,0)="",0,VLOOKUP($N142,Capa!$A:$AE,BF$5,0)),0),IF(ISERROR(1/VLOOKUP($N142,Capa!$A:$AE,BF$5,0)),0,1/VLOOKUP($N142,Capa!$A:$AE,BF$5,0))))</f>
        <v/>
      </c>
      <c r="BG142" s="118" t="str">
        <f>IF(BG$6="","",IF(BG$3="Maior",IFERROR(IF(VLOOKUP($N142,Capa!$A:$AE,BG$5,0)="",0,VLOOKUP($N142,Capa!$A:$AE,BG$5,0)),0),IF(ISERROR(1/VLOOKUP($N142,Capa!$A:$AE,BG$5,0)),0,1/VLOOKUP($N142,Capa!$A:$AE,BG$5,0))))</f>
        <v/>
      </c>
      <c r="BH142" s="118" t="str">
        <f>IF(BH$6="","",IF(BH$3="Maior",IFERROR(IF(VLOOKUP($N142,Capa!$A:$AE,BH$5,0)="",0,VLOOKUP($N142,Capa!$A:$AE,BH$5,0)),0),IF(ISERROR(1/VLOOKUP($N142,Capa!$A:$AE,BH$5,0)),0,1/VLOOKUP($N142,Capa!$A:$AE,BH$5,0))))</f>
        <v/>
      </c>
      <c r="BI142" s="118" t="str">
        <f>IF(BI$6="","",IF(BI$3="Maior",IFERROR(IF(VLOOKUP($N142,Capa!$A:$AE,BI$5,0)="",0,VLOOKUP($N142,Capa!$A:$AE,BI$5,0)),0),IF(ISERROR(1/VLOOKUP($N142,Capa!$A:$AE,BI$5,0)),0,1/VLOOKUP($N142,Capa!$A:$AE,BI$5,0))))</f>
        <v/>
      </c>
      <c r="BJ142" s="118" t="str">
        <f>IF(BJ$6="","",IF(BJ$3="Maior",IFERROR(IF(VLOOKUP($N142,Capa!$A:$AE,BJ$5,0)="",0,VLOOKUP($N142,Capa!$A:$AE,BJ$5,0)),0),IF(ISERROR(1/VLOOKUP($N142,Capa!$A:$AE,BJ$5,0)),0,1/VLOOKUP($N142,Capa!$A:$AE,BJ$5,0))))</f>
        <v/>
      </c>
      <c r="BK142" s="118" t="str">
        <f>IF(BK$6="","",IF(BK$3="Maior",IFERROR(IF(VLOOKUP($N142,Capa!$A:$AE,BK$5,0)="",0,VLOOKUP($N142,Capa!$A:$AE,BK$5,0)),0),IF(ISERROR(1/VLOOKUP($N142,Capa!$A:$AE,BK$5,0)),0,1/VLOOKUP($N142,Capa!$A:$AE,BK$5,0))))</f>
        <v/>
      </c>
      <c r="BL142" s="118" t="str">
        <f>IF(BL$6="","",IF(BL$3="Maior",IFERROR(IF(VLOOKUP($N142,Capa!$A:$AE,BL$5,0)="",0,VLOOKUP($N142,Capa!$A:$AE,BL$5,0)),0),IF(ISERROR(1/VLOOKUP($N142,Capa!$A:$AE,BL$5,0)),0,1/VLOOKUP($N142,Capa!$A:$AE,BL$5,0))))</f>
        <v/>
      </c>
      <c r="BM142" s="118" t="str">
        <f>IF(BM$6="","",IF(BM$3="Maior",IFERROR(IF(VLOOKUP($N142,Capa!$A:$AE,BM$5,0)="",0,VLOOKUP($N142,Capa!$A:$AE,BM$5,0)),0),IF(ISERROR(1/VLOOKUP($N142,Capa!$A:$AE,BM$5,0)),0,1/VLOOKUP($N142,Capa!$A:$AE,BM$5,0))))</f>
        <v/>
      </c>
      <c r="BN142" s="118" t="str">
        <f>IF(BN$6="","",IF(BN$3="Maior",IFERROR(IF(VLOOKUP($N142,Capa!$A:$AE,BN$5,0)="",0,VLOOKUP($N142,Capa!$A:$AE,BN$5,0)),0),IF(ISERROR(1/VLOOKUP($N142,Capa!$A:$AE,BN$5,0)),0,1/VLOOKUP($N142,Capa!$A:$AE,BN$5,0))))</f>
        <v/>
      </c>
      <c r="BO142" s="92"/>
    </row>
    <row r="143">
      <c r="G143" s="11"/>
      <c r="H143" s="8">
        <v>137.0</v>
      </c>
      <c r="I143" s="110" t="str">
        <f t="shared" si="6"/>
        <v>RECV3</v>
      </c>
      <c r="J143" s="111" t="str">
        <f>VLOOKUP(left(I143,4),Setor!A:D,3,0)&amp;" | "&amp;VLOOKUP(left(I143,4),Setor!A:D,4,0)</f>
        <v>#N/A</v>
      </c>
      <c r="K143" s="112">
        <f t="shared" si="7"/>
        <v>14692803.21</v>
      </c>
      <c r="L143" s="11"/>
      <c r="M143" s="11"/>
      <c r="N143" s="10" t="s">
        <v>189</v>
      </c>
      <c r="O143" s="113">
        <f t="shared" si="8"/>
        <v>983.0391</v>
      </c>
      <c r="P143" s="114">
        <f>VLOOKUP(N143,'Dados StatusInvest'!A:Z,26,0)</f>
        <v>27439679.54</v>
      </c>
      <c r="Q143" s="115">
        <f t="shared" si="9"/>
        <v>391.0391</v>
      </c>
      <c r="R143" s="116">
        <f t="shared" ref="R143:AO143" si="146">IF(AQ143="","", RANK(AQ143,AQ$7:AQ$503,0))</f>
        <v>373</v>
      </c>
      <c r="S143" s="115">
        <f t="shared" si="146"/>
        <v>219</v>
      </c>
      <c r="T143" s="115" t="str">
        <f t="shared" si="146"/>
        <v/>
      </c>
      <c r="U143" s="115" t="str">
        <f t="shared" si="146"/>
        <v/>
      </c>
      <c r="V143" s="115" t="str">
        <f t="shared" si="146"/>
        <v/>
      </c>
      <c r="W143" s="115" t="str">
        <f t="shared" si="146"/>
        <v/>
      </c>
      <c r="X143" s="115" t="str">
        <f t="shared" si="146"/>
        <v/>
      </c>
      <c r="Y143" s="115" t="str">
        <f t="shared" si="146"/>
        <v/>
      </c>
      <c r="Z143" s="115" t="str">
        <f t="shared" si="146"/>
        <v/>
      </c>
      <c r="AA143" s="115" t="str">
        <f t="shared" si="146"/>
        <v/>
      </c>
      <c r="AB143" s="115" t="str">
        <f t="shared" si="146"/>
        <v/>
      </c>
      <c r="AC143" s="115" t="str">
        <f t="shared" si="146"/>
        <v/>
      </c>
      <c r="AD143" s="115" t="str">
        <f t="shared" si="146"/>
        <v/>
      </c>
      <c r="AE143" s="115" t="str">
        <f t="shared" si="146"/>
        <v/>
      </c>
      <c r="AF143" s="115" t="str">
        <f t="shared" si="146"/>
        <v/>
      </c>
      <c r="AG143" s="115" t="str">
        <f t="shared" si="146"/>
        <v/>
      </c>
      <c r="AH143" s="115" t="str">
        <f t="shared" si="146"/>
        <v/>
      </c>
      <c r="AI143" s="115" t="str">
        <f t="shared" si="146"/>
        <v/>
      </c>
      <c r="AJ143" s="115" t="str">
        <f t="shared" si="146"/>
        <v/>
      </c>
      <c r="AK143" s="115" t="str">
        <f t="shared" si="146"/>
        <v/>
      </c>
      <c r="AL143" s="115" t="str">
        <f t="shared" si="146"/>
        <v/>
      </c>
      <c r="AM143" s="115" t="str">
        <f t="shared" si="146"/>
        <v/>
      </c>
      <c r="AN143" s="115" t="str">
        <f t="shared" si="146"/>
        <v/>
      </c>
      <c r="AO143" s="115" t="str">
        <f t="shared" si="146"/>
        <v/>
      </c>
      <c r="AP143" s="117">
        <f>IF(AP$6="","",IF(AP$3="Maior",IFERROR(IF(VLOOKUP($N143,Capa!$A:$AE,AP$5,0)="",0,VLOOKUP($N143,Capa!$A:$AE,AP$5,0)),0),IF(ISERROR(1/VLOOKUP($N143,Capa!$A:$AE,AP$5,0)),0,1/VLOOKUP($N143,Capa!$A:$AE,AP$5,0))))</f>
        <v>0.01031105771</v>
      </c>
      <c r="AQ143" s="118">
        <f>IF(AQ$6="","",IF(AQ$3="Maior",IFERROR(IF(VLOOKUP($N143,Capa!$A:$AE,AQ$5,0)="",0,VLOOKUP($N143,Capa!$A:$AE,AQ$5,0)),0),IF(ISERROR(1/VLOOKUP($N143,Capa!$A:$AE,AQ$5,0)),0,1/VLOOKUP($N143,Capa!$A:$AE,AQ$5,0))))</f>
        <v>0.5</v>
      </c>
      <c r="AR143" s="118">
        <f>IF(AR$6="","",IF(AR$3="Maior",IFERROR(IF(VLOOKUP($N143,Capa!$A:$AE,AR$5,0)="",0,VLOOKUP($N143,Capa!$A:$AE,AR$5,0)),0),IF(ISERROR(1/VLOOKUP($N143,Capa!$A:$AE,AR$5,0)),0,1/VLOOKUP($N143,Capa!$A:$AE,AR$5,0))))</f>
        <v>0</v>
      </c>
      <c r="AS143" s="118" t="str">
        <f>IF(AS$6="","",IF(AS$3="Maior",IFERROR(IF(VLOOKUP($N143,Capa!$A:$AE,AS$5,0)="",0,VLOOKUP($N143,Capa!$A:$AE,AS$5,0)),0),IF(ISERROR(1/VLOOKUP($N143,Capa!$A:$AE,AS$5,0)),0,1/VLOOKUP($N143,Capa!$A:$AE,AS$5,0))))</f>
        <v/>
      </c>
      <c r="AT143" s="118" t="str">
        <f>IF(AT$6="","",IF(AT$3="Maior",IFERROR(IF(VLOOKUP($N143,Capa!$A:$AE,AT$5,0)="",0,VLOOKUP($N143,Capa!$A:$AE,AT$5,0)),0),IF(ISERROR(1/VLOOKUP($N143,Capa!$A:$AE,AT$5,0)),0,1/VLOOKUP($N143,Capa!$A:$AE,AT$5,0))))</f>
        <v/>
      </c>
      <c r="AU143" s="118" t="str">
        <f>IF(AU$6="","",IF(AU$3="Maior",IFERROR(IF(VLOOKUP($N143,Capa!$A:$AE,AU$5,0)="",0,VLOOKUP($N143,Capa!$A:$AE,AU$5,0)),0),IF(ISERROR(1/VLOOKUP($N143,Capa!$A:$AE,AU$5,0)),0,1/VLOOKUP($N143,Capa!$A:$AE,AU$5,0))))</f>
        <v/>
      </c>
      <c r="AV143" s="118" t="str">
        <f>IF(AV$6="","",IF(AV$3="Maior",IFERROR(IF(VLOOKUP($N143,Capa!$A:$AE,AV$5,0)="",0,VLOOKUP($N143,Capa!$A:$AE,AV$5,0)),0),IF(ISERROR(1/VLOOKUP($N143,Capa!$A:$AE,AV$5,0)),0,1/VLOOKUP($N143,Capa!$A:$AE,AV$5,0))))</f>
        <v/>
      </c>
      <c r="AW143" s="118" t="str">
        <f>IF(AW$6="","",IF(AW$3="Maior",IFERROR(IF(VLOOKUP($N143,Capa!$A:$AE,AW$5,0)="",0,VLOOKUP($N143,Capa!$A:$AE,AW$5,0)),0),IF(ISERROR(1/VLOOKUP($N143,Capa!$A:$AE,AW$5,0)),0,1/VLOOKUP($N143,Capa!$A:$AE,AW$5,0))))</f>
        <v/>
      </c>
      <c r="AX143" s="118" t="str">
        <f>IF(AX$6="","",IF(AX$3="Maior",IFERROR(IF(VLOOKUP($N143,Capa!$A:$AE,AX$5,0)="",0,VLOOKUP($N143,Capa!$A:$AE,AX$5,0)),0),IF(ISERROR(1/VLOOKUP($N143,Capa!$A:$AE,AX$5,0)),0,1/VLOOKUP($N143,Capa!$A:$AE,AX$5,0))))</f>
        <v/>
      </c>
      <c r="AY143" s="118" t="str">
        <f>IF(AY$6="","",IF(AY$3="Maior",IFERROR(IF(VLOOKUP($N143,Capa!$A:$AE,AY$5,0)="",0,VLOOKUP($N143,Capa!$A:$AE,AY$5,0)),0),IF(ISERROR(1/VLOOKUP($N143,Capa!$A:$AE,AY$5,0)),0,1/VLOOKUP($N143,Capa!$A:$AE,AY$5,0))))</f>
        <v/>
      </c>
      <c r="AZ143" s="118" t="str">
        <f>IF(AZ$6="","",IF(AZ$3="Maior",IFERROR(IF(VLOOKUP($N143,Capa!$A:$AE,AZ$5,0)="",0,VLOOKUP($N143,Capa!$A:$AE,AZ$5,0)),0),IF(ISERROR(1/VLOOKUP($N143,Capa!$A:$AE,AZ$5,0)),0,1/VLOOKUP($N143,Capa!$A:$AE,AZ$5,0))))</f>
        <v/>
      </c>
      <c r="BA143" s="118" t="str">
        <f>IF(BA$6="","",IF(BA$3="Maior",IFERROR(IF(VLOOKUP($N143,Capa!$A:$AE,BA$5,0)="",0,VLOOKUP($N143,Capa!$A:$AE,BA$5,0)),0),IF(ISERROR(1/VLOOKUP($N143,Capa!$A:$AE,BA$5,0)),0,1/VLOOKUP($N143,Capa!$A:$AE,BA$5,0))))</f>
        <v/>
      </c>
      <c r="BB143" s="118" t="str">
        <f>IF(BB$6="","",IF(BB$3="Maior",IFERROR(IF(VLOOKUP($N143,Capa!$A:$AE,BB$5,0)="",0,VLOOKUP($N143,Capa!$A:$AE,BB$5,0)),0),IF(ISERROR(1/VLOOKUP($N143,Capa!$A:$AE,BB$5,0)),0,1/VLOOKUP($N143,Capa!$A:$AE,BB$5,0))))</f>
        <v/>
      </c>
      <c r="BC143" s="118" t="str">
        <f>IF(BC$6="","",IF(BC$3="Maior",IFERROR(IF(VLOOKUP($N143,Capa!$A:$AE,BC$5,0)="",0,VLOOKUP($N143,Capa!$A:$AE,BC$5,0)),0),IF(ISERROR(1/VLOOKUP($N143,Capa!$A:$AE,BC$5,0)),0,1/VLOOKUP($N143,Capa!$A:$AE,BC$5,0))))</f>
        <v/>
      </c>
      <c r="BD143" s="118" t="str">
        <f>IF(BD$6="","",IF(BD$3="Maior",IFERROR(IF(VLOOKUP($N143,Capa!$A:$AE,BD$5,0)="",0,VLOOKUP($N143,Capa!$A:$AE,BD$5,0)),0),IF(ISERROR(1/VLOOKUP($N143,Capa!$A:$AE,BD$5,0)),0,1/VLOOKUP($N143,Capa!$A:$AE,BD$5,0))))</f>
        <v/>
      </c>
      <c r="BE143" s="118" t="str">
        <f>IF(BE$6="","",IF(BE$3="Maior",IFERROR(IF(VLOOKUP($N143,Capa!$A:$AE,BE$5,0)="",0,VLOOKUP($N143,Capa!$A:$AE,BE$5,0)),0),IF(ISERROR(1/VLOOKUP($N143,Capa!$A:$AE,BE$5,0)),0,1/VLOOKUP($N143,Capa!$A:$AE,BE$5,0))))</f>
        <v/>
      </c>
      <c r="BF143" s="118" t="str">
        <f>IF(BF$6="","",IF(BF$3="Maior",IFERROR(IF(VLOOKUP($N143,Capa!$A:$AE,BF$5,0)="",0,VLOOKUP($N143,Capa!$A:$AE,BF$5,0)),0),IF(ISERROR(1/VLOOKUP($N143,Capa!$A:$AE,BF$5,0)),0,1/VLOOKUP($N143,Capa!$A:$AE,BF$5,0))))</f>
        <v/>
      </c>
      <c r="BG143" s="118" t="str">
        <f>IF(BG$6="","",IF(BG$3="Maior",IFERROR(IF(VLOOKUP($N143,Capa!$A:$AE,BG$5,0)="",0,VLOOKUP($N143,Capa!$A:$AE,BG$5,0)),0),IF(ISERROR(1/VLOOKUP($N143,Capa!$A:$AE,BG$5,0)),0,1/VLOOKUP($N143,Capa!$A:$AE,BG$5,0))))</f>
        <v/>
      </c>
      <c r="BH143" s="118" t="str">
        <f>IF(BH$6="","",IF(BH$3="Maior",IFERROR(IF(VLOOKUP($N143,Capa!$A:$AE,BH$5,0)="",0,VLOOKUP($N143,Capa!$A:$AE,BH$5,0)),0),IF(ISERROR(1/VLOOKUP($N143,Capa!$A:$AE,BH$5,0)),0,1/VLOOKUP($N143,Capa!$A:$AE,BH$5,0))))</f>
        <v/>
      </c>
      <c r="BI143" s="118" t="str">
        <f>IF(BI$6="","",IF(BI$3="Maior",IFERROR(IF(VLOOKUP($N143,Capa!$A:$AE,BI$5,0)="",0,VLOOKUP($N143,Capa!$A:$AE,BI$5,0)),0),IF(ISERROR(1/VLOOKUP($N143,Capa!$A:$AE,BI$5,0)),0,1/VLOOKUP($N143,Capa!$A:$AE,BI$5,0))))</f>
        <v/>
      </c>
      <c r="BJ143" s="118" t="str">
        <f>IF(BJ$6="","",IF(BJ$3="Maior",IFERROR(IF(VLOOKUP($N143,Capa!$A:$AE,BJ$5,0)="",0,VLOOKUP($N143,Capa!$A:$AE,BJ$5,0)),0),IF(ISERROR(1/VLOOKUP($N143,Capa!$A:$AE,BJ$5,0)),0,1/VLOOKUP($N143,Capa!$A:$AE,BJ$5,0))))</f>
        <v/>
      </c>
      <c r="BK143" s="118" t="str">
        <f>IF(BK$6="","",IF(BK$3="Maior",IFERROR(IF(VLOOKUP($N143,Capa!$A:$AE,BK$5,0)="",0,VLOOKUP($N143,Capa!$A:$AE,BK$5,0)),0),IF(ISERROR(1/VLOOKUP($N143,Capa!$A:$AE,BK$5,0)),0,1/VLOOKUP($N143,Capa!$A:$AE,BK$5,0))))</f>
        <v/>
      </c>
      <c r="BL143" s="118" t="str">
        <f>IF(BL$6="","",IF(BL$3="Maior",IFERROR(IF(VLOOKUP($N143,Capa!$A:$AE,BL$5,0)="",0,VLOOKUP($N143,Capa!$A:$AE,BL$5,0)),0),IF(ISERROR(1/VLOOKUP($N143,Capa!$A:$AE,BL$5,0)),0,1/VLOOKUP($N143,Capa!$A:$AE,BL$5,0))))</f>
        <v/>
      </c>
      <c r="BM143" s="118" t="str">
        <f>IF(BM$6="","",IF(BM$3="Maior",IFERROR(IF(VLOOKUP($N143,Capa!$A:$AE,BM$5,0)="",0,VLOOKUP($N143,Capa!$A:$AE,BM$5,0)),0),IF(ISERROR(1/VLOOKUP($N143,Capa!$A:$AE,BM$5,0)),0,1/VLOOKUP($N143,Capa!$A:$AE,BM$5,0))))</f>
        <v/>
      </c>
      <c r="BN143" s="118" t="str">
        <f>IF(BN$6="","",IF(BN$3="Maior",IFERROR(IF(VLOOKUP($N143,Capa!$A:$AE,BN$5,0)="",0,VLOOKUP($N143,Capa!$A:$AE,BN$5,0)),0),IF(ISERROR(1/VLOOKUP($N143,Capa!$A:$AE,BN$5,0)),0,1/VLOOKUP($N143,Capa!$A:$AE,BN$5,0))))</f>
        <v/>
      </c>
      <c r="BO143" s="92"/>
    </row>
    <row r="144">
      <c r="G144" s="11"/>
      <c r="H144" s="8">
        <v>138.0</v>
      </c>
      <c r="I144" s="110" t="str">
        <f t="shared" si="6"/>
        <v>RAIL3</v>
      </c>
      <c r="J144" s="111" t="str">
        <f>VLOOKUP(left(I144,4),Setor!A:D,3,0)&amp;" | "&amp;VLOOKUP(left(I144,4),Setor!A:D,4,0)</f>
        <v>Bens Industriais | Transporte</v>
      </c>
      <c r="K144" s="112">
        <f t="shared" si="7"/>
        <v>202139543.8</v>
      </c>
      <c r="L144" s="11"/>
      <c r="M144" s="11"/>
      <c r="N144" s="10" t="s">
        <v>190</v>
      </c>
      <c r="O144" s="113">
        <f t="shared" si="8"/>
        <v>176.0027</v>
      </c>
      <c r="P144" s="114">
        <f>VLOOKUP(N144,'Dados StatusInvest'!A:Z,26,0)</f>
        <v>29133528.21</v>
      </c>
      <c r="Q144" s="115">
        <f t="shared" si="9"/>
        <v>27.0027</v>
      </c>
      <c r="R144" s="116">
        <f t="shared" ref="R144:AO144" si="147">IF(AQ144="","", RANK(AQ144,AQ$7:AQ$503,0))</f>
        <v>86</v>
      </c>
      <c r="S144" s="115">
        <f t="shared" si="147"/>
        <v>63</v>
      </c>
      <c r="T144" s="115" t="str">
        <f t="shared" si="147"/>
        <v/>
      </c>
      <c r="U144" s="115" t="str">
        <f t="shared" si="147"/>
        <v/>
      </c>
      <c r="V144" s="115" t="str">
        <f t="shared" si="147"/>
        <v/>
      </c>
      <c r="W144" s="115" t="str">
        <f t="shared" si="147"/>
        <v/>
      </c>
      <c r="X144" s="115" t="str">
        <f t="shared" si="147"/>
        <v/>
      </c>
      <c r="Y144" s="115" t="str">
        <f t="shared" si="147"/>
        <v/>
      </c>
      <c r="Z144" s="115" t="str">
        <f t="shared" si="147"/>
        <v/>
      </c>
      <c r="AA144" s="115" t="str">
        <f t="shared" si="147"/>
        <v/>
      </c>
      <c r="AB144" s="115" t="str">
        <f t="shared" si="147"/>
        <v/>
      </c>
      <c r="AC144" s="115" t="str">
        <f t="shared" si="147"/>
        <v/>
      </c>
      <c r="AD144" s="115" t="str">
        <f t="shared" si="147"/>
        <v/>
      </c>
      <c r="AE144" s="115" t="str">
        <f t="shared" si="147"/>
        <v/>
      </c>
      <c r="AF144" s="115" t="str">
        <f t="shared" si="147"/>
        <v/>
      </c>
      <c r="AG144" s="115" t="str">
        <f t="shared" si="147"/>
        <v/>
      </c>
      <c r="AH144" s="115" t="str">
        <f t="shared" si="147"/>
        <v/>
      </c>
      <c r="AI144" s="115" t="str">
        <f t="shared" si="147"/>
        <v/>
      </c>
      <c r="AJ144" s="115" t="str">
        <f t="shared" si="147"/>
        <v/>
      </c>
      <c r="AK144" s="115" t="str">
        <f t="shared" si="147"/>
        <v/>
      </c>
      <c r="AL144" s="115" t="str">
        <f t="shared" si="147"/>
        <v/>
      </c>
      <c r="AM144" s="115" t="str">
        <f t="shared" si="147"/>
        <v/>
      </c>
      <c r="AN144" s="115" t="str">
        <f t="shared" si="147"/>
        <v/>
      </c>
      <c r="AO144" s="115" t="str">
        <f t="shared" si="147"/>
        <v/>
      </c>
      <c r="AP144" s="117">
        <f>IF(AP$6="","",IF(AP$3="Maior",IFERROR(IF(VLOOKUP($N144,Capa!$A:$AE,AP$5,0)="",0,VLOOKUP($N144,Capa!$A:$AE,AP$5,0)),0),IF(ISERROR(1/VLOOKUP($N144,Capa!$A:$AE,AP$5,0)),0,1/VLOOKUP($N144,Capa!$A:$AE,AP$5,0))))</f>
        <v>0.3594486212</v>
      </c>
      <c r="AQ144" s="118">
        <f>IF(AQ$6="","",IF(AQ$3="Maior",IFERROR(IF(VLOOKUP($N144,Capa!$A:$AE,AQ$5,0)="",0,VLOOKUP($N144,Capa!$A:$AE,AQ$5,0)),0),IF(ISERROR(1/VLOOKUP($N144,Capa!$A:$AE,AQ$5,0)),0,1/VLOOKUP($N144,Capa!$A:$AE,AQ$5,0))))</f>
        <v>19.43</v>
      </c>
      <c r="AR144" s="118">
        <f>IF(AR$6="","",IF(AR$3="Maior",IFERROR(IF(VLOOKUP($N144,Capa!$A:$AE,AR$5,0)="",0,VLOOKUP($N144,Capa!$A:$AE,AR$5,0)),0),IF(ISERROR(1/VLOOKUP($N144,Capa!$A:$AE,AR$5,0)),0,1/VLOOKUP($N144,Capa!$A:$AE,AR$5,0))))</f>
        <v>41.41</v>
      </c>
      <c r="AS144" s="118" t="str">
        <f>IF(AS$6="","",IF(AS$3="Maior",IFERROR(IF(VLOOKUP($N144,Capa!$A:$AE,AS$5,0)="",0,VLOOKUP($N144,Capa!$A:$AE,AS$5,0)),0),IF(ISERROR(1/VLOOKUP($N144,Capa!$A:$AE,AS$5,0)),0,1/VLOOKUP($N144,Capa!$A:$AE,AS$5,0))))</f>
        <v/>
      </c>
      <c r="AT144" s="118" t="str">
        <f>IF(AT$6="","",IF(AT$3="Maior",IFERROR(IF(VLOOKUP($N144,Capa!$A:$AE,AT$5,0)="",0,VLOOKUP($N144,Capa!$A:$AE,AT$5,0)),0),IF(ISERROR(1/VLOOKUP($N144,Capa!$A:$AE,AT$5,0)),0,1/VLOOKUP($N144,Capa!$A:$AE,AT$5,0))))</f>
        <v/>
      </c>
      <c r="AU144" s="118" t="str">
        <f>IF(AU$6="","",IF(AU$3="Maior",IFERROR(IF(VLOOKUP($N144,Capa!$A:$AE,AU$5,0)="",0,VLOOKUP($N144,Capa!$A:$AE,AU$5,0)),0),IF(ISERROR(1/VLOOKUP($N144,Capa!$A:$AE,AU$5,0)),0,1/VLOOKUP($N144,Capa!$A:$AE,AU$5,0))))</f>
        <v/>
      </c>
      <c r="AV144" s="118" t="str">
        <f>IF(AV$6="","",IF(AV$3="Maior",IFERROR(IF(VLOOKUP($N144,Capa!$A:$AE,AV$5,0)="",0,VLOOKUP($N144,Capa!$A:$AE,AV$5,0)),0),IF(ISERROR(1/VLOOKUP($N144,Capa!$A:$AE,AV$5,0)),0,1/VLOOKUP($N144,Capa!$A:$AE,AV$5,0))))</f>
        <v/>
      </c>
      <c r="AW144" s="118" t="str">
        <f>IF(AW$6="","",IF(AW$3="Maior",IFERROR(IF(VLOOKUP($N144,Capa!$A:$AE,AW$5,0)="",0,VLOOKUP($N144,Capa!$A:$AE,AW$5,0)),0),IF(ISERROR(1/VLOOKUP($N144,Capa!$A:$AE,AW$5,0)),0,1/VLOOKUP($N144,Capa!$A:$AE,AW$5,0))))</f>
        <v/>
      </c>
      <c r="AX144" s="118" t="str">
        <f>IF(AX$6="","",IF(AX$3="Maior",IFERROR(IF(VLOOKUP($N144,Capa!$A:$AE,AX$5,0)="",0,VLOOKUP($N144,Capa!$A:$AE,AX$5,0)),0),IF(ISERROR(1/VLOOKUP($N144,Capa!$A:$AE,AX$5,0)),0,1/VLOOKUP($N144,Capa!$A:$AE,AX$5,0))))</f>
        <v/>
      </c>
      <c r="AY144" s="118" t="str">
        <f>IF(AY$6="","",IF(AY$3="Maior",IFERROR(IF(VLOOKUP($N144,Capa!$A:$AE,AY$5,0)="",0,VLOOKUP($N144,Capa!$A:$AE,AY$5,0)),0),IF(ISERROR(1/VLOOKUP($N144,Capa!$A:$AE,AY$5,0)),0,1/VLOOKUP($N144,Capa!$A:$AE,AY$5,0))))</f>
        <v/>
      </c>
      <c r="AZ144" s="118" t="str">
        <f>IF(AZ$6="","",IF(AZ$3="Maior",IFERROR(IF(VLOOKUP($N144,Capa!$A:$AE,AZ$5,0)="",0,VLOOKUP($N144,Capa!$A:$AE,AZ$5,0)),0),IF(ISERROR(1/VLOOKUP($N144,Capa!$A:$AE,AZ$5,0)),0,1/VLOOKUP($N144,Capa!$A:$AE,AZ$5,0))))</f>
        <v/>
      </c>
      <c r="BA144" s="118" t="str">
        <f>IF(BA$6="","",IF(BA$3="Maior",IFERROR(IF(VLOOKUP($N144,Capa!$A:$AE,BA$5,0)="",0,VLOOKUP($N144,Capa!$A:$AE,BA$5,0)),0),IF(ISERROR(1/VLOOKUP($N144,Capa!$A:$AE,BA$5,0)),0,1/VLOOKUP($N144,Capa!$A:$AE,BA$5,0))))</f>
        <v/>
      </c>
      <c r="BB144" s="118" t="str">
        <f>IF(BB$6="","",IF(BB$3="Maior",IFERROR(IF(VLOOKUP($N144,Capa!$A:$AE,BB$5,0)="",0,VLOOKUP($N144,Capa!$A:$AE,BB$5,0)),0),IF(ISERROR(1/VLOOKUP($N144,Capa!$A:$AE,BB$5,0)),0,1/VLOOKUP($N144,Capa!$A:$AE,BB$5,0))))</f>
        <v/>
      </c>
      <c r="BC144" s="118" t="str">
        <f>IF(BC$6="","",IF(BC$3="Maior",IFERROR(IF(VLOOKUP($N144,Capa!$A:$AE,BC$5,0)="",0,VLOOKUP($N144,Capa!$A:$AE,BC$5,0)),0),IF(ISERROR(1/VLOOKUP($N144,Capa!$A:$AE,BC$5,0)),0,1/VLOOKUP($N144,Capa!$A:$AE,BC$5,0))))</f>
        <v/>
      </c>
      <c r="BD144" s="118" t="str">
        <f>IF(BD$6="","",IF(BD$3="Maior",IFERROR(IF(VLOOKUP($N144,Capa!$A:$AE,BD$5,0)="",0,VLOOKUP($N144,Capa!$A:$AE,BD$5,0)),0),IF(ISERROR(1/VLOOKUP($N144,Capa!$A:$AE,BD$5,0)),0,1/VLOOKUP($N144,Capa!$A:$AE,BD$5,0))))</f>
        <v/>
      </c>
      <c r="BE144" s="118" t="str">
        <f>IF(BE$6="","",IF(BE$3="Maior",IFERROR(IF(VLOOKUP($N144,Capa!$A:$AE,BE$5,0)="",0,VLOOKUP($N144,Capa!$A:$AE,BE$5,0)),0),IF(ISERROR(1/VLOOKUP($N144,Capa!$A:$AE,BE$5,0)),0,1/VLOOKUP($N144,Capa!$A:$AE,BE$5,0))))</f>
        <v/>
      </c>
      <c r="BF144" s="118" t="str">
        <f>IF(BF$6="","",IF(BF$3="Maior",IFERROR(IF(VLOOKUP($N144,Capa!$A:$AE,BF$5,0)="",0,VLOOKUP($N144,Capa!$A:$AE,BF$5,0)),0),IF(ISERROR(1/VLOOKUP($N144,Capa!$A:$AE,BF$5,0)),0,1/VLOOKUP($N144,Capa!$A:$AE,BF$5,0))))</f>
        <v/>
      </c>
      <c r="BG144" s="118" t="str">
        <f>IF(BG$6="","",IF(BG$3="Maior",IFERROR(IF(VLOOKUP($N144,Capa!$A:$AE,BG$5,0)="",0,VLOOKUP($N144,Capa!$A:$AE,BG$5,0)),0),IF(ISERROR(1/VLOOKUP($N144,Capa!$A:$AE,BG$5,0)),0,1/VLOOKUP($N144,Capa!$A:$AE,BG$5,0))))</f>
        <v/>
      </c>
      <c r="BH144" s="118" t="str">
        <f>IF(BH$6="","",IF(BH$3="Maior",IFERROR(IF(VLOOKUP($N144,Capa!$A:$AE,BH$5,0)="",0,VLOOKUP($N144,Capa!$A:$AE,BH$5,0)),0),IF(ISERROR(1/VLOOKUP($N144,Capa!$A:$AE,BH$5,0)),0,1/VLOOKUP($N144,Capa!$A:$AE,BH$5,0))))</f>
        <v/>
      </c>
      <c r="BI144" s="118" t="str">
        <f>IF(BI$6="","",IF(BI$3="Maior",IFERROR(IF(VLOOKUP($N144,Capa!$A:$AE,BI$5,0)="",0,VLOOKUP($N144,Capa!$A:$AE,BI$5,0)),0),IF(ISERROR(1/VLOOKUP($N144,Capa!$A:$AE,BI$5,0)),0,1/VLOOKUP($N144,Capa!$A:$AE,BI$5,0))))</f>
        <v/>
      </c>
      <c r="BJ144" s="118" t="str">
        <f>IF(BJ$6="","",IF(BJ$3="Maior",IFERROR(IF(VLOOKUP($N144,Capa!$A:$AE,BJ$5,0)="",0,VLOOKUP($N144,Capa!$A:$AE,BJ$5,0)),0),IF(ISERROR(1/VLOOKUP($N144,Capa!$A:$AE,BJ$5,0)),0,1/VLOOKUP($N144,Capa!$A:$AE,BJ$5,0))))</f>
        <v/>
      </c>
      <c r="BK144" s="118" t="str">
        <f>IF(BK$6="","",IF(BK$3="Maior",IFERROR(IF(VLOOKUP($N144,Capa!$A:$AE,BK$5,0)="",0,VLOOKUP($N144,Capa!$A:$AE,BK$5,0)),0),IF(ISERROR(1/VLOOKUP($N144,Capa!$A:$AE,BK$5,0)),0,1/VLOOKUP($N144,Capa!$A:$AE,BK$5,0))))</f>
        <v/>
      </c>
      <c r="BL144" s="118" t="str">
        <f>IF(BL$6="","",IF(BL$3="Maior",IFERROR(IF(VLOOKUP($N144,Capa!$A:$AE,BL$5,0)="",0,VLOOKUP($N144,Capa!$A:$AE,BL$5,0)),0),IF(ISERROR(1/VLOOKUP($N144,Capa!$A:$AE,BL$5,0)),0,1/VLOOKUP($N144,Capa!$A:$AE,BL$5,0))))</f>
        <v/>
      </c>
      <c r="BM144" s="118" t="str">
        <f>IF(BM$6="","",IF(BM$3="Maior",IFERROR(IF(VLOOKUP($N144,Capa!$A:$AE,BM$5,0)="",0,VLOOKUP($N144,Capa!$A:$AE,BM$5,0)),0),IF(ISERROR(1/VLOOKUP($N144,Capa!$A:$AE,BM$5,0)),0,1/VLOOKUP($N144,Capa!$A:$AE,BM$5,0))))</f>
        <v/>
      </c>
      <c r="BN144" s="118" t="str">
        <f>IF(BN$6="","",IF(BN$3="Maior",IFERROR(IF(VLOOKUP($N144,Capa!$A:$AE,BN$5,0)="",0,VLOOKUP($N144,Capa!$A:$AE,BN$5,0)),0),IF(ISERROR(1/VLOOKUP($N144,Capa!$A:$AE,BN$5,0)),0,1/VLOOKUP($N144,Capa!$A:$AE,BN$5,0))))</f>
        <v/>
      </c>
      <c r="BO144" s="92"/>
    </row>
    <row r="145">
      <c r="G145" s="11"/>
      <c r="H145" s="8">
        <v>139.0</v>
      </c>
      <c r="I145" s="110" t="str">
        <f t="shared" si="6"/>
        <v>ELET6</v>
      </c>
      <c r="J145" s="111" t="str">
        <f>VLOOKUP(left(I145,4),Setor!A:D,3,0)&amp;" | "&amp;VLOOKUP(left(I145,4),Setor!A:D,4,0)</f>
        <v>Utilidade Pública | Energia Elétrica</v>
      </c>
      <c r="K145" s="112">
        <f t="shared" si="7"/>
        <v>91953297.58</v>
      </c>
      <c r="L145" s="11"/>
      <c r="M145" s="11"/>
      <c r="N145" s="10" t="s">
        <v>191</v>
      </c>
      <c r="O145" s="113">
        <f t="shared" si="8"/>
        <v>366.0171</v>
      </c>
      <c r="P145" s="114">
        <f>VLOOKUP(N145,'Dados StatusInvest'!A:Z,26,0)</f>
        <v>26356025.46</v>
      </c>
      <c r="Q145" s="115">
        <f t="shared" si="9"/>
        <v>171.0171</v>
      </c>
      <c r="R145" s="116">
        <f t="shared" ref="R145:AO145" si="148">IF(AQ145="","", RANK(AQ145,AQ$7:AQ$503,0))</f>
        <v>50</v>
      </c>
      <c r="S145" s="115">
        <f t="shared" si="148"/>
        <v>145</v>
      </c>
      <c r="T145" s="115" t="str">
        <f t="shared" si="148"/>
        <v/>
      </c>
      <c r="U145" s="115" t="str">
        <f t="shared" si="148"/>
        <v/>
      </c>
      <c r="V145" s="115" t="str">
        <f t="shared" si="148"/>
        <v/>
      </c>
      <c r="W145" s="115" t="str">
        <f t="shared" si="148"/>
        <v/>
      </c>
      <c r="X145" s="115" t="str">
        <f t="shared" si="148"/>
        <v/>
      </c>
      <c r="Y145" s="115" t="str">
        <f t="shared" si="148"/>
        <v/>
      </c>
      <c r="Z145" s="115" t="str">
        <f t="shared" si="148"/>
        <v/>
      </c>
      <c r="AA145" s="115" t="str">
        <f t="shared" si="148"/>
        <v/>
      </c>
      <c r="AB145" s="115" t="str">
        <f t="shared" si="148"/>
        <v/>
      </c>
      <c r="AC145" s="115" t="str">
        <f t="shared" si="148"/>
        <v/>
      </c>
      <c r="AD145" s="115" t="str">
        <f t="shared" si="148"/>
        <v/>
      </c>
      <c r="AE145" s="115" t="str">
        <f t="shared" si="148"/>
        <v/>
      </c>
      <c r="AF145" s="115" t="str">
        <f t="shared" si="148"/>
        <v/>
      </c>
      <c r="AG145" s="115" t="str">
        <f t="shared" si="148"/>
        <v/>
      </c>
      <c r="AH145" s="115" t="str">
        <f t="shared" si="148"/>
        <v/>
      </c>
      <c r="AI145" s="115" t="str">
        <f t="shared" si="148"/>
        <v/>
      </c>
      <c r="AJ145" s="115" t="str">
        <f t="shared" si="148"/>
        <v/>
      </c>
      <c r="AK145" s="115" t="str">
        <f t="shared" si="148"/>
        <v/>
      </c>
      <c r="AL145" s="115" t="str">
        <f t="shared" si="148"/>
        <v/>
      </c>
      <c r="AM145" s="115" t="str">
        <f t="shared" si="148"/>
        <v/>
      </c>
      <c r="AN145" s="115" t="str">
        <f t="shared" si="148"/>
        <v/>
      </c>
      <c r="AO145" s="115" t="str">
        <f t="shared" si="148"/>
        <v/>
      </c>
      <c r="AP145" s="117">
        <f>IF(AP$6="","",IF(AP$3="Maior",IFERROR(IF(VLOOKUP($N145,Capa!$A:$AE,AP$5,0)="",0,VLOOKUP($N145,Capa!$A:$AE,AP$5,0)),0),IF(ISERROR(1/VLOOKUP($N145,Capa!$A:$AE,AP$5,0)),0,1/VLOOKUP($N145,Capa!$A:$AE,AP$5,0))))</f>
        <v>0.1230602287</v>
      </c>
      <c r="AQ145" s="118">
        <f>IF(AQ$6="","",IF(AQ$3="Maior",IFERROR(IF(VLOOKUP($N145,Capa!$A:$AE,AQ$5,0)="",0,VLOOKUP($N145,Capa!$A:$AE,AQ$5,0)),0),IF(ISERROR(1/VLOOKUP($N145,Capa!$A:$AE,AQ$5,0)),0,1/VLOOKUP($N145,Capa!$A:$AE,AQ$5,0))))</f>
        <v>27.06</v>
      </c>
      <c r="AR145" s="118">
        <f>IF(AR$6="","",IF(AR$3="Maior",IFERROR(IF(VLOOKUP($N145,Capa!$A:$AE,AR$5,0)="",0,VLOOKUP($N145,Capa!$A:$AE,AR$5,0)),0),IF(ISERROR(1/VLOOKUP($N145,Capa!$A:$AE,AR$5,0)),0,1/VLOOKUP($N145,Capa!$A:$AE,AR$5,0))))</f>
        <v>16.89</v>
      </c>
      <c r="AS145" s="118" t="str">
        <f>IF(AS$6="","",IF(AS$3="Maior",IFERROR(IF(VLOOKUP($N145,Capa!$A:$AE,AS$5,0)="",0,VLOOKUP($N145,Capa!$A:$AE,AS$5,0)),0),IF(ISERROR(1/VLOOKUP($N145,Capa!$A:$AE,AS$5,0)),0,1/VLOOKUP($N145,Capa!$A:$AE,AS$5,0))))</f>
        <v/>
      </c>
      <c r="AT145" s="118" t="str">
        <f>IF(AT$6="","",IF(AT$3="Maior",IFERROR(IF(VLOOKUP($N145,Capa!$A:$AE,AT$5,0)="",0,VLOOKUP($N145,Capa!$A:$AE,AT$5,0)),0),IF(ISERROR(1/VLOOKUP($N145,Capa!$A:$AE,AT$5,0)),0,1/VLOOKUP($N145,Capa!$A:$AE,AT$5,0))))</f>
        <v/>
      </c>
      <c r="AU145" s="118" t="str">
        <f>IF(AU$6="","",IF(AU$3="Maior",IFERROR(IF(VLOOKUP($N145,Capa!$A:$AE,AU$5,0)="",0,VLOOKUP($N145,Capa!$A:$AE,AU$5,0)),0),IF(ISERROR(1/VLOOKUP($N145,Capa!$A:$AE,AU$5,0)),0,1/VLOOKUP($N145,Capa!$A:$AE,AU$5,0))))</f>
        <v/>
      </c>
      <c r="AV145" s="118" t="str">
        <f>IF(AV$6="","",IF(AV$3="Maior",IFERROR(IF(VLOOKUP($N145,Capa!$A:$AE,AV$5,0)="",0,VLOOKUP($N145,Capa!$A:$AE,AV$5,0)),0),IF(ISERROR(1/VLOOKUP($N145,Capa!$A:$AE,AV$5,0)),0,1/VLOOKUP($N145,Capa!$A:$AE,AV$5,0))))</f>
        <v/>
      </c>
      <c r="AW145" s="118" t="str">
        <f>IF(AW$6="","",IF(AW$3="Maior",IFERROR(IF(VLOOKUP($N145,Capa!$A:$AE,AW$5,0)="",0,VLOOKUP($N145,Capa!$A:$AE,AW$5,0)),0),IF(ISERROR(1/VLOOKUP($N145,Capa!$A:$AE,AW$5,0)),0,1/VLOOKUP($N145,Capa!$A:$AE,AW$5,0))))</f>
        <v/>
      </c>
      <c r="AX145" s="118" t="str">
        <f>IF(AX$6="","",IF(AX$3="Maior",IFERROR(IF(VLOOKUP($N145,Capa!$A:$AE,AX$5,0)="",0,VLOOKUP($N145,Capa!$A:$AE,AX$5,0)),0),IF(ISERROR(1/VLOOKUP($N145,Capa!$A:$AE,AX$5,0)),0,1/VLOOKUP($N145,Capa!$A:$AE,AX$5,0))))</f>
        <v/>
      </c>
      <c r="AY145" s="118" t="str">
        <f>IF(AY$6="","",IF(AY$3="Maior",IFERROR(IF(VLOOKUP($N145,Capa!$A:$AE,AY$5,0)="",0,VLOOKUP($N145,Capa!$A:$AE,AY$5,0)),0),IF(ISERROR(1/VLOOKUP($N145,Capa!$A:$AE,AY$5,0)),0,1/VLOOKUP($N145,Capa!$A:$AE,AY$5,0))))</f>
        <v/>
      </c>
      <c r="AZ145" s="118" t="str">
        <f>IF(AZ$6="","",IF(AZ$3="Maior",IFERROR(IF(VLOOKUP($N145,Capa!$A:$AE,AZ$5,0)="",0,VLOOKUP($N145,Capa!$A:$AE,AZ$5,0)),0),IF(ISERROR(1/VLOOKUP($N145,Capa!$A:$AE,AZ$5,0)),0,1/VLOOKUP($N145,Capa!$A:$AE,AZ$5,0))))</f>
        <v/>
      </c>
      <c r="BA145" s="118" t="str">
        <f>IF(BA$6="","",IF(BA$3="Maior",IFERROR(IF(VLOOKUP($N145,Capa!$A:$AE,BA$5,0)="",0,VLOOKUP($N145,Capa!$A:$AE,BA$5,0)),0),IF(ISERROR(1/VLOOKUP($N145,Capa!$A:$AE,BA$5,0)),0,1/VLOOKUP($N145,Capa!$A:$AE,BA$5,0))))</f>
        <v/>
      </c>
      <c r="BB145" s="118" t="str">
        <f>IF(BB$6="","",IF(BB$3="Maior",IFERROR(IF(VLOOKUP($N145,Capa!$A:$AE,BB$5,0)="",0,VLOOKUP($N145,Capa!$A:$AE,BB$5,0)),0),IF(ISERROR(1/VLOOKUP($N145,Capa!$A:$AE,BB$5,0)),0,1/VLOOKUP($N145,Capa!$A:$AE,BB$5,0))))</f>
        <v/>
      </c>
      <c r="BC145" s="118" t="str">
        <f>IF(BC$6="","",IF(BC$3="Maior",IFERROR(IF(VLOOKUP($N145,Capa!$A:$AE,BC$5,0)="",0,VLOOKUP($N145,Capa!$A:$AE,BC$5,0)),0),IF(ISERROR(1/VLOOKUP($N145,Capa!$A:$AE,BC$5,0)),0,1/VLOOKUP($N145,Capa!$A:$AE,BC$5,0))))</f>
        <v/>
      </c>
      <c r="BD145" s="118" t="str">
        <f>IF(BD$6="","",IF(BD$3="Maior",IFERROR(IF(VLOOKUP($N145,Capa!$A:$AE,BD$5,0)="",0,VLOOKUP($N145,Capa!$A:$AE,BD$5,0)),0),IF(ISERROR(1/VLOOKUP($N145,Capa!$A:$AE,BD$5,0)),0,1/VLOOKUP($N145,Capa!$A:$AE,BD$5,0))))</f>
        <v/>
      </c>
      <c r="BE145" s="118" t="str">
        <f>IF(BE$6="","",IF(BE$3="Maior",IFERROR(IF(VLOOKUP($N145,Capa!$A:$AE,BE$5,0)="",0,VLOOKUP($N145,Capa!$A:$AE,BE$5,0)),0),IF(ISERROR(1/VLOOKUP($N145,Capa!$A:$AE,BE$5,0)),0,1/VLOOKUP($N145,Capa!$A:$AE,BE$5,0))))</f>
        <v/>
      </c>
      <c r="BF145" s="118" t="str">
        <f>IF(BF$6="","",IF(BF$3="Maior",IFERROR(IF(VLOOKUP($N145,Capa!$A:$AE,BF$5,0)="",0,VLOOKUP($N145,Capa!$A:$AE,BF$5,0)),0),IF(ISERROR(1/VLOOKUP($N145,Capa!$A:$AE,BF$5,0)),0,1/VLOOKUP($N145,Capa!$A:$AE,BF$5,0))))</f>
        <v/>
      </c>
      <c r="BG145" s="118" t="str">
        <f>IF(BG$6="","",IF(BG$3="Maior",IFERROR(IF(VLOOKUP($N145,Capa!$A:$AE,BG$5,0)="",0,VLOOKUP($N145,Capa!$A:$AE,BG$5,0)),0),IF(ISERROR(1/VLOOKUP($N145,Capa!$A:$AE,BG$5,0)),0,1/VLOOKUP($N145,Capa!$A:$AE,BG$5,0))))</f>
        <v/>
      </c>
      <c r="BH145" s="118" t="str">
        <f>IF(BH$6="","",IF(BH$3="Maior",IFERROR(IF(VLOOKUP($N145,Capa!$A:$AE,BH$5,0)="",0,VLOOKUP($N145,Capa!$A:$AE,BH$5,0)),0),IF(ISERROR(1/VLOOKUP($N145,Capa!$A:$AE,BH$5,0)),0,1/VLOOKUP($N145,Capa!$A:$AE,BH$5,0))))</f>
        <v/>
      </c>
      <c r="BI145" s="118" t="str">
        <f>IF(BI$6="","",IF(BI$3="Maior",IFERROR(IF(VLOOKUP($N145,Capa!$A:$AE,BI$5,0)="",0,VLOOKUP($N145,Capa!$A:$AE,BI$5,0)),0),IF(ISERROR(1/VLOOKUP($N145,Capa!$A:$AE,BI$5,0)),0,1/VLOOKUP($N145,Capa!$A:$AE,BI$5,0))))</f>
        <v/>
      </c>
      <c r="BJ145" s="118" t="str">
        <f>IF(BJ$6="","",IF(BJ$3="Maior",IFERROR(IF(VLOOKUP($N145,Capa!$A:$AE,BJ$5,0)="",0,VLOOKUP($N145,Capa!$A:$AE,BJ$5,0)),0),IF(ISERROR(1/VLOOKUP($N145,Capa!$A:$AE,BJ$5,0)),0,1/VLOOKUP($N145,Capa!$A:$AE,BJ$5,0))))</f>
        <v/>
      </c>
      <c r="BK145" s="118" t="str">
        <f>IF(BK$6="","",IF(BK$3="Maior",IFERROR(IF(VLOOKUP($N145,Capa!$A:$AE,BK$5,0)="",0,VLOOKUP($N145,Capa!$A:$AE,BK$5,0)),0),IF(ISERROR(1/VLOOKUP($N145,Capa!$A:$AE,BK$5,0)),0,1/VLOOKUP($N145,Capa!$A:$AE,BK$5,0))))</f>
        <v/>
      </c>
      <c r="BL145" s="118" t="str">
        <f>IF(BL$6="","",IF(BL$3="Maior",IFERROR(IF(VLOOKUP($N145,Capa!$A:$AE,BL$5,0)="",0,VLOOKUP($N145,Capa!$A:$AE,BL$5,0)),0),IF(ISERROR(1/VLOOKUP($N145,Capa!$A:$AE,BL$5,0)),0,1/VLOOKUP($N145,Capa!$A:$AE,BL$5,0))))</f>
        <v/>
      </c>
      <c r="BM145" s="118" t="str">
        <f>IF(BM$6="","",IF(BM$3="Maior",IFERROR(IF(VLOOKUP($N145,Capa!$A:$AE,BM$5,0)="",0,VLOOKUP($N145,Capa!$A:$AE,BM$5,0)),0),IF(ISERROR(1/VLOOKUP($N145,Capa!$A:$AE,BM$5,0)),0,1/VLOOKUP($N145,Capa!$A:$AE,BM$5,0))))</f>
        <v/>
      </c>
      <c r="BN145" s="118" t="str">
        <f>IF(BN$6="","",IF(BN$3="Maior",IFERROR(IF(VLOOKUP($N145,Capa!$A:$AE,BN$5,0)="",0,VLOOKUP($N145,Capa!$A:$AE,BN$5,0)),0),IF(ISERROR(1/VLOOKUP($N145,Capa!$A:$AE,BN$5,0)),0,1/VLOOKUP($N145,Capa!$A:$AE,BN$5,0))))</f>
        <v/>
      </c>
      <c r="BO145" s="92"/>
    </row>
    <row r="146">
      <c r="G146" s="11"/>
      <c r="H146" s="8">
        <v>140.0</v>
      </c>
      <c r="I146" s="110" t="str">
        <f t="shared" si="6"/>
        <v>ELET3</v>
      </c>
      <c r="J146" s="111" t="str">
        <f>VLOOKUP(left(I146,4),Setor!A:D,3,0)&amp;" | "&amp;VLOOKUP(left(I146,4),Setor!A:D,4,0)</f>
        <v>Utilidade Pública | Energia Elétrica</v>
      </c>
      <c r="K146" s="112">
        <f t="shared" si="7"/>
        <v>180039390.3</v>
      </c>
      <c r="L146" s="11"/>
      <c r="M146" s="11"/>
      <c r="N146" s="10" t="s">
        <v>192</v>
      </c>
      <c r="O146" s="113">
        <f t="shared" si="8"/>
        <v>1189.0389</v>
      </c>
      <c r="P146" s="114">
        <f>VLOOKUP(N146,'Dados StatusInvest'!A:Z,26,0)</f>
        <v>25938636.38</v>
      </c>
      <c r="Q146" s="115">
        <f t="shared" si="9"/>
        <v>389.0389</v>
      </c>
      <c r="R146" s="116">
        <f t="shared" ref="R146:AO146" si="149">IF(AQ146="","", RANK(AQ146,AQ$7:AQ$503,0))</f>
        <v>337</v>
      </c>
      <c r="S146" s="115">
        <f t="shared" si="149"/>
        <v>463</v>
      </c>
      <c r="T146" s="115" t="str">
        <f t="shared" si="149"/>
        <v/>
      </c>
      <c r="U146" s="115" t="str">
        <f t="shared" si="149"/>
        <v/>
      </c>
      <c r="V146" s="115" t="str">
        <f t="shared" si="149"/>
        <v/>
      </c>
      <c r="W146" s="115" t="str">
        <f t="shared" si="149"/>
        <v/>
      </c>
      <c r="X146" s="115" t="str">
        <f t="shared" si="149"/>
        <v/>
      </c>
      <c r="Y146" s="115" t="str">
        <f t="shared" si="149"/>
        <v/>
      </c>
      <c r="Z146" s="115" t="str">
        <f t="shared" si="149"/>
        <v/>
      </c>
      <c r="AA146" s="115" t="str">
        <f t="shared" si="149"/>
        <v/>
      </c>
      <c r="AB146" s="115" t="str">
        <f t="shared" si="149"/>
        <v/>
      </c>
      <c r="AC146" s="115" t="str">
        <f t="shared" si="149"/>
        <v/>
      </c>
      <c r="AD146" s="115" t="str">
        <f t="shared" si="149"/>
        <v/>
      </c>
      <c r="AE146" s="115" t="str">
        <f t="shared" si="149"/>
        <v/>
      </c>
      <c r="AF146" s="115" t="str">
        <f t="shared" si="149"/>
        <v/>
      </c>
      <c r="AG146" s="115" t="str">
        <f t="shared" si="149"/>
        <v/>
      </c>
      <c r="AH146" s="115" t="str">
        <f t="shared" si="149"/>
        <v/>
      </c>
      <c r="AI146" s="115" t="str">
        <f t="shared" si="149"/>
        <v/>
      </c>
      <c r="AJ146" s="115" t="str">
        <f t="shared" si="149"/>
        <v/>
      </c>
      <c r="AK146" s="115" t="str">
        <f t="shared" si="149"/>
        <v/>
      </c>
      <c r="AL146" s="115" t="str">
        <f t="shared" si="149"/>
        <v/>
      </c>
      <c r="AM146" s="115" t="str">
        <f t="shared" si="149"/>
        <v/>
      </c>
      <c r="AN146" s="115" t="str">
        <f t="shared" si="149"/>
        <v/>
      </c>
      <c r="AO146" s="115" t="str">
        <f t="shared" si="149"/>
        <v/>
      </c>
      <c r="AP146" s="117">
        <f>IF(AP$6="","",IF(AP$3="Maior",IFERROR(IF(VLOOKUP($N146,Capa!$A:$AE,AP$5,0)="",0,VLOOKUP($N146,Capa!$A:$AE,AP$5,0)),0),IF(ISERROR(1/VLOOKUP($N146,Capa!$A:$AE,AP$5,0)),0,1/VLOOKUP($N146,Capa!$A:$AE,AP$5,0))))</f>
        <v>0.01098802791</v>
      </c>
      <c r="AQ146" s="118">
        <f>IF(AQ$6="","",IF(AQ$3="Maior",IFERROR(IF(VLOOKUP($N146,Capa!$A:$AE,AQ$5,0)="",0,VLOOKUP($N146,Capa!$A:$AE,AQ$5,0)),0),IF(ISERROR(1/VLOOKUP($N146,Capa!$A:$AE,AQ$5,0)),0,1/VLOOKUP($N146,Capa!$A:$AE,AQ$5,0))))</f>
        <v>2.65</v>
      </c>
      <c r="AR146" s="118">
        <f>IF(AR$6="","",IF(AR$3="Maior",IFERROR(IF(VLOOKUP($N146,Capa!$A:$AE,AR$5,0)="",0,VLOOKUP($N146,Capa!$A:$AE,AR$5,0)),0),IF(ISERROR(1/VLOOKUP($N146,Capa!$A:$AE,AR$5,0)),0,1/VLOOKUP($N146,Capa!$A:$AE,AR$5,0))))</f>
        <v>-0.54</v>
      </c>
      <c r="AS146" s="118" t="str">
        <f>IF(AS$6="","",IF(AS$3="Maior",IFERROR(IF(VLOOKUP($N146,Capa!$A:$AE,AS$5,0)="",0,VLOOKUP($N146,Capa!$A:$AE,AS$5,0)),0),IF(ISERROR(1/VLOOKUP($N146,Capa!$A:$AE,AS$5,0)),0,1/VLOOKUP($N146,Capa!$A:$AE,AS$5,0))))</f>
        <v/>
      </c>
      <c r="AT146" s="118" t="str">
        <f>IF(AT$6="","",IF(AT$3="Maior",IFERROR(IF(VLOOKUP($N146,Capa!$A:$AE,AT$5,0)="",0,VLOOKUP($N146,Capa!$A:$AE,AT$5,0)),0),IF(ISERROR(1/VLOOKUP($N146,Capa!$A:$AE,AT$5,0)),0,1/VLOOKUP($N146,Capa!$A:$AE,AT$5,0))))</f>
        <v/>
      </c>
      <c r="AU146" s="118" t="str">
        <f>IF(AU$6="","",IF(AU$3="Maior",IFERROR(IF(VLOOKUP($N146,Capa!$A:$AE,AU$5,0)="",0,VLOOKUP($N146,Capa!$A:$AE,AU$5,0)),0),IF(ISERROR(1/VLOOKUP($N146,Capa!$A:$AE,AU$5,0)),0,1/VLOOKUP($N146,Capa!$A:$AE,AU$5,0))))</f>
        <v/>
      </c>
      <c r="AV146" s="118" t="str">
        <f>IF(AV$6="","",IF(AV$3="Maior",IFERROR(IF(VLOOKUP($N146,Capa!$A:$AE,AV$5,0)="",0,VLOOKUP($N146,Capa!$A:$AE,AV$5,0)),0),IF(ISERROR(1/VLOOKUP($N146,Capa!$A:$AE,AV$5,0)),0,1/VLOOKUP($N146,Capa!$A:$AE,AV$5,0))))</f>
        <v/>
      </c>
      <c r="AW146" s="118" t="str">
        <f>IF(AW$6="","",IF(AW$3="Maior",IFERROR(IF(VLOOKUP($N146,Capa!$A:$AE,AW$5,0)="",0,VLOOKUP($N146,Capa!$A:$AE,AW$5,0)),0),IF(ISERROR(1/VLOOKUP($N146,Capa!$A:$AE,AW$5,0)),0,1/VLOOKUP($N146,Capa!$A:$AE,AW$5,0))))</f>
        <v/>
      </c>
      <c r="AX146" s="118" t="str">
        <f>IF(AX$6="","",IF(AX$3="Maior",IFERROR(IF(VLOOKUP($N146,Capa!$A:$AE,AX$5,0)="",0,VLOOKUP($N146,Capa!$A:$AE,AX$5,0)),0),IF(ISERROR(1/VLOOKUP($N146,Capa!$A:$AE,AX$5,0)),0,1/VLOOKUP($N146,Capa!$A:$AE,AX$5,0))))</f>
        <v/>
      </c>
      <c r="AY146" s="118" t="str">
        <f>IF(AY$6="","",IF(AY$3="Maior",IFERROR(IF(VLOOKUP($N146,Capa!$A:$AE,AY$5,0)="",0,VLOOKUP($N146,Capa!$A:$AE,AY$5,0)),0),IF(ISERROR(1/VLOOKUP($N146,Capa!$A:$AE,AY$5,0)),0,1/VLOOKUP($N146,Capa!$A:$AE,AY$5,0))))</f>
        <v/>
      </c>
      <c r="AZ146" s="118" t="str">
        <f>IF(AZ$6="","",IF(AZ$3="Maior",IFERROR(IF(VLOOKUP($N146,Capa!$A:$AE,AZ$5,0)="",0,VLOOKUP($N146,Capa!$A:$AE,AZ$5,0)),0),IF(ISERROR(1/VLOOKUP($N146,Capa!$A:$AE,AZ$5,0)),0,1/VLOOKUP($N146,Capa!$A:$AE,AZ$5,0))))</f>
        <v/>
      </c>
      <c r="BA146" s="118" t="str">
        <f>IF(BA$6="","",IF(BA$3="Maior",IFERROR(IF(VLOOKUP($N146,Capa!$A:$AE,BA$5,0)="",0,VLOOKUP($N146,Capa!$A:$AE,BA$5,0)),0),IF(ISERROR(1/VLOOKUP($N146,Capa!$A:$AE,BA$5,0)),0,1/VLOOKUP($N146,Capa!$A:$AE,BA$5,0))))</f>
        <v/>
      </c>
      <c r="BB146" s="118" t="str">
        <f>IF(BB$6="","",IF(BB$3="Maior",IFERROR(IF(VLOOKUP($N146,Capa!$A:$AE,BB$5,0)="",0,VLOOKUP($N146,Capa!$A:$AE,BB$5,0)),0),IF(ISERROR(1/VLOOKUP($N146,Capa!$A:$AE,BB$5,0)),0,1/VLOOKUP($N146,Capa!$A:$AE,BB$5,0))))</f>
        <v/>
      </c>
      <c r="BC146" s="118" t="str">
        <f>IF(BC$6="","",IF(BC$3="Maior",IFERROR(IF(VLOOKUP($N146,Capa!$A:$AE,BC$5,0)="",0,VLOOKUP($N146,Capa!$A:$AE,BC$5,0)),0),IF(ISERROR(1/VLOOKUP($N146,Capa!$A:$AE,BC$5,0)),0,1/VLOOKUP($N146,Capa!$A:$AE,BC$5,0))))</f>
        <v/>
      </c>
      <c r="BD146" s="118" t="str">
        <f>IF(BD$6="","",IF(BD$3="Maior",IFERROR(IF(VLOOKUP($N146,Capa!$A:$AE,BD$5,0)="",0,VLOOKUP($N146,Capa!$A:$AE,BD$5,0)),0),IF(ISERROR(1/VLOOKUP($N146,Capa!$A:$AE,BD$5,0)),0,1/VLOOKUP($N146,Capa!$A:$AE,BD$5,0))))</f>
        <v/>
      </c>
      <c r="BE146" s="118" t="str">
        <f>IF(BE$6="","",IF(BE$3="Maior",IFERROR(IF(VLOOKUP($N146,Capa!$A:$AE,BE$5,0)="",0,VLOOKUP($N146,Capa!$A:$AE,BE$5,0)),0),IF(ISERROR(1/VLOOKUP($N146,Capa!$A:$AE,BE$5,0)),0,1/VLOOKUP($N146,Capa!$A:$AE,BE$5,0))))</f>
        <v/>
      </c>
      <c r="BF146" s="118" t="str">
        <f>IF(BF$6="","",IF(BF$3="Maior",IFERROR(IF(VLOOKUP($N146,Capa!$A:$AE,BF$5,0)="",0,VLOOKUP($N146,Capa!$A:$AE,BF$5,0)),0),IF(ISERROR(1/VLOOKUP($N146,Capa!$A:$AE,BF$5,0)),0,1/VLOOKUP($N146,Capa!$A:$AE,BF$5,0))))</f>
        <v/>
      </c>
      <c r="BG146" s="118" t="str">
        <f>IF(BG$6="","",IF(BG$3="Maior",IFERROR(IF(VLOOKUP($N146,Capa!$A:$AE,BG$5,0)="",0,VLOOKUP($N146,Capa!$A:$AE,BG$5,0)),0),IF(ISERROR(1/VLOOKUP($N146,Capa!$A:$AE,BG$5,0)),0,1/VLOOKUP($N146,Capa!$A:$AE,BG$5,0))))</f>
        <v/>
      </c>
      <c r="BH146" s="118" t="str">
        <f>IF(BH$6="","",IF(BH$3="Maior",IFERROR(IF(VLOOKUP($N146,Capa!$A:$AE,BH$5,0)="",0,VLOOKUP($N146,Capa!$A:$AE,BH$5,0)),0),IF(ISERROR(1/VLOOKUP($N146,Capa!$A:$AE,BH$5,0)),0,1/VLOOKUP($N146,Capa!$A:$AE,BH$5,0))))</f>
        <v/>
      </c>
      <c r="BI146" s="118" t="str">
        <f>IF(BI$6="","",IF(BI$3="Maior",IFERROR(IF(VLOOKUP($N146,Capa!$A:$AE,BI$5,0)="",0,VLOOKUP($N146,Capa!$A:$AE,BI$5,0)),0),IF(ISERROR(1/VLOOKUP($N146,Capa!$A:$AE,BI$5,0)),0,1/VLOOKUP($N146,Capa!$A:$AE,BI$5,0))))</f>
        <v/>
      </c>
      <c r="BJ146" s="118" t="str">
        <f>IF(BJ$6="","",IF(BJ$3="Maior",IFERROR(IF(VLOOKUP($N146,Capa!$A:$AE,BJ$5,0)="",0,VLOOKUP($N146,Capa!$A:$AE,BJ$5,0)),0),IF(ISERROR(1/VLOOKUP($N146,Capa!$A:$AE,BJ$5,0)),0,1/VLOOKUP($N146,Capa!$A:$AE,BJ$5,0))))</f>
        <v/>
      </c>
      <c r="BK146" s="118" t="str">
        <f>IF(BK$6="","",IF(BK$3="Maior",IFERROR(IF(VLOOKUP($N146,Capa!$A:$AE,BK$5,0)="",0,VLOOKUP($N146,Capa!$A:$AE,BK$5,0)),0),IF(ISERROR(1/VLOOKUP($N146,Capa!$A:$AE,BK$5,0)),0,1/VLOOKUP($N146,Capa!$A:$AE,BK$5,0))))</f>
        <v/>
      </c>
      <c r="BL146" s="118" t="str">
        <f>IF(BL$6="","",IF(BL$3="Maior",IFERROR(IF(VLOOKUP($N146,Capa!$A:$AE,BL$5,0)="",0,VLOOKUP($N146,Capa!$A:$AE,BL$5,0)),0),IF(ISERROR(1/VLOOKUP($N146,Capa!$A:$AE,BL$5,0)),0,1/VLOOKUP($N146,Capa!$A:$AE,BL$5,0))))</f>
        <v/>
      </c>
      <c r="BM146" s="118" t="str">
        <f>IF(BM$6="","",IF(BM$3="Maior",IFERROR(IF(VLOOKUP($N146,Capa!$A:$AE,BM$5,0)="",0,VLOOKUP($N146,Capa!$A:$AE,BM$5,0)),0),IF(ISERROR(1/VLOOKUP($N146,Capa!$A:$AE,BM$5,0)),0,1/VLOOKUP($N146,Capa!$A:$AE,BM$5,0))))</f>
        <v/>
      </c>
      <c r="BN146" s="118" t="str">
        <f>IF(BN$6="","",IF(BN$3="Maior",IFERROR(IF(VLOOKUP($N146,Capa!$A:$AE,BN$5,0)="",0,VLOOKUP($N146,Capa!$A:$AE,BN$5,0)),0),IF(ISERROR(1/VLOOKUP($N146,Capa!$A:$AE,BN$5,0)),0,1/VLOOKUP($N146,Capa!$A:$AE,BN$5,0))))</f>
        <v/>
      </c>
      <c r="BO146" s="92"/>
    </row>
    <row r="147">
      <c r="G147" s="11"/>
      <c r="H147" s="8">
        <v>141.0</v>
      </c>
      <c r="I147" s="110" t="str">
        <f t="shared" si="6"/>
        <v>HAPV3</v>
      </c>
      <c r="J147" s="111" t="str">
        <f>VLOOKUP(left(I147,4),Setor!A:D,3,0)&amp;" | "&amp;VLOOKUP(left(I147,4),Setor!A:D,4,0)</f>
        <v>Saúde | Análises e Diagnósticos</v>
      </c>
      <c r="K147" s="112">
        <f t="shared" si="7"/>
        <v>195739742.5</v>
      </c>
      <c r="L147" s="11"/>
      <c r="M147" s="11"/>
      <c r="N147" s="10" t="s">
        <v>193</v>
      </c>
      <c r="O147" s="113">
        <f t="shared" si="8"/>
        <v>788.035</v>
      </c>
      <c r="P147" s="114">
        <f>VLOOKUP(N147,'Dados StatusInvest'!A:Z,26,0)</f>
        <v>27858884.75</v>
      </c>
      <c r="Q147" s="115">
        <f t="shared" si="9"/>
        <v>350.035</v>
      </c>
      <c r="R147" s="116">
        <f t="shared" ref="R147:AO147" si="150">IF(AQ147="","", RANK(AQ147,AQ$7:AQ$503,0))</f>
        <v>219</v>
      </c>
      <c r="S147" s="115">
        <f t="shared" si="150"/>
        <v>219</v>
      </c>
      <c r="T147" s="115" t="str">
        <f t="shared" si="150"/>
        <v/>
      </c>
      <c r="U147" s="115" t="str">
        <f t="shared" si="150"/>
        <v/>
      </c>
      <c r="V147" s="115" t="str">
        <f t="shared" si="150"/>
        <v/>
      </c>
      <c r="W147" s="115" t="str">
        <f t="shared" si="150"/>
        <v/>
      </c>
      <c r="X147" s="115" t="str">
        <f t="shared" si="150"/>
        <v/>
      </c>
      <c r="Y147" s="115" t="str">
        <f t="shared" si="150"/>
        <v/>
      </c>
      <c r="Z147" s="115" t="str">
        <f t="shared" si="150"/>
        <v/>
      </c>
      <c r="AA147" s="115" t="str">
        <f t="shared" si="150"/>
        <v/>
      </c>
      <c r="AB147" s="115" t="str">
        <f t="shared" si="150"/>
        <v/>
      </c>
      <c r="AC147" s="115" t="str">
        <f t="shared" si="150"/>
        <v/>
      </c>
      <c r="AD147" s="115" t="str">
        <f t="shared" si="150"/>
        <v/>
      </c>
      <c r="AE147" s="115" t="str">
        <f t="shared" si="150"/>
        <v/>
      </c>
      <c r="AF147" s="115" t="str">
        <f t="shared" si="150"/>
        <v/>
      </c>
      <c r="AG147" s="115" t="str">
        <f t="shared" si="150"/>
        <v/>
      </c>
      <c r="AH147" s="115" t="str">
        <f t="shared" si="150"/>
        <v/>
      </c>
      <c r="AI147" s="115" t="str">
        <f t="shared" si="150"/>
        <v/>
      </c>
      <c r="AJ147" s="115" t="str">
        <f t="shared" si="150"/>
        <v/>
      </c>
      <c r="AK147" s="115" t="str">
        <f t="shared" si="150"/>
        <v/>
      </c>
      <c r="AL147" s="115" t="str">
        <f t="shared" si="150"/>
        <v/>
      </c>
      <c r="AM147" s="115" t="str">
        <f t="shared" si="150"/>
        <v/>
      </c>
      <c r="AN147" s="115" t="str">
        <f t="shared" si="150"/>
        <v/>
      </c>
      <c r="AO147" s="115" t="str">
        <f t="shared" si="150"/>
        <v/>
      </c>
      <c r="AP147" s="117">
        <f>IF(AP$6="","",IF(AP$3="Maior",IFERROR(IF(VLOOKUP($N147,Capa!$A:$AE,AP$5,0)="",0,VLOOKUP($N147,Capa!$A:$AE,AP$5,0)),0),IF(ISERROR(1/VLOOKUP($N147,Capa!$A:$AE,AP$5,0)),0,1/VLOOKUP($N147,Capa!$A:$AE,AP$5,0))))</f>
        <v>0.0314371456</v>
      </c>
      <c r="AQ147" s="118">
        <f>IF(AQ$6="","",IF(AQ$3="Maior",IFERROR(IF(VLOOKUP($N147,Capa!$A:$AE,AQ$5,0)="",0,VLOOKUP($N147,Capa!$A:$AE,AQ$5,0)),0),IF(ISERROR(1/VLOOKUP($N147,Capa!$A:$AE,AQ$5,0)),0,1/VLOOKUP($N147,Capa!$A:$AE,AQ$5,0))))</f>
        <v>10.16</v>
      </c>
      <c r="AR147" s="118">
        <f>IF(AR$6="","",IF(AR$3="Maior",IFERROR(IF(VLOOKUP($N147,Capa!$A:$AE,AR$5,0)="",0,VLOOKUP($N147,Capa!$A:$AE,AR$5,0)),0),IF(ISERROR(1/VLOOKUP($N147,Capa!$A:$AE,AR$5,0)),0,1/VLOOKUP($N147,Capa!$A:$AE,AR$5,0))))</f>
        <v>0</v>
      </c>
      <c r="AS147" s="118" t="str">
        <f>IF(AS$6="","",IF(AS$3="Maior",IFERROR(IF(VLOOKUP($N147,Capa!$A:$AE,AS$5,0)="",0,VLOOKUP($N147,Capa!$A:$AE,AS$5,0)),0),IF(ISERROR(1/VLOOKUP($N147,Capa!$A:$AE,AS$5,0)),0,1/VLOOKUP($N147,Capa!$A:$AE,AS$5,0))))</f>
        <v/>
      </c>
      <c r="AT147" s="118" t="str">
        <f>IF(AT$6="","",IF(AT$3="Maior",IFERROR(IF(VLOOKUP($N147,Capa!$A:$AE,AT$5,0)="",0,VLOOKUP($N147,Capa!$A:$AE,AT$5,0)),0),IF(ISERROR(1/VLOOKUP($N147,Capa!$A:$AE,AT$5,0)),0,1/VLOOKUP($N147,Capa!$A:$AE,AT$5,0))))</f>
        <v/>
      </c>
      <c r="AU147" s="118" t="str">
        <f>IF(AU$6="","",IF(AU$3="Maior",IFERROR(IF(VLOOKUP($N147,Capa!$A:$AE,AU$5,0)="",0,VLOOKUP($N147,Capa!$A:$AE,AU$5,0)),0),IF(ISERROR(1/VLOOKUP($N147,Capa!$A:$AE,AU$5,0)),0,1/VLOOKUP($N147,Capa!$A:$AE,AU$5,0))))</f>
        <v/>
      </c>
      <c r="AV147" s="118" t="str">
        <f>IF(AV$6="","",IF(AV$3="Maior",IFERROR(IF(VLOOKUP($N147,Capa!$A:$AE,AV$5,0)="",0,VLOOKUP($N147,Capa!$A:$AE,AV$5,0)),0),IF(ISERROR(1/VLOOKUP($N147,Capa!$A:$AE,AV$5,0)),0,1/VLOOKUP($N147,Capa!$A:$AE,AV$5,0))))</f>
        <v/>
      </c>
      <c r="AW147" s="118" t="str">
        <f>IF(AW$6="","",IF(AW$3="Maior",IFERROR(IF(VLOOKUP($N147,Capa!$A:$AE,AW$5,0)="",0,VLOOKUP($N147,Capa!$A:$AE,AW$5,0)),0),IF(ISERROR(1/VLOOKUP($N147,Capa!$A:$AE,AW$5,0)),0,1/VLOOKUP($N147,Capa!$A:$AE,AW$5,0))))</f>
        <v/>
      </c>
      <c r="AX147" s="118" t="str">
        <f>IF(AX$6="","",IF(AX$3="Maior",IFERROR(IF(VLOOKUP($N147,Capa!$A:$AE,AX$5,0)="",0,VLOOKUP($N147,Capa!$A:$AE,AX$5,0)),0),IF(ISERROR(1/VLOOKUP($N147,Capa!$A:$AE,AX$5,0)),0,1/VLOOKUP($N147,Capa!$A:$AE,AX$5,0))))</f>
        <v/>
      </c>
      <c r="AY147" s="118" t="str">
        <f>IF(AY$6="","",IF(AY$3="Maior",IFERROR(IF(VLOOKUP($N147,Capa!$A:$AE,AY$5,0)="",0,VLOOKUP($N147,Capa!$A:$AE,AY$5,0)),0),IF(ISERROR(1/VLOOKUP($N147,Capa!$A:$AE,AY$5,0)),0,1/VLOOKUP($N147,Capa!$A:$AE,AY$5,0))))</f>
        <v/>
      </c>
      <c r="AZ147" s="118" t="str">
        <f>IF(AZ$6="","",IF(AZ$3="Maior",IFERROR(IF(VLOOKUP($N147,Capa!$A:$AE,AZ$5,0)="",0,VLOOKUP($N147,Capa!$A:$AE,AZ$5,0)),0),IF(ISERROR(1/VLOOKUP($N147,Capa!$A:$AE,AZ$5,0)),0,1/VLOOKUP($N147,Capa!$A:$AE,AZ$5,0))))</f>
        <v/>
      </c>
      <c r="BA147" s="118" t="str">
        <f>IF(BA$6="","",IF(BA$3="Maior",IFERROR(IF(VLOOKUP($N147,Capa!$A:$AE,BA$5,0)="",0,VLOOKUP($N147,Capa!$A:$AE,BA$5,0)),0),IF(ISERROR(1/VLOOKUP($N147,Capa!$A:$AE,BA$5,0)),0,1/VLOOKUP($N147,Capa!$A:$AE,BA$5,0))))</f>
        <v/>
      </c>
      <c r="BB147" s="118" t="str">
        <f>IF(BB$6="","",IF(BB$3="Maior",IFERROR(IF(VLOOKUP($N147,Capa!$A:$AE,BB$5,0)="",0,VLOOKUP($N147,Capa!$A:$AE,BB$5,0)),0),IF(ISERROR(1/VLOOKUP($N147,Capa!$A:$AE,BB$5,0)),0,1/VLOOKUP($N147,Capa!$A:$AE,BB$5,0))))</f>
        <v/>
      </c>
      <c r="BC147" s="118" t="str">
        <f>IF(BC$6="","",IF(BC$3="Maior",IFERROR(IF(VLOOKUP($N147,Capa!$A:$AE,BC$5,0)="",0,VLOOKUP($N147,Capa!$A:$AE,BC$5,0)),0),IF(ISERROR(1/VLOOKUP($N147,Capa!$A:$AE,BC$5,0)),0,1/VLOOKUP($N147,Capa!$A:$AE,BC$5,0))))</f>
        <v/>
      </c>
      <c r="BD147" s="118" t="str">
        <f>IF(BD$6="","",IF(BD$3="Maior",IFERROR(IF(VLOOKUP($N147,Capa!$A:$AE,BD$5,0)="",0,VLOOKUP($N147,Capa!$A:$AE,BD$5,0)),0),IF(ISERROR(1/VLOOKUP($N147,Capa!$A:$AE,BD$5,0)),0,1/VLOOKUP($N147,Capa!$A:$AE,BD$5,0))))</f>
        <v/>
      </c>
      <c r="BE147" s="118" t="str">
        <f>IF(BE$6="","",IF(BE$3="Maior",IFERROR(IF(VLOOKUP($N147,Capa!$A:$AE,BE$5,0)="",0,VLOOKUP($N147,Capa!$A:$AE,BE$5,0)),0),IF(ISERROR(1/VLOOKUP($N147,Capa!$A:$AE,BE$5,0)),0,1/VLOOKUP($N147,Capa!$A:$AE,BE$5,0))))</f>
        <v/>
      </c>
      <c r="BF147" s="118" t="str">
        <f>IF(BF$6="","",IF(BF$3="Maior",IFERROR(IF(VLOOKUP($N147,Capa!$A:$AE,BF$5,0)="",0,VLOOKUP($N147,Capa!$A:$AE,BF$5,0)),0),IF(ISERROR(1/VLOOKUP($N147,Capa!$A:$AE,BF$5,0)),0,1/VLOOKUP($N147,Capa!$A:$AE,BF$5,0))))</f>
        <v/>
      </c>
      <c r="BG147" s="118" t="str">
        <f>IF(BG$6="","",IF(BG$3="Maior",IFERROR(IF(VLOOKUP($N147,Capa!$A:$AE,BG$5,0)="",0,VLOOKUP($N147,Capa!$A:$AE,BG$5,0)),0),IF(ISERROR(1/VLOOKUP($N147,Capa!$A:$AE,BG$5,0)),0,1/VLOOKUP($N147,Capa!$A:$AE,BG$5,0))))</f>
        <v/>
      </c>
      <c r="BH147" s="118" t="str">
        <f>IF(BH$6="","",IF(BH$3="Maior",IFERROR(IF(VLOOKUP($N147,Capa!$A:$AE,BH$5,0)="",0,VLOOKUP($N147,Capa!$A:$AE,BH$5,0)),0),IF(ISERROR(1/VLOOKUP($N147,Capa!$A:$AE,BH$5,0)),0,1/VLOOKUP($N147,Capa!$A:$AE,BH$5,0))))</f>
        <v/>
      </c>
      <c r="BI147" s="118" t="str">
        <f>IF(BI$6="","",IF(BI$3="Maior",IFERROR(IF(VLOOKUP($N147,Capa!$A:$AE,BI$5,0)="",0,VLOOKUP($N147,Capa!$A:$AE,BI$5,0)),0),IF(ISERROR(1/VLOOKUP($N147,Capa!$A:$AE,BI$5,0)),0,1/VLOOKUP($N147,Capa!$A:$AE,BI$5,0))))</f>
        <v/>
      </c>
      <c r="BJ147" s="118" t="str">
        <f>IF(BJ$6="","",IF(BJ$3="Maior",IFERROR(IF(VLOOKUP($N147,Capa!$A:$AE,BJ$5,0)="",0,VLOOKUP($N147,Capa!$A:$AE,BJ$5,0)),0),IF(ISERROR(1/VLOOKUP($N147,Capa!$A:$AE,BJ$5,0)),0,1/VLOOKUP($N147,Capa!$A:$AE,BJ$5,0))))</f>
        <v/>
      </c>
      <c r="BK147" s="118" t="str">
        <f>IF(BK$6="","",IF(BK$3="Maior",IFERROR(IF(VLOOKUP($N147,Capa!$A:$AE,BK$5,0)="",0,VLOOKUP($N147,Capa!$A:$AE,BK$5,0)),0),IF(ISERROR(1/VLOOKUP($N147,Capa!$A:$AE,BK$5,0)),0,1/VLOOKUP($N147,Capa!$A:$AE,BK$5,0))))</f>
        <v/>
      </c>
      <c r="BL147" s="118" t="str">
        <f>IF(BL$6="","",IF(BL$3="Maior",IFERROR(IF(VLOOKUP($N147,Capa!$A:$AE,BL$5,0)="",0,VLOOKUP($N147,Capa!$A:$AE,BL$5,0)),0),IF(ISERROR(1/VLOOKUP($N147,Capa!$A:$AE,BL$5,0)),0,1/VLOOKUP($N147,Capa!$A:$AE,BL$5,0))))</f>
        <v/>
      </c>
      <c r="BM147" s="118" t="str">
        <f>IF(BM$6="","",IF(BM$3="Maior",IFERROR(IF(VLOOKUP($N147,Capa!$A:$AE,BM$5,0)="",0,VLOOKUP($N147,Capa!$A:$AE,BM$5,0)),0),IF(ISERROR(1/VLOOKUP($N147,Capa!$A:$AE,BM$5,0)),0,1/VLOOKUP($N147,Capa!$A:$AE,BM$5,0))))</f>
        <v/>
      </c>
      <c r="BN147" s="118" t="str">
        <f>IF(BN$6="","",IF(BN$3="Maior",IFERROR(IF(VLOOKUP($N147,Capa!$A:$AE,BN$5,0)="",0,VLOOKUP($N147,Capa!$A:$AE,BN$5,0)),0),IF(ISERROR(1/VLOOKUP($N147,Capa!$A:$AE,BN$5,0)),0,1/VLOOKUP($N147,Capa!$A:$AE,BN$5,0))))</f>
        <v/>
      </c>
      <c r="BO147" s="92"/>
    </row>
    <row r="148">
      <c r="G148" s="11"/>
      <c r="H148" s="8">
        <v>142.0</v>
      </c>
      <c r="I148" s="110" t="str">
        <f t="shared" si="6"/>
        <v>BRPR3</v>
      </c>
      <c r="J148" s="111" t="str">
        <f>VLOOKUP(left(I148,4),Setor!A:D,3,0)&amp;" | "&amp;VLOOKUP(left(I148,4),Setor!A:D,4,0)</f>
        <v>Financeiro | Exploração de Imóveis</v>
      </c>
      <c r="K148" s="112">
        <f t="shared" si="7"/>
        <v>29337518.58</v>
      </c>
      <c r="L148" s="11"/>
      <c r="M148" s="11"/>
      <c r="N148" s="10" t="s">
        <v>194</v>
      </c>
      <c r="O148" s="113">
        <f t="shared" si="8"/>
        <v>138.0073</v>
      </c>
      <c r="P148" s="114">
        <f>VLOOKUP(N148,'Dados StatusInvest'!A:Z,26,0)</f>
        <v>24325842.13</v>
      </c>
      <c r="Q148" s="115">
        <f t="shared" si="9"/>
        <v>73.0073</v>
      </c>
      <c r="R148" s="116">
        <f t="shared" ref="R148:AO148" si="151">IF(AQ148="","", RANK(AQ148,AQ$7:AQ$503,0))</f>
        <v>31</v>
      </c>
      <c r="S148" s="115">
        <f t="shared" si="151"/>
        <v>34</v>
      </c>
      <c r="T148" s="115" t="str">
        <f t="shared" si="151"/>
        <v/>
      </c>
      <c r="U148" s="115" t="str">
        <f t="shared" si="151"/>
        <v/>
      </c>
      <c r="V148" s="115" t="str">
        <f t="shared" si="151"/>
        <v/>
      </c>
      <c r="W148" s="115" t="str">
        <f t="shared" si="151"/>
        <v/>
      </c>
      <c r="X148" s="115" t="str">
        <f t="shared" si="151"/>
        <v/>
      </c>
      <c r="Y148" s="115" t="str">
        <f t="shared" si="151"/>
        <v/>
      </c>
      <c r="Z148" s="115" t="str">
        <f t="shared" si="151"/>
        <v/>
      </c>
      <c r="AA148" s="115" t="str">
        <f t="shared" si="151"/>
        <v/>
      </c>
      <c r="AB148" s="115" t="str">
        <f t="shared" si="151"/>
        <v/>
      </c>
      <c r="AC148" s="115" t="str">
        <f t="shared" si="151"/>
        <v/>
      </c>
      <c r="AD148" s="115" t="str">
        <f t="shared" si="151"/>
        <v/>
      </c>
      <c r="AE148" s="115" t="str">
        <f t="shared" si="151"/>
        <v/>
      </c>
      <c r="AF148" s="115" t="str">
        <f t="shared" si="151"/>
        <v/>
      </c>
      <c r="AG148" s="115" t="str">
        <f t="shared" si="151"/>
        <v/>
      </c>
      <c r="AH148" s="115" t="str">
        <f t="shared" si="151"/>
        <v/>
      </c>
      <c r="AI148" s="115" t="str">
        <f t="shared" si="151"/>
        <v/>
      </c>
      <c r="AJ148" s="115" t="str">
        <f t="shared" si="151"/>
        <v/>
      </c>
      <c r="AK148" s="115" t="str">
        <f t="shared" si="151"/>
        <v/>
      </c>
      <c r="AL148" s="115" t="str">
        <f t="shared" si="151"/>
        <v/>
      </c>
      <c r="AM148" s="115" t="str">
        <f t="shared" si="151"/>
        <v/>
      </c>
      <c r="AN148" s="115" t="str">
        <f t="shared" si="151"/>
        <v/>
      </c>
      <c r="AO148" s="115" t="str">
        <f t="shared" si="151"/>
        <v/>
      </c>
      <c r="AP148" s="117">
        <f>IF(AP$6="","",IF(AP$3="Maior",IFERROR(IF(VLOOKUP($N148,Capa!$A:$AE,AP$5,0)="",0,VLOOKUP($N148,Capa!$A:$AE,AP$5,0)),0),IF(ISERROR(1/VLOOKUP($N148,Capa!$A:$AE,AP$5,0)),0,1/VLOOKUP($N148,Capa!$A:$AE,AP$5,0))))</f>
        <v>0.2144890037</v>
      </c>
      <c r="AQ148" s="118">
        <f>IF(AQ$6="","",IF(AQ$3="Maior",IFERROR(IF(VLOOKUP($N148,Capa!$A:$AE,AQ$5,0)="",0,VLOOKUP($N148,Capa!$A:$AE,AQ$5,0)),0),IF(ISERROR(1/VLOOKUP($N148,Capa!$A:$AE,AQ$5,0)),0,1/VLOOKUP($N148,Capa!$A:$AE,AQ$5,0))))</f>
        <v>36.14</v>
      </c>
      <c r="AR148" s="118">
        <f>IF(AR$6="","",IF(AR$3="Maior",IFERROR(IF(VLOOKUP($N148,Capa!$A:$AE,AR$5,0)="",0,VLOOKUP($N148,Capa!$A:$AE,AR$5,0)),0),IF(ISERROR(1/VLOOKUP($N148,Capa!$A:$AE,AR$5,0)),0,1/VLOOKUP($N148,Capa!$A:$AE,AR$5,0))))</f>
        <v>61.42</v>
      </c>
      <c r="AS148" s="118" t="str">
        <f>IF(AS$6="","",IF(AS$3="Maior",IFERROR(IF(VLOOKUP($N148,Capa!$A:$AE,AS$5,0)="",0,VLOOKUP($N148,Capa!$A:$AE,AS$5,0)),0),IF(ISERROR(1/VLOOKUP($N148,Capa!$A:$AE,AS$5,0)),0,1/VLOOKUP($N148,Capa!$A:$AE,AS$5,0))))</f>
        <v/>
      </c>
      <c r="AT148" s="118" t="str">
        <f>IF(AT$6="","",IF(AT$3="Maior",IFERROR(IF(VLOOKUP($N148,Capa!$A:$AE,AT$5,0)="",0,VLOOKUP($N148,Capa!$A:$AE,AT$5,0)),0),IF(ISERROR(1/VLOOKUP($N148,Capa!$A:$AE,AT$5,0)),0,1/VLOOKUP($N148,Capa!$A:$AE,AT$5,0))))</f>
        <v/>
      </c>
      <c r="AU148" s="118" t="str">
        <f>IF(AU$6="","",IF(AU$3="Maior",IFERROR(IF(VLOOKUP($N148,Capa!$A:$AE,AU$5,0)="",0,VLOOKUP($N148,Capa!$A:$AE,AU$5,0)),0),IF(ISERROR(1/VLOOKUP($N148,Capa!$A:$AE,AU$5,0)),0,1/VLOOKUP($N148,Capa!$A:$AE,AU$5,0))))</f>
        <v/>
      </c>
      <c r="AV148" s="118" t="str">
        <f>IF(AV$6="","",IF(AV$3="Maior",IFERROR(IF(VLOOKUP($N148,Capa!$A:$AE,AV$5,0)="",0,VLOOKUP($N148,Capa!$A:$AE,AV$5,0)),0),IF(ISERROR(1/VLOOKUP($N148,Capa!$A:$AE,AV$5,0)),0,1/VLOOKUP($N148,Capa!$A:$AE,AV$5,0))))</f>
        <v/>
      </c>
      <c r="AW148" s="118" t="str">
        <f>IF(AW$6="","",IF(AW$3="Maior",IFERROR(IF(VLOOKUP($N148,Capa!$A:$AE,AW$5,0)="",0,VLOOKUP($N148,Capa!$A:$AE,AW$5,0)),0),IF(ISERROR(1/VLOOKUP($N148,Capa!$A:$AE,AW$5,0)),0,1/VLOOKUP($N148,Capa!$A:$AE,AW$5,0))))</f>
        <v/>
      </c>
      <c r="AX148" s="118" t="str">
        <f>IF(AX$6="","",IF(AX$3="Maior",IFERROR(IF(VLOOKUP($N148,Capa!$A:$AE,AX$5,0)="",0,VLOOKUP($N148,Capa!$A:$AE,AX$5,0)),0),IF(ISERROR(1/VLOOKUP($N148,Capa!$A:$AE,AX$5,0)),0,1/VLOOKUP($N148,Capa!$A:$AE,AX$5,0))))</f>
        <v/>
      </c>
      <c r="AY148" s="118" t="str">
        <f>IF(AY$6="","",IF(AY$3="Maior",IFERROR(IF(VLOOKUP($N148,Capa!$A:$AE,AY$5,0)="",0,VLOOKUP($N148,Capa!$A:$AE,AY$5,0)),0),IF(ISERROR(1/VLOOKUP($N148,Capa!$A:$AE,AY$5,0)),0,1/VLOOKUP($N148,Capa!$A:$AE,AY$5,0))))</f>
        <v/>
      </c>
      <c r="AZ148" s="118" t="str">
        <f>IF(AZ$6="","",IF(AZ$3="Maior",IFERROR(IF(VLOOKUP($N148,Capa!$A:$AE,AZ$5,0)="",0,VLOOKUP($N148,Capa!$A:$AE,AZ$5,0)),0),IF(ISERROR(1/VLOOKUP($N148,Capa!$A:$AE,AZ$5,0)),0,1/VLOOKUP($N148,Capa!$A:$AE,AZ$5,0))))</f>
        <v/>
      </c>
      <c r="BA148" s="118" t="str">
        <f>IF(BA$6="","",IF(BA$3="Maior",IFERROR(IF(VLOOKUP($N148,Capa!$A:$AE,BA$5,0)="",0,VLOOKUP($N148,Capa!$A:$AE,BA$5,0)),0),IF(ISERROR(1/VLOOKUP($N148,Capa!$A:$AE,BA$5,0)),0,1/VLOOKUP($N148,Capa!$A:$AE,BA$5,0))))</f>
        <v/>
      </c>
      <c r="BB148" s="118" t="str">
        <f>IF(BB$6="","",IF(BB$3="Maior",IFERROR(IF(VLOOKUP($N148,Capa!$A:$AE,BB$5,0)="",0,VLOOKUP($N148,Capa!$A:$AE,BB$5,0)),0),IF(ISERROR(1/VLOOKUP($N148,Capa!$A:$AE,BB$5,0)),0,1/VLOOKUP($N148,Capa!$A:$AE,BB$5,0))))</f>
        <v/>
      </c>
      <c r="BC148" s="118" t="str">
        <f>IF(BC$6="","",IF(BC$3="Maior",IFERROR(IF(VLOOKUP($N148,Capa!$A:$AE,BC$5,0)="",0,VLOOKUP($N148,Capa!$A:$AE,BC$5,0)),0),IF(ISERROR(1/VLOOKUP($N148,Capa!$A:$AE,BC$5,0)),0,1/VLOOKUP($N148,Capa!$A:$AE,BC$5,0))))</f>
        <v/>
      </c>
      <c r="BD148" s="118" t="str">
        <f>IF(BD$6="","",IF(BD$3="Maior",IFERROR(IF(VLOOKUP($N148,Capa!$A:$AE,BD$5,0)="",0,VLOOKUP($N148,Capa!$A:$AE,BD$5,0)),0),IF(ISERROR(1/VLOOKUP($N148,Capa!$A:$AE,BD$5,0)),0,1/VLOOKUP($N148,Capa!$A:$AE,BD$5,0))))</f>
        <v/>
      </c>
      <c r="BE148" s="118" t="str">
        <f>IF(BE$6="","",IF(BE$3="Maior",IFERROR(IF(VLOOKUP($N148,Capa!$A:$AE,BE$5,0)="",0,VLOOKUP($N148,Capa!$A:$AE,BE$5,0)),0),IF(ISERROR(1/VLOOKUP($N148,Capa!$A:$AE,BE$5,0)),0,1/VLOOKUP($N148,Capa!$A:$AE,BE$5,0))))</f>
        <v/>
      </c>
      <c r="BF148" s="118" t="str">
        <f>IF(BF$6="","",IF(BF$3="Maior",IFERROR(IF(VLOOKUP($N148,Capa!$A:$AE,BF$5,0)="",0,VLOOKUP($N148,Capa!$A:$AE,BF$5,0)),0),IF(ISERROR(1/VLOOKUP($N148,Capa!$A:$AE,BF$5,0)),0,1/VLOOKUP($N148,Capa!$A:$AE,BF$5,0))))</f>
        <v/>
      </c>
      <c r="BG148" s="118" t="str">
        <f>IF(BG$6="","",IF(BG$3="Maior",IFERROR(IF(VLOOKUP($N148,Capa!$A:$AE,BG$5,0)="",0,VLOOKUP($N148,Capa!$A:$AE,BG$5,0)),0),IF(ISERROR(1/VLOOKUP($N148,Capa!$A:$AE,BG$5,0)),0,1/VLOOKUP($N148,Capa!$A:$AE,BG$5,0))))</f>
        <v/>
      </c>
      <c r="BH148" s="118" t="str">
        <f>IF(BH$6="","",IF(BH$3="Maior",IFERROR(IF(VLOOKUP($N148,Capa!$A:$AE,BH$5,0)="",0,VLOOKUP($N148,Capa!$A:$AE,BH$5,0)),0),IF(ISERROR(1/VLOOKUP($N148,Capa!$A:$AE,BH$5,0)),0,1/VLOOKUP($N148,Capa!$A:$AE,BH$5,0))))</f>
        <v/>
      </c>
      <c r="BI148" s="118" t="str">
        <f>IF(BI$6="","",IF(BI$3="Maior",IFERROR(IF(VLOOKUP($N148,Capa!$A:$AE,BI$5,0)="",0,VLOOKUP($N148,Capa!$A:$AE,BI$5,0)),0),IF(ISERROR(1/VLOOKUP($N148,Capa!$A:$AE,BI$5,0)),0,1/VLOOKUP($N148,Capa!$A:$AE,BI$5,0))))</f>
        <v/>
      </c>
      <c r="BJ148" s="118" t="str">
        <f>IF(BJ$6="","",IF(BJ$3="Maior",IFERROR(IF(VLOOKUP($N148,Capa!$A:$AE,BJ$5,0)="",0,VLOOKUP($N148,Capa!$A:$AE,BJ$5,0)),0),IF(ISERROR(1/VLOOKUP($N148,Capa!$A:$AE,BJ$5,0)),0,1/VLOOKUP($N148,Capa!$A:$AE,BJ$5,0))))</f>
        <v/>
      </c>
      <c r="BK148" s="118" t="str">
        <f>IF(BK$6="","",IF(BK$3="Maior",IFERROR(IF(VLOOKUP($N148,Capa!$A:$AE,BK$5,0)="",0,VLOOKUP($N148,Capa!$A:$AE,BK$5,0)),0),IF(ISERROR(1/VLOOKUP($N148,Capa!$A:$AE,BK$5,0)),0,1/VLOOKUP($N148,Capa!$A:$AE,BK$5,0))))</f>
        <v/>
      </c>
      <c r="BL148" s="118" t="str">
        <f>IF(BL$6="","",IF(BL$3="Maior",IFERROR(IF(VLOOKUP($N148,Capa!$A:$AE,BL$5,0)="",0,VLOOKUP($N148,Capa!$A:$AE,BL$5,0)),0),IF(ISERROR(1/VLOOKUP($N148,Capa!$A:$AE,BL$5,0)),0,1/VLOOKUP($N148,Capa!$A:$AE,BL$5,0))))</f>
        <v/>
      </c>
      <c r="BM148" s="118" t="str">
        <f>IF(BM$6="","",IF(BM$3="Maior",IFERROR(IF(VLOOKUP($N148,Capa!$A:$AE,BM$5,0)="",0,VLOOKUP($N148,Capa!$A:$AE,BM$5,0)),0),IF(ISERROR(1/VLOOKUP($N148,Capa!$A:$AE,BM$5,0)),0,1/VLOOKUP($N148,Capa!$A:$AE,BM$5,0))))</f>
        <v/>
      </c>
      <c r="BN148" s="118" t="str">
        <f>IF(BN$6="","",IF(BN$3="Maior",IFERROR(IF(VLOOKUP($N148,Capa!$A:$AE,BN$5,0)="",0,VLOOKUP($N148,Capa!$A:$AE,BN$5,0)),0),IF(ISERROR(1/VLOOKUP($N148,Capa!$A:$AE,BN$5,0)),0,1/VLOOKUP($N148,Capa!$A:$AE,BN$5,0))))</f>
        <v/>
      </c>
      <c r="BO148" s="92"/>
    </row>
    <row r="149">
      <c r="G149" s="11"/>
      <c r="H149" s="8">
        <v>143.0</v>
      </c>
      <c r="I149" s="110" t="str">
        <f t="shared" si="6"/>
        <v>OMGE3</v>
      </c>
      <c r="J149" s="111" t="str">
        <f>VLOOKUP(left(I149,4),Setor!A:D,3,0)&amp;" | "&amp;VLOOKUP(left(I149,4),Setor!A:D,4,0)</f>
        <v>Utilidade Pública | Energia Elétrica</v>
      </c>
      <c r="K149" s="112">
        <f t="shared" si="7"/>
        <v>59572202.88</v>
      </c>
      <c r="L149" s="11"/>
      <c r="M149" s="11"/>
      <c r="N149" s="10" t="s">
        <v>195</v>
      </c>
      <c r="O149" s="113">
        <f t="shared" si="8"/>
        <v>825.0271</v>
      </c>
      <c r="P149" s="114">
        <f>VLOOKUP(N149,'Dados StatusInvest'!A:Z,26,0)</f>
        <v>29337518.58</v>
      </c>
      <c r="Q149" s="115">
        <f t="shared" si="9"/>
        <v>271.0271</v>
      </c>
      <c r="R149" s="116">
        <f t="shared" ref="R149:AO149" si="152">IF(AQ149="","", RANK(AQ149,AQ$7:AQ$503,0))</f>
        <v>335</v>
      </c>
      <c r="S149" s="115">
        <f t="shared" si="152"/>
        <v>219</v>
      </c>
      <c r="T149" s="115" t="str">
        <f t="shared" si="152"/>
        <v/>
      </c>
      <c r="U149" s="115" t="str">
        <f t="shared" si="152"/>
        <v/>
      </c>
      <c r="V149" s="115" t="str">
        <f t="shared" si="152"/>
        <v/>
      </c>
      <c r="W149" s="115" t="str">
        <f t="shared" si="152"/>
        <v/>
      </c>
      <c r="X149" s="115" t="str">
        <f t="shared" si="152"/>
        <v/>
      </c>
      <c r="Y149" s="115" t="str">
        <f t="shared" si="152"/>
        <v/>
      </c>
      <c r="Z149" s="115" t="str">
        <f t="shared" si="152"/>
        <v/>
      </c>
      <c r="AA149" s="115" t="str">
        <f t="shared" si="152"/>
        <v/>
      </c>
      <c r="AB149" s="115" t="str">
        <f t="shared" si="152"/>
        <v/>
      </c>
      <c r="AC149" s="115" t="str">
        <f t="shared" si="152"/>
        <v/>
      </c>
      <c r="AD149" s="115" t="str">
        <f t="shared" si="152"/>
        <v/>
      </c>
      <c r="AE149" s="115" t="str">
        <f t="shared" si="152"/>
        <v/>
      </c>
      <c r="AF149" s="115" t="str">
        <f t="shared" si="152"/>
        <v/>
      </c>
      <c r="AG149" s="115" t="str">
        <f t="shared" si="152"/>
        <v/>
      </c>
      <c r="AH149" s="115" t="str">
        <f t="shared" si="152"/>
        <v/>
      </c>
      <c r="AI149" s="115" t="str">
        <f t="shared" si="152"/>
        <v/>
      </c>
      <c r="AJ149" s="115" t="str">
        <f t="shared" si="152"/>
        <v/>
      </c>
      <c r="AK149" s="115" t="str">
        <f t="shared" si="152"/>
        <v/>
      </c>
      <c r="AL149" s="115" t="str">
        <f t="shared" si="152"/>
        <v/>
      </c>
      <c r="AM149" s="115" t="str">
        <f t="shared" si="152"/>
        <v/>
      </c>
      <c r="AN149" s="115" t="str">
        <f t="shared" si="152"/>
        <v/>
      </c>
      <c r="AO149" s="115" t="str">
        <f t="shared" si="152"/>
        <v/>
      </c>
      <c r="AP149" s="117">
        <f>IF(AP$6="","",IF(AP$3="Maior",IFERROR(IF(VLOOKUP($N149,Capa!$A:$AE,AP$5,0)="",0,VLOOKUP($N149,Capa!$A:$AE,AP$5,0)),0),IF(ISERROR(1/VLOOKUP($N149,Capa!$A:$AE,AP$5,0)),0,1/VLOOKUP($N149,Capa!$A:$AE,AP$5,0))))</f>
        <v>0.07074263504</v>
      </c>
      <c r="AQ149" s="118">
        <f>IF(AQ$6="","",IF(AQ$3="Maior",IFERROR(IF(VLOOKUP($N149,Capa!$A:$AE,AQ$5,0)="",0,VLOOKUP($N149,Capa!$A:$AE,AQ$5,0)),0),IF(ISERROR(1/VLOOKUP($N149,Capa!$A:$AE,AQ$5,0)),0,1/VLOOKUP($N149,Capa!$A:$AE,AQ$5,0))))</f>
        <v>2.86</v>
      </c>
      <c r="AR149" s="118">
        <f>IF(AR$6="","",IF(AR$3="Maior",IFERROR(IF(VLOOKUP($N149,Capa!$A:$AE,AR$5,0)="",0,VLOOKUP($N149,Capa!$A:$AE,AR$5,0)),0),IF(ISERROR(1/VLOOKUP($N149,Capa!$A:$AE,AR$5,0)),0,1/VLOOKUP($N149,Capa!$A:$AE,AR$5,0))))</f>
        <v>0</v>
      </c>
      <c r="AS149" s="118" t="str">
        <f>IF(AS$6="","",IF(AS$3="Maior",IFERROR(IF(VLOOKUP($N149,Capa!$A:$AE,AS$5,0)="",0,VLOOKUP($N149,Capa!$A:$AE,AS$5,0)),0),IF(ISERROR(1/VLOOKUP($N149,Capa!$A:$AE,AS$5,0)),0,1/VLOOKUP($N149,Capa!$A:$AE,AS$5,0))))</f>
        <v/>
      </c>
      <c r="AT149" s="118" t="str">
        <f>IF(AT$6="","",IF(AT$3="Maior",IFERROR(IF(VLOOKUP($N149,Capa!$A:$AE,AT$5,0)="",0,VLOOKUP($N149,Capa!$A:$AE,AT$5,0)),0),IF(ISERROR(1/VLOOKUP($N149,Capa!$A:$AE,AT$5,0)),0,1/VLOOKUP($N149,Capa!$A:$AE,AT$5,0))))</f>
        <v/>
      </c>
      <c r="AU149" s="118" t="str">
        <f>IF(AU$6="","",IF(AU$3="Maior",IFERROR(IF(VLOOKUP($N149,Capa!$A:$AE,AU$5,0)="",0,VLOOKUP($N149,Capa!$A:$AE,AU$5,0)),0),IF(ISERROR(1/VLOOKUP($N149,Capa!$A:$AE,AU$5,0)),0,1/VLOOKUP($N149,Capa!$A:$AE,AU$5,0))))</f>
        <v/>
      </c>
      <c r="AV149" s="118" t="str">
        <f>IF(AV$6="","",IF(AV$3="Maior",IFERROR(IF(VLOOKUP($N149,Capa!$A:$AE,AV$5,0)="",0,VLOOKUP($N149,Capa!$A:$AE,AV$5,0)),0),IF(ISERROR(1/VLOOKUP($N149,Capa!$A:$AE,AV$5,0)),0,1/VLOOKUP($N149,Capa!$A:$AE,AV$5,0))))</f>
        <v/>
      </c>
      <c r="AW149" s="118" t="str">
        <f>IF(AW$6="","",IF(AW$3="Maior",IFERROR(IF(VLOOKUP($N149,Capa!$A:$AE,AW$5,0)="",0,VLOOKUP($N149,Capa!$A:$AE,AW$5,0)),0),IF(ISERROR(1/VLOOKUP($N149,Capa!$A:$AE,AW$5,0)),0,1/VLOOKUP($N149,Capa!$A:$AE,AW$5,0))))</f>
        <v/>
      </c>
      <c r="AX149" s="118" t="str">
        <f>IF(AX$6="","",IF(AX$3="Maior",IFERROR(IF(VLOOKUP($N149,Capa!$A:$AE,AX$5,0)="",0,VLOOKUP($N149,Capa!$A:$AE,AX$5,0)),0),IF(ISERROR(1/VLOOKUP($N149,Capa!$A:$AE,AX$5,0)),0,1/VLOOKUP($N149,Capa!$A:$AE,AX$5,0))))</f>
        <v/>
      </c>
      <c r="AY149" s="118" t="str">
        <f>IF(AY$6="","",IF(AY$3="Maior",IFERROR(IF(VLOOKUP($N149,Capa!$A:$AE,AY$5,0)="",0,VLOOKUP($N149,Capa!$A:$AE,AY$5,0)),0),IF(ISERROR(1/VLOOKUP($N149,Capa!$A:$AE,AY$5,0)),0,1/VLOOKUP($N149,Capa!$A:$AE,AY$5,0))))</f>
        <v/>
      </c>
      <c r="AZ149" s="118" t="str">
        <f>IF(AZ$6="","",IF(AZ$3="Maior",IFERROR(IF(VLOOKUP($N149,Capa!$A:$AE,AZ$5,0)="",0,VLOOKUP($N149,Capa!$A:$AE,AZ$5,0)),0),IF(ISERROR(1/VLOOKUP($N149,Capa!$A:$AE,AZ$5,0)),0,1/VLOOKUP($N149,Capa!$A:$AE,AZ$5,0))))</f>
        <v/>
      </c>
      <c r="BA149" s="118" t="str">
        <f>IF(BA$6="","",IF(BA$3="Maior",IFERROR(IF(VLOOKUP($N149,Capa!$A:$AE,BA$5,0)="",0,VLOOKUP($N149,Capa!$A:$AE,BA$5,0)),0),IF(ISERROR(1/VLOOKUP($N149,Capa!$A:$AE,BA$5,0)),0,1/VLOOKUP($N149,Capa!$A:$AE,BA$5,0))))</f>
        <v/>
      </c>
      <c r="BB149" s="118" t="str">
        <f>IF(BB$6="","",IF(BB$3="Maior",IFERROR(IF(VLOOKUP($N149,Capa!$A:$AE,BB$5,0)="",0,VLOOKUP($N149,Capa!$A:$AE,BB$5,0)),0),IF(ISERROR(1/VLOOKUP($N149,Capa!$A:$AE,BB$5,0)),0,1/VLOOKUP($N149,Capa!$A:$AE,BB$5,0))))</f>
        <v/>
      </c>
      <c r="BC149" s="118" t="str">
        <f>IF(BC$6="","",IF(BC$3="Maior",IFERROR(IF(VLOOKUP($N149,Capa!$A:$AE,BC$5,0)="",0,VLOOKUP($N149,Capa!$A:$AE,BC$5,0)),0),IF(ISERROR(1/VLOOKUP($N149,Capa!$A:$AE,BC$5,0)),0,1/VLOOKUP($N149,Capa!$A:$AE,BC$5,0))))</f>
        <v/>
      </c>
      <c r="BD149" s="118" t="str">
        <f>IF(BD$6="","",IF(BD$3="Maior",IFERROR(IF(VLOOKUP($N149,Capa!$A:$AE,BD$5,0)="",0,VLOOKUP($N149,Capa!$A:$AE,BD$5,0)),0),IF(ISERROR(1/VLOOKUP($N149,Capa!$A:$AE,BD$5,0)),0,1/VLOOKUP($N149,Capa!$A:$AE,BD$5,0))))</f>
        <v/>
      </c>
      <c r="BE149" s="118" t="str">
        <f>IF(BE$6="","",IF(BE$3="Maior",IFERROR(IF(VLOOKUP($N149,Capa!$A:$AE,BE$5,0)="",0,VLOOKUP($N149,Capa!$A:$AE,BE$5,0)),0),IF(ISERROR(1/VLOOKUP($N149,Capa!$A:$AE,BE$5,0)),0,1/VLOOKUP($N149,Capa!$A:$AE,BE$5,0))))</f>
        <v/>
      </c>
      <c r="BF149" s="118" t="str">
        <f>IF(BF$6="","",IF(BF$3="Maior",IFERROR(IF(VLOOKUP($N149,Capa!$A:$AE,BF$5,0)="",0,VLOOKUP($N149,Capa!$A:$AE,BF$5,0)),0),IF(ISERROR(1/VLOOKUP($N149,Capa!$A:$AE,BF$5,0)),0,1/VLOOKUP($N149,Capa!$A:$AE,BF$5,0))))</f>
        <v/>
      </c>
      <c r="BG149" s="118" t="str">
        <f>IF(BG$6="","",IF(BG$3="Maior",IFERROR(IF(VLOOKUP($N149,Capa!$A:$AE,BG$5,0)="",0,VLOOKUP($N149,Capa!$A:$AE,BG$5,0)),0),IF(ISERROR(1/VLOOKUP($N149,Capa!$A:$AE,BG$5,0)),0,1/VLOOKUP($N149,Capa!$A:$AE,BG$5,0))))</f>
        <v/>
      </c>
      <c r="BH149" s="118" t="str">
        <f>IF(BH$6="","",IF(BH$3="Maior",IFERROR(IF(VLOOKUP($N149,Capa!$A:$AE,BH$5,0)="",0,VLOOKUP($N149,Capa!$A:$AE,BH$5,0)),0),IF(ISERROR(1/VLOOKUP($N149,Capa!$A:$AE,BH$5,0)),0,1/VLOOKUP($N149,Capa!$A:$AE,BH$5,0))))</f>
        <v/>
      </c>
      <c r="BI149" s="118" t="str">
        <f>IF(BI$6="","",IF(BI$3="Maior",IFERROR(IF(VLOOKUP($N149,Capa!$A:$AE,BI$5,0)="",0,VLOOKUP($N149,Capa!$A:$AE,BI$5,0)),0),IF(ISERROR(1/VLOOKUP($N149,Capa!$A:$AE,BI$5,0)),0,1/VLOOKUP($N149,Capa!$A:$AE,BI$5,0))))</f>
        <v/>
      </c>
      <c r="BJ149" s="118" t="str">
        <f>IF(BJ$6="","",IF(BJ$3="Maior",IFERROR(IF(VLOOKUP($N149,Capa!$A:$AE,BJ$5,0)="",0,VLOOKUP($N149,Capa!$A:$AE,BJ$5,0)),0),IF(ISERROR(1/VLOOKUP($N149,Capa!$A:$AE,BJ$5,0)),0,1/VLOOKUP($N149,Capa!$A:$AE,BJ$5,0))))</f>
        <v/>
      </c>
      <c r="BK149" s="118" t="str">
        <f>IF(BK$6="","",IF(BK$3="Maior",IFERROR(IF(VLOOKUP($N149,Capa!$A:$AE,BK$5,0)="",0,VLOOKUP($N149,Capa!$A:$AE,BK$5,0)),0),IF(ISERROR(1/VLOOKUP($N149,Capa!$A:$AE,BK$5,0)),0,1/VLOOKUP($N149,Capa!$A:$AE,BK$5,0))))</f>
        <v/>
      </c>
      <c r="BL149" s="118" t="str">
        <f>IF(BL$6="","",IF(BL$3="Maior",IFERROR(IF(VLOOKUP($N149,Capa!$A:$AE,BL$5,0)="",0,VLOOKUP($N149,Capa!$A:$AE,BL$5,0)),0),IF(ISERROR(1/VLOOKUP($N149,Capa!$A:$AE,BL$5,0)),0,1/VLOOKUP($N149,Capa!$A:$AE,BL$5,0))))</f>
        <v/>
      </c>
      <c r="BM149" s="118" t="str">
        <f>IF(BM$6="","",IF(BM$3="Maior",IFERROR(IF(VLOOKUP($N149,Capa!$A:$AE,BM$5,0)="",0,VLOOKUP($N149,Capa!$A:$AE,BM$5,0)),0),IF(ISERROR(1/VLOOKUP($N149,Capa!$A:$AE,BM$5,0)),0,1/VLOOKUP($N149,Capa!$A:$AE,BM$5,0))))</f>
        <v/>
      </c>
      <c r="BN149" s="118" t="str">
        <f>IF(BN$6="","",IF(BN$3="Maior",IFERROR(IF(VLOOKUP($N149,Capa!$A:$AE,BN$5,0)="",0,VLOOKUP($N149,Capa!$A:$AE,BN$5,0)),0),IF(ISERROR(1/VLOOKUP($N149,Capa!$A:$AE,BN$5,0)),0,1/VLOOKUP($N149,Capa!$A:$AE,BN$5,0))))</f>
        <v/>
      </c>
      <c r="BO149" s="92"/>
    </row>
    <row r="150">
      <c r="G150" s="11"/>
      <c r="H150" s="8">
        <v>144.0</v>
      </c>
      <c r="I150" s="110" t="str">
        <f t="shared" si="6"/>
        <v>HBSA3</v>
      </c>
      <c r="J150" s="111" t="str">
        <f>VLOOKUP(left(I150,4),Setor!A:D,3,0)&amp;" | "&amp;VLOOKUP(left(I150,4),Setor!A:D,4,0)</f>
        <v>Bens Industriais | Transporte</v>
      </c>
      <c r="K150" s="112">
        <f t="shared" si="7"/>
        <v>16041594.92</v>
      </c>
      <c r="L150" s="11"/>
      <c r="M150" s="11"/>
      <c r="N150" s="10" t="s">
        <v>196</v>
      </c>
      <c r="O150" s="113">
        <f t="shared" si="8"/>
        <v>965.038</v>
      </c>
      <c r="P150" s="114">
        <f>VLOOKUP(N150,'Dados StatusInvest'!A:Z,26,0)</f>
        <v>17761586.5</v>
      </c>
      <c r="Q150" s="115">
        <f t="shared" si="9"/>
        <v>380.038</v>
      </c>
      <c r="R150" s="116">
        <f t="shared" ref="R150:AO150" si="153">IF(AQ150="","", RANK(AQ150,AQ$7:AQ$503,0))</f>
        <v>366</v>
      </c>
      <c r="S150" s="115">
        <f t="shared" si="153"/>
        <v>219</v>
      </c>
      <c r="T150" s="115" t="str">
        <f t="shared" si="153"/>
        <v/>
      </c>
      <c r="U150" s="115" t="str">
        <f t="shared" si="153"/>
        <v/>
      </c>
      <c r="V150" s="115" t="str">
        <f t="shared" si="153"/>
        <v/>
      </c>
      <c r="W150" s="115" t="str">
        <f t="shared" si="153"/>
        <v/>
      </c>
      <c r="X150" s="115" t="str">
        <f t="shared" si="153"/>
        <v/>
      </c>
      <c r="Y150" s="115" t="str">
        <f t="shared" si="153"/>
        <v/>
      </c>
      <c r="Z150" s="115" t="str">
        <f t="shared" si="153"/>
        <v/>
      </c>
      <c r="AA150" s="115" t="str">
        <f t="shared" si="153"/>
        <v/>
      </c>
      <c r="AB150" s="115" t="str">
        <f t="shared" si="153"/>
        <v/>
      </c>
      <c r="AC150" s="115" t="str">
        <f t="shared" si="153"/>
        <v/>
      </c>
      <c r="AD150" s="115" t="str">
        <f t="shared" si="153"/>
        <v/>
      </c>
      <c r="AE150" s="115" t="str">
        <f t="shared" si="153"/>
        <v/>
      </c>
      <c r="AF150" s="115" t="str">
        <f t="shared" si="153"/>
        <v/>
      </c>
      <c r="AG150" s="115" t="str">
        <f t="shared" si="153"/>
        <v/>
      </c>
      <c r="AH150" s="115" t="str">
        <f t="shared" si="153"/>
        <v/>
      </c>
      <c r="AI150" s="115" t="str">
        <f t="shared" si="153"/>
        <v/>
      </c>
      <c r="AJ150" s="115" t="str">
        <f t="shared" si="153"/>
        <v/>
      </c>
      <c r="AK150" s="115" t="str">
        <f t="shared" si="153"/>
        <v/>
      </c>
      <c r="AL150" s="115" t="str">
        <f t="shared" si="153"/>
        <v/>
      </c>
      <c r="AM150" s="115" t="str">
        <f t="shared" si="153"/>
        <v/>
      </c>
      <c r="AN150" s="115" t="str">
        <f t="shared" si="153"/>
        <v/>
      </c>
      <c r="AO150" s="115" t="str">
        <f t="shared" si="153"/>
        <v/>
      </c>
      <c r="AP150" s="117">
        <f>IF(AP$6="","",IF(AP$3="Maior",IFERROR(IF(VLOOKUP($N150,Capa!$A:$AE,AP$5,0)="",0,VLOOKUP($N150,Capa!$A:$AE,AP$5,0)),0),IF(ISERROR(1/VLOOKUP($N150,Capa!$A:$AE,AP$5,0)),0,1/VLOOKUP($N150,Capa!$A:$AE,AP$5,0))))</f>
        <v>0.01684448208</v>
      </c>
      <c r="AQ150" s="118">
        <f>IF(AQ$6="","",IF(AQ$3="Maior",IFERROR(IF(VLOOKUP($N150,Capa!$A:$AE,AQ$5,0)="",0,VLOOKUP($N150,Capa!$A:$AE,AQ$5,0)),0),IF(ISERROR(1/VLOOKUP($N150,Capa!$A:$AE,AQ$5,0)),0,1/VLOOKUP($N150,Capa!$A:$AE,AQ$5,0))))</f>
        <v>1.08</v>
      </c>
      <c r="AR150" s="118">
        <f>IF(AR$6="","",IF(AR$3="Maior",IFERROR(IF(VLOOKUP($N150,Capa!$A:$AE,AR$5,0)="",0,VLOOKUP($N150,Capa!$A:$AE,AR$5,0)),0),IF(ISERROR(1/VLOOKUP($N150,Capa!$A:$AE,AR$5,0)),0,1/VLOOKUP($N150,Capa!$A:$AE,AR$5,0))))</f>
        <v>0</v>
      </c>
      <c r="AS150" s="118" t="str">
        <f>IF(AS$6="","",IF(AS$3="Maior",IFERROR(IF(VLOOKUP($N150,Capa!$A:$AE,AS$5,0)="",0,VLOOKUP($N150,Capa!$A:$AE,AS$5,0)),0),IF(ISERROR(1/VLOOKUP($N150,Capa!$A:$AE,AS$5,0)),0,1/VLOOKUP($N150,Capa!$A:$AE,AS$5,0))))</f>
        <v/>
      </c>
      <c r="AT150" s="118" t="str">
        <f>IF(AT$6="","",IF(AT$3="Maior",IFERROR(IF(VLOOKUP($N150,Capa!$A:$AE,AT$5,0)="",0,VLOOKUP($N150,Capa!$A:$AE,AT$5,0)),0),IF(ISERROR(1/VLOOKUP($N150,Capa!$A:$AE,AT$5,0)),0,1/VLOOKUP($N150,Capa!$A:$AE,AT$5,0))))</f>
        <v/>
      </c>
      <c r="AU150" s="118" t="str">
        <f>IF(AU$6="","",IF(AU$3="Maior",IFERROR(IF(VLOOKUP($N150,Capa!$A:$AE,AU$5,0)="",0,VLOOKUP($N150,Capa!$A:$AE,AU$5,0)),0),IF(ISERROR(1/VLOOKUP($N150,Capa!$A:$AE,AU$5,0)),0,1/VLOOKUP($N150,Capa!$A:$AE,AU$5,0))))</f>
        <v/>
      </c>
      <c r="AV150" s="118" t="str">
        <f>IF(AV$6="","",IF(AV$3="Maior",IFERROR(IF(VLOOKUP($N150,Capa!$A:$AE,AV$5,0)="",0,VLOOKUP($N150,Capa!$A:$AE,AV$5,0)),0),IF(ISERROR(1/VLOOKUP($N150,Capa!$A:$AE,AV$5,0)),0,1/VLOOKUP($N150,Capa!$A:$AE,AV$5,0))))</f>
        <v/>
      </c>
      <c r="AW150" s="118" t="str">
        <f>IF(AW$6="","",IF(AW$3="Maior",IFERROR(IF(VLOOKUP($N150,Capa!$A:$AE,AW$5,0)="",0,VLOOKUP($N150,Capa!$A:$AE,AW$5,0)),0),IF(ISERROR(1/VLOOKUP($N150,Capa!$A:$AE,AW$5,0)),0,1/VLOOKUP($N150,Capa!$A:$AE,AW$5,0))))</f>
        <v/>
      </c>
      <c r="AX150" s="118" t="str">
        <f>IF(AX$6="","",IF(AX$3="Maior",IFERROR(IF(VLOOKUP($N150,Capa!$A:$AE,AX$5,0)="",0,VLOOKUP($N150,Capa!$A:$AE,AX$5,0)),0),IF(ISERROR(1/VLOOKUP($N150,Capa!$A:$AE,AX$5,0)),0,1/VLOOKUP($N150,Capa!$A:$AE,AX$5,0))))</f>
        <v/>
      </c>
      <c r="AY150" s="118" t="str">
        <f>IF(AY$6="","",IF(AY$3="Maior",IFERROR(IF(VLOOKUP($N150,Capa!$A:$AE,AY$5,0)="",0,VLOOKUP($N150,Capa!$A:$AE,AY$5,0)),0),IF(ISERROR(1/VLOOKUP($N150,Capa!$A:$AE,AY$5,0)),0,1/VLOOKUP($N150,Capa!$A:$AE,AY$5,0))))</f>
        <v/>
      </c>
      <c r="AZ150" s="118" t="str">
        <f>IF(AZ$6="","",IF(AZ$3="Maior",IFERROR(IF(VLOOKUP($N150,Capa!$A:$AE,AZ$5,0)="",0,VLOOKUP($N150,Capa!$A:$AE,AZ$5,0)),0),IF(ISERROR(1/VLOOKUP($N150,Capa!$A:$AE,AZ$5,0)),0,1/VLOOKUP($N150,Capa!$A:$AE,AZ$5,0))))</f>
        <v/>
      </c>
      <c r="BA150" s="118" t="str">
        <f>IF(BA$6="","",IF(BA$3="Maior",IFERROR(IF(VLOOKUP($N150,Capa!$A:$AE,BA$5,0)="",0,VLOOKUP($N150,Capa!$A:$AE,BA$5,0)),0),IF(ISERROR(1/VLOOKUP($N150,Capa!$A:$AE,BA$5,0)),0,1/VLOOKUP($N150,Capa!$A:$AE,BA$5,0))))</f>
        <v/>
      </c>
      <c r="BB150" s="118" t="str">
        <f>IF(BB$6="","",IF(BB$3="Maior",IFERROR(IF(VLOOKUP($N150,Capa!$A:$AE,BB$5,0)="",0,VLOOKUP($N150,Capa!$A:$AE,BB$5,0)),0),IF(ISERROR(1/VLOOKUP($N150,Capa!$A:$AE,BB$5,0)),0,1/VLOOKUP($N150,Capa!$A:$AE,BB$5,0))))</f>
        <v/>
      </c>
      <c r="BC150" s="118" t="str">
        <f>IF(BC$6="","",IF(BC$3="Maior",IFERROR(IF(VLOOKUP($N150,Capa!$A:$AE,BC$5,0)="",0,VLOOKUP($N150,Capa!$A:$AE,BC$5,0)),0),IF(ISERROR(1/VLOOKUP($N150,Capa!$A:$AE,BC$5,0)),0,1/VLOOKUP($N150,Capa!$A:$AE,BC$5,0))))</f>
        <v/>
      </c>
      <c r="BD150" s="118" t="str">
        <f>IF(BD$6="","",IF(BD$3="Maior",IFERROR(IF(VLOOKUP($N150,Capa!$A:$AE,BD$5,0)="",0,VLOOKUP($N150,Capa!$A:$AE,BD$5,0)),0),IF(ISERROR(1/VLOOKUP($N150,Capa!$A:$AE,BD$5,0)),0,1/VLOOKUP($N150,Capa!$A:$AE,BD$5,0))))</f>
        <v/>
      </c>
      <c r="BE150" s="118" t="str">
        <f>IF(BE$6="","",IF(BE$3="Maior",IFERROR(IF(VLOOKUP($N150,Capa!$A:$AE,BE$5,0)="",0,VLOOKUP($N150,Capa!$A:$AE,BE$5,0)),0),IF(ISERROR(1/VLOOKUP($N150,Capa!$A:$AE,BE$5,0)),0,1/VLOOKUP($N150,Capa!$A:$AE,BE$5,0))))</f>
        <v/>
      </c>
      <c r="BF150" s="118" t="str">
        <f>IF(BF$6="","",IF(BF$3="Maior",IFERROR(IF(VLOOKUP($N150,Capa!$A:$AE,BF$5,0)="",0,VLOOKUP($N150,Capa!$A:$AE,BF$5,0)),0),IF(ISERROR(1/VLOOKUP($N150,Capa!$A:$AE,BF$5,0)),0,1/VLOOKUP($N150,Capa!$A:$AE,BF$5,0))))</f>
        <v/>
      </c>
      <c r="BG150" s="118" t="str">
        <f>IF(BG$6="","",IF(BG$3="Maior",IFERROR(IF(VLOOKUP($N150,Capa!$A:$AE,BG$5,0)="",0,VLOOKUP($N150,Capa!$A:$AE,BG$5,0)),0),IF(ISERROR(1/VLOOKUP($N150,Capa!$A:$AE,BG$5,0)),0,1/VLOOKUP($N150,Capa!$A:$AE,BG$5,0))))</f>
        <v/>
      </c>
      <c r="BH150" s="118" t="str">
        <f>IF(BH$6="","",IF(BH$3="Maior",IFERROR(IF(VLOOKUP($N150,Capa!$A:$AE,BH$5,0)="",0,VLOOKUP($N150,Capa!$A:$AE,BH$5,0)),0),IF(ISERROR(1/VLOOKUP($N150,Capa!$A:$AE,BH$5,0)),0,1/VLOOKUP($N150,Capa!$A:$AE,BH$5,0))))</f>
        <v/>
      </c>
      <c r="BI150" s="118" t="str">
        <f>IF(BI$6="","",IF(BI$3="Maior",IFERROR(IF(VLOOKUP($N150,Capa!$A:$AE,BI$5,0)="",0,VLOOKUP($N150,Capa!$A:$AE,BI$5,0)),0),IF(ISERROR(1/VLOOKUP($N150,Capa!$A:$AE,BI$5,0)),0,1/VLOOKUP($N150,Capa!$A:$AE,BI$5,0))))</f>
        <v/>
      </c>
      <c r="BJ150" s="118" t="str">
        <f>IF(BJ$6="","",IF(BJ$3="Maior",IFERROR(IF(VLOOKUP($N150,Capa!$A:$AE,BJ$5,0)="",0,VLOOKUP($N150,Capa!$A:$AE,BJ$5,0)),0),IF(ISERROR(1/VLOOKUP($N150,Capa!$A:$AE,BJ$5,0)),0,1/VLOOKUP($N150,Capa!$A:$AE,BJ$5,0))))</f>
        <v/>
      </c>
      <c r="BK150" s="118" t="str">
        <f>IF(BK$6="","",IF(BK$3="Maior",IFERROR(IF(VLOOKUP($N150,Capa!$A:$AE,BK$5,0)="",0,VLOOKUP($N150,Capa!$A:$AE,BK$5,0)),0),IF(ISERROR(1/VLOOKUP($N150,Capa!$A:$AE,BK$5,0)),0,1/VLOOKUP($N150,Capa!$A:$AE,BK$5,0))))</f>
        <v/>
      </c>
      <c r="BL150" s="118" t="str">
        <f>IF(BL$6="","",IF(BL$3="Maior",IFERROR(IF(VLOOKUP($N150,Capa!$A:$AE,BL$5,0)="",0,VLOOKUP($N150,Capa!$A:$AE,BL$5,0)),0),IF(ISERROR(1/VLOOKUP($N150,Capa!$A:$AE,BL$5,0)),0,1/VLOOKUP($N150,Capa!$A:$AE,BL$5,0))))</f>
        <v/>
      </c>
      <c r="BM150" s="118" t="str">
        <f>IF(BM$6="","",IF(BM$3="Maior",IFERROR(IF(VLOOKUP($N150,Capa!$A:$AE,BM$5,0)="",0,VLOOKUP($N150,Capa!$A:$AE,BM$5,0)),0),IF(ISERROR(1/VLOOKUP($N150,Capa!$A:$AE,BM$5,0)),0,1/VLOOKUP($N150,Capa!$A:$AE,BM$5,0))))</f>
        <v/>
      </c>
      <c r="BN150" s="118" t="str">
        <f>IF(BN$6="","",IF(BN$3="Maior",IFERROR(IF(VLOOKUP($N150,Capa!$A:$AE,BN$5,0)="",0,VLOOKUP($N150,Capa!$A:$AE,BN$5,0)),0),IF(ISERROR(1/VLOOKUP($N150,Capa!$A:$AE,BN$5,0)),0,1/VLOOKUP($N150,Capa!$A:$AE,BN$5,0))))</f>
        <v/>
      </c>
      <c r="BO150" s="92"/>
    </row>
    <row r="151">
      <c r="G151" s="11"/>
      <c r="H151" s="8">
        <v>145.0</v>
      </c>
      <c r="I151" s="110" t="str">
        <f t="shared" si="6"/>
        <v>STBP3</v>
      </c>
      <c r="J151" s="111" t="str">
        <f>VLOOKUP(left(I151,4),Setor!A:D,3,0)&amp;" | "&amp;VLOOKUP(left(I151,4),Setor!A:D,4,0)</f>
        <v>Bens Industriais | Transporte</v>
      </c>
      <c r="K151" s="112">
        <f t="shared" si="7"/>
        <v>25911061.38</v>
      </c>
      <c r="L151" s="11"/>
      <c r="M151" s="11"/>
      <c r="N151" s="10" t="s">
        <v>197</v>
      </c>
      <c r="O151" s="113">
        <f t="shared" si="8"/>
        <v>551.0227</v>
      </c>
      <c r="P151" s="114">
        <f>VLOOKUP(N151,'Dados StatusInvest'!A:Z,26,0)</f>
        <v>24833876.54</v>
      </c>
      <c r="Q151" s="115">
        <f t="shared" si="9"/>
        <v>227.0227</v>
      </c>
      <c r="R151" s="116">
        <f t="shared" ref="R151:AO151" si="154">IF(AQ151="","", RANK(AQ151,AQ$7:AQ$503,0))</f>
        <v>105</v>
      </c>
      <c r="S151" s="115">
        <f t="shared" si="154"/>
        <v>219</v>
      </c>
      <c r="T151" s="115" t="str">
        <f t="shared" si="154"/>
        <v/>
      </c>
      <c r="U151" s="115" t="str">
        <f t="shared" si="154"/>
        <v/>
      </c>
      <c r="V151" s="115" t="str">
        <f t="shared" si="154"/>
        <v/>
      </c>
      <c r="W151" s="115" t="str">
        <f t="shared" si="154"/>
        <v/>
      </c>
      <c r="X151" s="115" t="str">
        <f t="shared" si="154"/>
        <v/>
      </c>
      <c r="Y151" s="115" t="str">
        <f t="shared" si="154"/>
        <v/>
      </c>
      <c r="Z151" s="115" t="str">
        <f t="shared" si="154"/>
        <v/>
      </c>
      <c r="AA151" s="115" t="str">
        <f t="shared" si="154"/>
        <v/>
      </c>
      <c r="AB151" s="115" t="str">
        <f t="shared" si="154"/>
        <v/>
      </c>
      <c r="AC151" s="115" t="str">
        <f t="shared" si="154"/>
        <v/>
      </c>
      <c r="AD151" s="115" t="str">
        <f t="shared" si="154"/>
        <v/>
      </c>
      <c r="AE151" s="115" t="str">
        <f t="shared" si="154"/>
        <v/>
      </c>
      <c r="AF151" s="115" t="str">
        <f t="shared" si="154"/>
        <v/>
      </c>
      <c r="AG151" s="115" t="str">
        <f t="shared" si="154"/>
        <v/>
      </c>
      <c r="AH151" s="115" t="str">
        <f t="shared" si="154"/>
        <v/>
      </c>
      <c r="AI151" s="115" t="str">
        <f t="shared" si="154"/>
        <v/>
      </c>
      <c r="AJ151" s="115" t="str">
        <f t="shared" si="154"/>
        <v/>
      </c>
      <c r="AK151" s="115" t="str">
        <f t="shared" si="154"/>
        <v/>
      </c>
      <c r="AL151" s="115" t="str">
        <f t="shared" si="154"/>
        <v/>
      </c>
      <c r="AM151" s="115" t="str">
        <f t="shared" si="154"/>
        <v/>
      </c>
      <c r="AN151" s="115" t="str">
        <f t="shared" si="154"/>
        <v/>
      </c>
      <c r="AO151" s="115" t="str">
        <f t="shared" si="154"/>
        <v/>
      </c>
      <c r="AP151" s="117">
        <f>IF(AP$6="","",IF(AP$3="Maior",IFERROR(IF(VLOOKUP($N151,Capa!$A:$AE,AP$5,0)="",0,VLOOKUP($N151,Capa!$A:$AE,AP$5,0)),0),IF(ISERROR(1/VLOOKUP($N151,Capa!$A:$AE,AP$5,0)),0,1/VLOOKUP($N151,Capa!$A:$AE,AP$5,0))))</f>
        <v>0.08929264694</v>
      </c>
      <c r="AQ151" s="118">
        <f>IF(AQ$6="","",IF(AQ$3="Maior",IFERROR(IF(VLOOKUP($N151,Capa!$A:$AE,AQ$5,0)="",0,VLOOKUP($N151,Capa!$A:$AE,AQ$5,0)),0),IF(ISERROR(1/VLOOKUP($N151,Capa!$A:$AE,AQ$5,0)),0,1/VLOOKUP($N151,Capa!$A:$AE,AQ$5,0))))</f>
        <v>17.32</v>
      </c>
      <c r="AR151" s="118">
        <f>IF(AR$6="","",IF(AR$3="Maior",IFERROR(IF(VLOOKUP($N151,Capa!$A:$AE,AR$5,0)="",0,VLOOKUP($N151,Capa!$A:$AE,AR$5,0)),0),IF(ISERROR(1/VLOOKUP($N151,Capa!$A:$AE,AR$5,0)),0,1/VLOOKUP($N151,Capa!$A:$AE,AR$5,0))))</f>
        <v>0</v>
      </c>
      <c r="AS151" s="118" t="str">
        <f>IF(AS$6="","",IF(AS$3="Maior",IFERROR(IF(VLOOKUP($N151,Capa!$A:$AE,AS$5,0)="",0,VLOOKUP($N151,Capa!$A:$AE,AS$5,0)),0),IF(ISERROR(1/VLOOKUP($N151,Capa!$A:$AE,AS$5,0)),0,1/VLOOKUP($N151,Capa!$A:$AE,AS$5,0))))</f>
        <v/>
      </c>
      <c r="AT151" s="118" t="str">
        <f>IF(AT$6="","",IF(AT$3="Maior",IFERROR(IF(VLOOKUP($N151,Capa!$A:$AE,AT$5,0)="",0,VLOOKUP($N151,Capa!$A:$AE,AT$5,0)),0),IF(ISERROR(1/VLOOKUP($N151,Capa!$A:$AE,AT$5,0)),0,1/VLOOKUP($N151,Capa!$A:$AE,AT$5,0))))</f>
        <v/>
      </c>
      <c r="AU151" s="118" t="str">
        <f>IF(AU$6="","",IF(AU$3="Maior",IFERROR(IF(VLOOKUP($N151,Capa!$A:$AE,AU$5,0)="",0,VLOOKUP($N151,Capa!$A:$AE,AU$5,0)),0),IF(ISERROR(1/VLOOKUP($N151,Capa!$A:$AE,AU$5,0)),0,1/VLOOKUP($N151,Capa!$A:$AE,AU$5,0))))</f>
        <v/>
      </c>
      <c r="AV151" s="118" t="str">
        <f>IF(AV$6="","",IF(AV$3="Maior",IFERROR(IF(VLOOKUP($N151,Capa!$A:$AE,AV$5,0)="",0,VLOOKUP($N151,Capa!$A:$AE,AV$5,0)),0),IF(ISERROR(1/VLOOKUP($N151,Capa!$A:$AE,AV$5,0)),0,1/VLOOKUP($N151,Capa!$A:$AE,AV$5,0))))</f>
        <v/>
      </c>
      <c r="AW151" s="118" t="str">
        <f>IF(AW$6="","",IF(AW$3="Maior",IFERROR(IF(VLOOKUP($N151,Capa!$A:$AE,AW$5,0)="",0,VLOOKUP($N151,Capa!$A:$AE,AW$5,0)),0),IF(ISERROR(1/VLOOKUP($N151,Capa!$A:$AE,AW$5,0)),0,1/VLOOKUP($N151,Capa!$A:$AE,AW$5,0))))</f>
        <v/>
      </c>
      <c r="AX151" s="118" t="str">
        <f>IF(AX$6="","",IF(AX$3="Maior",IFERROR(IF(VLOOKUP($N151,Capa!$A:$AE,AX$5,0)="",0,VLOOKUP($N151,Capa!$A:$AE,AX$5,0)),0),IF(ISERROR(1/VLOOKUP($N151,Capa!$A:$AE,AX$5,0)),0,1/VLOOKUP($N151,Capa!$A:$AE,AX$5,0))))</f>
        <v/>
      </c>
      <c r="AY151" s="118" t="str">
        <f>IF(AY$6="","",IF(AY$3="Maior",IFERROR(IF(VLOOKUP($N151,Capa!$A:$AE,AY$5,0)="",0,VLOOKUP($N151,Capa!$A:$AE,AY$5,0)),0),IF(ISERROR(1/VLOOKUP($N151,Capa!$A:$AE,AY$5,0)),0,1/VLOOKUP($N151,Capa!$A:$AE,AY$5,0))))</f>
        <v/>
      </c>
      <c r="AZ151" s="118" t="str">
        <f>IF(AZ$6="","",IF(AZ$3="Maior",IFERROR(IF(VLOOKUP($N151,Capa!$A:$AE,AZ$5,0)="",0,VLOOKUP($N151,Capa!$A:$AE,AZ$5,0)),0),IF(ISERROR(1/VLOOKUP($N151,Capa!$A:$AE,AZ$5,0)),0,1/VLOOKUP($N151,Capa!$A:$AE,AZ$5,0))))</f>
        <v/>
      </c>
      <c r="BA151" s="118" t="str">
        <f>IF(BA$6="","",IF(BA$3="Maior",IFERROR(IF(VLOOKUP($N151,Capa!$A:$AE,BA$5,0)="",0,VLOOKUP($N151,Capa!$A:$AE,BA$5,0)),0),IF(ISERROR(1/VLOOKUP($N151,Capa!$A:$AE,BA$5,0)),0,1/VLOOKUP($N151,Capa!$A:$AE,BA$5,0))))</f>
        <v/>
      </c>
      <c r="BB151" s="118" t="str">
        <f>IF(BB$6="","",IF(BB$3="Maior",IFERROR(IF(VLOOKUP($N151,Capa!$A:$AE,BB$5,0)="",0,VLOOKUP($N151,Capa!$A:$AE,BB$5,0)),0),IF(ISERROR(1/VLOOKUP($N151,Capa!$A:$AE,BB$5,0)),0,1/VLOOKUP($N151,Capa!$A:$AE,BB$5,0))))</f>
        <v/>
      </c>
      <c r="BC151" s="118" t="str">
        <f>IF(BC$6="","",IF(BC$3="Maior",IFERROR(IF(VLOOKUP($N151,Capa!$A:$AE,BC$5,0)="",0,VLOOKUP($N151,Capa!$A:$AE,BC$5,0)),0),IF(ISERROR(1/VLOOKUP($N151,Capa!$A:$AE,BC$5,0)),0,1/VLOOKUP($N151,Capa!$A:$AE,BC$5,0))))</f>
        <v/>
      </c>
      <c r="BD151" s="118" t="str">
        <f>IF(BD$6="","",IF(BD$3="Maior",IFERROR(IF(VLOOKUP($N151,Capa!$A:$AE,BD$5,0)="",0,VLOOKUP($N151,Capa!$A:$AE,BD$5,0)),0),IF(ISERROR(1/VLOOKUP($N151,Capa!$A:$AE,BD$5,0)),0,1/VLOOKUP($N151,Capa!$A:$AE,BD$5,0))))</f>
        <v/>
      </c>
      <c r="BE151" s="118" t="str">
        <f>IF(BE$6="","",IF(BE$3="Maior",IFERROR(IF(VLOOKUP($N151,Capa!$A:$AE,BE$5,0)="",0,VLOOKUP($N151,Capa!$A:$AE,BE$5,0)),0),IF(ISERROR(1/VLOOKUP($N151,Capa!$A:$AE,BE$5,0)),0,1/VLOOKUP($N151,Capa!$A:$AE,BE$5,0))))</f>
        <v/>
      </c>
      <c r="BF151" s="118" t="str">
        <f>IF(BF$6="","",IF(BF$3="Maior",IFERROR(IF(VLOOKUP($N151,Capa!$A:$AE,BF$5,0)="",0,VLOOKUP($N151,Capa!$A:$AE,BF$5,0)),0),IF(ISERROR(1/VLOOKUP($N151,Capa!$A:$AE,BF$5,0)),0,1/VLOOKUP($N151,Capa!$A:$AE,BF$5,0))))</f>
        <v/>
      </c>
      <c r="BG151" s="118" t="str">
        <f>IF(BG$6="","",IF(BG$3="Maior",IFERROR(IF(VLOOKUP($N151,Capa!$A:$AE,BG$5,0)="",0,VLOOKUP($N151,Capa!$A:$AE,BG$5,0)),0),IF(ISERROR(1/VLOOKUP($N151,Capa!$A:$AE,BG$5,0)),0,1/VLOOKUP($N151,Capa!$A:$AE,BG$5,0))))</f>
        <v/>
      </c>
      <c r="BH151" s="118" t="str">
        <f>IF(BH$6="","",IF(BH$3="Maior",IFERROR(IF(VLOOKUP($N151,Capa!$A:$AE,BH$5,0)="",0,VLOOKUP($N151,Capa!$A:$AE,BH$5,0)),0),IF(ISERROR(1/VLOOKUP($N151,Capa!$A:$AE,BH$5,0)),0,1/VLOOKUP($N151,Capa!$A:$AE,BH$5,0))))</f>
        <v/>
      </c>
      <c r="BI151" s="118" t="str">
        <f>IF(BI$6="","",IF(BI$3="Maior",IFERROR(IF(VLOOKUP($N151,Capa!$A:$AE,BI$5,0)="",0,VLOOKUP($N151,Capa!$A:$AE,BI$5,0)),0),IF(ISERROR(1/VLOOKUP($N151,Capa!$A:$AE,BI$5,0)),0,1/VLOOKUP($N151,Capa!$A:$AE,BI$5,0))))</f>
        <v/>
      </c>
      <c r="BJ151" s="118" t="str">
        <f>IF(BJ$6="","",IF(BJ$3="Maior",IFERROR(IF(VLOOKUP($N151,Capa!$A:$AE,BJ$5,0)="",0,VLOOKUP($N151,Capa!$A:$AE,BJ$5,0)),0),IF(ISERROR(1/VLOOKUP($N151,Capa!$A:$AE,BJ$5,0)),0,1/VLOOKUP($N151,Capa!$A:$AE,BJ$5,0))))</f>
        <v/>
      </c>
      <c r="BK151" s="118" t="str">
        <f>IF(BK$6="","",IF(BK$3="Maior",IFERROR(IF(VLOOKUP($N151,Capa!$A:$AE,BK$5,0)="",0,VLOOKUP($N151,Capa!$A:$AE,BK$5,0)),0),IF(ISERROR(1/VLOOKUP($N151,Capa!$A:$AE,BK$5,0)),0,1/VLOOKUP($N151,Capa!$A:$AE,BK$5,0))))</f>
        <v/>
      </c>
      <c r="BL151" s="118" t="str">
        <f>IF(BL$6="","",IF(BL$3="Maior",IFERROR(IF(VLOOKUP($N151,Capa!$A:$AE,BL$5,0)="",0,VLOOKUP($N151,Capa!$A:$AE,BL$5,0)),0),IF(ISERROR(1/VLOOKUP($N151,Capa!$A:$AE,BL$5,0)),0,1/VLOOKUP($N151,Capa!$A:$AE,BL$5,0))))</f>
        <v/>
      </c>
      <c r="BM151" s="118" t="str">
        <f>IF(BM$6="","",IF(BM$3="Maior",IFERROR(IF(VLOOKUP($N151,Capa!$A:$AE,BM$5,0)="",0,VLOOKUP($N151,Capa!$A:$AE,BM$5,0)),0),IF(ISERROR(1/VLOOKUP($N151,Capa!$A:$AE,BM$5,0)),0,1/VLOOKUP($N151,Capa!$A:$AE,BM$5,0))))</f>
        <v/>
      </c>
      <c r="BN151" s="118" t="str">
        <f>IF(BN$6="","",IF(BN$3="Maior",IFERROR(IF(VLOOKUP($N151,Capa!$A:$AE,BN$5,0)="",0,VLOOKUP($N151,Capa!$A:$AE,BN$5,0)),0),IF(ISERROR(1/VLOOKUP($N151,Capa!$A:$AE,BN$5,0)),0,1/VLOOKUP($N151,Capa!$A:$AE,BN$5,0))))</f>
        <v/>
      </c>
      <c r="BO151" s="92"/>
    </row>
    <row r="152">
      <c r="G152" s="11"/>
      <c r="H152" s="8">
        <v>146.0</v>
      </c>
      <c r="I152" s="110" t="str">
        <f t="shared" si="6"/>
        <v>CBAV3</v>
      </c>
      <c r="J152" s="111" t="str">
        <f>VLOOKUP(left(I152,4),Setor!A:D,3,0)&amp;" | "&amp;VLOOKUP(left(I152,4),Setor!A:D,4,0)</f>
        <v>#N/A</v>
      </c>
      <c r="K152" s="112">
        <f t="shared" si="7"/>
        <v>36762556.21</v>
      </c>
      <c r="L152" s="11"/>
      <c r="M152" s="11"/>
      <c r="N152" s="10" t="s">
        <v>198</v>
      </c>
      <c r="O152" s="113">
        <f t="shared" si="8"/>
        <v>1055.0393</v>
      </c>
      <c r="P152" s="114">
        <f>VLOOKUP(N152,'Dados StatusInvest'!A:Z,26,0)</f>
        <v>27364770.17</v>
      </c>
      <c r="Q152" s="115">
        <f t="shared" si="9"/>
        <v>393.0393</v>
      </c>
      <c r="R152" s="116">
        <f t="shared" ref="R152:AO152" si="155">IF(AQ152="","", RANK(AQ152,AQ$7:AQ$503,0))</f>
        <v>443</v>
      </c>
      <c r="S152" s="115">
        <f t="shared" si="155"/>
        <v>219</v>
      </c>
      <c r="T152" s="115" t="str">
        <f t="shared" si="155"/>
        <v/>
      </c>
      <c r="U152" s="115" t="str">
        <f t="shared" si="155"/>
        <v/>
      </c>
      <c r="V152" s="115" t="str">
        <f t="shared" si="155"/>
        <v/>
      </c>
      <c r="W152" s="115" t="str">
        <f t="shared" si="155"/>
        <v/>
      </c>
      <c r="X152" s="115" t="str">
        <f t="shared" si="155"/>
        <v/>
      </c>
      <c r="Y152" s="115" t="str">
        <f t="shared" si="155"/>
        <v/>
      </c>
      <c r="Z152" s="115" t="str">
        <f t="shared" si="155"/>
        <v/>
      </c>
      <c r="AA152" s="115" t="str">
        <f t="shared" si="155"/>
        <v/>
      </c>
      <c r="AB152" s="115" t="str">
        <f t="shared" si="155"/>
        <v/>
      </c>
      <c r="AC152" s="115" t="str">
        <f t="shared" si="155"/>
        <v/>
      </c>
      <c r="AD152" s="115" t="str">
        <f t="shared" si="155"/>
        <v/>
      </c>
      <c r="AE152" s="115" t="str">
        <f t="shared" si="155"/>
        <v/>
      </c>
      <c r="AF152" s="115" t="str">
        <f t="shared" si="155"/>
        <v/>
      </c>
      <c r="AG152" s="115" t="str">
        <f t="shared" si="155"/>
        <v/>
      </c>
      <c r="AH152" s="115" t="str">
        <f t="shared" si="155"/>
        <v/>
      </c>
      <c r="AI152" s="115" t="str">
        <f t="shared" si="155"/>
        <v/>
      </c>
      <c r="AJ152" s="115" t="str">
        <f t="shared" si="155"/>
        <v/>
      </c>
      <c r="AK152" s="115" t="str">
        <f t="shared" si="155"/>
        <v/>
      </c>
      <c r="AL152" s="115" t="str">
        <f t="shared" si="155"/>
        <v/>
      </c>
      <c r="AM152" s="115" t="str">
        <f t="shared" si="155"/>
        <v/>
      </c>
      <c r="AN152" s="115" t="str">
        <f t="shared" si="155"/>
        <v/>
      </c>
      <c r="AO152" s="115" t="str">
        <f t="shared" si="155"/>
        <v/>
      </c>
      <c r="AP152" s="117">
        <f>IF(AP$6="","",IF(AP$3="Maior",IFERROR(IF(VLOOKUP($N152,Capa!$A:$AE,AP$5,0)="",0,VLOOKUP($N152,Capa!$A:$AE,AP$5,0)),0),IF(ISERROR(1/VLOOKUP($N152,Capa!$A:$AE,AP$5,0)),0,1/VLOOKUP($N152,Capa!$A:$AE,AP$5,0))))</f>
        <v>0.009726678388</v>
      </c>
      <c r="AQ152" s="118">
        <f>IF(AQ$6="","",IF(AQ$3="Maior",IFERROR(IF(VLOOKUP($N152,Capa!$A:$AE,AQ$5,0)="",0,VLOOKUP($N152,Capa!$A:$AE,AQ$5,0)),0),IF(ISERROR(1/VLOOKUP($N152,Capa!$A:$AE,AQ$5,0)),0,1/VLOOKUP($N152,Capa!$A:$AE,AQ$5,0))))</f>
        <v>-4.29</v>
      </c>
      <c r="AR152" s="118">
        <f>IF(AR$6="","",IF(AR$3="Maior",IFERROR(IF(VLOOKUP($N152,Capa!$A:$AE,AR$5,0)="",0,VLOOKUP($N152,Capa!$A:$AE,AR$5,0)),0),IF(ISERROR(1/VLOOKUP($N152,Capa!$A:$AE,AR$5,0)),0,1/VLOOKUP($N152,Capa!$A:$AE,AR$5,0))))</f>
        <v>0</v>
      </c>
      <c r="AS152" s="118" t="str">
        <f>IF(AS$6="","",IF(AS$3="Maior",IFERROR(IF(VLOOKUP($N152,Capa!$A:$AE,AS$5,0)="",0,VLOOKUP($N152,Capa!$A:$AE,AS$5,0)),0),IF(ISERROR(1/VLOOKUP($N152,Capa!$A:$AE,AS$5,0)),0,1/VLOOKUP($N152,Capa!$A:$AE,AS$5,0))))</f>
        <v/>
      </c>
      <c r="AT152" s="118" t="str">
        <f>IF(AT$6="","",IF(AT$3="Maior",IFERROR(IF(VLOOKUP($N152,Capa!$A:$AE,AT$5,0)="",0,VLOOKUP($N152,Capa!$A:$AE,AT$5,0)),0),IF(ISERROR(1/VLOOKUP($N152,Capa!$A:$AE,AT$5,0)),0,1/VLOOKUP($N152,Capa!$A:$AE,AT$5,0))))</f>
        <v/>
      </c>
      <c r="AU152" s="118" t="str">
        <f>IF(AU$6="","",IF(AU$3="Maior",IFERROR(IF(VLOOKUP($N152,Capa!$A:$AE,AU$5,0)="",0,VLOOKUP($N152,Capa!$A:$AE,AU$5,0)),0),IF(ISERROR(1/VLOOKUP($N152,Capa!$A:$AE,AU$5,0)),0,1/VLOOKUP($N152,Capa!$A:$AE,AU$5,0))))</f>
        <v/>
      </c>
      <c r="AV152" s="118" t="str">
        <f>IF(AV$6="","",IF(AV$3="Maior",IFERROR(IF(VLOOKUP($N152,Capa!$A:$AE,AV$5,0)="",0,VLOOKUP($N152,Capa!$A:$AE,AV$5,0)),0),IF(ISERROR(1/VLOOKUP($N152,Capa!$A:$AE,AV$5,0)),0,1/VLOOKUP($N152,Capa!$A:$AE,AV$5,0))))</f>
        <v/>
      </c>
      <c r="AW152" s="118" t="str">
        <f>IF(AW$6="","",IF(AW$3="Maior",IFERROR(IF(VLOOKUP($N152,Capa!$A:$AE,AW$5,0)="",0,VLOOKUP($N152,Capa!$A:$AE,AW$5,0)),0),IF(ISERROR(1/VLOOKUP($N152,Capa!$A:$AE,AW$5,0)),0,1/VLOOKUP($N152,Capa!$A:$AE,AW$5,0))))</f>
        <v/>
      </c>
      <c r="AX152" s="118" t="str">
        <f>IF(AX$6="","",IF(AX$3="Maior",IFERROR(IF(VLOOKUP($N152,Capa!$A:$AE,AX$5,0)="",0,VLOOKUP($N152,Capa!$A:$AE,AX$5,0)),0),IF(ISERROR(1/VLOOKUP($N152,Capa!$A:$AE,AX$5,0)),0,1/VLOOKUP($N152,Capa!$A:$AE,AX$5,0))))</f>
        <v/>
      </c>
      <c r="AY152" s="118" t="str">
        <f>IF(AY$6="","",IF(AY$3="Maior",IFERROR(IF(VLOOKUP($N152,Capa!$A:$AE,AY$5,0)="",0,VLOOKUP($N152,Capa!$A:$AE,AY$5,0)),0),IF(ISERROR(1/VLOOKUP($N152,Capa!$A:$AE,AY$5,0)),0,1/VLOOKUP($N152,Capa!$A:$AE,AY$5,0))))</f>
        <v/>
      </c>
      <c r="AZ152" s="118" t="str">
        <f>IF(AZ$6="","",IF(AZ$3="Maior",IFERROR(IF(VLOOKUP($N152,Capa!$A:$AE,AZ$5,0)="",0,VLOOKUP($N152,Capa!$A:$AE,AZ$5,0)),0),IF(ISERROR(1/VLOOKUP($N152,Capa!$A:$AE,AZ$5,0)),0,1/VLOOKUP($N152,Capa!$A:$AE,AZ$5,0))))</f>
        <v/>
      </c>
      <c r="BA152" s="118" t="str">
        <f>IF(BA$6="","",IF(BA$3="Maior",IFERROR(IF(VLOOKUP($N152,Capa!$A:$AE,BA$5,0)="",0,VLOOKUP($N152,Capa!$A:$AE,BA$5,0)),0),IF(ISERROR(1/VLOOKUP($N152,Capa!$A:$AE,BA$5,0)),0,1/VLOOKUP($N152,Capa!$A:$AE,BA$5,0))))</f>
        <v/>
      </c>
      <c r="BB152" s="118" t="str">
        <f>IF(BB$6="","",IF(BB$3="Maior",IFERROR(IF(VLOOKUP($N152,Capa!$A:$AE,BB$5,0)="",0,VLOOKUP($N152,Capa!$A:$AE,BB$5,0)),0),IF(ISERROR(1/VLOOKUP($N152,Capa!$A:$AE,BB$5,0)),0,1/VLOOKUP($N152,Capa!$A:$AE,BB$5,0))))</f>
        <v/>
      </c>
      <c r="BC152" s="118" t="str">
        <f>IF(BC$6="","",IF(BC$3="Maior",IFERROR(IF(VLOOKUP($N152,Capa!$A:$AE,BC$5,0)="",0,VLOOKUP($N152,Capa!$A:$AE,BC$5,0)),0),IF(ISERROR(1/VLOOKUP($N152,Capa!$A:$AE,BC$5,0)),0,1/VLOOKUP($N152,Capa!$A:$AE,BC$5,0))))</f>
        <v/>
      </c>
      <c r="BD152" s="118" t="str">
        <f>IF(BD$6="","",IF(BD$3="Maior",IFERROR(IF(VLOOKUP($N152,Capa!$A:$AE,BD$5,0)="",0,VLOOKUP($N152,Capa!$A:$AE,BD$5,0)),0),IF(ISERROR(1/VLOOKUP($N152,Capa!$A:$AE,BD$5,0)),0,1/VLOOKUP($N152,Capa!$A:$AE,BD$5,0))))</f>
        <v/>
      </c>
      <c r="BE152" s="118" t="str">
        <f>IF(BE$6="","",IF(BE$3="Maior",IFERROR(IF(VLOOKUP($N152,Capa!$A:$AE,BE$5,0)="",0,VLOOKUP($N152,Capa!$A:$AE,BE$5,0)),0),IF(ISERROR(1/VLOOKUP($N152,Capa!$A:$AE,BE$5,0)),0,1/VLOOKUP($N152,Capa!$A:$AE,BE$5,0))))</f>
        <v/>
      </c>
      <c r="BF152" s="118" t="str">
        <f>IF(BF$6="","",IF(BF$3="Maior",IFERROR(IF(VLOOKUP($N152,Capa!$A:$AE,BF$5,0)="",0,VLOOKUP($N152,Capa!$A:$AE,BF$5,0)),0),IF(ISERROR(1/VLOOKUP($N152,Capa!$A:$AE,BF$5,0)),0,1/VLOOKUP($N152,Capa!$A:$AE,BF$5,0))))</f>
        <v/>
      </c>
      <c r="BG152" s="118" t="str">
        <f>IF(BG$6="","",IF(BG$3="Maior",IFERROR(IF(VLOOKUP($N152,Capa!$A:$AE,BG$5,0)="",0,VLOOKUP($N152,Capa!$A:$AE,BG$5,0)),0),IF(ISERROR(1/VLOOKUP($N152,Capa!$A:$AE,BG$5,0)),0,1/VLOOKUP($N152,Capa!$A:$AE,BG$5,0))))</f>
        <v/>
      </c>
      <c r="BH152" s="118" t="str">
        <f>IF(BH$6="","",IF(BH$3="Maior",IFERROR(IF(VLOOKUP($N152,Capa!$A:$AE,BH$5,0)="",0,VLOOKUP($N152,Capa!$A:$AE,BH$5,0)),0),IF(ISERROR(1/VLOOKUP($N152,Capa!$A:$AE,BH$5,0)),0,1/VLOOKUP($N152,Capa!$A:$AE,BH$5,0))))</f>
        <v/>
      </c>
      <c r="BI152" s="118" t="str">
        <f>IF(BI$6="","",IF(BI$3="Maior",IFERROR(IF(VLOOKUP($N152,Capa!$A:$AE,BI$5,0)="",0,VLOOKUP($N152,Capa!$A:$AE,BI$5,0)),0),IF(ISERROR(1/VLOOKUP($N152,Capa!$A:$AE,BI$5,0)),0,1/VLOOKUP($N152,Capa!$A:$AE,BI$5,0))))</f>
        <v/>
      </c>
      <c r="BJ152" s="118" t="str">
        <f>IF(BJ$6="","",IF(BJ$3="Maior",IFERROR(IF(VLOOKUP($N152,Capa!$A:$AE,BJ$5,0)="",0,VLOOKUP($N152,Capa!$A:$AE,BJ$5,0)),0),IF(ISERROR(1/VLOOKUP($N152,Capa!$A:$AE,BJ$5,0)),0,1/VLOOKUP($N152,Capa!$A:$AE,BJ$5,0))))</f>
        <v/>
      </c>
      <c r="BK152" s="118" t="str">
        <f>IF(BK$6="","",IF(BK$3="Maior",IFERROR(IF(VLOOKUP($N152,Capa!$A:$AE,BK$5,0)="",0,VLOOKUP($N152,Capa!$A:$AE,BK$5,0)),0),IF(ISERROR(1/VLOOKUP($N152,Capa!$A:$AE,BK$5,0)),0,1/VLOOKUP($N152,Capa!$A:$AE,BK$5,0))))</f>
        <v/>
      </c>
      <c r="BL152" s="118" t="str">
        <f>IF(BL$6="","",IF(BL$3="Maior",IFERROR(IF(VLOOKUP($N152,Capa!$A:$AE,BL$5,0)="",0,VLOOKUP($N152,Capa!$A:$AE,BL$5,0)),0),IF(ISERROR(1/VLOOKUP($N152,Capa!$A:$AE,BL$5,0)),0,1/VLOOKUP($N152,Capa!$A:$AE,BL$5,0))))</f>
        <v/>
      </c>
      <c r="BM152" s="118" t="str">
        <f>IF(BM$6="","",IF(BM$3="Maior",IFERROR(IF(VLOOKUP($N152,Capa!$A:$AE,BM$5,0)="",0,VLOOKUP($N152,Capa!$A:$AE,BM$5,0)),0),IF(ISERROR(1/VLOOKUP($N152,Capa!$A:$AE,BM$5,0)),0,1/VLOOKUP($N152,Capa!$A:$AE,BM$5,0))))</f>
        <v/>
      </c>
      <c r="BN152" s="118" t="str">
        <f>IF(BN$6="","",IF(BN$3="Maior",IFERROR(IF(VLOOKUP($N152,Capa!$A:$AE,BN$5,0)="",0,VLOOKUP($N152,Capa!$A:$AE,BN$5,0)),0),IF(ISERROR(1/VLOOKUP($N152,Capa!$A:$AE,BN$5,0)),0,1/VLOOKUP($N152,Capa!$A:$AE,BN$5,0))))</f>
        <v/>
      </c>
      <c r="BO152" s="92"/>
    </row>
    <row r="153">
      <c r="G153" s="11"/>
      <c r="H153" s="8">
        <v>147.0</v>
      </c>
      <c r="I153" s="110" t="str">
        <f t="shared" si="6"/>
        <v>MDIA3</v>
      </c>
      <c r="J153" s="111" t="str">
        <f>VLOOKUP(left(I153,4),Setor!A:D,3,0)&amp;" | "&amp;VLOOKUP(left(I153,4),Setor!A:D,4,0)</f>
        <v>Consumo não Cíclico | Alimentos Processados</v>
      </c>
      <c r="K153" s="112">
        <f t="shared" si="7"/>
        <v>26889687.79</v>
      </c>
      <c r="L153" s="11"/>
      <c r="M153" s="11"/>
      <c r="N153" s="10" t="s">
        <v>199</v>
      </c>
      <c r="O153" s="113">
        <f t="shared" si="8"/>
        <v>634.0197</v>
      </c>
      <c r="P153" s="114">
        <f>VLOOKUP(N153,'Dados StatusInvest'!A:Z,26,0)</f>
        <v>28903185.13</v>
      </c>
      <c r="Q153" s="115">
        <f t="shared" si="9"/>
        <v>197.0197</v>
      </c>
      <c r="R153" s="116">
        <f t="shared" ref="R153:AO153" si="156">IF(AQ153="","", RANK(AQ153,AQ$7:AQ$503,0))</f>
        <v>304</v>
      </c>
      <c r="S153" s="115">
        <f t="shared" si="156"/>
        <v>133</v>
      </c>
      <c r="T153" s="115" t="str">
        <f t="shared" si="156"/>
        <v/>
      </c>
      <c r="U153" s="115" t="str">
        <f t="shared" si="156"/>
        <v/>
      </c>
      <c r="V153" s="115" t="str">
        <f t="shared" si="156"/>
        <v/>
      </c>
      <c r="W153" s="115" t="str">
        <f t="shared" si="156"/>
        <v/>
      </c>
      <c r="X153" s="115" t="str">
        <f t="shared" si="156"/>
        <v/>
      </c>
      <c r="Y153" s="115" t="str">
        <f t="shared" si="156"/>
        <v/>
      </c>
      <c r="Z153" s="115" t="str">
        <f t="shared" si="156"/>
        <v/>
      </c>
      <c r="AA153" s="115" t="str">
        <f t="shared" si="156"/>
        <v/>
      </c>
      <c r="AB153" s="115" t="str">
        <f t="shared" si="156"/>
        <v/>
      </c>
      <c r="AC153" s="115" t="str">
        <f t="shared" si="156"/>
        <v/>
      </c>
      <c r="AD153" s="115" t="str">
        <f t="shared" si="156"/>
        <v/>
      </c>
      <c r="AE153" s="115" t="str">
        <f t="shared" si="156"/>
        <v/>
      </c>
      <c r="AF153" s="115" t="str">
        <f t="shared" si="156"/>
        <v/>
      </c>
      <c r="AG153" s="115" t="str">
        <f t="shared" si="156"/>
        <v/>
      </c>
      <c r="AH153" s="115" t="str">
        <f t="shared" si="156"/>
        <v/>
      </c>
      <c r="AI153" s="115" t="str">
        <f t="shared" si="156"/>
        <v/>
      </c>
      <c r="AJ153" s="115" t="str">
        <f t="shared" si="156"/>
        <v/>
      </c>
      <c r="AK153" s="115" t="str">
        <f t="shared" si="156"/>
        <v/>
      </c>
      <c r="AL153" s="115" t="str">
        <f t="shared" si="156"/>
        <v/>
      </c>
      <c r="AM153" s="115" t="str">
        <f t="shared" si="156"/>
        <v/>
      </c>
      <c r="AN153" s="115" t="str">
        <f t="shared" si="156"/>
        <v/>
      </c>
      <c r="AO153" s="115" t="str">
        <f t="shared" si="156"/>
        <v/>
      </c>
      <c r="AP153" s="117">
        <f>IF(AP$6="","",IF(AP$3="Maior",IFERROR(IF(VLOOKUP($N153,Capa!$A:$AE,AP$5,0)="",0,VLOOKUP($N153,Capa!$A:$AE,AP$5,0)),0),IF(ISERROR(1/VLOOKUP($N153,Capa!$A:$AE,AP$5,0)),0,1/VLOOKUP($N153,Capa!$A:$AE,AP$5,0))))</f>
        <v>0.1084213657</v>
      </c>
      <c r="AQ153" s="118">
        <f>IF(AQ$6="","",IF(AQ$3="Maior",IFERROR(IF(VLOOKUP($N153,Capa!$A:$AE,AQ$5,0)="",0,VLOOKUP($N153,Capa!$A:$AE,AQ$5,0)),0),IF(ISERROR(1/VLOOKUP($N153,Capa!$A:$AE,AQ$5,0)),0,1/VLOOKUP($N153,Capa!$A:$AE,AQ$5,0))))</f>
        <v>4.76</v>
      </c>
      <c r="AR153" s="118">
        <f>IF(AR$6="","",IF(AR$3="Maior",IFERROR(IF(VLOOKUP($N153,Capa!$A:$AE,AR$5,0)="",0,VLOOKUP($N153,Capa!$A:$AE,AR$5,0)),0),IF(ISERROR(1/VLOOKUP($N153,Capa!$A:$AE,AR$5,0)),0,1/VLOOKUP($N153,Capa!$A:$AE,AR$5,0))))</f>
        <v>18.98</v>
      </c>
      <c r="AS153" s="118" t="str">
        <f>IF(AS$6="","",IF(AS$3="Maior",IFERROR(IF(VLOOKUP($N153,Capa!$A:$AE,AS$5,0)="",0,VLOOKUP($N153,Capa!$A:$AE,AS$5,0)),0),IF(ISERROR(1/VLOOKUP($N153,Capa!$A:$AE,AS$5,0)),0,1/VLOOKUP($N153,Capa!$A:$AE,AS$5,0))))</f>
        <v/>
      </c>
      <c r="AT153" s="118" t="str">
        <f>IF(AT$6="","",IF(AT$3="Maior",IFERROR(IF(VLOOKUP($N153,Capa!$A:$AE,AT$5,0)="",0,VLOOKUP($N153,Capa!$A:$AE,AT$5,0)),0),IF(ISERROR(1/VLOOKUP($N153,Capa!$A:$AE,AT$5,0)),0,1/VLOOKUP($N153,Capa!$A:$AE,AT$5,0))))</f>
        <v/>
      </c>
      <c r="AU153" s="118" t="str">
        <f>IF(AU$6="","",IF(AU$3="Maior",IFERROR(IF(VLOOKUP($N153,Capa!$A:$AE,AU$5,0)="",0,VLOOKUP($N153,Capa!$A:$AE,AU$5,0)),0),IF(ISERROR(1/VLOOKUP($N153,Capa!$A:$AE,AU$5,0)),0,1/VLOOKUP($N153,Capa!$A:$AE,AU$5,0))))</f>
        <v/>
      </c>
      <c r="AV153" s="118" t="str">
        <f>IF(AV$6="","",IF(AV$3="Maior",IFERROR(IF(VLOOKUP($N153,Capa!$A:$AE,AV$5,0)="",0,VLOOKUP($N153,Capa!$A:$AE,AV$5,0)),0),IF(ISERROR(1/VLOOKUP($N153,Capa!$A:$AE,AV$5,0)),0,1/VLOOKUP($N153,Capa!$A:$AE,AV$5,0))))</f>
        <v/>
      </c>
      <c r="AW153" s="118" t="str">
        <f>IF(AW$6="","",IF(AW$3="Maior",IFERROR(IF(VLOOKUP($N153,Capa!$A:$AE,AW$5,0)="",0,VLOOKUP($N153,Capa!$A:$AE,AW$5,0)),0),IF(ISERROR(1/VLOOKUP($N153,Capa!$A:$AE,AW$5,0)),0,1/VLOOKUP($N153,Capa!$A:$AE,AW$5,0))))</f>
        <v/>
      </c>
      <c r="AX153" s="118" t="str">
        <f>IF(AX$6="","",IF(AX$3="Maior",IFERROR(IF(VLOOKUP($N153,Capa!$A:$AE,AX$5,0)="",0,VLOOKUP($N153,Capa!$A:$AE,AX$5,0)),0),IF(ISERROR(1/VLOOKUP($N153,Capa!$A:$AE,AX$5,0)),0,1/VLOOKUP($N153,Capa!$A:$AE,AX$5,0))))</f>
        <v/>
      </c>
      <c r="AY153" s="118" t="str">
        <f>IF(AY$6="","",IF(AY$3="Maior",IFERROR(IF(VLOOKUP($N153,Capa!$A:$AE,AY$5,0)="",0,VLOOKUP($N153,Capa!$A:$AE,AY$5,0)),0),IF(ISERROR(1/VLOOKUP($N153,Capa!$A:$AE,AY$5,0)),0,1/VLOOKUP($N153,Capa!$A:$AE,AY$5,0))))</f>
        <v/>
      </c>
      <c r="AZ153" s="118" t="str">
        <f>IF(AZ$6="","",IF(AZ$3="Maior",IFERROR(IF(VLOOKUP($N153,Capa!$A:$AE,AZ$5,0)="",0,VLOOKUP($N153,Capa!$A:$AE,AZ$5,0)),0),IF(ISERROR(1/VLOOKUP($N153,Capa!$A:$AE,AZ$5,0)),0,1/VLOOKUP($N153,Capa!$A:$AE,AZ$5,0))))</f>
        <v/>
      </c>
      <c r="BA153" s="118" t="str">
        <f>IF(BA$6="","",IF(BA$3="Maior",IFERROR(IF(VLOOKUP($N153,Capa!$A:$AE,BA$5,0)="",0,VLOOKUP($N153,Capa!$A:$AE,BA$5,0)),0),IF(ISERROR(1/VLOOKUP($N153,Capa!$A:$AE,BA$5,0)),0,1/VLOOKUP($N153,Capa!$A:$AE,BA$5,0))))</f>
        <v/>
      </c>
      <c r="BB153" s="118" t="str">
        <f>IF(BB$6="","",IF(BB$3="Maior",IFERROR(IF(VLOOKUP($N153,Capa!$A:$AE,BB$5,0)="",0,VLOOKUP($N153,Capa!$A:$AE,BB$5,0)),0),IF(ISERROR(1/VLOOKUP($N153,Capa!$A:$AE,BB$5,0)),0,1/VLOOKUP($N153,Capa!$A:$AE,BB$5,0))))</f>
        <v/>
      </c>
      <c r="BC153" s="118" t="str">
        <f>IF(BC$6="","",IF(BC$3="Maior",IFERROR(IF(VLOOKUP($N153,Capa!$A:$AE,BC$5,0)="",0,VLOOKUP($N153,Capa!$A:$AE,BC$5,0)),0),IF(ISERROR(1/VLOOKUP($N153,Capa!$A:$AE,BC$5,0)),0,1/VLOOKUP($N153,Capa!$A:$AE,BC$5,0))))</f>
        <v/>
      </c>
      <c r="BD153" s="118" t="str">
        <f>IF(BD$6="","",IF(BD$3="Maior",IFERROR(IF(VLOOKUP($N153,Capa!$A:$AE,BD$5,0)="",0,VLOOKUP($N153,Capa!$A:$AE,BD$5,0)),0),IF(ISERROR(1/VLOOKUP($N153,Capa!$A:$AE,BD$5,0)),0,1/VLOOKUP($N153,Capa!$A:$AE,BD$5,0))))</f>
        <v/>
      </c>
      <c r="BE153" s="118" t="str">
        <f>IF(BE$6="","",IF(BE$3="Maior",IFERROR(IF(VLOOKUP($N153,Capa!$A:$AE,BE$5,0)="",0,VLOOKUP($N153,Capa!$A:$AE,BE$5,0)),0),IF(ISERROR(1/VLOOKUP($N153,Capa!$A:$AE,BE$5,0)),0,1/VLOOKUP($N153,Capa!$A:$AE,BE$5,0))))</f>
        <v/>
      </c>
      <c r="BF153" s="118" t="str">
        <f>IF(BF$6="","",IF(BF$3="Maior",IFERROR(IF(VLOOKUP($N153,Capa!$A:$AE,BF$5,0)="",0,VLOOKUP($N153,Capa!$A:$AE,BF$5,0)),0),IF(ISERROR(1/VLOOKUP($N153,Capa!$A:$AE,BF$5,0)),0,1/VLOOKUP($N153,Capa!$A:$AE,BF$5,0))))</f>
        <v/>
      </c>
      <c r="BG153" s="118" t="str">
        <f>IF(BG$6="","",IF(BG$3="Maior",IFERROR(IF(VLOOKUP($N153,Capa!$A:$AE,BG$5,0)="",0,VLOOKUP($N153,Capa!$A:$AE,BG$5,0)),0),IF(ISERROR(1/VLOOKUP($N153,Capa!$A:$AE,BG$5,0)),0,1/VLOOKUP($N153,Capa!$A:$AE,BG$5,0))))</f>
        <v/>
      </c>
      <c r="BH153" s="118" t="str">
        <f>IF(BH$6="","",IF(BH$3="Maior",IFERROR(IF(VLOOKUP($N153,Capa!$A:$AE,BH$5,0)="",0,VLOOKUP($N153,Capa!$A:$AE,BH$5,0)),0),IF(ISERROR(1/VLOOKUP($N153,Capa!$A:$AE,BH$5,0)),0,1/VLOOKUP($N153,Capa!$A:$AE,BH$5,0))))</f>
        <v/>
      </c>
      <c r="BI153" s="118" t="str">
        <f>IF(BI$6="","",IF(BI$3="Maior",IFERROR(IF(VLOOKUP($N153,Capa!$A:$AE,BI$5,0)="",0,VLOOKUP($N153,Capa!$A:$AE,BI$5,0)),0),IF(ISERROR(1/VLOOKUP($N153,Capa!$A:$AE,BI$5,0)),0,1/VLOOKUP($N153,Capa!$A:$AE,BI$5,0))))</f>
        <v/>
      </c>
      <c r="BJ153" s="118" t="str">
        <f>IF(BJ$6="","",IF(BJ$3="Maior",IFERROR(IF(VLOOKUP($N153,Capa!$A:$AE,BJ$5,0)="",0,VLOOKUP($N153,Capa!$A:$AE,BJ$5,0)),0),IF(ISERROR(1/VLOOKUP($N153,Capa!$A:$AE,BJ$5,0)),0,1/VLOOKUP($N153,Capa!$A:$AE,BJ$5,0))))</f>
        <v/>
      </c>
      <c r="BK153" s="118" t="str">
        <f>IF(BK$6="","",IF(BK$3="Maior",IFERROR(IF(VLOOKUP($N153,Capa!$A:$AE,BK$5,0)="",0,VLOOKUP($N153,Capa!$A:$AE,BK$5,0)),0),IF(ISERROR(1/VLOOKUP($N153,Capa!$A:$AE,BK$5,0)),0,1/VLOOKUP($N153,Capa!$A:$AE,BK$5,0))))</f>
        <v/>
      </c>
      <c r="BL153" s="118" t="str">
        <f>IF(BL$6="","",IF(BL$3="Maior",IFERROR(IF(VLOOKUP($N153,Capa!$A:$AE,BL$5,0)="",0,VLOOKUP($N153,Capa!$A:$AE,BL$5,0)),0),IF(ISERROR(1/VLOOKUP($N153,Capa!$A:$AE,BL$5,0)),0,1/VLOOKUP($N153,Capa!$A:$AE,BL$5,0))))</f>
        <v/>
      </c>
      <c r="BM153" s="118" t="str">
        <f>IF(BM$6="","",IF(BM$3="Maior",IFERROR(IF(VLOOKUP($N153,Capa!$A:$AE,BM$5,0)="",0,VLOOKUP($N153,Capa!$A:$AE,BM$5,0)),0),IF(ISERROR(1/VLOOKUP($N153,Capa!$A:$AE,BM$5,0)),0,1/VLOOKUP($N153,Capa!$A:$AE,BM$5,0))))</f>
        <v/>
      </c>
      <c r="BN153" s="118" t="str">
        <f>IF(BN$6="","",IF(BN$3="Maior",IFERROR(IF(VLOOKUP($N153,Capa!$A:$AE,BN$5,0)="",0,VLOOKUP($N153,Capa!$A:$AE,BN$5,0)),0),IF(ISERROR(1/VLOOKUP($N153,Capa!$A:$AE,BN$5,0)),0,1/VLOOKUP($N153,Capa!$A:$AE,BN$5,0))))</f>
        <v/>
      </c>
      <c r="BO153" s="92"/>
    </row>
    <row r="154">
      <c r="G154" s="11"/>
      <c r="H154" s="8">
        <v>148.0</v>
      </c>
      <c r="I154" s="110" t="str">
        <f t="shared" si="6"/>
        <v>RDOR3</v>
      </c>
      <c r="J154" s="111" t="str">
        <f>VLOOKUP(left(I154,4),Setor!A:D,3,0)&amp;" | "&amp;VLOOKUP(left(I154,4),Setor!A:D,4,0)</f>
        <v>#N/A</v>
      </c>
      <c r="K154" s="112">
        <f t="shared" si="7"/>
        <v>301374789.9</v>
      </c>
      <c r="L154" s="11"/>
      <c r="M154" s="11"/>
      <c r="N154" s="10" t="s">
        <v>200</v>
      </c>
      <c r="O154" s="113">
        <f t="shared" si="8"/>
        <v>627.018</v>
      </c>
      <c r="P154" s="114">
        <f>VLOOKUP(N154,'Dados StatusInvest'!A:Z,26,0)</f>
        <v>17619515.67</v>
      </c>
      <c r="Q154" s="115">
        <f t="shared" si="9"/>
        <v>180.018</v>
      </c>
      <c r="R154" s="116">
        <f t="shared" ref="R154:AO154" si="157">IF(AQ154="","", RANK(AQ154,AQ$7:AQ$503,0))</f>
        <v>237</v>
      </c>
      <c r="S154" s="115">
        <f t="shared" si="157"/>
        <v>210</v>
      </c>
      <c r="T154" s="115" t="str">
        <f t="shared" si="157"/>
        <v/>
      </c>
      <c r="U154" s="115" t="str">
        <f t="shared" si="157"/>
        <v/>
      </c>
      <c r="V154" s="115" t="str">
        <f t="shared" si="157"/>
        <v/>
      </c>
      <c r="W154" s="115" t="str">
        <f t="shared" si="157"/>
        <v/>
      </c>
      <c r="X154" s="115" t="str">
        <f t="shared" si="157"/>
        <v/>
      </c>
      <c r="Y154" s="115" t="str">
        <f t="shared" si="157"/>
        <v/>
      </c>
      <c r="Z154" s="115" t="str">
        <f t="shared" si="157"/>
        <v/>
      </c>
      <c r="AA154" s="115" t="str">
        <f t="shared" si="157"/>
        <v/>
      </c>
      <c r="AB154" s="115" t="str">
        <f t="shared" si="157"/>
        <v/>
      </c>
      <c r="AC154" s="115" t="str">
        <f t="shared" si="157"/>
        <v/>
      </c>
      <c r="AD154" s="115" t="str">
        <f t="shared" si="157"/>
        <v/>
      </c>
      <c r="AE154" s="115" t="str">
        <f t="shared" si="157"/>
        <v/>
      </c>
      <c r="AF154" s="115" t="str">
        <f t="shared" si="157"/>
        <v/>
      </c>
      <c r="AG154" s="115" t="str">
        <f t="shared" si="157"/>
        <v/>
      </c>
      <c r="AH154" s="115" t="str">
        <f t="shared" si="157"/>
        <v/>
      </c>
      <c r="AI154" s="115" t="str">
        <f t="shared" si="157"/>
        <v/>
      </c>
      <c r="AJ154" s="115" t="str">
        <f t="shared" si="157"/>
        <v/>
      </c>
      <c r="AK154" s="115" t="str">
        <f t="shared" si="157"/>
        <v/>
      </c>
      <c r="AL154" s="115" t="str">
        <f t="shared" si="157"/>
        <v/>
      </c>
      <c r="AM154" s="115" t="str">
        <f t="shared" si="157"/>
        <v/>
      </c>
      <c r="AN154" s="115" t="str">
        <f t="shared" si="157"/>
        <v/>
      </c>
      <c r="AO154" s="115" t="str">
        <f t="shared" si="157"/>
        <v/>
      </c>
      <c r="AP154" s="117">
        <f>IF(AP$6="","",IF(AP$3="Maior",IFERROR(IF(VLOOKUP($N154,Capa!$A:$AE,AP$5,0)="",0,VLOOKUP($N154,Capa!$A:$AE,AP$5,0)),0),IF(ISERROR(1/VLOOKUP($N154,Capa!$A:$AE,AP$5,0)),0,1/VLOOKUP($N154,Capa!$A:$AE,AP$5,0))))</f>
        <v>0.1167756902</v>
      </c>
      <c r="AQ154" s="118">
        <f>IF(AQ$6="","",IF(AQ$3="Maior",IFERROR(IF(VLOOKUP($N154,Capa!$A:$AE,AQ$5,0)="",0,VLOOKUP($N154,Capa!$A:$AE,AQ$5,0)),0),IF(ISERROR(1/VLOOKUP($N154,Capa!$A:$AE,AQ$5,0)),0,1/VLOOKUP($N154,Capa!$A:$AE,AQ$5,0))))</f>
        <v>9.21</v>
      </c>
      <c r="AR154" s="118">
        <f>IF(AR$6="","",IF(AR$3="Maior",IFERROR(IF(VLOOKUP($N154,Capa!$A:$AE,AR$5,0)="",0,VLOOKUP($N154,Capa!$A:$AE,AR$5,0)),0),IF(ISERROR(1/VLOOKUP($N154,Capa!$A:$AE,AR$5,0)),0,1/VLOOKUP($N154,Capa!$A:$AE,AR$5,0))))</f>
        <v>0.94</v>
      </c>
      <c r="AS154" s="118" t="str">
        <f>IF(AS$6="","",IF(AS$3="Maior",IFERROR(IF(VLOOKUP($N154,Capa!$A:$AE,AS$5,0)="",0,VLOOKUP($N154,Capa!$A:$AE,AS$5,0)),0),IF(ISERROR(1/VLOOKUP($N154,Capa!$A:$AE,AS$5,0)),0,1/VLOOKUP($N154,Capa!$A:$AE,AS$5,0))))</f>
        <v/>
      </c>
      <c r="AT154" s="118" t="str">
        <f>IF(AT$6="","",IF(AT$3="Maior",IFERROR(IF(VLOOKUP($N154,Capa!$A:$AE,AT$5,0)="",0,VLOOKUP($N154,Capa!$A:$AE,AT$5,0)),0),IF(ISERROR(1/VLOOKUP($N154,Capa!$A:$AE,AT$5,0)),0,1/VLOOKUP($N154,Capa!$A:$AE,AT$5,0))))</f>
        <v/>
      </c>
      <c r="AU154" s="118" t="str">
        <f>IF(AU$6="","",IF(AU$3="Maior",IFERROR(IF(VLOOKUP($N154,Capa!$A:$AE,AU$5,0)="",0,VLOOKUP($N154,Capa!$A:$AE,AU$5,0)),0),IF(ISERROR(1/VLOOKUP($N154,Capa!$A:$AE,AU$5,0)),0,1/VLOOKUP($N154,Capa!$A:$AE,AU$5,0))))</f>
        <v/>
      </c>
      <c r="AV154" s="118" t="str">
        <f>IF(AV$6="","",IF(AV$3="Maior",IFERROR(IF(VLOOKUP($N154,Capa!$A:$AE,AV$5,0)="",0,VLOOKUP($N154,Capa!$A:$AE,AV$5,0)),0),IF(ISERROR(1/VLOOKUP($N154,Capa!$A:$AE,AV$5,0)),0,1/VLOOKUP($N154,Capa!$A:$AE,AV$5,0))))</f>
        <v/>
      </c>
      <c r="AW154" s="118" t="str">
        <f>IF(AW$6="","",IF(AW$3="Maior",IFERROR(IF(VLOOKUP($N154,Capa!$A:$AE,AW$5,0)="",0,VLOOKUP($N154,Capa!$A:$AE,AW$5,0)),0),IF(ISERROR(1/VLOOKUP($N154,Capa!$A:$AE,AW$5,0)),0,1/VLOOKUP($N154,Capa!$A:$AE,AW$5,0))))</f>
        <v/>
      </c>
      <c r="AX154" s="118" t="str">
        <f>IF(AX$6="","",IF(AX$3="Maior",IFERROR(IF(VLOOKUP($N154,Capa!$A:$AE,AX$5,0)="",0,VLOOKUP($N154,Capa!$A:$AE,AX$5,0)),0),IF(ISERROR(1/VLOOKUP($N154,Capa!$A:$AE,AX$5,0)),0,1/VLOOKUP($N154,Capa!$A:$AE,AX$5,0))))</f>
        <v/>
      </c>
      <c r="AY154" s="118" t="str">
        <f>IF(AY$6="","",IF(AY$3="Maior",IFERROR(IF(VLOOKUP($N154,Capa!$A:$AE,AY$5,0)="",0,VLOOKUP($N154,Capa!$A:$AE,AY$5,0)),0),IF(ISERROR(1/VLOOKUP($N154,Capa!$A:$AE,AY$5,0)),0,1/VLOOKUP($N154,Capa!$A:$AE,AY$5,0))))</f>
        <v/>
      </c>
      <c r="AZ154" s="118" t="str">
        <f>IF(AZ$6="","",IF(AZ$3="Maior",IFERROR(IF(VLOOKUP($N154,Capa!$A:$AE,AZ$5,0)="",0,VLOOKUP($N154,Capa!$A:$AE,AZ$5,0)),0),IF(ISERROR(1/VLOOKUP($N154,Capa!$A:$AE,AZ$5,0)),0,1/VLOOKUP($N154,Capa!$A:$AE,AZ$5,0))))</f>
        <v/>
      </c>
      <c r="BA154" s="118" t="str">
        <f>IF(BA$6="","",IF(BA$3="Maior",IFERROR(IF(VLOOKUP($N154,Capa!$A:$AE,BA$5,0)="",0,VLOOKUP($N154,Capa!$A:$AE,BA$5,0)),0),IF(ISERROR(1/VLOOKUP($N154,Capa!$A:$AE,BA$5,0)),0,1/VLOOKUP($N154,Capa!$A:$AE,BA$5,0))))</f>
        <v/>
      </c>
      <c r="BB154" s="118" t="str">
        <f>IF(BB$6="","",IF(BB$3="Maior",IFERROR(IF(VLOOKUP($N154,Capa!$A:$AE,BB$5,0)="",0,VLOOKUP($N154,Capa!$A:$AE,BB$5,0)),0),IF(ISERROR(1/VLOOKUP($N154,Capa!$A:$AE,BB$5,0)),0,1/VLOOKUP($N154,Capa!$A:$AE,BB$5,0))))</f>
        <v/>
      </c>
      <c r="BC154" s="118" t="str">
        <f>IF(BC$6="","",IF(BC$3="Maior",IFERROR(IF(VLOOKUP($N154,Capa!$A:$AE,BC$5,0)="",0,VLOOKUP($N154,Capa!$A:$AE,BC$5,0)),0),IF(ISERROR(1/VLOOKUP($N154,Capa!$A:$AE,BC$5,0)),0,1/VLOOKUP($N154,Capa!$A:$AE,BC$5,0))))</f>
        <v/>
      </c>
      <c r="BD154" s="118" t="str">
        <f>IF(BD$6="","",IF(BD$3="Maior",IFERROR(IF(VLOOKUP($N154,Capa!$A:$AE,BD$5,0)="",0,VLOOKUP($N154,Capa!$A:$AE,BD$5,0)),0),IF(ISERROR(1/VLOOKUP($N154,Capa!$A:$AE,BD$5,0)),0,1/VLOOKUP($N154,Capa!$A:$AE,BD$5,0))))</f>
        <v/>
      </c>
      <c r="BE154" s="118" t="str">
        <f>IF(BE$6="","",IF(BE$3="Maior",IFERROR(IF(VLOOKUP($N154,Capa!$A:$AE,BE$5,0)="",0,VLOOKUP($N154,Capa!$A:$AE,BE$5,0)),0),IF(ISERROR(1/VLOOKUP($N154,Capa!$A:$AE,BE$5,0)),0,1/VLOOKUP($N154,Capa!$A:$AE,BE$5,0))))</f>
        <v/>
      </c>
      <c r="BF154" s="118" t="str">
        <f>IF(BF$6="","",IF(BF$3="Maior",IFERROR(IF(VLOOKUP($N154,Capa!$A:$AE,BF$5,0)="",0,VLOOKUP($N154,Capa!$A:$AE,BF$5,0)),0),IF(ISERROR(1/VLOOKUP($N154,Capa!$A:$AE,BF$5,0)),0,1/VLOOKUP($N154,Capa!$A:$AE,BF$5,0))))</f>
        <v/>
      </c>
      <c r="BG154" s="118" t="str">
        <f>IF(BG$6="","",IF(BG$3="Maior",IFERROR(IF(VLOOKUP($N154,Capa!$A:$AE,BG$5,0)="",0,VLOOKUP($N154,Capa!$A:$AE,BG$5,0)),0),IF(ISERROR(1/VLOOKUP($N154,Capa!$A:$AE,BG$5,0)),0,1/VLOOKUP($N154,Capa!$A:$AE,BG$5,0))))</f>
        <v/>
      </c>
      <c r="BH154" s="118" t="str">
        <f>IF(BH$6="","",IF(BH$3="Maior",IFERROR(IF(VLOOKUP($N154,Capa!$A:$AE,BH$5,0)="",0,VLOOKUP($N154,Capa!$A:$AE,BH$5,0)),0),IF(ISERROR(1/VLOOKUP($N154,Capa!$A:$AE,BH$5,0)),0,1/VLOOKUP($N154,Capa!$A:$AE,BH$5,0))))</f>
        <v/>
      </c>
      <c r="BI154" s="118" t="str">
        <f>IF(BI$6="","",IF(BI$3="Maior",IFERROR(IF(VLOOKUP($N154,Capa!$A:$AE,BI$5,0)="",0,VLOOKUP($N154,Capa!$A:$AE,BI$5,0)),0),IF(ISERROR(1/VLOOKUP($N154,Capa!$A:$AE,BI$5,0)),0,1/VLOOKUP($N154,Capa!$A:$AE,BI$5,0))))</f>
        <v/>
      </c>
      <c r="BJ154" s="118" t="str">
        <f>IF(BJ$6="","",IF(BJ$3="Maior",IFERROR(IF(VLOOKUP($N154,Capa!$A:$AE,BJ$5,0)="",0,VLOOKUP($N154,Capa!$A:$AE,BJ$5,0)),0),IF(ISERROR(1/VLOOKUP($N154,Capa!$A:$AE,BJ$5,0)),0,1/VLOOKUP($N154,Capa!$A:$AE,BJ$5,0))))</f>
        <v/>
      </c>
      <c r="BK154" s="118" t="str">
        <f>IF(BK$6="","",IF(BK$3="Maior",IFERROR(IF(VLOOKUP($N154,Capa!$A:$AE,BK$5,0)="",0,VLOOKUP($N154,Capa!$A:$AE,BK$5,0)),0),IF(ISERROR(1/VLOOKUP($N154,Capa!$A:$AE,BK$5,0)),0,1/VLOOKUP($N154,Capa!$A:$AE,BK$5,0))))</f>
        <v/>
      </c>
      <c r="BL154" s="118" t="str">
        <f>IF(BL$6="","",IF(BL$3="Maior",IFERROR(IF(VLOOKUP($N154,Capa!$A:$AE,BL$5,0)="",0,VLOOKUP($N154,Capa!$A:$AE,BL$5,0)),0),IF(ISERROR(1/VLOOKUP($N154,Capa!$A:$AE,BL$5,0)),0,1/VLOOKUP($N154,Capa!$A:$AE,BL$5,0))))</f>
        <v/>
      </c>
      <c r="BM154" s="118" t="str">
        <f>IF(BM$6="","",IF(BM$3="Maior",IFERROR(IF(VLOOKUP($N154,Capa!$A:$AE,BM$5,0)="",0,VLOOKUP($N154,Capa!$A:$AE,BM$5,0)),0),IF(ISERROR(1/VLOOKUP($N154,Capa!$A:$AE,BM$5,0)),0,1/VLOOKUP($N154,Capa!$A:$AE,BM$5,0))))</f>
        <v/>
      </c>
      <c r="BN154" s="118" t="str">
        <f>IF(BN$6="","",IF(BN$3="Maior",IFERROR(IF(VLOOKUP($N154,Capa!$A:$AE,BN$5,0)="",0,VLOOKUP($N154,Capa!$A:$AE,BN$5,0)),0),IF(ISERROR(1/VLOOKUP($N154,Capa!$A:$AE,BN$5,0)),0,1/VLOOKUP($N154,Capa!$A:$AE,BN$5,0))))</f>
        <v/>
      </c>
      <c r="BO154" s="92"/>
    </row>
    <row r="155">
      <c r="G155" s="11"/>
      <c r="H155" s="8">
        <v>149.0</v>
      </c>
      <c r="I155" s="110" t="str">
        <f t="shared" si="6"/>
        <v>ORVR3</v>
      </c>
      <c r="J155" s="111" t="str">
        <f>VLOOKUP(left(I155,4),Setor!A:D,3,0)&amp;" | "&amp;VLOOKUP(left(I155,4),Setor!A:D,4,0)</f>
        <v>#N/A</v>
      </c>
      <c r="K155" s="112">
        <f t="shared" si="7"/>
        <v>18700907.96</v>
      </c>
      <c r="L155" s="11"/>
      <c r="M155" s="11"/>
      <c r="N155" s="10" t="s">
        <v>201</v>
      </c>
      <c r="O155" s="113">
        <f t="shared" si="8"/>
        <v>838.0319</v>
      </c>
      <c r="P155" s="114">
        <f>VLOOKUP(N155,'Dados StatusInvest'!A:Z,26,0)</f>
        <v>36762556.21</v>
      </c>
      <c r="Q155" s="115">
        <f t="shared" si="9"/>
        <v>319.0319</v>
      </c>
      <c r="R155" s="116">
        <f t="shared" ref="R155:AO155" si="158">IF(AQ155="","", RANK(AQ155,AQ$7:AQ$503,0))</f>
        <v>300</v>
      </c>
      <c r="S155" s="115">
        <f t="shared" si="158"/>
        <v>219</v>
      </c>
      <c r="T155" s="115" t="str">
        <f t="shared" si="158"/>
        <v/>
      </c>
      <c r="U155" s="115" t="str">
        <f t="shared" si="158"/>
        <v/>
      </c>
      <c r="V155" s="115" t="str">
        <f t="shared" si="158"/>
        <v/>
      </c>
      <c r="W155" s="115" t="str">
        <f t="shared" si="158"/>
        <v/>
      </c>
      <c r="X155" s="115" t="str">
        <f t="shared" si="158"/>
        <v/>
      </c>
      <c r="Y155" s="115" t="str">
        <f t="shared" si="158"/>
        <v/>
      </c>
      <c r="Z155" s="115" t="str">
        <f t="shared" si="158"/>
        <v/>
      </c>
      <c r="AA155" s="115" t="str">
        <f t="shared" si="158"/>
        <v/>
      </c>
      <c r="AB155" s="115" t="str">
        <f t="shared" si="158"/>
        <v/>
      </c>
      <c r="AC155" s="115" t="str">
        <f t="shared" si="158"/>
        <v/>
      </c>
      <c r="AD155" s="115" t="str">
        <f t="shared" si="158"/>
        <v/>
      </c>
      <c r="AE155" s="115" t="str">
        <f t="shared" si="158"/>
        <v/>
      </c>
      <c r="AF155" s="115" t="str">
        <f t="shared" si="158"/>
        <v/>
      </c>
      <c r="AG155" s="115" t="str">
        <f t="shared" si="158"/>
        <v/>
      </c>
      <c r="AH155" s="115" t="str">
        <f t="shared" si="158"/>
        <v/>
      </c>
      <c r="AI155" s="115" t="str">
        <f t="shared" si="158"/>
        <v/>
      </c>
      <c r="AJ155" s="115" t="str">
        <f t="shared" si="158"/>
        <v/>
      </c>
      <c r="AK155" s="115" t="str">
        <f t="shared" si="158"/>
        <v/>
      </c>
      <c r="AL155" s="115" t="str">
        <f t="shared" si="158"/>
        <v/>
      </c>
      <c r="AM155" s="115" t="str">
        <f t="shared" si="158"/>
        <v/>
      </c>
      <c r="AN155" s="115" t="str">
        <f t="shared" si="158"/>
        <v/>
      </c>
      <c r="AO155" s="115" t="str">
        <f t="shared" si="158"/>
        <v/>
      </c>
      <c r="AP155" s="117">
        <f>IF(AP$6="","",IF(AP$3="Maior",IFERROR(IF(VLOOKUP($N155,Capa!$A:$AE,AP$5,0)="",0,VLOOKUP($N155,Capa!$A:$AE,AP$5,0)),0),IF(ISERROR(1/VLOOKUP($N155,Capa!$A:$AE,AP$5,0)),0,1/VLOOKUP($N155,Capa!$A:$AE,AP$5,0))))</f>
        <v>0.04622322435</v>
      </c>
      <c r="AQ155" s="118">
        <f>IF(AQ$6="","",IF(AQ$3="Maior",IFERROR(IF(VLOOKUP($N155,Capa!$A:$AE,AQ$5,0)="",0,VLOOKUP($N155,Capa!$A:$AE,AQ$5,0)),0),IF(ISERROR(1/VLOOKUP($N155,Capa!$A:$AE,AQ$5,0)),0,1/VLOOKUP($N155,Capa!$A:$AE,AQ$5,0))))</f>
        <v>4.91</v>
      </c>
      <c r="AR155" s="118">
        <f>IF(AR$6="","",IF(AR$3="Maior",IFERROR(IF(VLOOKUP($N155,Capa!$A:$AE,AR$5,0)="",0,VLOOKUP($N155,Capa!$A:$AE,AR$5,0)),0),IF(ISERROR(1/VLOOKUP($N155,Capa!$A:$AE,AR$5,0)),0,1/VLOOKUP($N155,Capa!$A:$AE,AR$5,0))))</f>
        <v>0</v>
      </c>
      <c r="AS155" s="118" t="str">
        <f>IF(AS$6="","",IF(AS$3="Maior",IFERROR(IF(VLOOKUP($N155,Capa!$A:$AE,AS$5,0)="",0,VLOOKUP($N155,Capa!$A:$AE,AS$5,0)),0),IF(ISERROR(1/VLOOKUP($N155,Capa!$A:$AE,AS$5,0)),0,1/VLOOKUP($N155,Capa!$A:$AE,AS$5,0))))</f>
        <v/>
      </c>
      <c r="AT155" s="118" t="str">
        <f>IF(AT$6="","",IF(AT$3="Maior",IFERROR(IF(VLOOKUP($N155,Capa!$A:$AE,AT$5,0)="",0,VLOOKUP($N155,Capa!$A:$AE,AT$5,0)),0),IF(ISERROR(1/VLOOKUP($N155,Capa!$A:$AE,AT$5,0)),0,1/VLOOKUP($N155,Capa!$A:$AE,AT$5,0))))</f>
        <v/>
      </c>
      <c r="AU155" s="118" t="str">
        <f>IF(AU$6="","",IF(AU$3="Maior",IFERROR(IF(VLOOKUP($N155,Capa!$A:$AE,AU$5,0)="",0,VLOOKUP($N155,Capa!$A:$AE,AU$5,0)),0),IF(ISERROR(1/VLOOKUP($N155,Capa!$A:$AE,AU$5,0)),0,1/VLOOKUP($N155,Capa!$A:$AE,AU$5,0))))</f>
        <v/>
      </c>
      <c r="AV155" s="118" t="str">
        <f>IF(AV$6="","",IF(AV$3="Maior",IFERROR(IF(VLOOKUP($N155,Capa!$A:$AE,AV$5,0)="",0,VLOOKUP($N155,Capa!$A:$AE,AV$5,0)),0),IF(ISERROR(1/VLOOKUP($N155,Capa!$A:$AE,AV$5,0)),0,1/VLOOKUP($N155,Capa!$A:$AE,AV$5,0))))</f>
        <v/>
      </c>
      <c r="AW155" s="118" t="str">
        <f>IF(AW$6="","",IF(AW$3="Maior",IFERROR(IF(VLOOKUP($N155,Capa!$A:$AE,AW$5,0)="",0,VLOOKUP($N155,Capa!$A:$AE,AW$5,0)),0),IF(ISERROR(1/VLOOKUP($N155,Capa!$A:$AE,AW$5,0)),0,1/VLOOKUP($N155,Capa!$A:$AE,AW$5,0))))</f>
        <v/>
      </c>
      <c r="AX155" s="118" t="str">
        <f>IF(AX$6="","",IF(AX$3="Maior",IFERROR(IF(VLOOKUP($N155,Capa!$A:$AE,AX$5,0)="",0,VLOOKUP($N155,Capa!$A:$AE,AX$5,0)),0),IF(ISERROR(1/VLOOKUP($N155,Capa!$A:$AE,AX$5,0)),0,1/VLOOKUP($N155,Capa!$A:$AE,AX$5,0))))</f>
        <v/>
      </c>
      <c r="AY155" s="118" t="str">
        <f>IF(AY$6="","",IF(AY$3="Maior",IFERROR(IF(VLOOKUP($N155,Capa!$A:$AE,AY$5,0)="",0,VLOOKUP($N155,Capa!$A:$AE,AY$5,0)),0),IF(ISERROR(1/VLOOKUP($N155,Capa!$A:$AE,AY$5,0)),0,1/VLOOKUP($N155,Capa!$A:$AE,AY$5,0))))</f>
        <v/>
      </c>
      <c r="AZ155" s="118" t="str">
        <f>IF(AZ$6="","",IF(AZ$3="Maior",IFERROR(IF(VLOOKUP($N155,Capa!$A:$AE,AZ$5,0)="",0,VLOOKUP($N155,Capa!$A:$AE,AZ$5,0)),0),IF(ISERROR(1/VLOOKUP($N155,Capa!$A:$AE,AZ$5,0)),0,1/VLOOKUP($N155,Capa!$A:$AE,AZ$5,0))))</f>
        <v/>
      </c>
      <c r="BA155" s="118" t="str">
        <f>IF(BA$6="","",IF(BA$3="Maior",IFERROR(IF(VLOOKUP($N155,Capa!$A:$AE,BA$5,0)="",0,VLOOKUP($N155,Capa!$A:$AE,BA$5,0)),0),IF(ISERROR(1/VLOOKUP($N155,Capa!$A:$AE,BA$5,0)),0,1/VLOOKUP($N155,Capa!$A:$AE,BA$5,0))))</f>
        <v/>
      </c>
      <c r="BB155" s="118" t="str">
        <f>IF(BB$6="","",IF(BB$3="Maior",IFERROR(IF(VLOOKUP($N155,Capa!$A:$AE,BB$5,0)="",0,VLOOKUP($N155,Capa!$A:$AE,BB$5,0)),0),IF(ISERROR(1/VLOOKUP($N155,Capa!$A:$AE,BB$5,0)),0,1/VLOOKUP($N155,Capa!$A:$AE,BB$5,0))))</f>
        <v/>
      </c>
      <c r="BC155" s="118" t="str">
        <f>IF(BC$6="","",IF(BC$3="Maior",IFERROR(IF(VLOOKUP($N155,Capa!$A:$AE,BC$5,0)="",0,VLOOKUP($N155,Capa!$A:$AE,BC$5,0)),0),IF(ISERROR(1/VLOOKUP($N155,Capa!$A:$AE,BC$5,0)),0,1/VLOOKUP($N155,Capa!$A:$AE,BC$5,0))))</f>
        <v/>
      </c>
      <c r="BD155" s="118" t="str">
        <f>IF(BD$6="","",IF(BD$3="Maior",IFERROR(IF(VLOOKUP($N155,Capa!$A:$AE,BD$5,0)="",0,VLOOKUP($N155,Capa!$A:$AE,BD$5,0)),0),IF(ISERROR(1/VLOOKUP($N155,Capa!$A:$AE,BD$5,0)),0,1/VLOOKUP($N155,Capa!$A:$AE,BD$5,0))))</f>
        <v/>
      </c>
      <c r="BE155" s="118" t="str">
        <f>IF(BE$6="","",IF(BE$3="Maior",IFERROR(IF(VLOOKUP($N155,Capa!$A:$AE,BE$5,0)="",0,VLOOKUP($N155,Capa!$A:$AE,BE$5,0)),0),IF(ISERROR(1/VLOOKUP($N155,Capa!$A:$AE,BE$5,0)),0,1/VLOOKUP($N155,Capa!$A:$AE,BE$5,0))))</f>
        <v/>
      </c>
      <c r="BF155" s="118" t="str">
        <f>IF(BF$6="","",IF(BF$3="Maior",IFERROR(IF(VLOOKUP($N155,Capa!$A:$AE,BF$5,0)="",0,VLOOKUP($N155,Capa!$A:$AE,BF$5,0)),0),IF(ISERROR(1/VLOOKUP($N155,Capa!$A:$AE,BF$5,0)),0,1/VLOOKUP($N155,Capa!$A:$AE,BF$5,0))))</f>
        <v/>
      </c>
      <c r="BG155" s="118" t="str">
        <f>IF(BG$6="","",IF(BG$3="Maior",IFERROR(IF(VLOOKUP($N155,Capa!$A:$AE,BG$5,0)="",0,VLOOKUP($N155,Capa!$A:$AE,BG$5,0)),0),IF(ISERROR(1/VLOOKUP($N155,Capa!$A:$AE,BG$5,0)),0,1/VLOOKUP($N155,Capa!$A:$AE,BG$5,0))))</f>
        <v/>
      </c>
      <c r="BH155" s="118" t="str">
        <f>IF(BH$6="","",IF(BH$3="Maior",IFERROR(IF(VLOOKUP($N155,Capa!$A:$AE,BH$5,0)="",0,VLOOKUP($N155,Capa!$A:$AE,BH$5,0)),0),IF(ISERROR(1/VLOOKUP($N155,Capa!$A:$AE,BH$5,0)),0,1/VLOOKUP($N155,Capa!$A:$AE,BH$5,0))))</f>
        <v/>
      </c>
      <c r="BI155" s="118" t="str">
        <f>IF(BI$6="","",IF(BI$3="Maior",IFERROR(IF(VLOOKUP($N155,Capa!$A:$AE,BI$5,0)="",0,VLOOKUP($N155,Capa!$A:$AE,BI$5,0)),0),IF(ISERROR(1/VLOOKUP($N155,Capa!$A:$AE,BI$5,0)),0,1/VLOOKUP($N155,Capa!$A:$AE,BI$5,0))))</f>
        <v/>
      </c>
      <c r="BJ155" s="118" t="str">
        <f>IF(BJ$6="","",IF(BJ$3="Maior",IFERROR(IF(VLOOKUP($N155,Capa!$A:$AE,BJ$5,0)="",0,VLOOKUP($N155,Capa!$A:$AE,BJ$5,0)),0),IF(ISERROR(1/VLOOKUP($N155,Capa!$A:$AE,BJ$5,0)),0,1/VLOOKUP($N155,Capa!$A:$AE,BJ$5,0))))</f>
        <v/>
      </c>
      <c r="BK155" s="118" t="str">
        <f>IF(BK$6="","",IF(BK$3="Maior",IFERROR(IF(VLOOKUP($N155,Capa!$A:$AE,BK$5,0)="",0,VLOOKUP($N155,Capa!$A:$AE,BK$5,0)),0),IF(ISERROR(1/VLOOKUP($N155,Capa!$A:$AE,BK$5,0)),0,1/VLOOKUP($N155,Capa!$A:$AE,BK$5,0))))</f>
        <v/>
      </c>
      <c r="BL155" s="118" t="str">
        <f>IF(BL$6="","",IF(BL$3="Maior",IFERROR(IF(VLOOKUP($N155,Capa!$A:$AE,BL$5,0)="",0,VLOOKUP($N155,Capa!$A:$AE,BL$5,0)),0),IF(ISERROR(1/VLOOKUP($N155,Capa!$A:$AE,BL$5,0)),0,1/VLOOKUP($N155,Capa!$A:$AE,BL$5,0))))</f>
        <v/>
      </c>
      <c r="BM155" s="118" t="str">
        <f>IF(BM$6="","",IF(BM$3="Maior",IFERROR(IF(VLOOKUP($N155,Capa!$A:$AE,BM$5,0)="",0,VLOOKUP($N155,Capa!$A:$AE,BM$5,0)),0),IF(ISERROR(1/VLOOKUP($N155,Capa!$A:$AE,BM$5,0)),0,1/VLOOKUP($N155,Capa!$A:$AE,BM$5,0))))</f>
        <v/>
      </c>
      <c r="BN155" s="118" t="str">
        <f>IF(BN$6="","",IF(BN$3="Maior",IFERROR(IF(VLOOKUP($N155,Capa!$A:$AE,BN$5,0)="",0,VLOOKUP($N155,Capa!$A:$AE,BN$5,0)),0),IF(ISERROR(1/VLOOKUP($N155,Capa!$A:$AE,BN$5,0)),0,1/VLOOKUP($N155,Capa!$A:$AE,BN$5,0))))</f>
        <v/>
      </c>
      <c r="BO155" s="92"/>
    </row>
    <row r="156">
      <c r="G156" s="11"/>
      <c r="H156" s="8">
        <v>150.0</v>
      </c>
      <c r="I156" s="110" t="str">
        <f t="shared" si="6"/>
        <v>ALSO3</v>
      </c>
      <c r="J156" s="111" t="str">
        <f>VLOOKUP(left(I156,4),Setor!A:D,3,0)&amp;" | "&amp;VLOOKUP(left(I156,4),Setor!A:D,4,0)</f>
        <v>Financeiro | Exploração de Imóveis</v>
      </c>
      <c r="K156" s="112">
        <f t="shared" si="7"/>
        <v>27694981.75</v>
      </c>
      <c r="L156" s="11"/>
      <c r="M156" s="11"/>
      <c r="N156" s="10" t="s">
        <v>202</v>
      </c>
      <c r="O156" s="113">
        <f t="shared" si="8"/>
        <v>771.033</v>
      </c>
      <c r="P156" s="114">
        <f>VLOOKUP(N156,'Dados StatusInvest'!A:Z,26,0)</f>
        <v>20623648.25</v>
      </c>
      <c r="Q156" s="115">
        <f t="shared" si="9"/>
        <v>330.033</v>
      </c>
      <c r="R156" s="116">
        <f t="shared" ref="R156:AO156" si="159">IF(AQ156="","", RANK(AQ156,AQ$7:AQ$503,0))</f>
        <v>222</v>
      </c>
      <c r="S156" s="115">
        <f t="shared" si="159"/>
        <v>219</v>
      </c>
      <c r="T156" s="115" t="str">
        <f t="shared" si="159"/>
        <v/>
      </c>
      <c r="U156" s="115" t="str">
        <f t="shared" si="159"/>
        <v/>
      </c>
      <c r="V156" s="115" t="str">
        <f t="shared" si="159"/>
        <v/>
      </c>
      <c r="W156" s="115" t="str">
        <f t="shared" si="159"/>
        <v/>
      </c>
      <c r="X156" s="115" t="str">
        <f t="shared" si="159"/>
        <v/>
      </c>
      <c r="Y156" s="115" t="str">
        <f t="shared" si="159"/>
        <v/>
      </c>
      <c r="Z156" s="115" t="str">
        <f t="shared" si="159"/>
        <v/>
      </c>
      <c r="AA156" s="115" t="str">
        <f t="shared" si="159"/>
        <v/>
      </c>
      <c r="AB156" s="115" t="str">
        <f t="shared" si="159"/>
        <v/>
      </c>
      <c r="AC156" s="115" t="str">
        <f t="shared" si="159"/>
        <v/>
      </c>
      <c r="AD156" s="115" t="str">
        <f t="shared" si="159"/>
        <v/>
      </c>
      <c r="AE156" s="115" t="str">
        <f t="shared" si="159"/>
        <v/>
      </c>
      <c r="AF156" s="115" t="str">
        <f t="shared" si="159"/>
        <v/>
      </c>
      <c r="AG156" s="115" t="str">
        <f t="shared" si="159"/>
        <v/>
      </c>
      <c r="AH156" s="115" t="str">
        <f t="shared" si="159"/>
        <v/>
      </c>
      <c r="AI156" s="115" t="str">
        <f t="shared" si="159"/>
        <v/>
      </c>
      <c r="AJ156" s="115" t="str">
        <f t="shared" si="159"/>
        <v/>
      </c>
      <c r="AK156" s="115" t="str">
        <f t="shared" si="159"/>
        <v/>
      </c>
      <c r="AL156" s="115" t="str">
        <f t="shared" si="159"/>
        <v/>
      </c>
      <c r="AM156" s="115" t="str">
        <f t="shared" si="159"/>
        <v/>
      </c>
      <c r="AN156" s="115" t="str">
        <f t="shared" si="159"/>
        <v/>
      </c>
      <c r="AO156" s="115" t="str">
        <f t="shared" si="159"/>
        <v/>
      </c>
      <c r="AP156" s="117">
        <f>IF(AP$6="","",IF(AP$3="Maior",IFERROR(IF(VLOOKUP($N156,Capa!$A:$AE,AP$5,0)="",0,VLOOKUP($N156,Capa!$A:$AE,AP$5,0)),0),IF(ISERROR(1/VLOOKUP($N156,Capa!$A:$AE,AP$5,0)),0,1/VLOOKUP($N156,Capa!$A:$AE,AP$5,0))))</f>
        <v>0.04003166075</v>
      </c>
      <c r="AQ156" s="118">
        <f>IF(AQ$6="","",IF(AQ$3="Maior",IFERROR(IF(VLOOKUP($N156,Capa!$A:$AE,AQ$5,0)="",0,VLOOKUP($N156,Capa!$A:$AE,AQ$5,0)),0),IF(ISERROR(1/VLOOKUP($N156,Capa!$A:$AE,AQ$5,0)),0,1/VLOOKUP($N156,Capa!$A:$AE,AQ$5,0))))</f>
        <v>10.1</v>
      </c>
      <c r="AR156" s="118">
        <f>IF(AR$6="","",IF(AR$3="Maior",IFERROR(IF(VLOOKUP($N156,Capa!$A:$AE,AR$5,0)="",0,VLOOKUP($N156,Capa!$A:$AE,AR$5,0)),0),IF(ISERROR(1/VLOOKUP($N156,Capa!$A:$AE,AR$5,0)),0,1/VLOOKUP($N156,Capa!$A:$AE,AR$5,0))))</f>
        <v>0</v>
      </c>
      <c r="AS156" s="118" t="str">
        <f>IF(AS$6="","",IF(AS$3="Maior",IFERROR(IF(VLOOKUP($N156,Capa!$A:$AE,AS$5,0)="",0,VLOOKUP($N156,Capa!$A:$AE,AS$5,0)),0),IF(ISERROR(1/VLOOKUP($N156,Capa!$A:$AE,AS$5,0)),0,1/VLOOKUP($N156,Capa!$A:$AE,AS$5,0))))</f>
        <v/>
      </c>
      <c r="AT156" s="118" t="str">
        <f>IF(AT$6="","",IF(AT$3="Maior",IFERROR(IF(VLOOKUP($N156,Capa!$A:$AE,AT$5,0)="",0,VLOOKUP($N156,Capa!$A:$AE,AT$5,0)),0),IF(ISERROR(1/VLOOKUP($N156,Capa!$A:$AE,AT$5,0)),0,1/VLOOKUP($N156,Capa!$A:$AE,AT$5,0))))</f>
        <v/>
      </c>
      <c r="AU156" s="118" t="str">
        <f>IF(AU$6="","",IF(AU$3="Maior",IFERROR(IF(VLOOKUP($N156,Capa!$A:$AE,AU$5,0)="",0,VLOOKUP($N156,Capa!$A:$AE,AU$5,0)),0),IF(ISERROR(1/VLOOKUP($N156,Capa!$A:$AE,AU$5,0)),0,1/VLOOKUP($N156,Capa!$A:$AE,AU$5,0))))</f>
        <v/>
      </c>
      <c r="AV156" s="118" t="str">
        <f>IF(AV$6="","",IF(AV$3="Maior",IFERROR(IF(VLOOKUP($N156,Capa!$A:$AE,AV$5,0)="",0,VLOOKUP($N156,Capa!$A:$AE,AV$5,0)),0),IF(ISERROR(1/VLOOKUP($N156,Capa!$A:$AE,AV$5,0)),0,1/VLOOKUP($N156,Capa!$A:$AE,AV$5,0))))</f>
        <v/>
      </c>
      <c r="AW156" s="118" t="str">
        <f>IF(AW$6="","",IF(AW$3="Maior",IFERROR(IF(VLOOKUP($N156,Capa!$A:$AE,AW$5,0)="",0,VLOOKUP($N156,Capa!$A:$AE,AW$5,0)),0),IF(ISERROR(1/VLOOKUP($N156,Capa!$A:$AE,AW$5,0)),0,1/VLOOKUP($N156,Capa!$A:$AE,AW$5,0))))</f>
        <v/>
      </c>
      <c r="AX156" s="118" t="str">
        <f>IF(AX$6="","",IF(AX$3="Maior",IFERROR(IF(VLOOKUP($N156,Capa!$A:$AE,AX$5,0)="",0,VLOOKUP($N156,Capa!$A:$AE,AX$5,0)),0),IF(ISERROR(1/VLOOKUP($N156,Capa!$A:$AE,AX$5,0)),0,1/VLOOKUP($N156,Capa!$A:$AE,AX$5,0))))</f>
        <v/>
      </c>
      <c r="AY156" s="118" t="str">
        <f>IF(AY$6="","",IF(AY$3="Maior",IFERROR(IF(VLOOKUP($N156,Capa!$A:$AE,AY$5,0)="",0,VLOOKUP($N156,Capa!$A:$AE,AY$5,0)),0),IF(ISERROR(1/VLOOKUP($N156,Capa!$A:$AE,AY$5,0)),0,1/VLOOKUP($N156,Capa!$A:$AE,AY$5,0))))</f>
        <v/>
      </c>
      <c r="AZ156" s="118" t="str">
        <f>IF(AZ$6="","",IF(AZ$3="Maior",IFERROR(IF(VLOOKUP($N156,Capa!$A:$AE,AZ$5,0)="",0,VLOOKUP($N156,Capa!$A:$AE,AZ$5,0)),0),IF(ISERROR(1/VLOOKUP($N156,Capa!$A:$AE,AZ$5,0)),0,1/VLOOKUP($N156,Capa!$A:$AE,AZ$5,0))))</f>
        <v/>
      </c>
      <c r="BA156" s="118" t="str">
        <f>IF(BA$6="","",IF(BA$3="Maior",IFERROR(IF(VLOOKUP($N156,Capa!$A:$AE,BA$5,0)="",0,VLOOKUP($N156,Capa!$A:$AE,BA$5,0)),0),IF(ISERROR(1/VLOOKUP($N156,Capa!$A:$AE,BA$5,0)),0,1/VLOOKUP($N156,Capa!$A:$AE,BA$5,0))))</f>
        <v/>
      </c>
      <c r="BB156" s="118" t="str">
        <f>IF(BB$6="","",IF(BB$3="Maior",IFERROR(IF(VLOOKUP($N156,Capa!$A:$AE,BB$5,0)="",0,VLOOKUP($N156,Capa!$A:$AE,BB$5,0)),0),IF(ISERROR(1/VLOOKUP($N156,Capa!$A:$AE,BB$5,0)),0,1/VLOOKUP($N156,Capa!$A:$AE,BB$5,0))))</f>
        <v/>
      </c>
      <c r="BC156" s="118" t="str">
        <f>IF(BC$6="","",IF(BC$3="Maior",IFERROR(IF(VLOOKUP($N156,Capa!$A:$AE,BC$5,0)="",0,VLOOKUP($N156,Capa!$A:$AE,BC$5,0)),0),IF(ISERROR(1/VLOOKUP($N156,Capa!$A:$AE,BC$5,0)),0,1/VLOOKUP($N156,Capa!$A:$AE,BC$5,0))))</f>
        <v/>
      </c>
      <c r="BD156" s="118" t="str">
        <f>IF(BD$6="","",IF(BD$3="Maior",IFERROR(IF(VLOOKUP($N156,Capa!$A:$AE,BD$5,0)="",0,VLOOKUP($N156,Capa!$A:$AE,BD$5,0)),0),IF(ISERROR(1/VLOOKUP($N156,Capa!$A:$AE,BD$5,0)),0,1/VLOOKUP($N156,Capa!$A:$AE,BD$5,0))))</f>
        <v/>
      </c>
      <c r="BE156" s="118" t="str">
        <f>IF(BE$6="","",IF(BE$3="Maior",IFERROR(IF(VLOOKUP($N156,Capa!$A:$AE,BE$5,0)="",0,VLOOKUP($N156,Capa!$A:$AE,BE$5,0)),0),IF(ISERROR(1/VLOOKUP($N156,Capa!$A:$AE,BE$5,0)),0,1/VLOOKUP($N156,Capa!$A:$AE,BE$5,0))))</f>
        <v/>
      </c>
      <c r="BF156" s="118" t="str">
        <f>IF(BF$6="","",IF(BF$3="Maior",IFERROR(IF(VLOOKUP($N156,Capa!$A:$AE,BF$5,0)="",0,VLOOKUP($N156,Capa!$A:$AE,BF$5,0)),0),IF(ISERROR(1/VLOOKUP($N156,Capa!$A:$AE,BF$5,0)),0,1/VLOOKUP($N156,Capa!$A:$AE,BF$5,0))))</f>
        <v/>
      </c>
      <c r="BG156" s="118" t="str">
        <f>IF(BG$6="","",IF(BG$3="Maior",IFERROR(IF(VLOOKUP($N156,Capa!$A:$AE,BG$5,0)="",0,VLOOKUP($N156,Capa!$A:$AE,BG$5,0)),0),IF(ISERROR(1/VLOOKUP($N156,Capa!$A:$AE,BG$5,0)),0,1/VLOOKUP($N156,Capa!$A:$AE,BG$5,0))))</f>
        <v/>
      </c>
      <c r="BH156" s="118" t="str">
        <f>IF(BH$6="","",IF(BH$3="Maior",IFERROR(IF(VLOOKUP($N156,Capa!$A:$AE,BH$5,0)="",0,VLOOKUP($N156,Capa!$A:$AE,BH$5,0)),0),IF(ISERROR(1/VLOOKUP($N156,Capa!$A:$AE,BH$5,0)),0,1/VLOOKUP($N156,Capa!$A:$AE,BH$5,0))))</f>
        <v/>
      </c>
      <c r="BI156" s="118" t="str">
        <f>IF(BI$6="","",IF(BI$3="Maior",IFERROR(IF(VLOOKUP($N156,Capa!$A:$AE,BI$5,0)="",0,VLOOKUP($N156,Capa!$A:$AE,BI$5,0)),0),IF(ISERROR(1/VLOOKUP($N156,Capa!$A:$AE,BI$5,0)),0,1/VLOOKUP($N156,Capa!$A:$AE,BI$5,0))))</f>
        <v/>
      </c>
      <c r="BJ156" s="118" t="str">
        <f>IF(BJ$6="","",IF(BJ$3="Maior",IFERROR(IF(VLOOKUP($N156,Capa!$A:$AE,BJ$5,0)="",0,VLOOKUP($N156,Capa!$A:$AE,BJ$5,0)),0),IF(ISERROR(1/VLOOKUP($N156,Capa!$A:$AE,BJ$5,0)),0,1/VLOOKUP($N156,Capa!$A:$AE,BJ$5,0))))</f>
        <v/>
      </c>
      <c r="BK156" s="118" t="str">
        <f>IF(BK$6="","",IF(BK$3="Maior",IFERROR(IF(VLOOKUP($N156,Capa!$A:$AE,BK$5,0)="",0,VLOOKUP($N156,Capa!$A:$AE,BK$5,0)),0),IF(ISERROR(1/VLOOKUP($N156,Capa!$A:$AE,BK$5,0)),0,1/VLOOKUP($N156,Capa!$A:$AE,BK$5,0))))</f>
        <v/>
      </c>
      <c r="BL156" s="118" t="str">
        <f>IF(BL$6="","",IF(BL$3="Maior",IFERROR(IF(VLOOKUP($N156,Capa!$A:$AE,BL$5,0)="",0,VLOOKUP($N156,Capa!$A:$AE,BL$5,0)),0),IF(ISERROR(1/VLOOKUP($N156,Capa!$A:$AE,BL$5,0)),0,1/VLOOKUP($N156,Capa!$A:$AE,BL$5,0))))</f>
        <v/>
      </c>
      <c r="BM156" s="118" t="str">
        <f>IF(BM$6="","",IF(BM$3="Maior",IFERROR(IF(VLOOKUP($N156,Capa!$A:$AE,BM$5,0)="",0,VLOOKUP($N156,Capa!$A:$AE,BM$5,0)),0),IF(ISERROR(1/VLOOKUP($N156,Capa!$A:$AE,BM$5,0)),0,1/VLOOKUP($N156,Capa!$A:$AE,BM$5,0))))</f>
        <v/>
      </c>
      <c r="BN156" s="118" t="str">
        <f>IF(BN$6="","",IF(BN$3="Maior",IFERROR(IF(VLOOKUP($N156,Capa!$A:$AE,BN$5,0)="",0,VLOOKUP($N156,Capa!$A:$AE,BN$5,0)),0),IF(ISERROR(1/VLOOKUP($N156,Capa!$A:$AE,BN$5,0)),0,1/VLOOKUP($N156,Capa!$A:$AE,BN$5,0))))</f>
        <v/>
      </c>
      <c r="BO156" s="92"/>
    </row>
    <row r="157">
      <c r="G157" s="11"/>
      <c r="H157" s="8">
        <v>151.0</v>
      </c>
      <c r="I157" s="110" t="str">
        <f t="shared" si="6"/>
        <v>AMBP3</v>
      </c>
      <c r="J157" s="111" t="str">
        <f>VLOOKUP(left(I157,4),Setor!A:D,3,0)&amp;" | "&amp;VLOOKUP(left(I157,4),Setor!A:D,4,0)</f>
        <v>Bens Industriais | Serviços Diversos</v>
      </c>
      <c r="K157" s="112">
        <f t="shared" si="7"/>
        <v>90173792.58</v>
      </c>
      <c r="L157" s="11"/>
      <c r="M157" s="11"/>
      <c r="N157" s="10" t="s">
        <v>203</v>
      </c>
      <c r="O157" s="113">
        <f t="shared" si="8"/>
        <v>1152.0461</v>
      </c>
      <c r="P157" s="114">
        <f>VLOOKUP(N157,'Dados StatusInvest'!A:Z,26,0)</f>
        <v>25903438.63</v>
      </c>
      <c r="Q157" s="115">
        <f t="shared" si="9"/>
        <v>461.0461</v>
      </c>
      <c r="R157" s="116">
        <f t="shared" ref="R157:AO157" si="160">IF(AQ157="","", RANK(AQ157,AQ$7:AQ$503,0))</f>
        <v>472</v>
      </c>
      <c r="S157" s="115">
        <f t="shared" si="160"/>
        <v>219</v>
      </c>
      <c r="T157" s="115" t="str">
        <f t="shared" si="160"/>
        <v/>
      </c>
      <c r="U157" s="115" t="str">
        <f t="shared" si="160"/>
        <v/>
      </c>
      <c r="V157" s="115" t="str">
        <f t="shared" si="160"/>
        <v/>
      </c>
      <c r="W157" s="115" t="str">
        <f t="shared" si="160"/>
        <v/>
      </c>
      <c r="X157" s="115" t="str">
        <f t="shared" si="160"/>
        <v/>
      </c>
      <c r="Y157" s="115" t="str">
        <f t="shared" si="160"/>
        <v/>
      </c>
      <c r="Z157" s="115" t="str">
        <f t="shared" si="160"/>
        <v/>
      </c>
      <c r="AA157" s="115" t="str">
        <f t="shared" si="160"/>
        <v/>
      </c>
      <c r="AB157" s="115" t="str">
        <f t="shared" si="160"/>
        <v/>
      </c>
      <c r="AC157" s="115" t="str">
        <f t="shared" si="160"/>
        <v/>
      </c>
      <c r="AD157" s="115" t="str">
        <f t="shared" si="160"/>
        <v/>
      </c>
      <c r="AE157" s="115" t="str">
        <f t="shared" si="160"/>
        <v/>
      </c>
      <c r="AF157" s="115" t="str">
        <f t="shared" si="160"/>
        <v/>
      </c>
      <c r="AG157" s="115" t="str">
        <f t="shared" si="160"/>
        <v/>
      </c>
      <c r="AH157" s="115" t="str">
        <f t="shared" si="160"/>
        <v/>
      </c>
      <c r="AI157" s="115" t="str">
        <f t="shared" si="160"/>
        <v/>
      </c>
      <c r="AJ157" s="115" t="str">
        <f t="shared" si="160"/>
        <v/>
      </c>
      <c r="AK157" s="115" t="str">
        <f t="shared" si="160"/>
        <v/>
      </c>
      <c r="AL157" s="115" t="str">
        <f t="shared" si="160"/>
        <v/>
      </c>
      <c r="AM157" s="115" t="str">
        <f t="shared" si="160"/>
        <v/>
      </c>
      <c r="AN157" s="115" t="str">
        <f t="shared" si="160"/>
        <v/>
      </c>
      <c r="AO157" s="115" t="str">
        <f t="shared" si="160"/>
        <v/>
      </c>
      <c r="AP157" s="117">
        <f>IF(AP$6="","",IF(AP$3="Maior",IFERROR(IF(VLOOKUP($N157,Capa!$A:$AE,AP$5,0)="",0,VLOOKUP($N157,Capa!$A:$AE,AP$5,0)),0),IF(ISERROR(1/VLOOKUP($N157,Capa!$A:$AE,AP$5,0)),0,1/VLOOKUP($N157,Capa!$A:$AE,AP$5,0))))</f>
        <v>-0.1459244592</v>
      </c>
      <c r="AQ157" s="118">
        <f>IF(AQ$6="","",IF(AQ$3="Maior",IFERROR(IF(VLOOKUP($N157,Capa!$A:$AE,AQ$5,0)="",0,VLOOKUP($N157,Capa!$A:$AE,AQ$5,0)),0),IF(ISERROR(1/VLOOKUP($N157,Capa!$A:$AE,AQ$5,0)),0,1/VLOOKUP($N157,Capa!$A:$AE,AQ$5,0))))</f>
        <v>-16.88</v>
      </c>
      <c r="AR157" s="118">
        <f>IF(AR$6="","",IF(AR$3="Maior",IFERROR(IF(VLOOKUP($N157,Capa!$A:$AE,AR$5,0)="",0,VLOOKUP($N157,Capa!$A:$AE,AR$5,0)),0),IF(ISERROR(1/VLOOKUP($N157,Capa!$A:$AE,AR$5,0)),0,1/VLOOKUP($N157,Capa!$A:$AE,AR$5,0))))</f>
        <v>0</v>
      </c>
      <c r="AS157" s="118" t="str">
        <f>IF(AS$6="","",IF(AS$3="Maior",IFERROR(IF(VLOOKUP($N157,Capa!$A:$AE,AS$5,0)="",0,VLOOKUP($N157,Capa!$A:$AE,AS$5,0)),0),IF(ISERROR(1/VLOOKUP($N157,Capa!$A:$AE,AS$5,0)),0,1/VLOOKUP($N157,Capa!$A:$AE,AS$5,0))))</f>
        <v/>
      </c>
      <c r="AT157" s="118" t="str">
        <f>IF(AT$6="","",IF(AT$3="Maior",IFERROR(IF(VLOOKUP($N157,Capa!$A:$AE,AT$5,0)="",0,VLOOKUP($N157,Capa!$A:$AE,AT$5,0)),0),IF(ISERROR(1/VLOOKUP($N157,Capa!$A:$AE,AT$5,0)),0,1/VLOOKUP($N157,Capa!$A:$AE,AT$5,0))))</f>
        <v/>
      </c>
      <c r="AU157" s="118" t="str">
        <f>IF(AU$6="","",IF(AU$3="Maior",IFERROR(IF(VLOOKUP($N157,Capa!$A:$AE,AU$5,0)="",0,VLOOKUP($N157,Capa!$A:$AE,AU$5,0)),0),IF(ISERROR(1/VLOOKUP($N157,Capa!$A:$AE,AU$5,0)),0,1/VLOOKUP($N157,Capa!$A:$AE,AU$5,0))))</f>
        <v/>
      </c>
      <c r="AV157" s="118" t="str">
        <f>IF(AV$6="","",IF(AV$3="Maior",IFERROR(IF(VLOOKUP($N157,Capa!$A:$AE,AV$5,0)="",0,VLOOKUP($N157,Capa!$A:$AE,AV$5,0)),0),IF(ISERROR(1/VLOOKUP($N157,Capa!$A:$AE,AV$5,0)),0,1/VLOOKUP($N157,Capa!$A:$AE,AV$5,0))))</f>
        <v/>
      </c>
      <c r="AW157" s="118" t="str">
        <f>IF(AW$6="","",IF(AW$3="Maior",IFERROR(IF(VLOOKUP($N157,Capa!$A:$AE,AW$5,0)="",0,VLOOKUP($N157,Capa!$A:$AE,AW$5,0)),0),IF(ISERROR(1/VLOOKUP($N157,Capa!$A:$AE,AW$5,0)),0,1/VLOOKUP($N157,Capa!$A:$AE,AW$5,0))))</f>
        <v/>
      </c>
      <c r="AX157" s="118" t="str">
        <f>IF(AX$6="","",IF(AX$3="Maior",IFERROR(IF(VLOOKUP($N157,Capa!$A:$AE,AX$5,0)="",0,VLOOKUP($N157,Capa!$A:$AE,AX$5,0)),0),IF(ISERROR(1/VLOOKUP($N157,Capa!$A:$AE,AX$5,0)),0,1/VLOOKUP($N157,Capa!$A:$AE,AX$5,0))))</f>
        <v/>
      </c>
      <c r="AY157" s="118" t="str">
        <f>IF(AY$6="","",IF(AY$3="Maior",IFERROR(IF(VLOOKUP($N157,Capa!$A:$AE,AY$5,0)="",0,VLOOKUP($N157,Capa!$A:$AE,AY$5,0)),0),IF(ISERROR(1/VLOOKUP($N157,Capa!$A:$AE,AY$5,0)),0,1/VLOOKUP($N157,Capa!$A:$AE,AY$5,0))))</f>
        <v/>
      </c>
      <c r="AZ157" s="118" t="str">
        <f>IF(AZ$6="","",IF(AZ$3="Maior",IFERROR(IF(VLOOKUP($N157,Capa!$A:$AE,AZ$5,0)="",0,VLOOKUP($N157,Capa!$A:$AE,AZ$5,0)),0),IF(ISERROR(1/VLOOKUP($N157,Capa!$A:$AE,AZ$5,0)),0,1/VLOOKUP($N157,Capa!$A:$AE,AZ$5,0))))</f>
        <v/>
      </c>
      <c r="BA157" s="118" t="str">
        <f>IF(BA$6="","",IF(BA$3="Maior",IFERROR(IF(VLOOKUP($N157,Capa!$A:$AE,BA$5,0)="",0,VLOOKUP($N157,Capa!$A:$AE,BA$5,0)),0),IF(ISERROR(1/VLOOKUP($N157,Capa!$A:$AE,BA$5,0)),0,1/VLOOKUP($N157,Capa!$A:$AE,BA$5,0))))</f>
        <v/>
      </c>
      <c r="BB157" s="118" t="str">
        <f>IF(BB$6="","",IF(BB$3="Maior",IFERROR(IF(VLOOKUP($N157,Capa!$A:$AE,BB$5,0)="",0,VLOOKUP($N157,Capa!$A:$AE,BB$5,0)),0),IF(ISERROR(1/VLOOKUP($N157,Capa!$A:$AE,BB$5,0)),0,1/VLOOKUP($N157,Capa!$A:$AE,BB$5,0))))</f>
        <v/>
      </c>
      <c r="BC157" s="118" t="str">
        <f>IF(BC$6="","",IF(BC$3="Maior",IFERROR(IF(VLOOKUP($N157,Capa!$A:$AE,BC$5,0)="",0,VLOOKUP($N157,Capa!$A:$AE,BC$5,0)),0),IF(ISERROR(1/VLOOKUP($N157,Capa!$A:$AE,BC$5,0)),0,1/VLOOKUP($N157,Capa!$A:$AE,BC$5,0))))</f>
        <v/>
      </c>
      <c r="BD157" s="118" t="str">
        <f>IF(BD$6="","",IF(BD$3="Maior",IFERROR(IF(VLOOKUP($N157,Capa!$A:$AE,BD$5,0)="",0,VLOOKUP($N157,Capa!$A:$AE,BD$5,0)),0),IF(ISERROR(1/VLOOKUP($N157,Capa!$A:$AE,BD$5,0)),0,1/VLOOKUP($N157,Capa!$A:$AE,BD$5,0))))</f>
        <v/>
      </c>
      <c r="BE157" s="118" t="str">
        <f>IF(BE$6="","",IF(BE$3="Maior",IFERROR(IF(VLOOKUP($N157,Capa!$A:$AE,BE$5,0)="",0,VLOOKUP($N157,Capa!$A:$AE,BE$5,0)),0),IF(ISERROR(1/VLOOKUP($N157,Capa!$A:$AE,BE$5,0)),0,1/VLOOKUP($N157,Capa!$A:$AE,BE$5,0))))</f>
        <v/>
      </c>
      <c r="BF157" s="118" t="str">
        <f>IF(BF$6="","",IF(BF$3="Maior",IFERROR(IF(VLOOKUP($N157,Capa!$A:$AE,BF$5,0)="",0,VLOOKUP($N157,Capa!$A:$AE,BF$5,0)),0),IF(ISERROR(1/VLOOKUP($N157,Capa!$A:$AE,BF$5,0)),0,1/VLOOKUP($N157,Capa!$A:$AE,BF$5,0))))</f>
        <v/>
      </c>
      <c r="BG157" s="118" t="str">
        <f>IF(BG$6="","",IF(BG$3="Maior",IFERROR(IF(VLOOKUP($N157,Capa!$A:$AE,BG$5,0)="",0,VLOOKUP($N157,Capa!$A:$AE,BG$5,0)),0),IF(ISERROR(1/VLOOKUP($N157,Capa!$A:$AE,BG$5,0)),0,1/VLOOKUP($N157,Capa!$A:$AE,BG$5,0))))</f>
        <v/>
      </c>
      <c r="BH157" s="118" t="str">
        <f>IF(BH$6="","",IF(BH$3="Maior",IFERROR(IF(VLOOKUP($N157,Capa!$A:$AE,BH$5,0)="",0,VLOOKUP($N157,Capa!$A:$AE,BH$5,0)),0),IF(ISERROR(1/VLOOKUP($N157,Capa!$A:$AE,BH$5,0)),0,1/VLOOKUP($N157,Capa!$A:$AE,BH$5,0))))</f>
        <v/>
      </c>
      <c r="BI157" s="118" t="str">
        <f>IF(BI$6="","",IF(BI$3="Maior",IFERROR(IF(VLOOKUP($N157,Capa!$A:$AE,BI$5,0)="",0,VLOOKUP($N157,Capa!$A:$AE,BI$5,0)),0),IF(ISERROR(1/VLOOKUP($N157,Capa!$A:$AE,BI$5,0)),0,1/VLOOKUP($N157,Capa!$A:$AE,BI$5,0))))</f>
        <v/>
      </c>
      <c r="BJ157" s="118" t="str">
        <f>IF(BJ$6="","",IF(BJ$3="Maior",IFERROR(IF(VLOOKUP($N157,Capa!$A:$AE,BJ$5,0)="",0,VLOOKUP($N157,Capa!$A:$AE,BJ$5,0)),0),IF(ISERROR(1/VLOOKUP($N157,Capa!$A:$AE,BJ$5,0)),0,1/VLOOKUP($N157,Capa!$A:$AE,BJ$5,0))))</f>
        <v/>
      </c>
      <c r="BK157" s="118" t="str">
        <f>IF(BK$6="","",IF(BK$3="Maior",IFERROR(IF(VLOOKUP($N157,Capa!$A:$AE,BK$5,0)="",0,VLOOKUP($N157,Capa!$A:$AE,BK$5,0)),0),IF(ISERROR(1/VLOOKUP($N157,Capa!$A:$AE,BK$5,0)),0,1/VLOOKUP($N157,Capa!$A:$AE,BK$5,0))))</f>
        <v/>
      </c>
      <c r="BL157" s="118" t="str">
        <f>IF(BL$6="","",IF(BL$3="Maior",IFERROR(IF(VLOOKUP($N157,Capa!$A:$AE,BL$5,0)="",0,VLOOKUP($N157,Capa!$A:$AE,BL$5,0)),0),IF(ISERROR(1/VLOOKUP($N157,Capa!$A:$AE,BL$5,0)),0,1/VLOOKUP($N157,Capa!$A:$AE,BL$5,0))))</f>
        <v/>
      </c>
      <c r="BM157" s="118" t="str">
        <f>IF(BM$6="","",IF(BM$3="Maior",IFERROR(IF(VLOOKUP($N157,Capa!$A:$AE,BM$5,0)="",0,VLOOKUP($N157,Capa!$A:$AE,BM$5,0)),0),IF(ISERROR(1/VLOOKUP($N157,Capa!$A:$AE,BM$5,0)),0,1/VLOOKUP($N157,Capa!$A:$AE,BM$5,0))))</f>
        <v/>
      </c>
      <c r="BN157" s="118" t="str">
        <f>IF(BN$6="","",IF(BN$3="Maior",IFERROR(IF(VLOOKUP($N157,Capa!$A:$AE,BN$5,0)="",0,VLOOKUP($N157,Capa!$A:$AE,BN$5,0)),0),IF(ISERROR(1/VLOOKUP($N157,Capa!$A:$AE,BN$5,0)),0,1/VLOOKUP($N157,Capa!$A:$AE,BN$5,0))))</f>
        <v/>
      </c>
      <c r="BO157" s="92"/>
    </row>
    <row r="158">
      <c r="G158" s="11"/>
      <c r="H158" s="8">
        <v>152.0</v>
      </c>
      <c r="I158" s="110" t="str">
        <f t="shared" si="6"/>
        <v>GFSA3</v>
      </c>
      <c r="J158" s="111" t="str">
        <f>VLOOKUP(left(I158,4),Setor!A:D,3,0)&amp;" | "&amp;VLOOKUP(left(I158,4),Setor!A:D,4,0)</f>
        <v>Consumo Cíclico | Construção Civil</v>
      </c>
      <c r="K158" s="112">
        <f t="shared" si="7"/>
        <v>15802243.08</v>
      </c>
      <c r="L158" s="11"/>
      <c r="M158" s="11"/>
      <c r="N158" s="10" t="s">
        <v>204</v>
      </c>
      <c r="O158" s="113">
        <f t="shared" si="8"/>
        <v>705.0194</v>
      </c>
      <c r="P158" s="114">
        <f>VLOOKUP(N158,'Dados StatusInvest'!A:Z,26,0)</f>
        <v>15084655.58</v>
      </c>
      <c r="Q158" s="115">
        <f t="shared" si="9"/>
        <v>194.0194</v>
      </c>
      <c r="R158" s="116">
        <f t="shared" ref="R158:AO158" si="161">IF(AQ158="","", RANK(AQ158,AQ$7:AQ$503,0))</f>
        <v>292</v>
      </c>
      <c r="S158" s="115">
        <f t="shared" si="161"/>
        <v>219</v>
      </c>
      <c r="T158" s="115" t="str">
        <f t="shared" si="161"/>
        <v/>
      </c>
      <c r="U158" s="115" t="str">
        <f t="shared" si="161"/>
        <v/>
      </c>
      <c r="V158" s="115" t="str">
        <f t="shared" si="161"/>
        <v/>
      </c>
      <c r="W158" s="115" t="str">
        <f t="shared" si="161"/>
        <v/>
      </c>
      <c r="X158" s="115" t="str">
        <f t="shared" si="161"/>
        <v/>
      </c>
      <c r="Y158" s="115" t="str">
        <f t="shared" si="161"/>
        <v/>
      </c>
      <c r="Z158" s="115" t="str">
        <f t="shared" si="161"/>
        <v/>
      </c>
      <c r="AA158" s="115" t="str">
        <f t="shared" si="161"/>
        <v/>
      </c>
      <c r="AB158" s="115" t="str">
        <f t="shared" si="161"/>
        <v/>
      </c>
      <c r="AC158" s="115" t="str">
        <f t="shared" si="161"/>
        <v/>
      </c>
      <c r="AD158" s="115" t="str">
        <f t="shared" si="161"/>
        <v/>
      </c>
      <c r="AE158" s="115" t="str">
        <f t="shared" si="161"/>
        <v/>
      </c>
      <c r="AF158" s="115" t="str">
        <f t="shared" si="161"/>
        <v/>
      </c>
      <c r="AG158" s="115" t="str">
        <f t="shared" si="161"/>
        <v/>
      </c>
      <c r="AH158" s="115" t="str">
        <f t="shared" si="161"/>
        <v/>
      </c>
      <c r="AI158" s="115" t="str">
        <f t="shared" si="161"/>
        <v/>
      </c>
      <c r="AJ158" s="115" t="str">
        <f t="shared" si="161"/>
        <v/>
      </c>
      <c r="AK158" s="115" t="str">
        <f t="shared" si="161"/>
        <v/>
      </c>
      <c r="AL158" s="115" t="str">
        <f t="shared" si="161"/>
        <v/>
      </c>
      <c r="AM158" s="115" t="str">
        <f t="shared" si="161"/>
        <v/>
      </c>
      <c r="AN158" s="115" t="str">
        <f t="shared" si="161"/>
        <v/>
      </c>
      <c r="AO158" s="115" t="str">
        <f t="shared" si="161"/>
        <v/>
      </c>
      <c r="AP158" s="117">
        <f>IF(AP$6="","",IF(AP$3="Maior",IFERROR(IF(VLOOKUP($N158,Capa!$A:$AE,AP$5,0)="",0,VLOOKUP($N158,Capa!$A:$AE,AP$5,0)),0),IF(ISERROR(1/VLOOKUP($N158,Capa!$A:$AE,AP$5,0)),0,1/VLOOKUP($N158,Capa!$A:$AE,AP$5,0))))</f>
        <v>0.1097572496</v>
      </c>
      <c r="AQ158" s="118">
        <f>IF(AQ$6="","",IF(AQ$3="Maior",IFERROR(IF(VLOOKUP($N158,Capa!$A:$AE,AQ$5,0)="",0,VLOOKUP($N158,Capa!$A:$AE,AQ$5,0)),0),IF(ISERROR(1/VLOOKUP($N158,Capa!$A:$AE,AQ$5,0)),0,1/VLOOKUP($N158,Capa!$A:$AE,AQ$5,0))))</f>
        <v>5.17</v>
      </c>
      <c r="AR158" s="118">
        <f>IF(AR$6="","",IF(AR$3="Maior",IFERROR(IF(VLOOKUP($N158,Capa!$A:$AE,AR$5,0)="",0,VLOOKUP($N158,Capa!$A:$AE,AR$5,0)),0),IF(ISERROR(1/VLOOKUP($N158,Capa!$A:$AE,AR$5,0)),0,1/VLOOKUP($N158,Capa!$A:$AE,AR$5,0))))</f>
        <v>0</v>
      </c>
      <c r="AS158" s="118" t="str">
        <f>IF(AS$6="","",IF(AS$3="Maior",IFERROR(IF(VLOOKUP($N158,Capa!$A:$AE,AS$5,0)="",0,VLOOKUP($N158,Capa!$A:$AE,AS$5,0)),0),IF(ISERROR(1/VLOOKUP($N158,Capa!$A:$AE,AS$5,0)),0,1/VLOOKUP($N158,Capa!$A:$AE,AS$5,0))))</f>
        <v/>
      </c>
      <c r="AT158" s="118" t="str">
        <f>IF(AT$6="","",IF(AT$3="Maior",IFERROR(IF(VLOOKUP($N158,Capa!$A:$AE,AT$5,0)="",0,VLOOKUP($N158,Capa!$A:$AE,AT$5,0)),0),IF(ISERROR(1/VLOOKUP($N158,Capa!$A:$AE,AT$5,0)),0,1/VLOOKUP($N158,Capa!$A:$AE,AT$5,0))))</f>
        <v/>
      </c>
      <c r="AU158" s="118" t="str">
        <f>IF(AU$6="","",IF(AU$3="Maior",IFERROR(IF(VLOOKUP($N158,Capa!$A:$AE,AU$5,0)="",0,VLOOKUP($N158,Capa!$A:$AE,AU$5,0)),0),IF(ISERROR(1/VLOOKUP($N158,Capa!$A:$AE,AU$5,0)),0,1/VLOOKUP($N158,Capa!$A:$AE,AU$5,0))))</f>
        <v/>
      </c>
      <c r="AV158" s="118" t="str">
        <f>IF(AV$6="","",IF(AV$3="Maior",IFERROR(IF(VLOOKUP($N158,Capa!$A:$AE,AV$5,0)="",0,VLOOKUP($N158,Capa!$A:$AE,AV$5,0)),0),IF(ISERROR(1/VLOOKUP($N158,Capa!$A:$AE,AV$5,0)),0,1/VLOOKUP($N158,Capa!$A:$AE,AV$5,0))))</f>
        <v/>
      </c>
      <c r="AW158" s="118" t="str">
        <f>IF(AW$6="","",IF(AW$3="Maior",IFERROR(IF(VLOOKUP($N158,Capa!$A:$AE,AW$5,0)="",0,VLOOKUP($N158,Capa!$A:$AE,AW$5,0)),0),IF(ISERROR(1/VLOOKUP($N158,Capa!$A:$AE,AW$5,0)),0,1/VLOOKUP($N158,Capa!$A:$AE,AW$5,0))))</f>
        <v/>
      </c>
      <c r="AX158" s="118" t="str">
        <f>IF(AX$6="","",IF(AX$3="Maior",IFERROR(IF(VLOOKUP($N158,Capa!$A:$AE,AX$5,0)="",0,VLOOKUP($N158,Capa!$A:$AE,AX$5,0)),0),IF(ISERROR(1/VLOOKUP($N158,Capa!$A:$AE,AX$5,0)),0,1/VLOOKUP($N158,Capa!$A:$AE,AX$5,0))))</f>
        <v/>
      </c>
      <c r="AY158" s="118" t="str">
        <f>IF(AY$6="","",IF(AY$3="Maior",IFERROR(IF(VLOOKUP($N158,Capa!$A:$AE,AY$5,0)="",0,VLOOKUP($N158,Capa!$A:$AE,AY$5,0)),0),IF(ISERROR(1/VLOOKUP($N158,Capa!$A:$AE,AY$5,0)),0,1/VLOOKUP($N158,Capa!$A:$AE,AY$5,0))))</f>
        <v/>
      </c>
      <c r="AZ158" s="118" t="str">
        <f>IF(AZ$6="","",IF(AZ$3="Maior",IFERROR(IF(VLOOKUP($N158,Capa!$A:$AE,AZ$5,0)="",0,VLOOKUP($N158,Capa!$A:$AE,AZ$5,0)),0),IF(ISERROR(1/VLOOKUP($N158,Capa!$A:$AE,AZ$5,0)),0,1/VLOOKUP($N158,Capa!$A:$AE,AZ$5,0))))</f>
        <v/>
      </c>
      <c r="BA158" s="118" t="str">
        <f>IF(BA$6="","",IF(BA$3="Maior",IFERROR(IF(VLOOKUP($N158,Capa!$A:$AE,BA$5,0)="",0,VLOOKUP($N158,Capa!$A:$AE,BA$5,0)),0),IF(ISERROR(1/VLOOKUP($N158,Capa!$A:$AE,BA$5,0)),0,1/VLOOKUP($N158,Capa!$A:$AE,BA$5,0))))</f>
        <v/>
      </c>
      <c r="BB158" s="118" t="str">
        <f>IF(BB$6="","",IF(BB$3="Maior",IFERROR(IF(VLOOKUP($N158,Capa!$A:$AE,BB$5,0)="",0,VLOOKUP($N158,Capa!$A:$AE,BB$5,0)),0),IF(ISERROR(1/VLOOKUP($N158,Capa!$A:$AE,BB$5,0)),0,1/VLOOKUP($N158,Capa!$A:$AE,BB$5,0))))</f>
        <v/>
      </c>
      <c r="BC158" s="118" t="str">
        <f>IF(BC$6="","",IF(BC$3="Maior",IFERROR(IF(VLOOKUP($N158,Capa!$A:$AE,BC$5,0)="",0,VLOOKUP($N158,Capa!$A:$AE,BC$5,0)),0),IF(ISERROR(1/VLOOKUP($N158,Capa!$A:$AE,BC$5,0)),0,1/VLOOKUP($N158,Capa!$A:$AE,BC$5,0))))</f>
        <v/>
      </c>
      <c r="BD158" s="118" t="str">
        <f>IF(BD$6="","",IF(BD$3="Maior",IFERROR(IF(VLOOKUP($N158,Capa!$A:$AE,BD$5,0)="",0,VLOOKUP($N158,Capa!$A:$AE,BD$5,0)),0),IF(ISERROR(1/VLOOKUP($N158,Capa!$A:$AE,BD$5,0)),0,1/VLOOKUP($N158,Capa!$A:$AE,BD$5,0))))</f>
        <v/>
      </c>
      <c r="BE158" s="118" t="str">
        <f>IF(BE$6="","",IF(BE$3="Maior",IFERROR(IF(VLOOKUP($N158,Capa!$A:$AE,BE$5,0)="",0,VLOOKUP($N158,Capa!$A:$AE,BE$5,0)),0),IF(ISERROR(1/VLOOKUP($N158,Capa!$A:$AE,BE$5,0)),0,1/VLOOKUP($N158,Capa!$A:$AE,BE$5,0))))</f>
        <v/>
      </c>
      <c r="BF158" s="118" t="str">
        <f>IF(BF$6="","",IF(BF$3="Maior",IFERROR(IF(VLOOKUP($N158,Capa!$A:$AE,BF$5,0)="",0,VLOOKUP($N158,Capa!$A:$AE,BF$5,0)),0),IF(ISERROR(1/VLOOKUP($N158,Capa!$A:$AE,BF$5,0)),0,1/VLOOKUP($N158,Capa!$A:$AE,BF$5,0))))</f>
        <v/>
      </c>
      <c r="BG158" s="118" t="str">
        <f>IF(BG$6="","",IF(BG$3="Maior",IFERROR(IF(VLOOKUP($N158,Capa!$A:$AE,BG$5,0)="",0,VLOOKUP($N158,Capa!$A:$AE,BG$5,0)),0),IF(ISERROR(1/VLOOKUP($N158,Capa!$A:$AE,BG$5,0)),0,1/VLOOKUP($N158,Capa!$A:$AE,BG$5,0))))</f>
        <v/>
      </c>
      <c r="BH158" s="118" t="str">
        <f>IF(BH$6="","",IF(BH$3="Maior",IFERROR(IF(VLOOKUP($N158,Capa!$A:$AE,BH$5,0)="",0,VLOOKUP($N158,Capa!$A:$AE,BH$5,0)),0),IF(ISERROR(1/VLOOKUP($N158,Capa!$A:$AE,BH$5,0)),0,1/VLOOKUP($N158,Capa!$A:$AE,BH$5,0))))</f>
        <v/>
      </c>
      <c r="BI158" s="118" t="str">
        <f>IF(BI$6="","",IF(BI$3="Maior",IFERROR(IF(VLOOKUP($N158,Capa!$A:$AE,BI$5,0)="",0,VLOOKUP($N158,Capa!$A:$AE,BI$5,0)),0),IF(ISERROR(1/VLOOKUP($N158,Capa!$A:$AE,BI$5,0)),0,1/VLOOKUP($N158,Capa!$A:$AE,BI$5,0))))</f>
        <v/>
      </c>
      <c r="BJ158" s="118" t="str">
        <f>IF(BJ$6="","",IF(BJ$3="Maior",IFERROR(IF(VLOOKUP($N158,Capa!$A:$AE,BJ$5,0)="",0,VLOOKUP($N158,Capa!$A:$AE,BJ$5,0)),0),IF(ISERROR(1/VLOOKUP($N158,Capa!$A:$AE,BJ$5,0)),0,1/VLOOKUP($N158,Capa!$A:$AE,BJ$5,0))))</f>
        <v/>
      </c>
      <c r="BK158" s="118" t="str">
        <f>IF(BK$6="","",IF(BK$3="Maior",IFERROR(IF(VLOOKUP($N158,Capa!$A:$AE,BK$5,0)="",0,VLOOKUP($N158,Capa!$A:$AE,BK$5,0)),0),IF(ISERROR(1/VLOOKUP($N158,Capa!$A:$AE,BK$5,0)),0,1/VLOOKUP($N158,Capa!$A:$AE,BK$5,0))))</f>
        <v/>
      </c>
      <c r="BL158" s="118" t="str">
        <f>IF(BL$6="","",IF(BL$3="Maior",IFERROR(IF(VLOOKUP($N158,Capa!$A:$AE,BL$5,0)="",0,VLOOKUP($N158,Capa!$A:$AE,BL$5,0)),0),IF(ISERROR(1/VLOOKUP($N158,Capa!$A:$AE,BL$5,0)),0,1/VLOOKUP($N158,Capa!$A:$AE,BL$5,0))))</f>
        <v/>
      </c>
      <c r="BM158" s="118" t="str">
        <f>IF(BM$6="","",IF(BM$3="Maior",IFERROR(IF(VLOOKUP($N158,Capa!$A:$AE,BM$5,0)="",0,VLOOKUP($N158,Capa!$A:$AE,BM$5,0)),0),IF(ISERROR(1/VLOOKUP($N158,Capa!$A:$AE,BM$5,0)),0,1/VLOOKUP($N158,Capa!$A:$AE,BM$5,0))))</f>
        <v/>
      </c>
      <c r="BN158" s="118" t="str">
        <f>IF(BN$6="","",IF(BN$3="Maior",IFERROR(IF(VLOOKUP($N158,Capa!$A:$AE,BN$5,0)="",0,VLOOKUP($N158,Capa!$A:$AE,BN$5,0)),0),IF(ISERROR(1/VLOOKUP($N158,Capa!$A:$AE,BN$5,0)),0,1/VLOOKUP($N158,Capa!$A:$AE,BN$5,0))))</f>
        <v/>
      </c>
      <c r="BO158" s="92"/>
    </row>
    <row r="159">
      <c r="G159" s="11"/>
      <c r="H159" s="8">
        <v>153.0</v>
      </c>
      <c r="I159" s="110" t="str">
        <f t="shared" si="6"/>
        <v>MOSI3</v>
      </c>
      <c r="J159" s="111" t="str">
        <f>VLOOKUP(left(I159,4),Setor!A:D,3,0)&amp;" | "&amp;VLOOKUP(left(I159,4),Setor!A:D,4,0)</f>
        <v>#N/A</v>
      </c>
      <c r="K159" s="112">
        <f t="shared" si="7"/>
        <v>23130116.46</v>
      </c>
      <c r="L159" s="11"/>
      <c r="M159" s="11"/>
      <c r="N159" s="10" t="s">
        <v>205</v>
      </c>
      <c r="O159" s="113">
        <f t="shared" si="8"/>
        <v>582.0149</v>
      </c>
      <c r="P159" s="114">
        <f>VLOOKUP(N159,'Dados StatusInvest'!A:Z,26,0)</f>
        <v>16245135</v>
      </c>
      <c r="Q159" s="115">
        <f t="shared" si="9"/>
        <v>149.0149</v>
      </c>
      <c r="R159" s="116">
        <f t="shared" ref="R159:AO159" si="162">IF(AQ159="","", RANK(AQ159,AQ$7:AQ$503,0))</f>
        <v>230</v>
      </c>
      <c r="S159" s="115">
        <f t="shared" si="162"/>
        <v>203</v>
      </c>
      <c r="T159" s="115" t="str">
        <f t="shared" si="162"/>
        <v/>
      </c>
      <c r="U159" s="115" t="str">
        <f t="shared" si="162"/>
        <v/>
      </c>
      <c r="V159" s="115" t="str">
        <f t="shared" si="162"/>
        <v/>
      </c>
      <c r="W159" s="115" t="str">
        <f t="shared" si="162"/>
        <v/>
      </c>
      <c r="X159" s="115" t="str">
        <f t="shared" si="162"/>
        <v/>
      </c>
      <c r="Y159" s="115" t="str">
        <f t="shared" si="162"/>
        <v/>
      </c>
      <c r="Z159" s="115" t="str">
        <f t="shared" si="162"/>
        <v/>
      </c>
      <c r="AA159" s="115" t="str">
        <f t="shared" si="162"/>
        <v/>
      </c>
      <c r="AB159" s="115" t="str">
        <f t="shared" si="162"/>
        <v/>
      </c>
      <c r="AC159" s="115" t="str">
        <f t="shared" si="162"/>
        <v/>
      </c>
      <c r="AD159" s="115" t="str">
        <f t="shared" si="162"/>
        <v/>
      </c>
      <c r="AE159" s="115" t="str">
        <f t="shared" si="162"/>
        <v/>
      </c>
      <c r="AF159" s="115" t="str">
        <f t="shared" si="162"/>
        <v/>
      </c>
      <c r="AG159" s="115" t="str">
        <f t="shared" si="162"/>
        <v/>
      </c>
      <c r="AH159" s="115" t="str">
        <f t="shared" si="162"/>
        <v/>
      </c>
      <c r="AI159" s="115" t="str">
        <f t="shared" si="162"/>
        <v/>
      </c>
      <c r="AJ159" s="115" t="str">
        <f t="shared" si="162"/>
        <v/>
      </c>
      <c r="AK159" s="115" t="str">
        <f t="shared" si="162"/>
        <v/>
      </c>
      <c r="AL159" s="115" t="str">
        <f t="shared" si="162"/>
        <v/>
      </c>
      <c r="AM159" s="115" t="str">
        <f t="shared" si="162"/>
        <v/>
      </c>
      <c r="AN159" s="115" t="str">
        <f t="shared" si="162"/>
        <v/>
      </c>
      <c r="AO159" s="115" t="str">
        <f t="shared" si="162"/>
        <v/>
      </c>
      <c r="AP159" s="117">
        <f>IF(AP$6="","",IF(AP$3="Maior",IFERROR(IF(VLOOKUP($N159,Capa!$A:$AE,AP$5,0)="",0,VLOOKUP($N159,Capa!$A:$AE,AP$5,0)),0),IF(ISERROR(1/VLOOKUP($N159,Capa!$A:$AE,AP$5,0)),0,1/VLOOKUP($N159,Capa!$A:$AE,AP$5,0))))</f>
        <v>0.1302109351</v>
      </c>
      <c r="AQ159" s="118">
        <f>IF(AQ$6="","",IF(AQ$3="Maior",IFERROR(IF(VLOOKUP($N159,Capa!$A:$AE,AQ$5,0)="",0,VLOOKUP($N159,Capa!$A:$AE,AQ$5,0)),0),IF(ISERROR(1/VLOOKUP($N159,Capa!$A:$AE,AQ$5,0)),0,1/VLOOKUP($N159,Capa!$A:$AE,AQ$5,0))))</f>
        <v>9.71</v>
      </c>
      <c r="AR159" s="118">
        <f>IF(AR$6="","",IF(AR$3="Maior",IFERROR(IF(VLOOKUP($N159,Capa!$A:$AE,AR$5,0)="",0,VLOOKUP($N159,Capa!$A:$AE,AR$5,0)),0),IF(ISERROR(1/VLOOKUP($N159,Capa!$A:$AE,AR$5,0)),0,1/VLOOKUP($N159,Capa!$A:$AE,AR$5,0))))</f>
        <v>2.06</v>
      </c>
      <c r="AS159" s="118" t="str">
        <f>IF(AS$6="","",IF(AS$3="Maior",IFERROR(IF(VLOOKUP($N159,Capa!$A:$AE,AS$5,0)="",0,VLOOKUP($N159,Capa!$A:$AE,AS$5,0)),0),IF(ISERROR(1/VLOOKUP($N159,Capa!$A:$AE,AS$5,0)),0,1/VLOOKUP($N159,Capa!$A:$AE,AS$5,0))))</f>
        <v/>
      </c>
      <c r="AT159" s="118" t="str">
        <f>IF(AT$6="","",IF(AT$3="Maior",IFERROR(IF(VLOOKUP($N159,Capa!$A:$AE,AT$5,0)="",0,VLOOKUP($N159,Capa!$A:$AE,AT$5,0)),0),IF(ISERROR(1/VLOOKUP($N159,Capa!$A:$AE,AT$5,0)),0,1/VLOOKUP($N159,Capa!$A:$AE,AT$5,0))))</f>
        <v/>
      </c>
      <c r="AU159" s="118" t="str">
        <f>IF(AU$6="","",IF(AU$3="Maior",IFERROR(IF(VLOOKUP($N159,Capa!$A:$AE,AU$5,0)="",0,VLOOKUP($N159,Capa!$A:$AE,AU$5,0)),0),IF(ISERROR(1/VLOOKUP($N159,Capa!$A:$AE,AU$5,0)),0,1/VLOOKUP($N159,Capa!$A:$AE,AU$5,0))))</f>
        <v/>
      </c>
      <c r="AV159" s="118" t="str">
        <f>IF(AV$6="","",IF(AV$3="Maior",IFERROR(IF(VLOOKUP($N159,Capa!$A:$AE,AV$5,0)="",0,VLOOKUP($N159,Capa!$A:$AE,AV$5,0)),0),IF(ISERROR(1/VLOOKUP($N159,Capa!$A:$AE,AV$5,0)),0,1/VLOOKUP($N159,Capa!$A:$AE,AV$5,0))))</f>
        <v/>
      </c>
      <c r="AW159" s="118" t="str">
        <f>IF(AW$6="","",IF(AW$3="Maior",IFERROR(IF(VLOOKUP($N159,Capa!$A:$AE,AW$5,0)="",0,VLOOKUP($N159,Capa!$A:$AE,AW$5,0)),0),IF(ISERROR(1/VLOOKUP($N159,Capa!$A:$AE,AW$5,0)),0,1/VLOOKUP($N159,Capa!$A:$AE,AW$5,0))))</f>
        <v/>
      </c>
      <c r="AX159" s="118" t="str">
        <f>IF(AX$6="","",IF(AX$3="Maior",IFERROR(IF(VLOOKUP($N159,Capa!$A:$AE,AX$5,0)="",0,VLOOKUP($N159,Capa!$A:$AE,AX$5,0)),0),IF(ISERROR(1/VLOOKUP($N159,Capa!$A:$AE,AX$5,0)),0,1/VLOOKUP($N159,Capa!$A:$AE,AX$5,0))))</f>
        <v/>
      </c>
      <c r="AY159" s="118" t="str">
        <f>IF(AY$6="","",IF(AY$3="Maior",IFERROR(IF(VLOOKUP($N159,Capa!$A:$AE,AY$5,0)="",0,VLOOKUP($N159,Capa!$A:$AE,AY$5,0)),0),IF(ISERROR(1/VLOOKUP($N159,Capa!$A:$AE,AY$5,0)),0,1/VLOOKUP($N159,Capa!$A:$AE,AY$5,0))))</f>
        <v/>
      </c>
      <c r="AZ159" s="118" t="str">
        <f>IF(AZ$6="","",IF(AZ$3="Maior",IFERROR(IF(VLOOKUP($N159,Capa!$A:$AE,AZ$5,0)="",0,VLOOKUP($N159,Capa!$A:$AE,AZ$5,0)),0),IF(ISERROR(1/VLOOKUP($N159,Capa!$A:$AE,AZ$5,0)),0,1/VLOOKUP($N159,Capa!$A:$AE,AZ$5,0))))</f>
        <v/>
      </c>
      <c r="BA159" s="118" t="str">
        <f>IF(BA$6="","",IF(BA$3="Maior",IFERROR(IF(VLOOKUP($N159,Capa!$A:$AE,BA$5,0)="",0,VLOOKUP($N159,Capa!$A:$AE,BA$5,0)),0),IF(ISERROR(1/VLOOKUP($N159,Capa!$A:$AE,BA$5,0)),0,1/VLOOKUP($N159,Capa!$A:$AE,BA$5,0))))</f>
        <v/>
      </c>
      <c r="BB159" s="118" t="str">
        <f>IF(BB$6="","",IF(BB$3="Maior",IFERROR(IF(VLOOKUP($N159,Capa!$A:$AE,BB$5,0)="",0,VLOOKUP($N159,Capa!$A:$AE,BB$5,0)),0),IF(ISERROR(1/VLOOKUP($N159,Capa!$A:$AE,BB$5,0)),0,1/VLOOKUP($N159,Capa!$A:$AE,BB$5,0))))</f>
        <v/>
      </c>
      <c r="BC159" s="118" t="str">
        <f>IF(BC$6="","",IF(BC$3="Maior",IFERROR(IF(VLOOKUP($N159,Capa!$A:$AE,BC$5,0)="",0,VLOOKUP($N159,Capa!$A:$AE,BC$5,0)),0),IF(ISERROR(1/VLOOKUP($N159,Capa!$A:$AE,BC$5,0)),0,1/VLOOKUP($N159,Capa!$A:$AE,BC$5,0))))</f>
        <v/>
      </c>
      <c r="BD159" s="118" t="str">
        <f>IF(BD$6="","",IF(BD$3="Maior",IFERROR(IF(VLOOKUP($N159,Capa!$A:$AE,BD$5,0)="",0,VLOOKUP($N159,Capa!$A:$AE,BD$5,0)),0),IF(ISERROR(1/VLOOKUP($N159,Capa!$A:$AE,BD$5,0)),0,1/VLOOKUP($N159,Capa!$A:$AE,BD$5,0))))</f>
        <v/>
      </c>
      <c r="BE159" s="118" t="str">
        <f>IF(BE$6="","",IF(BE$3="Maior",IFERROR(IF(VLOOKUP($N159,Capa!$A:$AE,BE$5,0)="",0,VLOOKUP($N159,Capa!$A:$AE,BE$5,0)),0),IF(ISERROR(1/VLOOKUP($N159,Capa!$A:$AE,BE$5,0)),0,1/VLOOKUP($N159,Capa!$A:$AE,BE$5,0))))</f>
        <v/>
      </c>
      <c r="BF159" s="118" t="str">
        <f>IF(BF$6="","",IF(BF$3="Maior",IFERROR(IF(VLOOKUP($N159,Capa!$A:$AE,BF$5,0)="",0,VLOOKUP($N159,Capa!$A:$AE,BF$5,0)),0),IF(ISERROR(1/VLOOKUP($N159,Capa!$A:$AE,BF$5,0)),0,1/VLOOKUP($N159,Capa!$A:$AE,BF$5,0))))</f>
        <v/>
      </c>
      <c r="BG159" s="118" t="str">
        <f>IF(BG$6="","",IF(BG$3="Maior",IFERROR(IF(VLOOKUP($N159,Capa!$A:$AE,BG$5,0)="",0,VLOOKUP($N159,Capa!$A:$AE,BG$5,0)),0),IF(ISERROR(1/VLOOKUP($N159,Capa!$A:$AE,BG$5,0)),0,1/VLOOKUP($N159,Capa!$A:$AE,BG$5,0))))</f>
        <v/>
      </c>
      <c r="BH159" s="118" t="str">
        <f>IF(BH$6="","",IF(BH$3="Maior",IFERROR(IF(VLOOKUP($N159,Capa!$A:$AE,BH$5,0)="",0,VLOOKUP($N159,Capa!$A:$AE,BH$5,0)),0),IF(ISERROR(1/VLOOKUP($N159,Capa!$A:$AE,BH$5,0)),0,1/VLOOKUP($N159,Capa!$A:$AE,BH$5,0))))</f>
        <v/>
      </c>
      <c r="BI159" s="118" t="str">
        <f>IF(BI$6="","",IF(BI$3="Maior",IFERROR(IF(VLOOKUP($N159,Capa!$A:$AE,BI$5,0)="",0,VLOOKUP($N159,Capa!$A:$AE,BI$5,0)),0),IF(ISERROR(1/VLOOKUP($N159,Capa!$A:$AE,BI$5,0)),0,1/VLOOKUP($N159,Capa!$A:$AE,BI$5,0))))</f>
        <v/>
      </c>
      <c r="BJ159" s="118" t="str">
        <f>IF(BJ$6="","",IF(BJ$3="Maior",IFERROR(IF(VLOOKUP($N159,Capa!$A:$AE,BJ$5,0)="",0,VLOOKUP($N159,Capa!$A:$AE,BJ$5,0)),0),IF(ISERROR(1/VLOOKUP($N159,Capa!$A:$AE,BJ$5,0)),0,1/VLOOKUP($N159,Capa!$A:$AE,BJ$5,0))))</f>
        <v/>
      </c>
      <c r="BK159" s="118" t="str">
        <f>IF(BK$6="","",IF(BK$3="Maior",IFERROR(IF(VLOOKUP($N159,Capa!$A:$AE,BK$5,0)="",0,VLOOKUP($N159,Capa!$A:$AE,BK$5,0)),0),IF(ISERROR(1/VLOOKUP($N159,Capa!$A:$AE,BK$5,0)),0,1/VLOOKUP($N159,Capa!$A:$AE,BK$5,0))))</f>
        <v/>
      </c>
      <c r="BL159" s="118" t="str">
        <f>IF(BL$6="","",IF(BL$3="Maior",IFERROR(IF(VLOOKUP($N159,Capa!$A:$AE,BL$5,0)="",0,VLOOKUP($N159,Capa!$A:$AE,BL$5,0)),0),IF(ISERROR(1/VLOOKUP($N159,Capa!$A:$AE,BL$5,0)),0,1/VLOOKUP($N159,Capa!$A:$AE,BL$5,0))))</f>
        <v/>
      </c>
      <c r="BM159" s="118" t="str">
        <f>IF(BM$6="","",IF(BM$3="Maior",IFERROR(IF(VLOOKUP($N159,Capa!$A:$AE,BM$5,0)="",0,VLOOKUP($N159,Capa!$A:$AE,BM$5,0)),0),IF(ISERROR(1/VLOOKUP($N159,Capa!$A:$AE,BM$5,0)),0,1/VLOOKUP($N159,Capa!$A:$AE,BM$5,0))))</f>
        <v/>
      </c>
      <c r="BN159" s="118" t="str">
        <f>IF(BN$6="","",IF(BN$3="Maior",IFERROR(IF(VLOOKUP($N159,Capa!$A:$AE,BN$5,0)="",0,VLOOKUP($N159,Capa!$A:$AE,BN$5,0)),0),IF(ISERROR(1/VLOOKUP($N159,Capa!$A:$AE,BN$5,0)),0,1/VLOOKUP($N159,Capa!$A:$AE,BN$5,0))))</f>
        <v/>
      </c>
      <c r="BO159" s="92"/>
    </row>
    <row r="160">
      <c r="G160" s="11"/>
      <c r="H160" s="8">
        <v>154.0</v>
      </c>
      <c r="I160" s="110" t="str">
        <f t="shared" si="6"/>
        <v>ARML3</v>
      </c>
      <c r="J160" s="111" t="str">
        <f>VLOOKUP(left(I160,4),Setor!A:D,3,0)&amp;" | "&amp;VLOOKUP(left(I160,4),Setor!A:D,4,0)</f>
        <v>#N/A</v>
      </c>
      <c r="K160" s="112">
        <f t="shared" si="7"/>
        <v>12318283.58</v>
      </c>
      <c r="L160" s="11"/>
      <c r="M160" s="11"/>
      <c r="N160" s="10" t="s">
        <v>206</v>
      </c>
      <c r="O160" s="113">
        <f t="shared" si="8"/>
        <v>182.003</v>
      </c>
      <c r="P160" s="114">
        <f>VLOOKUP(N160,'Dados StatusInvest'!A:Z,26,0)</f>
        <v>21204546.67</v>
      </c>
      <c r="Q160" s="115">
        <f t="shared" si="9"/>
        <v>30.003</v>
      </c>
      <c r="R160" s="116">
        <f t="shared" ref="R160:AO160" si="163">IF(AQ160="","", RANK(AQ160,AQ$7:AQ$503,0))</f>
        <v>95</v>
      </c>
      <c r="S160" s="115">
        <f t="shared" si="163"/>
        <v>57</v>
      </c>
      <c r="T160" s="115" t="str">
        <f t="shared" si="163"/>
        <v/>
      </c>
      <c r="U160" s="115" t="str">
        <f t="shared" si="163"/>
        <v/>
      </c>
      <c r="V160" s="115" t="str">
        <f t="shared" si="163"/>
        <v/>
      </c>
      <c r="W160" s="115" t="str">
        <f t="shared" si="163"/>
        <v/>
      </c>
      <c r="X160" s="115" t="str">
        <f t="shared" si="163"/>
        <v/>
      </c>
      <c r="Y160" s="115" t="str">
        <f t="shared" si="163"/>
        <v/>
      </c>
      <c r="Z160" s="115" t="str">
        <f t="shared" si="163"/>
        <v/>
      </c>
      <c r="AA160" s="115" t="str">
        <f t="shared" si="163"/>
        <v/>
      </c>
      <c r="AB160" s="115" t="str">
        <f t="shared" si="163"/>
        <v/>
      </c>
      <c r="AC160" s="115" t="str">
        <f t="shared" si="163"/>
        <v/>
      </c>
      <c r="AD160" s="115" t="str">
        <f t="shared" si="163"/>
        <v/>
      </c>
      <c r="AE160" s="115" t="str">
        <f t="shared" si="163"/>
        <v/>
      </c>
      <c r="AF160" s="115" t="str">
        <f t="shared" si="163"/>
        <v/>
      </c>
      <c r="AG160" s="115" t="str">
        <f t="shared" si="163"/>
        <v/>
      </c>
      <c r="AH160" s="115" t="str">
        <f t="shared" si="163"/>
        <v/>
      </c>
      <c r="AI160" s="115" t="str">
        <f t="shared" si="163"/>
        <v/>
      </c>
      <c r="AJ160" s="115" t="str">
        <f t="shared" si="163"/>
        <v/>
      </c>
      <c r="AK160" s="115" t="str">
        <f t="shared" si="163"/>
        <v/>
      </c>
      <c r="AL160" s="115" t="str">
        <f t="shared" si="163"/>
        <v/>
      </c>
      <c r="AM160" s="115" t="str">
        <f t="shared" si="163"/>
        <v/>
      </c>
      <c r="AN160" s="115" t="str">
        <f t="shared" si="163"/>
        <v/>
      </c>
      <c r="AO160" s="115" t="str">
        <f t="shared" si="163"/>
        <v/>
      </c>
      <c r="AP160" s="117">
        <f>IF(AP$6="","",IF(AP$3="Maior",IFERROR(IF(VLOOKUP($N160,Capa!$A:$AE,AP$5,0)="",0,VLOOKUP($N160,Capa!$A:$AE,AP$5,0)),0),IF(ISERROR(1/VLOOKUP($N160,Capa!$A:$AE,AP$5,0)),0,1/VLOOKUP($N160,Capa!$A:$AE,AP$5,0))))</f>
        <v>0.3074898535</v>
      </c>
      <c r="AQ160" s="118">
        <f>IF(AQ$6="","",IF(AQ$3="Maior",IFERROR(IF(VLOOKUP($N160,Capa!$A:$AE,AQ$5,0)="",0,VLOOKUP($N160,Capa!$A:$AE,AQ$5,0)),0),IF(ISERROR(1/VLOOKUP($N160,Capa!$A:$AE,AQ$5,0)),0,1/VLOOKUP($N160,Capa!$A:$AE,AQ$5,0))))</f>
        <v>18.28</v>
      </c>
      <c r="AR160" s="118">
        <f>IF(AR$6="","",IF(AR$3="Maior",IFERROR(IF(VLOOKUP($N160,Capa!$A:$AE,AR$5,0)="",0,VLOOKUP($N160,Capa!$A:$AE,AR$5,0)),0),IF(ISERROR(1/VLOOKUP($N160,Capa!$A:$AE,AR$5,0)),0,1/VLOOKUP($N160,Capa!$A:$AE,AR$5,0))))</f>
        <v>45.13</v>
      </c>
      <c r="AS160" s="118" t="str">
        <f>IF(AS$6="","",IF(AS$3="Maior",IFERROR(IF(VLOOKUP($N160,Capa!$A:$AE,AS$5,0)="",0,VLOOKUP($N160,Capa!$A:$AE,AS$5,0)),0),IF(ISERROR(1/VLOOKUP($N160,Capa!$A:$AE,AS$5,0)),0,1/VLOOKUP($N160,Capa!$A:$AE,AS$5,0))))</f>
        <v/>
      </c>
      <c r="AT160" s="118" t="str">
        <f>IF(AT$6="","",IF(AT$3="Maior",IFERROR(IF(VLOOKUP($N160,Capa!$A:$AE,AT$5,0)="",0,VLOOKUP($N160,Capa!$A:$AE,AT$5,0)),0),IF(ISERROR(1/VLOOKUP($N160,Capa!$A:$AE,AT$5,0)),0,1/VLOOKUP($N160,Capa!$A:$AE,AT$5,0))))</f>
        <v/>
      </c>
      <c r="AU160" s="118" t="str">
        <f>IF(AU$6="","",IF(AU$3="Maior",IFERROR(IF(VLOOKUP($N160,Capa!$A:$AE,AU$5,0)="",0,VLOOKUP($N160,Capa!$A:$AE,AU$5,0)),0),IF(ISERROR(1/VLOOKUP($N160,Capa!$A:$AE,AU$5,0)),0,1/VLOOKUP($N160,Capa!$A:$AE,AU$5,0))))</f>
        <v/>
      </c>
      <c r="AV160" s="118" t="str">
        <f>IF(AV$6="","",IF(AV$3="Maior",IFERROR(IF(VLOOKUP($N160,Capa!$A:$AE,AV$5,0)="",0,VLOOKUP($N160,Capa!$A:$AE,AV$5,0)),0),IF(ISERROR(1/VLOOKUP($N160,Capa!$A:$AE,AV$5,0)),0,1/VLOOKUP($N160,Capa!$A:$AE,AV$5,0))))</f>
        <v/>
      </c>
      <c r="AW160" s="118" t="str">
        <f>IF(AW$6="","",IF(AW$3="Maior",IFERROR(IF(VLOOKUP($N160,Capa!$A:$AE,AW$5,0)="",0,VLOOKUP($N160,Capa!$A:$AE,AW$5,0)),0),IF(ISERROR(1/VLOOKUP($N160,Capa!$A:$AE,AW$5,0)),0,1/VLOOKUP($N160,Capa!$A:$AE,AW$5,0))))</f>
        <v/>
      </c>
      <c r="AX160" s="118" t="str">
        <f>IF(AX$6="","",IF(AX$3="Maior",IFERROR(IF(VLOOKUP($N160,Capa!$A:$AE,AX$5,0)="",0,VLOOKUP($N160,Capa!$A:$AE,AX$5,0)),0),IF(ISERROR(1/VLOOKUP($N160,Capa!$A:$AE,AX$5,0)),0,1/VLOOKUP($N160,Capa!$A:$AE,AX$5,0))))</f>
        <v/>
      </c>
      <c r="AY160" s="118" t="str">
        <f>IF(AY$6="","",IF(AY$3="Maior",IFERROR(IF(VLOOKUP($N160,Capa!$A:$AE,AY$5,0)="",0,VLOOKUP($N160,Capa!$A:$AE,AY$5,0)),0),IF(ISERROR(1/VLOOKUP($N160,Capa!$A:$AE,AY$5,0)),0,1/VLOOKUP($N160,Capa!$A:$AE,AY$5,0))))</f>
        <v/>
      </c>
      <c r="AZ160" s="118" t="str">
        <f>IF(AZ$6="","",IF(AZ$3="Maior",IFERROR(IF(VLOOKUP($N160,Capa!$A:$AE,AZ$5,0)="",0,VLOOKUP($N160,Capa!$A:$AE,AZ$5,0)),0),IF(ISERROR(1/VLOOKUP($N160,Capa!$A:$AE,AZ$5,0)),0,1/VLOOKUP($N160,Capa!$A:$AE,AZ$5,0))))</f>
        <v/>
      </c>
      <c r="BA160" s="118" t="str">
        <f>IF(BA$6="","",IF(BA$3="Maior",IFERROR(IF(VLOOKUP($N160,Capa!$A:$AE,BA$5,0)="",0,VLOOKUP($N160,Capa!$A:$AE,BA$5,0)),0),IF(ISERROR(1/VLOOKUP($N160,Capa!$A:$AE,BA$5,0)),0,1/VLOOKUP($N160,Capa!$A:$AE,BA$5,0))))</f>
        <v/>
      </c>
      <c r="BB160" s="118" t="str">
        <f>IF(BB$6="","",IF(BB$3="Maior",IFERROR(IF(VLOOKUP($N160,Capa!$A:$AE,BB$5,0)="",0,VLOOKUP($N160,Capa!$A:$AE,BB$5,0)),0),IF(ISERROR(1/VLOOKUP($N160,Capa!$A:$AE,BB$5,0)),0,1/VLOOKUP($N160,Capa!$A:$AE,BB$5,0))))</f>
        <v/>
      </c>
      <c r="BC160" s="118" t="str">
        <f>IF(BC$6="","",IF(BC$3="Maior",IFERROR(IF(VLOOKUP($N160,Capa!$A:$AE,BC$5,0)="",0,VLOOKUP($N160,Capa!$A:$AE,BC$5,0)),0),IF(ISERROR(1/VLOOKUP($N160,Capa!$A:$AE,BC$5,0)),0,1/VLOOKUP($N160,Capa!$A:$AE,BC$5,0))))</f>
        <v/>
      </c>
      <c r="BD160" s="118" t="str">
        <f>IF(BD$6="","",IF(BD$3="Maior",IFERROR(IF(VLOOKUP($N160,Capa!$A:$AE,BD$5,0)="",0,VLOOKUP($N160,Capa!$A:$AE,BD$5,0)),0),IF(ISERROR(1/VLOOKUP($N160,Capa!$A:$AE,BD$5,0)),0,1/VLOOKUP($N160,Capa!$A:$AE,BD$5,0))))</f>
        <v/>
      </c>
      <c r="BE160" s="118" t="str">
        <f>IF(BE$6="","",IF(BE$3="Maior",IFERROR(IF(VLOOKUP($N160,Capa!$A:$AE,BE$5,0)="",0,VLOOKUP($N160,Capa!$A:$AE,BE$5,0)),0),IF(ISERROR(1/VLOOKUP($N160,Capa!$A:$AE,BE$5,0)),0,1/VLOOKUP($N160,Capa!$A:$AE,BE$5,0))))</f>
        <v/>
      </c>
      <c r="BF160" s="118" t="str">
        <f>IF(BF$6="","",IF(BF$3="Maior",IFERROR(IF(VLOOKUP($N160,Capa!$A:$AE,BF$5,0)="",0,VLOOKUP($N160,Capa!$A:$AE,BF$5,0)),0),IF(ISERROR(1/VLOOKUP($N160,Capa!$A:$AE,BF$5,0)),0,1/VLOOKUP($N160,Capa!$A:$AE,BF$5,0))))</f>
        <v/>
      </c>
      <c r="BG160" s="118" t="str">
        <f>IF(BG$6="","",IF(BG$3="Maior",IFERROR(IF(VLOOKUP($N160,Capa!$A:$AE,BG$5,0)="",0,VLOOKUP($N160,Capa!$A:$AE,BG$5,0)),0),IF(ISERROR(1/VLOOKUP($N160,Capa!$A:$AE,BG$5,0)),0,1/VLOOKUP($N160,Capa!$A:$AE,BG$5,0))))</f>
        <v/>
      </c>
      <c r="BH160" s="118" t="str">
        <f>IF(BH$6="","",IF(BH$3="Maior",IFERROR(IF(VLOOKUP($N160,Capa!$A:$AE,BH$5,0)="",0,VLOOKUP($N160,Capa!$A:$AE,BH$5,0)),0),IF(ISERROR(1/VLOOKUP($N160,Capa!$A:$AE,BH$5,0)),0,1/VLOOKUP($N160,Capa!$A:$AE,BH$5,0))))</f>
        <v/>
      </c>
      <c r="BI160" s="118" t="str">
        <f>IF(BI$6="","",IF(BI$3="Maior",IFERROR(IF(VLOOKUP($N160,Capa!$A:$AE,BI$5,0)="",0,VLOOKUP($N160,Capa!$A:$AE,BI$5,0)),0),IF(ISERROR(1/VLOOKUP($N160,Capa!$A:$AE,BI$5,0)),0,1/VLOOKUP($N160,Capa!$A:$AE,BI$5,0))))</f>
        <v/>
      </c>
      <c r="BJ160" s="118" t="str">
        <f>IF(BJ$6="","",IF(BJ$3="Maior",IFERROR(IF(VLOOKUP($N160,Capa!$A:$AE,BJ$5,0)="",0,VLOOKUP($N160,Capa!$A:$AE,BJ$5,0)),0),IF(ISERROR(1/VLOOKUP($N160,Capa!$A:$AE,BJ$5,0)),0,1/VLOOKUP($N160,Capa!$A:$AE,BJ$5,0))))</f>
        <v/>
      </c>
      <c r="BK160" s="118" t="str">
        <f>IF(BK$6="","",IF(BK$3="Maior",IFERROR(IF(VLOOKUP($N160,Capa!$A:$AE,BK$5,0)="",0,VLOOKUP($N160,Capa!$A:$AE,BK$5,0)),0),IF(ISERROR(1/VLOOKUP($N160,Capa!$A:$AE,BK$5,0)),0,1/VLOOKUP($N160,Capa!$A:$AE,BK$5,0))))</f>
        <v/>
      </c>
      <c r="BL160" s="118" t="str">
        <f>IF(BL$6="","",IF(BL$3="Maior",IFERROR(IF(VLOOKUP($N160,Capa!$A:$AE,BL$5,0)="",0,VLOOKUP($N160,Capa!$A:$AE,BL$5,0)),0),IF(ISERROR(1/VLOOKUP($N160,Capa!$A:$AE,BL$5,0)),0,1/VLOOKUP($N160,Capa!$A:$AE,BL$5,0))))</f>
        <v/>
      </c>
      <c r="BM160" s="118" t="str">
        <f>IF(BM$6="","",IF(BM$3="Maior",IFERROR(IF(VLOOKUP($N160,Capa!$A:$AE,BM$5,0)="",0,VLOOKUP($N160,Capa!$A:$AE,BM$5,0)),0),IF(ISERROR(1/VLOOKUP($N160,Capa!$A:$AE,BM$5,0)),0,1/VLOOKUP($N160,Capa!$A:$AE,BM$5,0))))</f>
        <v/>
      </c>
      <c r="BN160" s="118" t="str">
        <f>IF(BN$6="","",IF(BN$3="Maior",IFERROR(IF(VLOOKUP($N160,Capa!$A:$AE,BN$5,0)="",0,VLOOKUP($N160,Capa!$A:$AE,BN$5,0)),0),IF(ISERROR(1/VLOOKUP($N160,Capa!$A:$AE,BN$5,0)),0,1/VLOOKUP($N160,Capa!$A:$AE,BN$5,0))))</f>
        <v/>
      </c>
      <c r="BO160" s="92"/>
    </row>
    <row r="161">
      <c r="G161" s="11"/>
      <c r="H161" s="8">
        <v>155.0</v>
      </c>
      <c r="I161" s="110" t="str">
        <f t="shared" si="6"/>
        <v>SULA11</v>
      </c>
      <c r="J161" s="111" t="str">
        <f>VLOOKUP(left(I161,4),Setor!A:D,3,0)&amp;" | "&amp;VLOOKUP(left(I161,4),Setor!A:D,4,0)</f>
        <v>Financeiro | Previdência e Seguros</v>
      </c>
      <c r="K161" s="112">
        <f t="shared" si="7"/>
        <v>101316175</v>
      </c>
      <c r="L161" s="11"/>
      <c r="M161" s="11"/>
      <c r="N161" s="10" t="s">
        <v>207</v>
      </c>
      <c r="O161" s="113">
        <f t="shared" si="8"/>
        <v>663.0072</v>
      </c>
      <c r="P161" s="114">
        <f>VLOOKUP(N161,'Dados StatusInvest'!A:Z,26,0)</f>
        <v>21119588.79</v>
      </c>
      <c r="Q161" s="115">
        <f t="shared" si="9"/>
        <v>72.0072</v>
      </c>
      <c r="R161" s="116">
        <f t="shared" ref="R161:AO161" si="164">IF(AQ161="","", RANK(AQ161,AQ$7:AQ$503,0))</f>
        <v>375</v>
      </c>
      <c r="S161" s="115">
        <f t="shared" si="164"/>
        <v>216</v>
      </c>
      <c r="T161" s="115" t="str">
        <f t="shared" si="164"/>
        <v/>
      </c>
      <c r="U161" s="115" t="str">
        <f t="shared" si="164"/>
        <v/>
      </c>
      <c r="V161" s="115" t="str">
        <f t="shared" si="164"/>
        <v/>
      </c>
      <c r="W161" s="115" t="str">
        <f t="shared" si="164"/>
        <v/>
      </c>
      <c r="X161" s="115" t="str">
        <f t="shared" si="164"/>
        <v/>
      </c>
      <c r="Y161" s="115" t="str">
        <f t="shared" si="164"/>
        <v/>
      </c>
      <c r="Z161" s="115" t="str">
        <f t="shared" si="164"/>
        <v/>
      </c>
      <c r="AA161" s="115" t="str">
        <f t="shared" si="164"/>
        <v/>
      </c>
      <c r="AB161" s="115" t="str">
        <f t="shared" si="164"/>
        <v/>
      </c>
      <c r="AC161" s="115" t="str">
        <f t="shared" si="164"/>
        <v/>
      </c>
      <c r="AD161" s="115" t="str">
        <f t="shared" si="164"/>
        <v/>
      </c>
      <c r="AE161" s="115" t="str">
        <f t="shared" si="164"/>
        <v/>
      </c>
      <c r="AF161" s="115" t="str">
        <f t="shared" si="164"/>
        <v/>
      </c>
      <c r="AG161" s="115" t="str">
        <f t="shared" si="164"/>
        <v/>
      </c>
      <c r="AH161" s="115" t="str">
        <f t="shared" si="164"/>
        <v/>
      </c>
      <c r="AI161" s="115" t="str">
        <f t="shared" si="164"/>
        <v/>
      </c>
      <c r="AJ161" s="115" t="str">
        <f t="shared" si="164"/>
        <v/>
      </c>
      <c r="AK161" s="115" t="str">
        <f t="shared" si="164"/>
        <v/>
      </c>
      <c r="AL161" s="115" t="str">
        <f t="shared" si="164"/>
        <v/>
      </c>
      <c r="AM161" s="115" t="str">
        <f t="shared" si="164"/>
        <v/>
      </c>
      <c r="AN161" s="115" t="str">
        <f t="shared" si="164"/>
        <v/>
      </c>
      <c r="AO161" s="115" t="str">
        <f t="shared" si="164"/>
        <v/>
      </c>
      <c r="AP161" s="117">
        <f>IF(AP$6="","",IF(AP$3="Maior",IFERROR(IF(VLOOKUP($N161,Capa!$A:$AE,AP$5,0)="",0,VLOOKUP($N161,Capa!$A:$AE,AP$5,0)),0),IF(ISERROR(1/VLOOKUP($N161,Capa!$A:$AE,AP$5,0)),0,1/VLOOKUP($N161,Capa!$A:$AE,AP$5,0))))</f>
        <v>0.2145636168</v>
      </c>
      <c r="AQ161" s="118">
        <f>IF(AQ$6="","",IF(AQ$3="Maior",IFERROR(IF(VLOOKUP($N161,Capa!$A:$AE,AQ$5,0)="",0,VLOOKUP($N161,Capa!$A:$AE,AQ$5,0)),0),IF(ISERROR(1/VLOOKUP($N161,Capa!$A:$AE,AQ$5,0)),0,1/VLOOKUP($N161,Capa!$A:$AE,AQ$5,0))))</f>
        <v>0</v>
      </c>
      <c r="AR161" s="118">
        <f>IF(AR$6="","",IF(AR$3="Maior",IFERROR(IF(VLOOKUP($N161,Capa!$A:$AE,AR$5,0)="",0,VLOOKUP($N161,Capa!$A:$AE,AR$5,0)),0),IF(ISERROR(1/VLOOKUP($N161,Capa!$A:$AE,AR$5,0)),0,1/VLOOKUP($N161,Capa!$A:$AE,AR$5,0))))</f>
        <v>0.33</v>
      </c>
      <c r="AS161" s="118" t="str">
        <f>IF(AS$6="","",IF(AS$3="Maior",IFERROR(IF(VLOOKUP($N161,Capa!$A:$AE,AS$5,0)="",0,VLOOKUP($N161,Capa!$A:$AE,AS$5,0)),0),IF(ISERROR(1/VLOOKUP($N161,Capa!$A:$AE,AS$5,0)),0,1/VLOOKUP($N161,Capa!$A:$AE,AS$5,0))))</f>
        <v/>
      </c>
      <c r="AT161" s="118" t="str">
        <f>IF(AT$6="","",IF(AT$3="Maior",IFERROR(IF(VLOOKUP($N161,Capa!$A:$AE,AT$5,0)="",0,VLOOKUP($N161,Capa!$A:$AE,AT$5,0)),0),IF(ISERROR(1/VLOOKUP($N161,Capa!$A:$AE,AT$5,0)),0,1/VLOOKUP($N161,Capa!$A:$AE,AT$5,0))))</f>
        <v/>
      </c>
      <c r="AU161" s="118" t="str">
        <f>IF(AU$6="","",IF(AU$3="Maior",IFERROR(IF(VLOOKUP($N161,Capa!$A:$AE,AU$5,0)="",0,VLOOKUP($N161,Capa!$A:$AE,AU$5,0)),0),IF(ISERROR(1/VLOOKUP($N161,Capa!$A:$AE,AU$5,0)),0,1/VLOOKUP($N161,Capa!$A:$AE,AU$5,0))))</f>
        <v/>
      </c>
      <c r="AV161" s="118" t="str">
        <f>IF(AV$6="","",IF(AV$3="Maior",IFERROR(IF(VLOOKUP($N161,Capa!$A:$AE,AV$5,0)="",0,VLOOKUP($N161,Capa!$A:$AE,AV$5,0)),0),IF(ISERROR(1/VLOOKUP($N161,Capa!$A:$AE,AV$5,0)),0,1/VLOOKUP($N161,Capa!$A:$AE,AV$5,0))))</f>
        <v/>
      </c>
      <c r="AW161" s="118" t="str">
        <f>IF(AW$6="","",IF(AW$3="Maior",IFERROR(IF(VLOOKUP($N161,Capa!$A:$AE,AW$5,0)="",0,VLOOKUP($N161,Capa!$A:$AE,AW$5,0)),0),IF(ISERROR(1/VLOOKUP($N161,Capa!$A:$AE,AW$5,0)),0,1/VLOOKUP($N161,Capa!$A:$AE,AW$5,0))))</f>
        <v/>
      </c>
      <c r="AX161" s="118" t="str">
        <f>IF(AX$6="","",IF(AX$3="Maior",IFERROR(IF(VLOOKUP($N161,Capa!$A:$AE,AX$5,0)="",0,VLOOKUP($N161,Capa!$A:$AE,AX$5,0)),0),IF(ISERROR(1/VLOOKUP($N161,Capa!$A:$AE,AX$5,0)),0,1/VLOOKUP($N161,Capa!$A:$AE,AX$5,0))))</f>
        <v/>
      </c>
      <c r="AY161" s="118" t="str">
        <f>IF(AY$6="","",IF(AY$3="Maior",IFERROR(IF(VLOOKUP($N161,Capa!$A:$AE,AY$5,0)="",0,VLOOKUP($N161,Capa!$A:$AE,AY$5,0)),0),IF(ISERROR(1/VLOOKUP($N161,Capa!$A:$AE,AY$5,0)),0,1/VLOOKUP($N161,Capa!$A:$AE,AY$5,0))))</f>
        <v/>
      </c>
      <c r="AZ161" s="118" t="str">
        <f>IF(AZ$6="","",IF(AZ$3="Maior",IFERROR(IF(VLOOKUP($N161,Capa!$A:$AE,AZ$5,0)="",0,VLOOKUP($N161,Capa!$A:$AE,AZ$5,0)),0),IF(ISERROR(1/VLOOKUP($N161,Capa!$A:$AE,AZ$5,0)),0,1/VLOOKUP($N161,Capa!$A:$AE,AZ$5,0))))</f>
        <v/>
      </c>
      <c r="BA161" s="118" t="str">
        <f>IF(BA$6="","",IF(BA$3="Maior",IFERROR(IF(VLOOKUP($N161,Capa!$A:$AE,BA$5,0)="",0,VLOOKUP($N161,Capa!$A:$AE,BA$5,0)),0),IF(ISERROR(1/VLOOKUP($N161,Capa!$A:$AE,BA$5,0)),0,1/VLOOKUP($N161,Capa!$A:$AE,BA$5,0))))</f>
        <v/>
      </c>
      <c r="BB161" s="118" t="str">
        <f>IF(BB$6="","",IF(BB$3="Maior",IFERROR(IF(VLOOKUP($N161,Capa!$A:$AE,BB$5,0)="",0,VLOOKUP($N161,Capa!$A:$AE,BB$5,0)),0),IF(ISERROR(1/VLOOKUP($N161,Capa!$A:$AE,BB$5,0)),0,1/VLOOKUP($N161,Capa!$A:$AE,BB$5,0))))</f>
        <v/>
      </c>
      <c r="BC161" s="118" t="str">
        <f>IF(BC$6="","",IF(BC$3="Maior",IFERROR(IF(VLOOKUP($N161,Capa!$A:$AE,BC$5,0)="",0,VLOOKUP($N161,Capa!$A:$AE,BC$5,0)),0),IF(ISERROR(1/VLOOKUP($N161,Capa!$A:$AE,BC$5,0)),0,1/VLOOKUP($N161,Capa!$A:$AE,BC$5,0))))</f>
        <v/>
      </c>
      <c r="BD161" s="118" t="str">
        <f>IF(BD$6="","",IF(BD$3="Maior",IFERROR(IF(VLOOKUP($N161,Capa!$A:$AE,BD$5,0)="",0,VLOOKUP($N161,Capa!$A:$AE,BD$5,0)),0),IF(ISERROR(1/VLOOKUP($N161,Capa!$A:$AE,BD$5,0)),0,1/VLOOKUP($N161,Capa!$A:$AE,BD$5,0))))</f>
        <v/>
      </c>
      <c r="BE161" s="118" t="str">
        <f>IF(BE$6="","",IF(BE$3="Maior",IFERROR(IF(VLOOKUP($N161,Capa!$A:$AE,BE$5,0)="",0,VLOOKUP($N161,Capa!$A:$AE,BE$5,0)),0),IF(ISERROR(1/VLOOKUP($N161,Capa!$A:$AE,BE$5,0)),0,1/VLOOKUP($N161,Capa!$A:$AE,BE$5,0))))</f>
        <v/>
      </c>
      <c r="BF161" s="118" t="str">
        <f>IF(BF$6="","",IF(BF$3="Maior",IFERROR(IF(VLOOKUP($N161,Capa!$A:$AE,BF$5,0)="",0,VLOOKUP($N161,Capa!$A:$AE,BF$5,0)),0),IF(ISERROR(1/VLOOKUP($N161,Capa!$A:$AE,BF$5,0)),0,1/VLOOKUP($N161,Capa!$A:$AE,BF$5,0))))</f>
        <v/>
      </c>
      <c r="BG161" s="118" t="str">
        <f>IF(BG$6="","",IF(BG$3="Maior",IFERROR(IF(VLOOKUP($N161,Capa!$A:$AE,BG$5,0)="",0,VLOOKUP($N161,Capa!$A:$AE,BG$5,0)),0),IF(ISERROR(1/VLOOKUP($N161,Capa!$A:$AE,BG$5,0)),0,1/VLOOKUP($N161,Capa!$A:$AE,BG$5,0))))</f>
        <v/>
      </c>
      <c r="BH161" s="118" t="str">
        <f>IF(BH$6="","",IF(BH$3="Maior",IFERROR(IF(VLOOKUP($N161,Capa!$A:$AE,BH$5,0)="",0,VLOOKUP($N161,Capa!$A:$AE,BH$5,0)),0),IF(ISERROR(1/VLOOKUP($N161,Capa!$A:$AE,BH$5,0)),0,1/VLOOKUP($N161,Capa!$A:$AE,BH$5,0))))</f>
        <v/>
      </c>
      <c r="BI161" s="118" t="str">
        <f>IF(BI$6="","",IF(BI$3="Maior",IFERROR(IF(VLOOKUP($N161,Capa!$A:$AE,BI$5,0)="",0,VLOOKUP($N161,Capa!$A:$AE,BI$5,0)),0),IF(ISERROR(1/VLOOKUP($N161,Capa!$A:$AE,BI$5,0)),0,1/VLOOKUP($N161,Capa!$A:$AE,BI$5,0))))</f>
        <v/>
      </c>
      <c r="BJ161" s="118" t="str">
        <f>IF(BJ$6="","",IF(BJ$3="Maior",IFERROR(IF(VLOOKUP($N161,Capa!$A:$AE,BJ$5,0)="",0,VLOOKUP($N161,Capa!$A:$AE,BJ$5,0)),0),IF(ISERROR(1/VLOOKUP($N161,Capa!$A:$AE,BJ$5,0)),0,1/VLOOKUP($N161,Capa!$A:$AE,BJ$5,0))))</f>
        <v/>
      </c>
      <c r="BK161" s="118" t="str">
        <f>IF(BK$6="","",IF(BK$3="Maior",IFERROR(IF(VLOOKUP($N161,Capa!$A:$AE,BK$5,0)="",0,VLOOKUP($N161,Capa!$A:$AE,BK$5,0)),0),IF(ISERROR(1/VLOOKUP($N161,Capa!$A:$AE,BK$5,0)),0,1/VLOOKUP($N161,Capa!$A:$AE,BK$5,0))))</f>
        <v/>
      </c>
      <c r="BL161" s="118" t="str">
        <f>IF(BL$6="","",IF(BL$3="Maior",IFERROR(IF(VLOOKUP($N161,Capa!$A:$AE,BL$5,0)="",0,VLOOKUP($N161,Capa!$A:$AE,BL$5,0)),0),IF(ISERROR(1/VLOOKUP($N161,Capa!$A:$AE,BL$5,0)),0,1/VLOOKUP($N161,Capa!$A:$AE,BL$5,0))))</f>
        <v/>
      </c>
      <c r="BM161" s="118" t="str">
        <f>IF(BM$6="","",IF(BM$3="Maior",IFERROR(IF(VLOOKUP($N161,Capa!$A:$AE,BM$5,0)="",0,VLOOKUP($N161,Capa!$A:$AE,BM$5,0)),0),IF(ISERROR(1/VLOOKUP($N161,Capa!$A:$AE,BM$5,0)),0,1/VLOOKUP($N161,Capa!$A:$AE,BM$5,0))))</f>
        <v/>
      </c>
      <c r="BN161" s="118" t="str">
        <f>IF(BN$6="","",IF(BN$3="Maior",IFERROR(IF(VLOOKUP($N161,Capa!$A:$AE,BN$5,0)="",0,VLOOKUP($N161,Capa!$A:$AE,BN$5,0)),0),IF(ISERROR(1/VLOOKUP($N161,Capa!$A:$AE,BN$5,0)),0,1/VLOOKUP($N161,Capa!$A:$AE,BN$5,0))))</f>
        <v/>
      </c>
      <c r="BO161" s="92"/>
    </row>
    <row r="162">
      <c r="G162" s="11"/>
      <c r="H162" s="8">
        <v>156.0</v>
      </c>
      <c r="I162" s="110" t="str">
        <f t="shared" si="6"/>
        <v>NTCO3</v>
      </c>
      <c r="J162" s="111" t="str">
        <f>VLOOKUP(left(I162,4),Setor!A:D,3,0)&amp;" | "&amp;VLOOKUP(left(I162,4),Setor!A:D,4,0)</f>
        <v>Consumo não Cíclico | Produtos de Uso Pessoal e de Limpeza</v>
      </c>
      <c r="K162" s="112">
        <f t="shared" si="7"/>
        <v>277103777.8</v>
      </c>
      <c r="L162" s="11"/>
      <c r="M162" s="11"/>
      <c r="N162" s="10" t="s">
        <v>208</v>
      </c>
      <c r="O162" s="113">
        <f t="shared" si="8"/>
        <v>599.0268</v>
      </c>
      <c r="P162" s="114">
        <f>VLOOKUP(N162,'Dados StatusInvest'!A:Z,26,0)</f>
        <v>15202737.88</v>
      </c>
      <c r="Q162" s="115">
        <f t="shared" si="9"/>
        <v>268.0268</v>
      </c>
      <c r="R162" s="116">
        <f t="shared" ref="R162:AO162" si="165">IF(AQ162="","", RANK(AQ162,AQ$7:AQ$503,0))</f>
        <v>112</v>
      </c>
      <c r="S162" s="115">
        <f t="shared" si="165"/>
        <v>219</v>
      </c>
      <c r="T162" s="115" t="str">
        <f t="shared" si="165"/>
        <v/>
      </c>
      <c r="U162" s="115" t="str">
        <f t="shared" si="165"/>
        <v/>
      </c>
      <c r="V162" s="115" t="str">
        <f t="shared" si="165"/>
        <v/>
      </c>
      <c r="W162" s="115" t="str">
        <f t="shared" si="165"/>
        <v/>
      </c>
      <c r="X162" s="115" t="str">
        <f t="shared" si="165"/>
        <v/>
      </c>
      <c r="Y162" s="115" t="str">
        <f t="shared" si="165"/>
        <v/>
      </c>
      <c r="Z162" s="115" t="str">
        <f t="shared" si="165"/>
        <v/>
      </c>
      <c r="AA162" s="115" t="str">
        <f t="shared" si="165"/>
        <v/>
      </c>
      <c r="AB162" s="115" t="str">
        <f t="shared" si="165"/>
        <v/>
      </c>
      <c r="AC162" s="115" t="str">
        <f t="shared" si="165"/>
        <v/>
      </c>
      <c r="AD162" s="115" t="str">
        <f t="shared" si="165"/>
        <v/>
      </c>
      <c r="AE162" s="115" t="str">
        <f t="shared" si="165"/>
        <v/>
      </c>
      <c r="AF162" s="115" t="str">
        <f t="shared" si="165"/>
        <v/>
      </c>
      <c r="AG162" s="115" t="str">
        <f t="shared" si="165"/>
        <v/>
      </c>
      <c r="AH162" s="115" t="str">
        <f t="shared" si="165"/>
        <v/>
      </c>
      <c r="AI162" s="115" t="str">
        <f t="shared" si="165"/>
        <v/>
      </c>
      <c r="AJ162" s="115" t="str">
        <f t="shared" si="165"/>
        <v/>
      </c>
      <c r="AK162" s="115" t="str">
        <f t="shared" si="165"/>
        <v/>
      </c>
      <c r="AL162" s="115" t="str">
        <f t="shared" si="165"/>
        <v/>
      </c>
      <c r="AM162" s="115" t="str">
        <f t="shared" si="165"/>
        <v/>
      </c>
      <c r="AN162" s="115" t="str">
        <f t="shared" si="165"/>
        <v/>
      </c>
      <c r="AO162" s="115" t="str">
        <f t="shared" si="165"/>
        <v/>
      </c>
      <c r="AP162" s="117">
        <f>IF(AP$6="","",IF(AP$3="Maior",IFERROR(IF(VLOOKUP($N162,Capa!$A:$AE,AP$5,0)="",0,VLOOKUP($N162,Capa!$A:$AE,AP$5,0)),0),IF(ISERROR(1/VLOOKUP($N162,Capa!$A:$AE,AP$5,0)),0,1/VLOOKUP($N162,Capa!$A:$AE,AP$5,0))))</f>
        <v>0.07220466964</v>
      </c>
      <c r="AQ162" s="118">
        <f>IF(AQ$6="","",IF(AQ$3="Maior",IFERROR(IF(VLOOKUP($N162,Capa!$A:$AE,AQ$5,0)="",0,VLOOKUP($N162,Capa!$A:$AE,AQ$5,0)),0),IF(ISERROR(1/VLOOKUP($N162,Capa!$A:$AE,AQ$5,0)),0,1/VLOOKUP($N162,Capa!$A:$AE,AQ$5,0))))</f>
        <v>16.47</v>
      </c>
      <c r="AR162" s="118">
        <f>IF(AR$6="","",IF(AR$3="Maior",IFERROR(IF(VLOOKUP($N162,Capa!$A:$AE,AR$5,0)="",0,VLOOKUP($N162,Capa!$A:$AE,AR$5,0)),0),IF(ISERROR(1/VLOOKUP($N162,Capa!$A:$AE,AR$5,0)),0,1/VLOOKUP($N162,Capa!$A:$AE,AR$5,0))))</f>
        <v>0</v>
      </c>
      <c r="AS162" s="118" t="str">
        <f>IF(AS$6="","",IF(AS$3="Maior",IFERROR(IF(VLOOKUP($N162,Capa!$A:$AE,AS$5,0)="",0,VLOOKUP($N162,Capa!$A:$AE,AS$5,0)),0),IF(ISERROR(1/VLOOKUP($N162,Capa!$A:$AE,AS$5,0)),0,1/VLOOKUP($N162,Capa!$A:$AE,AS$5,0))))</f>
        <v/>
      </c>
      <c r="AT162" s="118" t="str">
        <f>IF(AT$6="","",IF(AT$3="Maior",IFERROR(IF(VLOOKUP($N162,Capa!$A:$AE,AT$5,0)="",0,VLOOKUP($N162,Capa!$A:$AE,AT$5,0)),0),IF(ISERROR(1/VLOOKUP($N162,Capa!$A:$AE,AT$5,0)),0,1/VLOOKUP($N162,Capa!$A:$AE,AT$5,0))))</f>
        <v/>
      </c>
      <c r="AU162" s="118" t="str">
        <f>IF(AU$6="","",IF(AU$3="Maior",IFERROR(IF(VLOOKUP($N162,Capa!$A:$AE,AU$5,0)="",0,VLOOKUP($N162,Capa!$A:$AE,AU$5,0)),0),IF(ISERROR(1/VLOOKUP($N162,Capa!$A:$AE,AU$5,0)),0,1/VLOOKUP($N162,Capa!$A:$AE,AU$5,0))))</f>
        <v/>
      </c>
      <c r="AV162" s="118" t="str">
        <f>IF(AV$6="","",IF(AV$3="Maior",IFERROR(IF(VLOOKUP($N162,Capa!$A:$AE,AV$5,0)="",0,VLOOKUP($N162,Capa!$A:$AE,AV$5,0)),0),IF(ISERROR(1/VLOOKUP($N162,Capa!$A:$AE,AV$5,0)),0,1/VLOOKUP($N162,Capa!$A:$AE,AV$5,0))))</f>
        <v/>
      </c>
      <c r="AW162" s="118" t="str">
        <f>IF(AW$6="","",IF(AW$3="Maior",IFERROR(IF(VLOOKUP($N162,Capa!$A:$AE,AW$5,0)="",0,VLOOKUP($N162,Capa!$A:$AE,AW$5,0)),0),IF(ISERROR(1/VLOOKUP($N162,Capa!$A:$AE,AW$5,0)),0,1/VLOOKUP($N162,Capa!$A:$AE,AW$5,0))))</f>
        <v/>
      </c>
      <c r="AX162" s="118" t="str">
        <f>IF(AX$6="","",IF(AX$3="Maior",IFERROR(IF(VLOOKUP($N162,Capa!$A:$AE,AX$5,0)="",0,VLOOKUP($N162,Capa!$A:$AE,AX$5,0)),0),IF(ISERROR(1/VLOOKUP($N162,Capa!$A:$AE,AX$5,0)),0,1/VLOOKUP($N162,Capa!$A:$AE,AX$5,0))))</f>
        <v/>
      </c>
      <c r="AY162" s="118" t="str">
        <f>IF(AY$6="","",IF(AY$3="Maior",IFERROR(IF(VLOOKUP($N162,Capa!$A:$AE,AY$5,0)="",0,VLOOKUP($N162,Capa!$A:$AE,AY$5,0)),0),IF(ISERROR(1/VLOOKUP($N162,Capa!$A:$AE,AY$5,0)),0,1/VLOOKUP($N162,Capa!$A:$AE,AY$5,0))))</f>
        <v/>
      </c>
      <c r="AZ162" s="118" t="str">
        <f>IF(AZ$6="","",IF(AZ$3="Maior",IFERROR(IF(VLOOKUP($N162,Capa!$A:$AE,AZ$5,0)="",0,VLOOKUP($N162,Capa!$A:$AE,AZ$5,0)),0),IF(ISERROR(1/VLOOKUP($N162,Capa!$A:$AE,AZ$5,0)),0,1/VLOOKUP($N162,Capa!$A:$AE,AZ$5,0))))</f>
        <v/>
      </c>
      <c r="BA162" s="118" t="str">
        <f>IF(BA$6="","",IF(BA$3="Maior",IFERROR(IF(VLOOKUP($N162,Capa!$A:$AE,BA$5,0)="",0,VLOOKUP($N162,Capa!$A:$AE,BA$5,0)),0),IF(ISERROR(1/VLOOKUP($N162,Capa!$A:$AE,BA$5,0)),0,1/VLOOKUP($N162,Capa!$A:$AE,BA$5,0))))</f>
        <v/>
      </c>
      <c r="BB162" s="118" t="str">
        <f>IF(BB$6="","",IF(BB$3="Maior",IFERROR(IF(VLOOKUP($N162,Capa!$A:$AE,BB$5,0)="",0,VLOOKUP($N162,Capa!$A:$AE,BB$5,0)),0),IF(ISERROR(1/VLOOKUP($N162,Capa!$A:$AE,BB$5,0)),0,1/VLOOKUP($N162,Capa!$A:$AE,BB$5,0))))</f>
        <v/>
      </c>
      <c r="BC162" s="118" t="str">
        <f>IF(BC$6="","",IF(BC$3="Maior",IFERROR(IF(VLOOKUP($N162,Capa!$A:$AE,BC$5,0)="",0,VLOOKUP($N162,Capa!$A:$AE,BC$5,0)),0),IF(ISERROR(1/VLOOKUP($N162,Capa!$A:$AE,BC$5,0)),0,1/VLOOKUP($N162,Capa!$A:$AE,BC$5,0))))</f>
        <v/>
      </c>
      <c r="BD162" s="118" t="str">
        <f>IF(BD$6="","",IF(BD$3="Maior",IFERROR(IF(VLOOKUP($N162,Capa!$A:$AE,BD$5,0)="",0,VLOOKUP($N162,Capa!$A:$AE,BD$5,0)),0),IF(ISERROR(1/VLOOKUP($N162,Capa!$A:$AE,BD$5,0)),0,1/VLOOKUP($N162,Capa!$A:$AE,BD$5,0))))</f>
        <v/>
      </c>
      <c r="BE162" s="118" t="str">
        <f>IF(BE$6="","",IF(BE$3="Maior",IFERROR(IF(VLOOKUP($N162,Capa!$A:$AE,BE$5,0)="",0,VLOOKUP($N162,Capa!$A:$AE,BE$5,0)),0),IF(ISERROR(1/VLOOKUP($N162,Capa!$A:$AE,BE$5,0)),0,1/VLOOKUP($N162,Capa!$A:$AE,BE$5,0))))</f>
        <v/>
      </c>
      <c r="BF162" s="118" t="str">
        <f>IF(BF$6="","",IF(BF$3="Maior",IFERROR(IF(VLOOKUP($N162,Capa!$A:$AE,BF$5,0)="",0,VLOOKUP($N162,Capa!$A:$AE,BF$5,0)),0),IF(ISERROR(1/VLOOKUP($N162,Capa!$A:$AE,BF$5,0)),0,1/VLOOKUP($N162,Capa!$A:$AE,BF$5,0))))</f>
        <v/>
      </c>
      <c r="BG162" s="118" t="str">
        <f>IF(BG$6="","",IF(BG$3="Maior",IFERROR(IF(VLOOKUP($N162,Capa!$A:$AE,BG$5,0)="",0,VLOOKUP($N162,Capa!$A:$AE,BG$5,0)),0),IF(ISERROR(1/VLOOKUP($N162,Capa!$A:$AE,BG$5,0)),0,1/VLOOKUP($N162,Capa!$A:$AE,BG$5,0))))</f>
        <v/>
      </c>
      <c r="BH162" s="118" t="str">
        <f>IF(BH$6="","",IF(BH$3="Maior",IFERROR(IF(VLOOKUP($N162,Capa!$A:$AE,BH$5,0)="",0,VLOOKUP($N162,Capa!$A:$AE,BH$5,0)),0),IF(ISERROR(1/VLOOKUP($N162,Capa!$A:$AE,BH$5,0)),0,1/VLOOKUP($N162,Capa!$A:$AE,BH$5,0))))</f>
        <v/>
      </c>
      <c r="BI162" s="118" t="str">
        <f>IF(BI$6="","",IF(BI$3="Maior",IFERROR(IF(VLOOKUP($N162,Capa!$A:$AE,BI$5,0)="",0,VLOOKUP($N162,Capa!$A:$AE,BI$5,0)),0),IF(ISERROR(1/VLOOKUP($N162,Capa!$A:$AE,BI$5,0)),0,1/VLOOKUP($N162,Capa!$A:$AE,BI$5,0))))</f>
        <v/>
      </c>
      <c r="BJ162" s="118" t="str">
        <f>IF(BJ$6="","",IF(BJ$3="Maior",IFERROR(IF(VLOOKUP($N162,Capa!$A:$AE,BJ$5,0)="",0,VLOOKUP($N162,Capa!$A:$AE,BJ$5,0)),0),IF(ISERROR(1/VLOOKUP($N162,Capa!$A:$AE,BJ$5,0)),0,1/VLOOKUP($N162,Capa!$A:$AE,BJ$5,0))))</f>
        <v/>
      </c>
      <c r="BK162" s="118" t="str">
        <f>IF(BK$6="","",IF(BK$3="Maior",IFERROR(IF(VLOOKUP($N162,Capa!$A:$AE,BK$5,0)="",0,VLOOKUP($N162,Capa!$A:$AE,BK$5,0)),0),IF(ISERROR(1/VLOOKUP($N162,Capa!$A:$AE,BK$5,0)),0,1/VLOOKUP($N162,Capa!$A:$AE,BK$5,0))))</f>
        <v/>
      </c>
      <c r="BL162" s="118" t="str">
        <f>IF(BL$6="","",IF(BL$3="Maior",IFERROR(IF(VLOOKUP($N162,Capa!$A:$AE,BL$5,0)="",0,VLOOKUP($N162,Capa!$A:$AE,BL$5,0)),0),IF(ISERROR(1/VLOOKUP($N162,Capa!$A:$AE,BL$5,0)),0,1/VLOOKUP($N162,Capa!$A:$AE,BL$5,0))))</f>
        <v/>
      </c>
      <c r="BM162" s="118" t="str">
        <f>IF(BM$6="","",IF(BM$3="Maior",IFERROR(IF(VLOOKUP($N162,Capa!$A:$AE,BM$5,0)="",0,VLOOKUP($N162,Capa!$A:$AE,BM$5,0)),0),IF(ISERROR(1/VLOOKUP($N162,Capa!$A:$AE,BM$5,0)),0,1/VLOOKUP($N162,Capa!$A:$AE,BM$5,0))))</f>
        <v/>
      </c>
      <c r="BN162" s="118" t="str">
        <f>IF(BN$6="","",IF(BN$3="Maior",IFERROR(IF(VLOOKUP($N162,Capa!$A:$AE,BN$5,0)="",0,VLOOKUP($N162,Capa!$A:$AE,BN$5,0)),0),IF(ISERROR(1/VLOOKUP($N162,Capa!$A:$AE,BN$5,0)),0,1/VLOOKUP($N162,Capa!$A:$AE,BN$5,0))))</f>
        <v/>
      </c>
      <c r="BO162" s="92"/>
    </row>
    <row r="163">
      <c r="G163" s="11"/>
      <c r="H163" s="8">
        <v>157.0</v>
      </c>
      <c r="I163" s="110" t="str">
        <f t="shared" si="6"/>
        <v>RRRP3</v>
      </c>
      <c r="J163" s="111" t="str">
        <f>VLOOKUP(left(I163,4),Setor!A:D,3,0)&amp;" | "&amp;VLOOKUP(left(I163,4),Setor!A:D,4,0)</f>
        <v>#N/A</v>
      </c>
      <c r="K163" s="112">
        <f t="shared" si="7"/>
        <v>77392403.04</v>
      </c>
      <c r="L163" s="11"/>
      <c r="M163" s="11"/>
      <c r="N163" s="10" t="s">
        <v>209</v>
      </c>
      <c r="O163" s="113">
        <f t="shared" si="8"/>
        <v>833.0311</v>
      </c>
      <c r="P163" s="114">
        <f>VLOOKUP(N163,'Dados StatusInvest'!A:Z,26,0)</f>
        <v>16041594.92</v>
      </c>
      <c r="Q163" s="115">
        <f t="shared" si="9"/>
        <v>311.0311</v>
      </c>
      <c r="R163" s="116">
        <f t="shared" ref="R163:AO163" si="166">IF(AQ163="","", RANK(AQ163,AQ$7:AQ$503,0))</f>
        <v>303</v>
      </c>
      <c r="S163" s="115">
        <f t="shared" si="166"/>
        <v>219</v>
      </c>
      <c r="T163" s="115" t="str">
        <f t="shared" si="166"/>
        <v/>
      </c>
      <c r="U163" s="115" t="str">
        <f t="shared" si="166"/>
        <v/>
      </c>
      <c r="V163" s="115" t="str">
        <f t="shared" si="166"/>
        <v/>
      </c>
      <c r="W163" s="115" t="str">
        <f t="shared" si="166"/>
        <v/>
      </c>
      <c r="X163" s="115" t="str">
        <f t="shared" si="166"/>
        <v/>
      </c>
      <c r="Y163" s="115" t="str">
        <f t="shared" si="166"/>
        <v/>
      </c>
      <c r="Z163" s="115" t="str">
        <f t="shared" si="166"/>
        <v/>
      </c>
      <c r="AA163" s="115" t="str">
        <f t="shared" si="166"/>
        <v/>
      </c>
      <c r="AB163" s="115" t="str">
        <f t="shared" si="166"/>
        <v/>
      </c>
      <c r="AC163" s="115" t="str">
        <f t="shared" si="166"/>
        <v/>
      </c>
      <c r="AD163" s="115" t="str">
        <f t="shared" si="166"/>
        <v/>
      </c>
      <c r="AE163" s="115" t="str">
        <f t="shared" si="166"/>
        <v/>
      </c>
      <c r="AF163" s="115" t="str">
        <f t="shared" si="166"/>
        <v/>
      </c>
      <c r="AG163" s="115" t="str">
        <f t="shared" si="166"/>
        <v/>
      </c>
      <c r="AH163" s="115" t="str">
        <f t="shared" si="166"/>
        <v/>
      </c>
      <c r="AI163" s="115" t="str">
        <f t="shared" si="166"/>
        <v/>
      </c>
      <c r="AJ163" s="115" t="str">
        <f t="shared" si="166"/>
        <v/>
      </c>
      <c r="AK163" s="115" t="str">
        <f t="shared" si="166"/>
        <v/>
      </c>
      <c r="AL163" s="115" t="str">
        <f t="shared" si="166"/>
        <v/>
      </c>
      <c r="AM163" s="115" t="str">
        <f t="shared" si="166"/>
        <v/>
      </c>
      <c r="AN163" s="115" t="str">
        <f t="shared" si="166"/>
        <v/>
      </c>
      <c r="AO163" s="115" t="str">
        <f t="shared" si="166"/>
        <v/>
      </c>
      <c r="AP163" s="117">
        <f>IF(AP$6="","",IF(AP$3="Maior",IFERROR(IF(VLOOKUP($N163,Capa!$A:$AE,AP$5,0)="",0,VLOOKUP($N163,Capa!$A:$AE,AP$5,0)),0),IF(ISERROR(1/VLOOKUP($N163,Capa!$A:$AE,AP$5,0)),0,1/VLOOKUP($N163,Capa!$A:$AE,AP$5,0))))</f>
        <v>0.04880453659</v>
      </c>
      <c r="AQ163" s="118">
        <f>IF(AQ$6="","",IF(AQ$3="Maior",IFERROR(IF(VLOOKUP($N163,Capa!$A:$AE,AQ$5,0)="",0,VLOOKUP($N163,Capa!$A:$AE,AQ$5,0)),0),IF(ISERROR(1/VLOOKUP($N163,Capa!$A:$AE,AQ$5,0)),0,1/VLOOKUP($N163,Capa!$A:$AE,AQ$5,0))))</f>
        <v>4.81</v>
      </c>
      <c r="AR163" s="118">
        <f>IF(AR$6="","",IF(AR$3="Maior",IFERROR(IF(VLOOKUP($N163,Capa!$A:$AE,AR$5,0)="",0,VLOOKUP($N163,Capa!$A:$AE,AR$5,0)),0),IF(ISERROR(1/VLOOKUP($N163,Capa!$A:$AE,AR$5,0)),0,1/VLOOKUP($N163,Capa!$A:$AE,AR$5,0))))</f>
        <v>0</v>
      </c>
      <c r="AS163" s="118" t="str">
        <f>IF(AS$6="","",IF(AS$3="Maior",IFERROR(IF(VLOOKUP($N163,Capa!$A:$AE,AS$5,0)="",0,VLOOKUP($N163,Capa!$A:$AE,AS$5,0)),0),IF(ISERROR(1/VLOOKUP($N163,Capa!$A:$AE,AS$5,0)),0,1/VLOOKUP($N163,Capa!$A:$AE,AS$5,0))))</f>
        <v/>
      </c>
      <c r="AT163" s="118" t="str">
        <f>IF(AT$6="","",IF(AT$3="Maior",IFERROR(IF(VLOOKUP($N163,Capa!$A:$AE,AT$5,0)="",0,VLOOKUP($N163,Capa!$A:$AE,AT$5,0)),0),IF(ISERROR(1/VLOOKUP($N163,Capa!$A:$AE,AT$5,0)),0,1/VLOOKUP($N163,Capa!$A:$AE,AT$5,0))))</f>
        <v/>
      </c>
      <c r="AU163" s="118" t="str">
        <f>IF(AU$6="","",IF(AU$3="Maior",IFERROR(IF(VLOOKUP($N163,Capa!$A:$AE,AU$5,0)="",0,VLOOKUP($N163,Capa!$A:$AE,AU$5,0)),0),IF(ISERROR(1/VLOOKUP($N163,Capa!$A:$AE,AU$5,0)),0,1/VLOOKUP($N163,Capa!$A:$AE,AU$5,0))))</f>
        <v/>
      </c>
      <c r="AV163" s="118" t="str">
        <f>IF(AV$6="","",IF(AV$3="Maior",IFERROR(IF(VLOOKUP($N163,Capa!$A:$AE,AV$5,0)="",0,VLOOKUP($N163,Capa!$A:$AE,AV$5,0)),0),IF(ISERROR(1/VLOOKUP($N163,Capa!$A:$AE,AV$5,0)),0,1/VLOOKUP($N163,Capa!$A:$AE,AV$5,0))))</f>
        <v/>
      </c>
      <c r="AW163" s="118" t="str">
        <f>IF(AW$6="","",IF(AW$3="Maior",IFERROR(IF(VLOOKUP($N163,Capa!$A:$AE,AW$5,0)="",0,VLOOKUP($N163,Capa!$A:$AE,AW$5,0)),0),IF(ISERROR(1/VLOOKUP($N163,Capa!$A:$AE,AW$5,0)),0,1/VLOOKUP($N163,Capa!$A:$AE,AW$5,0))))</f>
        <v/>
      </c>
      <c r="AX163" s="118" t="str">
        <f>IF(AX$6="","",IF(AX$3="Maior",IFERROR(IF(VLOOKUP($N163,Capa!$A:$AE,AX$5,0)="",0,VLOOKUP($N163,Capa!$A:$AE,AX$5,0)),0),IF(ISERROR(1/VLOOKUP($N163,Capa!$A:$AE,AX$5,0)),0,1/VLOOKUP($N163,Capa!$A:$AE,AX$5,0))))</f>
        <v/>
      </c>
      <c r="AY163" s="118" t="str">
        <f>IF(AY$6="","",IF(AY$3="Maior",IFERROR(IF(VLOOKUP($N163,Capa!$A:$AE,AY$5,0)="",0,VLOOKUP($N163,Capa!$A:$AE,AY$5,0)),0),IF(ISERROR(1/VLOOKUP($N163,Capa!$A:$AE,AY$5,0)),0,1/VLOOKUP($N163,Capa!$A:$AE,AY$5,0))))</f>
        <v/>
      </c>
      <c r="AZ163" s="118" t="str">
        <f>IF(AZ$6="","",IF(AZ$3="Maior",IFERROR(IF(VLOOKUP($N163,Capa!$A:$AE,AZ$5,0)="",0,VLOOKUP($N163,Capa!$A:$AE,AZ$5,0)),0),IF(ISERROR(1/VLOOKUP($N163,Capa!$A:$AE,AZ$5,0)),0,1/VLOOKUP($N163,Capa!$A:$AE,AZ$5,0))))</f>
        <v/>
      </c>
      <c r="BA163" s="118" t="str">
        <f>IF(BA$6="","",IF(BA$3="Maior",IFERROR(IF(VLOOKUP($N163,Capa!$A:$AE,BA$5,0)="",0,VLOOKUP($N163,Capa!$A:$AE,BA$5,0)),0),IF(ISERROR(1/VLOOKUP($N163,Capa!$A:$AE,BA$5,0)),0,1/VLOOKUP($N163,Capa!$A:$AE,BA$5,0))))</f>
        <v/>
      </c>
      <c r="BB163" s="118" t="str">
        <f>IF(BB$6="","",IF(BB$3="Maior",IFERROR(IF(VLOOKUP($N163,Capa!$A:$AE,BB$5,0)="",0,VLOOKUP($N163,Capa!$A:$AE,BB$5,0)),0),IF(ISERROR(1/VLOOKUP($N163,Capa!$A:$AE,BB$5,0)),0,1/VLOOKUP($N163,Capa!$A:$AE,BB$5,0))))</f>
        <v/>
      </c>
      <c r="BC163" s="118" t="str">
        <f>IF(BC$6="","",IF(BC$3="Maior",IFERROR(IF(VLOOKUP($N163,Capa!$A:$AE,BC$5,0)="",0,VLOOKUP($N163,Capa!$A:$AE,BC$5,0)),0),IF(ISERROR(1/VLOOKUP($N163,Capa!$A:$AE,BC$5,0)),0,1/VLOOKUP($N163,Capa!$A:$AE,BC$5,0))))</f>
        <v/>
      </c>
      <c r="BD163" s="118" t="str">
        <f>IF(BD$6="","",IF(BD$3="Maior",IFERROR(IF(VLOOKUP($N163,Capa!$A:$AE,BD$5,0)="",0,VLOOKUP($N163,Capa!$A:$AE,BD$5,0)),0),IF(ISERROR(1/VLOOKUP($N163,Capa!$A:$AE,BD$5,0)),0,1/VLOOKUP($N163,Capa!$A:$AE,BD$5,0))))</f>
        <v/>
      </c>
      <c r="BE163" s="118" t="str">
        <f>IF(BE$6="","",IF(BE$3="Maior",IFERROR(IF(VLOOKUP($N163,Capa!$A:$AE,BE$5,0)="",0,VLOOKUP($N163,Capa!$A:$AE,BE$5,0)),0),IF(ISERROR(1/VLOOKUP($N163,Capa!$A:$AE,BE$5,0)),0,1/VLOOKUP($N163,Capa!$A:$AE,BE$5,0))))</f>
        <v/>
      </c>
      <c r="BF163" s="118" t="str">
        <f>IF(BF$6="","",IF(BF$3="Maior",IFERROR(IF(VLOOKUP($N163,Capa!$A:$AE,BF$5,0)="",0,VLOOKUP($N163,Capa!$A:$AE,BF$5,0)),0),IF(ISERROR(1/VLOOKUP($N163,Capa!$A:$AE,BF$5,0)),0,1/VLOOKUP($N163,Capa!$A:$AE,BF$5,0))))</f>
        <v/>
      </c>
      <c r="BG163" s="118" t="str">
        <f>IF(BG$6="","",IF(BG$3="Maior",IFERROR(IF(VLOOKUP($N163,Capa!$A:$AE,BG$5,0)="",0,VLOOKUP($N163,Capa!$A:$AE,BG$5,0)),0),IF(ISERROR(1/VLOOKUP($N163,Capa!$A:$AE,BG$5,0)),0,1/VLOOKUP($N163,Capa!$A:$AE,BG$5,0))))</f>
        <v/>
      </c>
      <c r="BH163" s="118" t="str">
        <f>IF(BH$6="","",IF(BH$3="Maior",IFERROR(IF(VLOOKUP($N163,Capa!$A:$AE,BH$5,0)="",0,VLOOKUP($N163,Capa!$A:$AE,BH$5,0)),0),IF(ISERROR(1/VLOOKUP($N163,Capa!$A:$AE,BH$5,0)),0,1/VLOOKUP($N163,Capa!$A:$AE,BH$5,0))))</f>
        <v/>
      </c>
      <c r="BI163" s="118" t="str">
        <f>IF(BI$6="","",IF(BI$3="Maior",IFERROR(IF(VLOOKUP($N163,Capa!$A:$AE,BI$5,0)="",0,VLOOKUP($N163,Capa!$A:$AE,BI$5,0)),0),IF(ISERROR(1/VLOOKUP($N163,Capa!$A:$AE,BI$5,0)),0,1/VLOOKUP($N163,Capa!$A:$AE,BI$5,0))))</f>
        <v/>
      </c>
      <c r="BJ163" s="118" t="str">
        <f>IF(BJ$6="","",IF(BJ$3="Maior",IFERROR(IF(VLOOKUP($N163,Capa!$A:$AE,BJ$5,0)="",0,VLOOKUP($N163,Capa!$A:$AE,BJ$5,0)),0),IF(ISERROR(1/VLOOKUP($N163,Capa!$A:$AE,BJ$5,0)),0,1/VLOOKUP($N163,Capa!$A:$AE,BJ$5,0))))</f>
        <v/>
      </c>
      <c r="BK163" s="118" t="str">
        <f>IF(BK$6="","",IF(BK$3="Maior",IFERROR(IF(VLOOKUP($N163,Capa!$A:$AE,BK$5,0)="",0,VLOOKUP($N163,Capa!$A:$AE,BK$5,0)),0),IF(ISERROR(1/VLOOKUP($N163,Capa!$A:$AE,BK$5,0)),0,1/VLOOKUP($N163,Capa!$A:$AE,BK$5,0))))</f>
        <v/>
      </c>
      <c r="BL163" s="118" t="str">
        <f>IF(BL$6="","",IF(BL$3="Maior",IFERROR(IF(VLOOKUP($N163,Capa!$A:$AE,BL$5,0)="",0,VLOOKUP($N163,Capa!$A:$AE,BL$5,0)),0),IF(ISERROR(1/VLOOKUP($N163,Capa!$A:$AE,BL$5,0)),0,1/VLOOKUP($N163,Capa!$A:$AE,BL$5,0))))</f>
        <v/>
      </c>
      <c r="BM163" s="118" t="str">
        <f>IF(BM$6="","",IF(BM$3="Maior",IFERROR(IF(VLOOKUP($N163,Capa!$A:$AE,BM$5,0)="",0,VLOOKUP($N163,Capa!$A:$AE,BM$5,0)),0),IF(ISERROR(1/VLOOKUP($N163,Capa!$A:$AE,BM$5,0)),0,1/VLOOKUP($N163,Capa!$A:$AE,BM$5,0))))</f>
        <v/>
      </c>
      <c r="BN163" s="118" t="str">
        <f>IF(BN$6="","",IF(BN$3="Maior",IFERROR(IF(VLOOKUP($N163,Capa!$A:$AE,BN$5,0)="",0,VLOOKUP($N163,Capa!$A:$AE,BN$5,0)),0),IF(ISERROR(1/VLOOKUP($N163,Capa!$A:$AE,BN$5,0)),0,1/VLOOKUP($N163,Capa!$A:$AE,BN$5,0))))</f>
        <v/>
      </c>
      <c r="BO163" s="92"/>
    </row>
    <row r="164">
      <c r="G164" s="11"/>
      <c r="H164" s="8">
        <v>158.0</v>
      </c>
      <c r="I164" s="110" t="str">
        <f t="shared" si="6"/>
        <v>CESP6</v>
      </c>
      <c r="J164" s="111" t="str">
        <f>VLOOKUP(left(I164,4),Setor!A:D,3,0)&amp;" | "&amp;VLOOKUP(left(I164,4),Setor!A:D,4,0)</f>
        <v>Utilidade Pública | Energia Elétrica</v>
      </c>
      <c r="K164" s="112">
        <f t="shared" si="7"/>
        <v>57228534.71</v>
      </c>
      <c r="L164" s="11"/>
      <c r="M164" s="11"/>
      <c r="N164" s="10" t="s">
        <v>210</v>
      </c>
      <c r="O164" s="113">
        <f t="shared" si="8"/>
        <v>1256.0412</v>
      </c>
      <c r="P164" s="114">
        <f>VLOOKUP(N164,'Dados StatusInvest'!A:Z,26,0)</f>
        <v>26467698.13</v>
      </c>
      <c r="Q164" s="115">
        <f t="shared" si="9"/>
        <v>412.0412</v>
      </c>
      <c r="R164" s="116">
        <f t="shared" ref="R164:AO164" si="167">IF(AQ164="","", RANK(AQ164,AQ$7:AQ$503,0))</f>
        <v>375</v>
      </c>
      <c r="S164" s="115">
        <f t="shared" si="167"/>
        <v>469</v>
      </c>
      <c r="T164" s="115" t="str">
        <f t="shared" si="167"/>
        <v/>
      </c>
      <c r="U164" s="115" t="str">
        <f t="shared" si="167"/>
        <v/>
      </c>
      <c r="V164" s="115" t="str">
        <f t="shared" si="167"/>
        <v/>
      </c>
      <c r="W164" s="115" t="str">
        <f t="shared" si="167"/>
        <v/>
      </c>
      <c r="X164" s="115" t="str">
        <f t="shared" si="167"/>
        <v/>
      </c>
      <c r="Y164" s="115" t="str">
        <f t="shared" si="167"/>
        <v/>
      </c>
      <c r="Z164" s="115" t="str">
        <f t="shared" si="167"/>
        <v/>
      </c>
      <c r="AA164" s="115" t="str">
        <f t="shared" si="167"/>
        <v/>
      </c>
      <c r="AB164" s="115" t="str">
        <f t="shared" si="167"/>
        <v/>
      </c>
      <c r="AC164" s="115" t="str">
        <f t="shared" si="167"/>
        <v/>
      </c>
      <c r="AD164" s="115" t="str">
        <f t="shared" si="167"/>
        <v/>
      </c>
      <c r="AE164" s="115" t="str">
        <f t="shared" si="167"/>
        <v/>
      </c>
      <c r="AF164" s="115" t="str">
        <f t="shared" si="167"/>
        <v/>
      </c>
      <c r="AG164" s="115" t="str">
        <f t="shared" si="167"/>
        <v/>
      </c>
      <c r="AH164" s="115" t="str">
        <f t="shared" si="167"/>
        <v/>
      </c>
      <c r="AI164" s="115" t="str">
        <f t="shared" si="167"/>
        <v/>
      </c>
      <c r="AJ164" s="115" t="str">
        <f t="shared" si="167"/>
        <v/>
      </c>
      <c r="AK164" s="115" t="str">
        <f t="shared" si="167"/>
        <v/>
      </c>
      <c r="AL164" s="115" t="str">
        <f t="shared" si="167"/>
        <v/>
      </c>
      <c r="AM164" s="115" t="str">
        <f t="shared" si="167"/>
        <v/>
      </c>
      <c r="AN164" s="115" t="str">
        <f t="shared" si="167"/>
        <v/>
      </c>
      <c r="AO164" s="115" t="str">
        <f t="shared" si="167"/>
        <v/>
      </c>
      <c r="AP164" s="117">
        <f>IF(AP$6="","",IF(AP$3="Maior",IFERROR(IF(VLOOKUP($N164,Capa!$A:$AE,AP$5,0)="",0,VLOOKUP($N164,Capa!$A:$AE,AP$5,0)),0),IF(ISERROR(1/VLOOKUP($N164,Capa!$A:$AE,AP$5,0)),0,1/VLOOKUP($N164,Capa!$A:$AE,AP$5,0))))</f>
        <v>-0.002398046568</v>
      </c>
      <c r="AQ164" s="118">
        <f>IF(AQ$6="","",IF(AQ$3="Maior",IFERROR(IF(VLOOKUP($N164,Capa!$A:$AE,AQ$5,0)="",0,VLOOKUP($N164,Capa!$A:$AE,AQ$5,0)),0),IF(ISERROR(1/VLOOKUP($N164,Capa!$A:$AE,AQ$5,0)),0,1/VLOOKUP($N164,Capa!$A:$AE,AQ$5,0))))</f>
        <v>0</v>
      </c>
      <c r="AR164" s="118">
        <f>IF(AR$6="","",IF(AR$3="Maior",IFERROR(IF(VLOOKUP($N164,Capa!$A:$AE,AR$5,0)="",0,VLOOKUP($N164,Capa!$A:$AE,AR$5,0)),0),IF(ISERROR(1/VLOOKUP($N164,Capa!$A:$AE,AR$5,0)),0,1/VLOOKUP($N164,Capa!$A:$AE,AR$5,0))))</f>
        <v>-3.95</v>
      </c>
      <c r="AS164" s="118" t="str">
        <f>IF(AS$6="","",IF(AS$3="Maior",IFERROR(IF(VLOOKUP($N164,Capa!$A:$AE,AS$5,0)="",0,VLOOKUP($N164,Capa!$A:$AE,AS$5,0)),0),IF(ISERROR(1/VLOOKUP($N164,Capa!$A:$AE,AS$5,0)),0,1/VLOOKUP($N164,Capa!$A:$AE,AS$5,0))))</f>
        <v/>
      </c>
      <c r="AT164" s="118" t="str">
        <f>IF(AT$6="","",IF(AT$3="Maior",IFERROR(IF(VLOOKUP($N164,Capa!$A:$AE,AT$5,0)="",0,VLOOKUP($N164,Capa!$A:$AE,AT$5,0)),0),IF(ISERROR(1/VLOOKUP($N164,Capa!$A:$AE,AT$5,0)),0,1/VLOOKUP($N164,Capa!$A:$AE,AT$5,0))))</f>
        <v/>
      </c>
      <c r="AU164" s="118" t="str">
        <f>IF(AU$6="","",IF(AU$3="Maior",IFERROR(IF(VLOOKUP($N164,Capa!$A:$AE,AU$5,0)="",0,VLOOKUP($N164,Capa!$A:$AE,AU$5,0)),0),IF(ISERROR(1/VLOOKUP($N164,Capa!$A:$AE,AU$5,0)),0,1/VLOOKUP($N164,Capa!$A:$AE,AU$5,0))))</f>
        <v/>
      </c>
      <c r="AV164" s="118" t="str">
        <f>IF(AV$6="","",IF(AV$3="Maior",IFERROR(IF(VLOOKUP($N164,Capa!$A:$AE,AV$5,0)="",0,VLOOKUP($N164,Capa!$A:$AE,AV$5,0)),0),IF(ISERROR(1/VLOOKUP($N164,Capa!$A:$AE,AV$5,0)),0,1/VLOOKUP($N164,Capa!$A:$AE,AV$5,0))))</f>
        <v/>
      </c>
      <c r="AW164" s="118" t="str">
        <f>IF(AW$6="","",IF(AW$3="Maior",IFERROR(IF(VLOOKUP($N164,Capa!$A:$AE,AW$5,0)="",0,VLOOKUP($N164,Capa!$A:$AE,AW$5,0)),0),IF(ISERROR(1/VLOOKUP($N164,Capa!$A:$AE,AW$5,0)),0,1/VLOOKUP($N164,Capa!$A:$AE,AW$5,0))))</f>
        <v/>
      </c>
      <c r="AX164" s="118" t="str">
        <f>IF(AX$6="","",IF(AX$3="Maior",IFERROR(IF(VLOOKUP($N164,Capa!$A:$AE,AX$5,0)="",0,VLOOKUP($N164,Capa!$A:$AE,AX$5,0)),0),IF(ISERROR(1/VLOOKUP($N164,Capa!$A:$AE,AX$5,0)),0,1/VLOOKUP($N164,Capa!$A:$AE,AX$5,0))))</f>
        <v/>
      </c>
      <c r="AY164" s="118" t="str">
        <f>IF(AY$6="","",IF(AY$3="Maior",IFERROR(IF(VLOOKUP($N164,Capa!$A:$AE,AY$5,0)="",0,VLOOKUP($N164,Capa!$A:$AE,AY$5,0)),0),IF(ISERROR(1/VLOOKUP($N164,Capa!$A:$AE,AY$5,0)),0,1/VLOOKUP($N164,Capa!$A:$AE,AY$5,0))))</f>
        <v/>
      </c>
      <c r="AZ164" s="118" t="str">
        <f>IF(AZ$6="","",IF(AZ$3="Maior",IFERROR(IF(VLOOKUP($N164,Capa!$A:$AE,AZ$5,0)="",0,VLOOKUP($N164,Capa!$A:$AE,AZ$5,0)),0),IF(ISERROR(1/VLOOKUP($N164,Capa!$A:$AE,AZ$5,0)),0,1/VLOOKUP($N164,Capa!$A:$AE,AZ$5,0))))</f>
        <v/>
      </c>
      <c r="BA164" s="118" t="str">
        <f>IF(BA$6="","",IF(BA$3="Maior",IFERROR(IF(VLOOKUP($N164,Capa!$A:$AE,BA$5,0)="",0,VLOOKUP($N164,Capa!$A:$AE,BA$5,0)),0),IF(ISERROR(1/VLOOKUP($N164,Capa!$A:$AE,BA$5,0)),0,1/VLOOKUP($N164,Capa!$A:$AE,BA$5,0))))</f>
        <v/>
      </c>
      <c r="BB164" s="118" t="str">
        <f>IF(BB$6="","",IF(BB$3="Maior",IFERROR(IF(VLOOKUP($N164,Capa!$A:$AE,BB$5,0)="",0,VLOOKUP($N164,Capa!$A:$AE,BB$5,0)),0),IF(ISERROR(1/VLOOKUP($N164,Capa!$A:$AE,BB$5,0)),0,1/VLOOKUP($N164,Capa!$A:$AE,BB$5,0))))</f>
        <v/>
      </c>
      <c r="BC164" s="118" t="str">
        <f>IF(BC$6="","",IF(BC$3="Maior",IFERROR(IF(VLOOKUP($N164,Capa!$A:$AE,BC$5,0)="",0,VLOOKUP($N164,Capa!$A:$AE,BC$5,0)),0),IF(ISERROR(1/VLOOKUP($N164,Capa!$A:$AE,BC$5,0)),0,1/VLOOKUP($N164,Capa!$A:$AE,BC$5,0))))</f>
        <v/>
      </c>
      <c r="BD164" s="118" t="str">
        <f>IF(BD$6="","",IF(BD$3="Maior",IFERROR(IF(VLOOKUP($N164,Capa!$A:$AE,BD$5,0)="",0,VLOOKUP($N164,Capa!$A:$AE,BD$5,0)),0),IF(ISERROR(1/VLOOKUP($N164,Capa!$A:$AE,BD$5,0)),0,1/VLOOKUP($N164,Capa!$A:$AE,BD$5,0))))</f>
        <v/>
      </c>
      <c r="BE164" s="118" t="str">
        <f>IF(BE$6="","",IF(BE$3="Maior",IFERROR(IF(VLOOKUP($N164,Capa!$A:$AE,BE$5,0)="",0,VLOOKUP($N164,Capa!$A:$AE,BE$5,0)),0),IF(ISERROR(1/VLOOKUP($N164,Capa!$A:$AE,BE$5,0)),0,1/VLOOKUP($N164,Capa!$A:$AE,BE$5,0))))</f>
        <v/>
      </c>
      <c r="BF164" s="118" t="str">
        <f>IF(BF$6="","",IF(BF$3="Maior",IFERROR(IF(VLOOKUP($N164,Capa!$A:$AE,BF$5,0)="",0,VLOOKUP($N164,Capa!$A:$AE,BF$5,0)),0),IF(ISERROR(1/VLOOKUP($N164,Capa!$A:$AE,BF$5,0)),0,1/VLOOKUP($N164,Capa!$A:$AE,BF$5,0))))</f>
        <v/>
      </c>
      <c r="BG164" s="118" t="str">
        <f>IF(BG$6="","",IF(BG$3="Maior",IFERROR(IF(VLOOKUP($N164,Capa!$A:$AE,BG$5,0)="",0,VLOOKUP($N164,Capa!$A:$AE,BG$5,0)),0),IF(ISERROR(1/VLOOKUP($N164,Capa!$A:$AE,BG$5,0)),0,1/VLOOKUP($N164,Capa!$A:$AE,BG$5,0))))</f>
        <v/>
      </c>
      <c r="BH164" s="118" t="str">
        <f>IF(BH$6="","",IF(BH$3="Maior",IFERROR(IF(VLOOKUP($N164,Capa!$A:$AE,BH$5,0)="",0,VLOOKUP($N164,Capa!$A:$AE,BH$5,0)),0),IF(ISERROR(1/VLOOKUP($N164,Capa!$A:$AE,BH$5,0)),0,1/VLOOKUP($N164,Capa!$A:$AE,BH$5,0))))</f>
        <v/>
      </c>
      <c r="BI164" s="118" t="str">
        <f>IF(BI$6="","",IF(BI$3="Maior",IFERROR(IF(VLOOKUP($N164,Capa!$A:$AE,BI$5,0)="",0,VLOOKUP($N164,Capa!$A:$AE,BI$5,0)),0),IF(ISERROR(1/VLOOKUP($N164,Capa!$A:$AE,BI$5,0)),0,1/VLOOKUP($N164,Capa!$A:$AE,BI$5,0))))</f>
        <v/>
      </c>
      <c r="BJ164" s="118" t="str">
        <f>IF(BJ$6="","",IF(BJ$3="Maior",IFERROR(IF(VLOOKUP($N164,Capa!$A:$AE,BJ$5,0)="",0,VLOOKUP($N164,Capa!$A:$AE,BJ$5,0)),0),IF(ISERROR(1/VLOOKUP($N164,Capa!$A:$AE,BJ$5,0)),0,1/VLOOKUP($N164,Capa!$A:$AE,BJ$5,0))))</f>
        <v/>
      </c>
      <c r="BK164" s="118" t="str">
        <f>IF(BK$6="","",IF(BK$3="Maior",IFERROR(IF(VLOOKUP($N164,Capa!$A:$AE,BK$5,0)="",0,VLOOKUP($N164,Capa!$A:$AE,BK$5,0)),0),IF(ISERROR(1/VLOOKUP($N164,Capa!$A:$AE,BK$5,0)),0,1/VLOOKUP($N164,Capa!$A:$AE,BK$5,0))))</f>
        <v/>
      </c>
      <c r="BL164" s="118" t="str">
        <f>IF(BL$6="","",IF(BL$3="Maior",IFERROR(IF(VLOOKUP($N164,Capa!$A:$AE,BL$5,0)="",0,VLOOKUP($N164,Capa!$A:$AE,BL$5,0)),0),IF(ISERROR(1/VLOOKUP($N164,Capa!$A:$AE,BL$5,0)),0,1/VLOOKUP($N164,Capa!$A:$AE,BL$5,0))))</f>
        <v/>
      </c>
      <c r="BM164" s="118" t="str">
        <f>IF(BM$6="","",IF(BM$3="Maior",IFERROR(IF(VLOOKUP($N164,Capa!$A:$AE,BM$5,0)="",0,VLOOKUP($N164,Capa!$A:$AE,BM$5,0)),0),IF(ISERROR(1/VLOOKUP($N164,Capa!$A:$AE,BM$5,0)),0,1/VLOOKUP($N164,Capa!$A:$AE,BM$5,0))))</f>
        <v/>
      </c>
      <c r="BN164" s="118" t="str">
        <f>IF(BN$6="","",IF(BN$3="Maior",IFERROR(IF(VLOOKUP($N164,Capa!$A:$AE,BN$5,0)="",0,VLOOKUP($N164,Capa!$A:$AE,BN$5,0)),0),IF(ISERROR(1/VLOOKUP($N164,Capa!$A:$AE,BN$5,0)),0,1/VLOOKUP($N164,Capa!$A:$AE,BN$5,0))))</f>
        <v/>
      </c>
      <c r="BO164" s="92"/>
    </row>
    <row r="165">
      <c r="G165" s="11"/>
      <c r="H165" s="8">
        <v>159.0</v>
      </c>
      <c r="I165" s="110" t="str">
        <f t="shared" si="6"/>
        <v>BOAS3</v>
      </c>
      <c r="J165" s="111" t="str">
        <f>VLOOKUP(left(I165,4),Setor!A:D,3,0)&amp;" | "&amp;VLOOKUP(left(I165,4),Setor!A:D,4,0)</f>
        <v>Financeiro | Serviços Financeiros Diversos</v>
      </c>
      <c r="K165" s="112">
        <f t="shared" si="7"/>
        <v>14462116.63</v>
      </c>
      <c r="L165" s="11"/>
      <c r="M165" s="11"/>
      <c r="N165" s="10" t="s">
        <v>211</v>
      </c>
      <c r="O165" s="113">
        <f t="shared" si="8"/>
        <v>960.0384</v>
      </c>
      <c r="P165" s="114">
        <f>VLOOKUP(N165,'Dados StatusInvest'!A:Z,26,0)</f>
        <v>30108031.83</v>
      </c>
      <c r="Q165" s="115">
        <f t="shared" si="9"/>
        <v>384.0384</v>
      </c>
      <c r="R165" s="116">
        <f t="shared" ref="R165:AO165" si="168">IF(AQ165="","", RANK(AQ165,AQ$7:AQ$503,0))</f>
        <v>357</v>
      </c>
      <c r="S165" s="115">
        <f t="shared" si="168"/>
        <v>219</v>
      </c>
      <c r="T165" s="115" t="str">
        <f t="shared" si="168"/>
        <v/>
      </c>
      <c r="U165" s="115" t="str">
        <f t="shared" si="168"/>
        <v/>
      </c>
      <c r="V165" s="115" t="str">
        <f t="shared" si="168"/>
        <v/>
      </c>
      <c r="W165" s="115" t="str">
        <f t="shared" si="168"/>
        <v/>
      </c>
      <c r="X165" s="115" t="str">
        <f t="shared" si="168"/>
        <v/>
      </c>
      <c r="Y165" s="115" t="str">
        <f t="shared" si="168"/>
        <v/>
      </c>
      <c r="Z165" s="115" t="str">
        <f t="shared" si="168"/>
        <v/>
      </c>
      <c r="AA165" s="115" t="str">
        <f t="shared" si="168"/>
        <v/>
      </c>
      <c r="AB165" s="115" t="str">
        <f t="shared" si="168"/>
        <v/>
      </c>
      <c r="AC165" s="115" t="str">
        <f t="shared" si="168"/>
        <v/>
      </c>
      <c r="AD165" s="115" t="str">
        <f t="shared" si="168"/>
        <v/>
      </c>
      <c r="AE165" s="115" t="str">
        <f t="shared" si="168"/>
        <v/>
      </c>
      <c r="AF165" s="115" t="str">
        <f t="shared" si="168"/>
        <v/>
      </c>
      <c r="AG165" s="115" t="str">
        <f t="shared" si="168"/>
        <v/>
      </c>
      <c r="AH165" s="115" t="str">
        <f t="shared" si="168"/>
        <v/>
      </c>
      <c r="AI165" s="115" t="str">
        <f t="shared" si="168"/>
        <v/>
      </c>
      <c r="AJ165" s="115" t="str">
        <f t="shared" si="168"/>
        <v/>
      </c>
      <c r="AK165" s="115" t="str">
        <f t="shared" si="168"/>
        <v/>
      </c>
      <c r="AL165" s="115" t="str">
        <f t="shared" si="168"/>
        <v/>
      </c>
      <c r="AM165" s="115" t="str">
        <f t="shared" si="168"/>
        <v/>
      </c>
      <c r="AN165" s="115" t="str">
        <f t="shared" si="168"/>
        <v/>
      </c>
      <c r="AO165" s="115" t="str">
        <f t="shared" si="168"/>
        <v/>
      </c>
      <c r="AP165" s="117">
        <f>IF(AP$6="","",IF(AP$3="Maior",IFERROR(IF(VLOOKUP($N165,Capa!$A:$AE,AP$5,0)="",0,VLOOKUP($N165,Capa!$A:$AE,AP$5,0)),0),IF(ISERROR(1/VLOOKUP($N165,Capa!$A:$AE,AP$5,0)),0,1/VLOOKUP($N165,Capa!$A:$AE,AP$5,0))))</f>
        <v>0.01267716178</v>
      </c>
      <c r="AQ165" s="118">
        <f>IF(AQ$6="","",IF(AQ$3="Maior",IFERROR(IF(VLOOKUP($N165,Capa!$A:$AE,AQ$5,0)="",0,VLOOKUP($N165,Capa!$A:$AE,AQ$5,0)),0),IF(ISERROR(1/VLOOKUP($N165,Capa!$A:$AE,AQ$5,0)),0,1/VLOOKUP($N165,Capa!$A:$AE,AQ$5,0))))</f>
        <v>1.54</v>
      </c>
      <c r="AR165" s="118">
        <f>IF(AR$6="","",IF(AR$3="Maior",IFERROR(IF(VLOOKUP($N165,Capa!$A:$AE,AR$5,0)="",0,VLOOKUP($N165,Capa!$A:$AE,AR$5,0)),0),IF(ISERROR(1/VLOOKUP($N165,Capa!$A:$AE,AR$5,0)),0,1/VLOOKUP($N165,Capa!$A:$AE,AR$5,0))))</f>
        <v>0</v>
      </c>
      <c r="AS165" s="118" t="str">
        <f>IF(AS$6="","",IF(AS$3="Maior",IFERROR(IF(VLOOKUP($N165,Capa!$A:$AE,AS$5,0)="",0,VLOOKUP($N165,Capa!$A:$AE,AS$5,0)),0),IF(ISERROR(1/VLOOKUP($N165,Capa!$A:$AE,AS$5,0)),0,1/VLOOKUP($N165,Capa!$A:$AE,AS$5,0))))</f>
        <v/>
      </c>
      <c r="AT165" s="118" t="str">
        <f>IF(AT$6="","",IF(AT$3="Maior",IFERROR(IF(VLOOKUP($N165,Capa!$A:$AE,AT$5,0)="",0,VLOOKUP($N165,Capa!$A:$AE,AT$5,0)),0),IF(ISERROR(1/VLOOKUP($N165,Capa!$A:$AE,AT$5,0)),0,1/VLOOKUP($N165,Capa!$A:$AE,AT$5,0))))</f>
        <v/>
      </c>
      <c r="AU165" s="118" t="str">
        <f>IF(AU$6="","",IF(AU$3="Maior",IFERROR(IF(VLOOKUP($N165,Capa!$A:$AE,AU$5,0)="",0,VLOOKUP($N165,Capa!$A:$AE,AU$5,0)),0),IF(ISERROR(1/VLOOKUP($N165,Capa!$A:$AE,AU$5,0)),0,1/VLOOKUP($N165,Capa!$A:$AE,AU$5,0))))</f>
        <v/>
      </c>
      <c r="AV165" s="118" t="str">
        <f>IF(AV$6="","",IF(AV$3="Maior",IFERROR(IF(VLOOKUP($N165,Capa!$A:$AE,AV$5,0)="",0,VLOOKUP($N165,Capa!$A:$AE,AV$5,0)),0),IF(ISERROR(1/VLOOKUP($N165,Capa!$A:$AE,AV$5,0)),0,1/VLOOKUP($N165,Capa!$A:$AE,AV$5,0))))</f>
        <v/>
      </c>
      <c r="AW165" s="118" t="str">
        <f>IF(AW$6="","",IF(AW$3="Maior",IFERROR(IF(VLOOKUP($N165,Capa!$A:$AE,AW$5,0)="",0,VLOOKUP($N165,Capa!$A:$AE,AW$5,0)),0),IF(ISERROR(1/VLOOKUP($N165,Capa!$A:$AE,AW$5,0)),0,1/VLOOKUP($N165,Capa!$A:$AE,AW$5,0))))</f>
        <v/>
      </c>
      <c r="AX165" s="118" t="str">
        <f>IF(AX$6="","",IF(AX$3="Maior",IFERROR(IF(VLOOKUP($N165,Capa!$A:$AE,AX$5,0)="",0,VLOOKUP($N165,Capa!$A:$AE,AX$5,0)),0),IF(ISERROR(1/VLOOKUP($N165,Capa!$A:$AE,AX$5,0)),0,1/VLOOKUP($N165,Capa!$A:$AE,AX$5,0))))</f>
        <v/>
      </c>
      <c r="AY165" s="118" t="str">
        <f>IF(AY$6="","",IF(AY$3="Maior",IFERROR(IF(VLOOKUP($N165,Capa!$A:$AE,AY$5,0)="",0,VLOOKUP($N165,Capa!$A:$AE,AY$5,0)),0),IF(ISERROR(1/VLOOKUP($N165,Capa!$A:$AE,AY$5,0)),0,1/VLOOKUP($N165,Capa!$A:$AE,AY$5,0))))</f>
        <v/>
      </c>
      <c r="AZ165" s="118" t="str">
        <f>IF(AZ$6="","",IF(AZ$3="Maior",IFERROR(IF(VLOOKUP($N165,Capa!$A:$AE,AZ$5,0)="",0,VLOOKUP($N165,Capa!$A:$AE,AZ$5,0)),0),IF(ISERROR(1/VLOOKUP($N165,Capa!$A:$AE,AZ$5,0)),0,1/VLOOKUP($N165,Capa!$A:$AE,AZ$5,0))))</f>
        <v/>
      </c>
      <c r="BA165" s="118" t="str">
        <f>IF(BA$6="","",IF(BA$3="Maior",IFERROR(IF(VLOOKUP($N165,Capa!$A:$AE,BA$5,0)="",0,VLOOKUP($N165,Capa!$A:$AE,BA$5,0)),0),IF(ISERROR(1/VLOOKUP($N165,Capa!$A:$AE,BA$5,0)),0,1/VLOOKUP($N165,Capa!$A:$AE,BA$5,0))))</f>
        <v/>
      </c>
      <c r="BB165" s="118" t="str">
        <f>IF(BB$6="","",IF(BB$3="Maior",IFERROR(IF(VLOOKUP($N165,Capa!$A:$AE,BB$5,0)="",0,VLOOKUP($N165,Capa!$A:$AE,BB$5,0)),0),IF(ISERROR(1/VLOOKUP($N165,Capa!$A:$AE,BB$5,0)),0,1/VLOOKUP($N165,Capa!$A:$AE,BB$5,0))))</f>
        <v/>
      </c>
      <c r="BC165" s="118" t="str">
        <f>IF(BC$6="","",IF(BC$3="Maior",IFERROR(IF(VLOOKUP($N165,Capa!$A:$AE,BC$5,0)="",0,VLOOKUP($N165,Capa!$A:$AE,BC$5,0)),0),IF(ISERROR(1/VLOOKUP($N165,Capa!$A:$AE,BC$5,0)),0,1/VLOOKUP($N165,Capa!$A:$AE,BC$5,0))))</f>
        <v/>
      </c>
      <c r="BD165" s="118" t="str">
        <f>IF(BD$6="","",IF(BD$3="Maior",IFERROR(IF(VLOOKUP($N165,Capa!$A:$AE,BD$5,0)="",0,VLOOKUP($N165,Capa!$A:$AE,BD$5,0)),0),IF(ISERROR(1/VLOOKUP($N165,Capa!$A:$AE,BD$5,0)),0,1/VLOOKUP($N165,Capa!$A:$AE,BD$5,0))))</f>
        <v/>
      </c>
      <c r="BE165" s="118" t="str">
        <f>IF(BE$6="","",IF(BE$3="Maior",IFERROR(IF(VLOOKUP($N165,Capa!$A:$AE,BE$5,0)="",0,VLOOKUP($N165,Capa!$A:$AE,BE$5,0)),0),IF(ISERROR(1/VLOOKUP($N165,Capa!$A:$AE,BE$5,0)),0,1/VLOOKUP($N165,Capa!$A:$AE,BE$5,0))))</f>
        <v/>
      </c>
      <c r="BF165" s="118" t="str">
        <f>IF(BF$6="","",IF(BF$3="Maior",IFERROR(IF(VLOOKUP($N165,Capa!$A:$AE,BF$5,0)="",0,VLOOKUP($N165,Capa!$A:$AE,BF$5,0)),0),IF(ISERROR(1/VLOOKUP($N165,Capa!$A:$AE,BF$5,0)),0,1/VLOOKUP($N165,Capa!$A:$AE,BF$5,0))))</f>
        <v/>
      </c>
      <c r="BG165" s="118" t="str">
        <f>IF(BG$6="","",IF(BG$3="Maior",IFERROR(IF(VLOOKUP($N165,Capa!$A:$AE,BG$5,0)="",0,VLOOKUP($N165,Capa!$A:$AE,BG$5,0)),0),IF(ISERROR(1/VLOOKUP($N165,Capa!$A:$AE,BG$5,0)),0,1/VLOOKUP($N165,Capa!$A:$AE,BG$5,0))))</f>
        <v/>
      </c>
      <c r="BH165" s="118" t="str">
        <f>IF(BH$6="","",IF(BH$3="Maior",IFERROR(IF(VLOOKUP($N165,Capa!$A:$AE,BH$5,0)="",0,VLOOKUP($N165,Capa!$A:$AE,BH$5,0)),0),IF(ISERROR(1/VLOOKUP($N165,Capa!$A:$AE,BH$5,0)),0,1/VLOOKUP($N165,Capa!$A:$AE,BH$5,0))))</f>
        <v/>
      </c>
      <c r="BI165" s="118" t="str">
        <f>IF(BI$6="","",IF(BI$3="Maior",IFERROR(IF(VLOOKUP($N165,Capa!$A:$AE,BI$5,0)="",0,VLOOKUP($N165,Capa!$A:$AE,BI$5,0)),0),IF(ISERROR(1/VLOOKUP($N165,Capa!$A:$AE,BI$5,0)),0,1/VLOOKUP($N165,Capa!$A:$AE,BI$5,0))))</f>
        <v/>
      </c>
      <c r="BJ165" s="118" t="str">
        <f>IF(BJ$6="","",IF(BJ$3="Maior",IFERROR(IF(VLOOKUP($N165,Capa!$A:$AE,BJ$5,0)="",0,VLOOKUP($N165,Capa!$A:$AE,BJ$5,0)),0),IF(ISERROR(1/VLOOKUP($N165,Capa!$A:$AE,BJ$5,0)),0,1/VLOOKUP($N165,Capa!$A:$AE,BJ$5,0))))</f>
        <v/>
      </c>
      <c r="BK165" s="118" t="str">
        <f>IF(BK$6="","",IF(BK$3="Maior",IFERROR(IF(VLOOKUP($N165,Capa!$A:$AE,BK$5,0)="",0,VLOOKUP($N165,Capa!$A:$AE,BK$5,0)),0),IF(ISERROR(1/VLOOKUP($N165,Capa!$A:$AE,BK$5,0)),0,1/VLOOKUP($N165,Capa!$A:$AE,BK$5,0))))</f>
        <v/>
      </c>
      <c r="BL165" s="118" t="str">
        <f>IF(BL$6="","",IF(BL$3="Maior",IFERROR(IF(VLOOKUP($N165,Capa!$A:$AE,BL$5,0)="",0,VLOOKUP($N165,Capa!$A:$AE,BL$5,0)),0),IF(ISERROR(1/VLOOKUP($N165,Capa!$A:$AE,BL$5,0)),0,1/VLOOKUP($N165,Capa!$A:$AE,BL$5,0))))</f>
        <v/>
      </c>
      <c r="BM165" s="118" t="str">
        <f>IF(BM$6="","",IF(BM$3="Maior",IFERROR(IF(VLOOKUP($N165,Capa!$A:$AE,BM$5,0)="",0,VLOOKUP($N165,Capa!$A:$AE,BM$5,0)),0),IF(ISERROR(1/VLOOKUP($N165,Capa!$A:$AE,BM$5,0)),0,1/VLOOKUP($N165,Capa!$A:$AE,BM$5,0))))</f>
        <v/>
      </c>
      <c r="BN165" s="118" t="str">
        <f>IF(BN$6="","",IF(BN$3="Maior",IFERROR(IF(VLOOKUP($N165,Capa!$A:$AE,BN$5,0)="",0,VLOOKUP($N165,Capa!$A:$AE,BN$5,0)),0),IF(ISERROR(1/VLOOKUP($N165,Capa!$A:$AE,BN$5,0)),0,1/VLOOKUP($N165,Capa!$A:$AE,BN$5,0))))</f>
        <v/>
      </c>
      <c r="BO165" s="92"/>
    </row>
    <row r="166">
      <c r="G166" s="11"/>
      <c r="H166" s="8">
        <v>160.0</v>
      </c>
      <c r="I166" s="110" t="str">
        <f t="shared" si="6"/>
        <v>EMBR3</v>
      </c>
      <c r="J166" s="111" t="str">
        <f>VLOOKUP(left(I166,4),Setor!A:D,3,0)&amp;" | "&amp;VLOOKUP(left(I166,4),Setor!A:D,4,0)</f>
        <v>Bens Industriais | Material de Transporte</v>
      </c>
      <c r="K166" s="112">
        <f t="shared" si="7"/>
        <v>251585816</v>
      </c>
      <c r="L166" s="11"/>
      <c r="M166" s="11"/>
      <c r="N166" s="10" t="s">
        <v>212</v>
      </c>
      <c r="O166" s="113">
        <f t="shared" si="8"/>
        <v>887.0354</v>
      </c>
      <c r="P166" s="114">
        <f>VLOOKUP(N166,'Dados StatusInvest'!A:Z,26,0)</f>
        <v>23130116.46</v>
      </c>
      <c r="Q166" s="115">
        <f t="shared" si="9"/>
        <v>354.0354</v>
      </c>
      <c r="R166" s="116">
        <f t="shared" ref="R166:AO166" si="169">IF(AQ166="","", RANK(AQ166,AQ$7:AQ$503,0))</f>
        <v>314</v>
      </c>
      <c r="S166" s="115">
        <f t="shared" si="169"/>
        <v>219</v>
      </c>
      <c r="T166" s="115" t="str">
        <f t="shared" si="169"/>
        <v/>
      </c>
      <c r="U166" s="115" t="str">
        <f t="shared" si="169"/>
        <v/>
      </c>
      <c r="V166" s="115" t="str">
        <f t="shared" si="169"/>
        <v/>
      </c>
      <c r="W166" s="115" t="str">
        <f t="shared" si="169"/>
        <v/>
      </c>
      <c r="X166" s="115" t="str">
        <f t="shared" si="169"/>
        <v/>
      </c>
      <c r="Y166" s="115" t="str">
        <f t="shared" si="169"/>
        <v/>
      </c>
      <c r="Z166" s="115" t="str">
        <f t="shared" si="169"/>
        <v/>
      </c>
      <c r="AA166" s="115" t="str">
        <f t="shared" si="169"/>
        <v/>
      </c>
      <c r="AB166" s="115" t="str">
        <f t="shared" si="169"/>
        <v/>
      </c>
      <c r="AC166" s="115" t="str">
        <f t="shared" si="169"/>
        <v/>
      </c>
      <c r="AD166" s="115" t="str">
        <f t="shared" si="169"/>
        <v/>
      </c>
      <c r="AE166" s="115" t="str">
        <f t="shared" si="169"/>
        <v/>
      </c>
      <c r="AF166" s="115" t="str">
        <f t="shared" si="169"/>
        <v/>
      </c>
      <c r="AG166" s="115" t="str">
        <f t="shared" si="169"/>
        <v/>
      </c>
      <c r="AH166" s="115" t="str">
        <f t="shared" si="169"/>
        <v/>
      </c>
      <c r="AI166" s="115" t="str">
        <f t="shared" si="169"/>
        <v/>
      </c>
      <c r="AJ166" s="115" t="str">
        <f t="shared" si="169"/>
        <v/>
      </c>
      <c r="AK166" s="115" t="str">
        <f t="shared" si="169"/>
        <v/>
      </c>
      <c r="AL166" s="115" t="str">
        <f t="shared" si="169"/>
        <v/>
      </c>
      <c r="AM166" s="115" t="str">
        <f t="shared" si="169"/>
        <v/>
      </c>
      <c r="AN166" s="115" t="str">
        <f t="shared" si="169"/>
        <v/>
      </c>
      <c r="AO166" s="115" t="str">
        <f t="shared" si="169"/>
        <v/>
      </c>
      <c r="AP166" s="117">
        <f>IF(AP$6="","",IF(AP$3="Maior",IFERROR(IF(VLOOKUP($N166,Capa!$A:$AE,AP$5,0)="",0,VLOOKUP($N166,Capa!$A:$AE,AP$5,0)),0),IF(ISERROR(1/VLOOKUP($N166,Capa!$A:$AE,AP$5,0)),0,1/VLOOKUP($N166,Capa!$A:$AE,AP$5,0))))</f>
        <v>0.02950901574</v>
      </c>
      <c r="AQ166" s="118">
        <f>IF(AQ$6="","",IF(AQ$3="Maior",IFERROR(IF(VLOOKUP($N166,Capa!$A:$AE,AQ$5,0)="",0,VLOOKUP($N166,Capa!$A:$AE,AQ$5,0)),0),IF(ISERROR(1/VLOOKUP($N166,Capa!$A:$AE,AQ$5,0)),0,1/VLOOKUP($N166,Capa!$A:$AE,AQ$5,0))))</f>
        <v>3.7</v>
      </c>
      <c r="AR166" s="118">
        <f>IF(AR$6="","",IF(AR$3="Maior",IFERROR(IF(VLOOKUP($N166,Capa!$A:$AE,AR$5,0)="",0,VLOOKUP($N166,Capa!$A:$AE,AR$5,0)),0),IF(ISERROR(1/VLOOKUP($N166,Capa!$A:$AE,AR$5,0)),0,1/VLOOKUP($N166,Capa!$A:$AE,AR$5,0))))</f>
        <v>0</v>
      </c>
      <c r="AS166" s="118" t="str">
        <f>IF(AS$6="","",IF(AS$3="Maior",IFERROR(IF(VLOOKUP($N166,Capa!$A:$AE,AS$5,0)="",0,VLOOKUP($N166,Capa!$A:$AE,AS$5,0)),0),IF(ISERROR(1/VLOOKUP($N166,Capa!$A:$AE,AS$5,0)),0,1/VLOOKUP($N166,Capa!$A:$AE,AS$5,0))))</f>
        <v/>
      </c>
      <c r="AT166" s="118" t="str">
        <f>IF(AT$6="","",IF(AT$3="Maior",IFERROR(IF(VLOOKUP($N166,Capa!$A:$AE,AT$5,0)="",0,VLOOKUP($N166,Capa!$A:$AE,AT$5,0)),0),IF(ISERROR(1/VLOOKUP($N166,Capa!$A:$AE,AT$5,0)),0,1/VLOOKUP($N166,Capa!$A:$AE,AT$5,0))))</f>
        <v/>
      </c>
      <c r="AU166" s="118" t="str">
        <f>IF(AU$6="","",IF(AU$3="Maior",IFERROR(IF(VLOOKUP($N166,Capa!$A:$AE,AU$5,0)="",0,VLOOKUP($N166,Capa!$A:$AE,AU$5,0)),0),IF(ISERROR(1/VLOOKUP($N166,Capa!$A:$AE,AU$5,0)),0,1/VLOOKUP($N166,Capa!$A:$AE,AU$5,0))))</f>
        <v/>
      </c>
      <c r="AV166" s="118" t="str">
        <f>IF(AV$6="","",IF(AV$3="Maior",IFERROR(IF(VLOOKUP($N166,Capa!$A:$AE,AV$5,0)="",0,VLOOKUP($N166,Capa!$A:$AE,AV$5,0)),0),IF(ISERROR(1/VLOOKUP($N166,Capa!$A:$AE,AV$5,0)),0,1/VLOOKUP($N166,Capa!$A:$AE,AV$5,0))))</f>
        <v/>
      </c>
      <c r="AW166" s="118" t="str">
        <f>IF(AW$6="","",IF(AW$3="Maior",IFERROR(IF(VLOOKUP($N166,Capa!$A:$AE,AW$5,0)="",0,VLOOKUP($N166,Capa!$A:$AE,AW$5,0)),0),IF(ISERROR(1/VLOOKUP($N166,Capa!$A:$AE,AW$5,0)),0,1/VLOOKUP($N166,Capa!$A:$AE,AW$5,0))))</f>
        <v/>
      </c>
      <c r="AX166" s="118" t="str">
        <f>IF(AX$6="","",IF(AX$3="Maior",IFERROR(IF(VLOOKUP($N166,Capa!$A:$AE,AX$5,0)="",0,VLOOKUP($N166,Capa!$A:$AE,AX$5,0)),0),IF(ISERROR(1/VLOOKUP($N166,Capa!$A:$AE,AX$5,0)),0,1/VLOOKUP($N166,Capa!$A:$AE,AX$5,0))))</f>
        <v/>
      </c>
      <c r="AY166" s="118" t="str">
        <f>IF(AY$6="","",IF(AY$3="Maior",IFERROR(IF(VLOOKUP($N166,Capa!$A:$AE,AY$5,0)="",0,VLOOKUP($N166,Capa!$A:$AE,AY$5,0)),0),IF(ISERROR(1/VLOOKUP($N166,Capa!$A:$AE,AY$5,0)),0,1/VLOOKUP($N166,Capa!$A:$AE,AY$5,0))))</f>
        <v/>
      </c>
      <c r="AZ166" s="118" t="str">
        <f>IF(AZ$6="","",IF(AZ$3="Maior",IFERROR(IF(VLOOKUP($N166,Capa!$A:$AE,AZ$5,0)="",0,VLOOKUP($N166,Capa!$A:$AE,AZ$5,0)),0),IF(ISERROR(1/VLOOKUP($N166,Capa!$A:$AE,AZ$5,0)),0,1/VLOOKUP($N166,Capa!$A:$AE,AZ$5,0))))</f>
        <v/>
      </c>
      <c r="BA166" s="118" t="str">
        <f>IF(BA$6="","",IF(BA$3="Maior",IFERROR(IF(VLOOKUP($N166,Capa!$A:$AE,BA$5,0)="",0,VLOOKUP($N166,Capa!$A:$AE,BA$5,0)),0),IF(ISERROR(1/VLOOKUP($N166,Capa!$A:$AE,BA$5,0)),0,1/VLOOKUP($N166,Capa!$A:$AE,BA$5,0))))</f>
        <v/>
      </c>
      <c r="BB166" s="118" t="str">
        <f>IF(BB$6="","",IF(BB$3="Maior",IFERROR(IF(VLOOKUP($N166,Capa!$A:$AE,BB$5,0)="",0,VLOOKUP($N166,Capa!$A:$AE,BB$5,0)),0),IF(ISERROR(1/VLOOKUP($N166,Capa!$A:$AE,BB$5,0)),0,1/VLOOKUP($N166,Capa!$A:$AE,BB$5,0))))</f>
        <v/>
      </c>
      <c r="BC166" s="118" t="str">
        <f>IF(BC$6="","",IF(BC$3="Maior",IFERROR(IF(VLOOKUP($N166,Capa!$A:$AE,BC$5,0)="",0,VLOOKUP($N166,Capa!$A:$AE,BC$5,0)),0),IF(ISERROR(1/VLOOKUP($N166,Capa!$A:$AE,BC$5,0)),0,1/VLOOKUP($N166,Capa!$A:$AE,BC$5,0))))</f>
        <v/>
      </c>
      <c r="BD166" s="118" t="str">
        <f>IF(BD$6="","",IF(BD$3="Maior",IFERROR(IF(VLOOKUP($N166,Capa!$A:$AE,BD$5,0)="",0,VLOOKUP($N166,Capa!$A:$AE,BD$5,0)),0),IF(ISERROR(1/VLOOKUP($N166,Capa!$A:$AE,BD$5,0)),0,1/VLOOKUP($N166,Capa!$A:$AE,BD$5,0))))</f>
        <v/>
      </c>
      <c r="BE166" s="118" t="str">
        <f>IF(BE$6="","",IF(BE$3="Maior",IFERROR(IF(VLOOKUP($N166,Capa!$A:$AE,BE$5,0)="",0,VLOOKUP($N166,Capa!$A:$AE,BE$5,0)),0),IF(ISERROR(1/VLOOKUP($N166,Capa!$A:$AE,BE$5,0)),0,1/VLOOKUP($N166,Capa!$A:$AE,BE$5,0))))</f>
        <v/>
      </c>
      <c r="BF166" s="118" t="str">
        <f>IF(BF$6="","",IF(BF$3="Maior",IFERROR(IF(VLOOKUP($N166,Capa!$A:$AE,BF$5,0)="",0,VLOOKUP($N166,Capa!$A:$AE,BF$5,0)),0),IF(ISERROR(1/VLOOKUP($N166,Capa!$A:$AE,BF$5,0)),0,1/VLOOKUP($N166,Capa!$A:$AE,BF$5,0))))</f>
        <v/>
      </c>
      <c r="BG166" s="118" t="str">
        <f>IF(BG$6="","",IF(BG$3="Maior",IFERROR(IF(VLOOKUP($N166,Capa!$A:$AE,BG$5,0)="",0,VLOOKUP($N166,Capa!$A:$AE,BG$5,0)),0),IF(ISERROR(1/VLOOKUP($N166,Capa!$A:$AE,BG$5,0)),0,1/VLOOKUP($N166,Capa!$A:$AE,BG$5,0))))</f>
        <v/>
      </c>
      <c r="BH166" s="118" t="str">
        <f>IF(BH$6="","",IF(BH$3="Maior",IFERROR(IF(VLOOKUP($N166,Capa!$A:$AE,BH$5,0)="",0,VLOOKUP($N166,Capa!$A:$AE,BH$5,0)),0),IF(ISERROR(1/VLOOKUP($N166,Capa!$A:$AE,BH$5,0)),0,1/VLOOKUP($N166,Capa!$A:$AE,BH$5,0))))</f>
        <v/>
      </c>
      <c r="BI166" s="118" t="str">
        <f>IF(BI$6="","",IF(BI$3="Maior",IFERROR(IF(VLOOKUP($N166,Capa!$A:$AE,BI$5,0)="",0,VLOOKUP($N166,Capa!$A:$AE,BI$5,0)),0),IF(ISERROR(1/VLOOKUP($N166,Capa!$A:$AE,BI$5,0)),0,1/VLOOKUP($N166,Capa!$A:$AE,BI$5,0))))</f>
        <v/>
      </c>
      <c r="BJ166" s="118" t="str">
        <f>IF(BJ$6="","",IF(BJ$3="Maior",IFERROR(IF(VLOOKUP($N166,Capa!$A:$AE,BJ$5,0)="",0,VLOOKUP($N166,Capa!$A:$AE,BJ$5,0)),0),IF(ISERROR(1/VLOOKUP($N166,Capa!$A:$AE,BJ$5,0)),0,1/VLOOKUP($N166,Capa!$A:$AE,BJ$5,0))))</f>
        <v/>
      </c>
      <c r="BK166" s="118" t="str">
        <f>IF(BK$6="","",IF(BK$3="Maior",IFERROR(IF(VLOOKUP($N166,Capa!$A:$AE,BK$5,0)="",0,VLOOKUP($N166,Capa!$A:$AE,BK$5,0)),0),IF(ISERROR(1/VLOOKUP($N166,Capa!$A:$AE,BK$5,0)),0,1/VLOOKUP($N166,Capa!$A:$AE,BK$5,0))))</f>
        <v/>
      </c>
      <c r="BL166" s="118" t="str">
        <f>IF(BL$6="","",IF(BL$3="Maior",IFERROR(IF(VLOOKUP($N166,Capa!$A:$AE,BL$5,0)="",0,VLOOKUP($N166,Capa!$A:$AE,BL$5,0)),0),IF(ISERROR(1/VLOOKUP($N166,Capa!$A:$AE,BL$5,0)),0,1/VLOOKUP($N166,Capa!$A:$AE,BL$5,0))))</f>
        <v/>
      </c>
      <c r="BM166" s="118" t="str">
        <f>IF(BM$6="","",IF(BM$3="Maior",IFERROR(IF(VLOOKUP($N166,Capa!$A:$AE,BM$5,0)="",0,VLOOKUP($N166,Capa!$A:$AE,BM$5,0)),0),IF(ISERROR(1/VLOOKUP($N166,Capa!$A:$AE,BM$5,0)),0,1/VLOOKUP($N166,Capa!$A:$AE,BM$5,0))))</f>
        <v/>
      </c>
      <c r="BN166" s="118" t="str">
        <f>IF(BN$6="","",IF(BN$3="Maior",IFERROR(IF(VLOOKUP($N166,Capa!$A:$AE,BN$5,0)="",0,VLOOKUP($N166,Capa!$A:$AE,BN$5,0)),0),IF(ISERROR(1/VLOOKUP($N166,Capa!$A:$AE,BN$5,0)),0,1/VLOOKUP($N166,Capa!$A:$AE,BN$5,0))))</f>
        <v/>
      </c>
      <c r="BO166" s="92"/>
    </row>
    <row r="167">
      <c r="G167" s="11"/>
      <c r="H167" s="8">
        <v>161.0</v>
      </c>
      <c r="I167" s="110" t="str">
        <f t="shared" si="6"/>
        <v>SEQL3</v>
      </c>
      <c r="J167" s="111" t="str">
        <f>VLOOKUP(left(I167,4),Setor!A:D,3,0)&amp;" | "&amp;VLOOKUP(left(I167,4),Setor!A:D,4,0)</f>
        <v>#N/A</v>
      </c>
      <c r="K167" s="112">
        <f t="shared" si="7"/>
        <v>31856502.88</v>
      </c>
      <c r="L167" s="11"/>
      <c r="M167" s="11"/>
      <c r="N167" s="10" t="s">
        <v>213</v>
      </c>
      <c r="O167" s="113">
        <f t="shared" si="8"/>
        <v>722.0396</v>
      </c>
      <c r="P167" s="114">
        <f>VLOOKUP(N167,'Dados StatusInvest'!A:Z,26,0)</f>
        <v>16451825.5</v>
      </c>
      <c r="Q167" s="115">
        <f t="shared" si="9"/>
        <v>396.0396</v>
      </c>
      <c r="R167" s="116">
        <f t="shared" ref="R167:AO167" si="170">IF(AQ167="","", RANK(AQ167,AQ$7:AQ$503,0))</f>
        <v>107</v>
      </c>
      <c r="S167" s="115">
        <f t="shared" si="170"/>
        <v>219</v>
      </c>
      <c r="T167" s="115" t="str">
        <f t="shared" si="170"/>
        <v/>
      </c>
      <c r="U167" s="115" t="str">
        <f t="shared" si="170"/>
        <v/>
      </c>
      <c r="V167" s="115" t="str">
        <f t="shared" si="170"/>
        <v/>
      </c>
      <c r="W167" s="115" t="str">
        <f t="shared" si="170"/>
        <v/>
      </c>
      <c r="X167" s="115" t="str">
        <f t="shared" si="170"/>
        <v/>
      </c>
      <c r="Y167" s="115" t="str">
        <f t="shared" si="170"/>
        <v/>
      </c>
      <c r="Z167" s="115" t="str">
        <f t="shared" si="170"/>
        <v/>
      </c>
      <c r="AA167" s="115" t="str">
        <f t="shared" si="170"/>
        <v/>
      </c>
      <c r="AB167" s="115" t="str">
        <f t="shared" si="170"/>
        <v/>
      </c>
      <c r="AC167" s="115" t="str">
        <f t="shared" si="170"/>
        <v/>
      </c>
      <c r="AD167" s="115" t="str">
        <f t="shared" si="170"/>
        <v/>
      </c>
      <c r="AE167" s="115" t="str">
        <f t="shared" si="170"/>
        <v/>
      </c>
      <c r="AF167" s="115" t="str">
        <f t="shared" si="170"/>
        <v/>
      </c>
      <c r="AG167" s="115" t="str">
        <f t="shared" si="170"/>
        <v/>
      </c>
      <c r="AH167" s="115" t="str">
        <f t="shared" si="170"/>
        <v/>
      </c>
      <c r="AI167" s="115" t="str">
        <f t="shared" si="170"/>
        <v/>
      </c>
      <c r="AJ167" s="115" t="str">
        <f t="shared" si="170"/>
        <v/>
      </c>
      <c r="AK167" s="115" t="str">
        <f t="shared" si="170"/>
        <v/>
      </c>
      <c r="AL167" s="115" t="str">
        <f t="shared" si="170"/>
        <v/>
      </c>
      <c r="AM167" s="115" t="str">
        <f t="shared" si="170"/>
        <v/>
      </c>
      <c r="AN167" s="115" t="str">
        <f t="shared" si="170"/>
        <v/>
      </c>
      <c r="AO167" s="115" t="str">
        <f t="shared" si="170"/>
        <v/>
      </c>
      <c r="AP167" s="117">
        <f>IF(AP$6="","",IF(AP$3="Maior",IFERROR(IF(VLOOKUP($N167,Capa!$A:$AE,AP$5,0)="",0,VLOOKUP($N167,Capa!$A:$AE,AP$5,0)),0),IF(ISERROR(1/VLOOKUP($N167,Capa!$A:$AE,AP$5,0)),0,1/VLOOKUP($N167,Capa!$A:$AE,AP$5,0))))</f>
        <v>0.008996509151</v>
      </c>
      <c r="AQ167" s="118">
        <f>IF(AQ$6="","",IF(AQ$3="Maior",IFERROR(IF(VLOOKUP($N167,Capa!$A:$AE,AQ$5,0)="",0,VLOOKUP($N167,Capa!$A:$AE,AQ$5,0)),0),IF(ISERROR(1/VLOOKUP($N167,Capa!$A:$AE,AQ$5,0)),0,1/VLOOKUP($N167,Capa!$A:$AE,AQ$5,0))))</f>
        <v>17</v>
      </c>
      <c r="AR167" s="118">
        <f>IF(AR$6="","",IF(AR$3="Maior",IFERROR(IF(VLOOKUP($N167,Capa!$A:$AE,AR$5,0)="",0,VLOOKUP($N167,Capa!$A:$AE,AR$5,0)),0),IF(ISERROR(1/VLOOKUP($N167,Capa!$A:$AE,AR$5,0)),0,1/VLOOKUP($N167,Capa!$A:$AE,AR$5,0))))</f>
        <v>0</v>
      </c>
      <c r="AS167" s="118" t="str">
        <f>IF(AS$6="","",IF(AS$3="Maior",IFERROR(IF(VLOOKUP($N167,Capa!$A:$AE,AS$5,0)="",0,VLOOKUP($N167,Capa!$A:$AE,AS$5,0)),0),IF(ISERROR(1/VLOOKUP($N167,Capa!$A:$AE,AS$5,0)),0,1/VLOOKUP($N167,Capa!$A:$AE,AS$5,0))))</f>
        <v/>
      </c>
      <c r="AT167" s="118" t="str">
        <f>IF(AT$6="","",IF(AT$3="Maior",IFERROR(IF(VLOOKUP($N167,Capa!$A:$AE,AT$5,0)="",0,VLOOKUP($N167,Capa!$A:$AE,AT$5,0)),0),IF(ISERROR(1/VLOOKUP($N167,Capa!$A:$AE,AT$5,0)),0,1/VLOOKUP($N167,Capa!$A:$AE,AT$5,0))))</f>
        <v/>
      </c>
      <c r="AU167" s="118" t="str">
        <f>IF(AU$6="","",IF(AU$3="Maior",IFERROR(IF(VLOOKUP($N167,Capa!$A:$AE,AU$5,0)="",0,VLOOKUP($N167,Capa!$A:$AE,AU$5,0)),0),IF(ISERROR(1/VLOOKUP($N167,Capa!$A:$AE,AU$5,0)),0,1/VLOOKUP($N167,Capa!$A:$AE,AU$5,0))))</f>
        <v/>
      </c>
      <c r="AV167" s="118" t="str">
        <f>IF(AV$6="","",IF(AV$3="Maior",IFERROR(IF(VLOOKUP($N167,Capa!$A:$AE,AV$5,0)="",0,VLOOKUP($N167,Capa!$A:$AE,AV$5,0)),0),IF(ISERROR(1/VLOOKUP($N167,Capa!$A:$AE,AV$5,0)),0,1/VLOOKUP($N167,Capa!$A:$AE,AV$5,0))))</f>
        <v/>
      </c>
      <c r="AW167" s="118" t="str">
        <f>IF(AW$6="","",IF(AW$3="Maior",IFERROR(IF(VLOOKUP($N167,Capa!$A:$AE,AW$5,0)="",0,VLOOKUP($N167,Capa!$A:$AE,AW$5,0)),0),IF(ISERROR(1/VLOOKUP($N167,Capa!$A:$AE,AW$5,0)),0,1/VLOOKUP($N167,Capa!$A:$AE,AW$5,0))))</f>
        <v/>
      </c>
      <c r="AX167" s="118" t="str">
        <f>IF(AX$6="","",IF(AX$3="Maior",IFERROR(IF(VLOOKUP($N167,Capa!$A:$AE,AX$5,0)="",0,VLOOKUP($N167,Capa!$A:$AE,AX$5,0)),0),IF(ISERROR(1/VLOOKUP($N167,Capa!$A:$AE,AX$5,0)),0,1/VLOOKUP($N167,Capa!$A:$AE,AX$5,0))))</f>
        <v/>
      </c>
      <c r="AY167" s="118" t="str">
        <f>IF(AY$6="","",IF(AY$3="Maior",IFERROR(IF(VLOOKUP($N167,Capa!$A:$AE,AY$5,0)="",0,VLOOKUP($N167,Capa!$A:$AE,AY$5,0)),0),IF(ISERROR(1/VLOOKUP($N167,Capa!$A:$AE,AY$5,0)),0,1/VLOOKUP($N167,Capa!$A:$AE,AY$5,0))))</f>
        <v/>
      </c>
      <c r="AZ167" s="118" t="str">
        <f>IF(AZ$6="","",IF(AZ$3="Maior",IFERROR(IF(VLOOKUP($N167,Capa!$A:$AE,AZ$5,0)="",0,VLOOKUP($N167,Capa!$A:$AE,AZ$5,0)),0),IF(ISERROR(1/VLOOKUP($N167,Capa!$A:$AE,AZ$5,0)),0,1/VLOOKUP($N167,Capa!$A:$AE,AZ$5,0))))</f>
        <v/>
      </c>
      <c r="BA167" s="118" t="str">
        <f>IF(BA$6="","",IF(BA$3="Maior",IFERROR(IF(VLOOKUP($N167,Capa!$A:$AE,BA$5,0)="",0,VLOOKUP($N167,Capa!$A:$AE,BA$5,0)),0),IF(ISERROR(1/VLOOKUP($N167,Capa!$A:$AE,BA$5,0)),0,1/VLOOKUP($N167,Capa!$A:$AE,BA$5,0))))</f>
        <v/>
      </c>
      <c r="BB167" s="118" t="str">
        <f>IF(BB$6="","",IF(BB$3="Maior",IFERROR(IF(VLOOKUP($N167,Capa!$A:$AE,BB$5,0)="",0,VLOOKUP($N167,Capa!$A:$AE,BB$5,0)),0),IF(ISERROR(1/VLOOKUP($N167,Capa!$A:$AE,BB$5,0)),0,1/VLOOKUP($N167,Capa!$A:$AE,BB$5,0))))</f>
        <v/>
      </c>
      <c r="BC167" s="118" t="str">
        <f>IF(BC$6="","",IF(BC$3="Maior",IFERROR(IF(VLOOKUP($N167,Capa!$A:$AE,BC$5,0)="",0,VLOOKUP($N167,Capa!$A:$AE,BC$5,0)),0),IF(ISERROR(1/VLOOKUP($N167,Capa!$A:$AE,BC$5,0)),0,1/VLOOKUP($N167,Capa!$A:$AE,BC$5,0))))</f>
        <v/>
      </c>
      <c r="BD167" s="118" t="str">
        <f>IF(BD$6="","",IF(BD$3="Maior",IFERROR(IF(VLOOKUP($N167,Capa!$A:$AE,BD$5,0)="",0,VLOOKUP($N167,Capa!$A:$AE,BD$5,0)),0),IF(ISERROR(1/VLOOKUP($N167,Capa!$A:$AE,BD$5,0)),0,1/VLOOKUP($N167,Capa!$A:$AE,BD$5,0))))</f>
        <v/>
      </c>
      <c r="BE167" s="118" t="str">
        <f>IF(BE$6="","",IF(BE$3="Maior",IFERROR(IF(VLOOKUP($N167,Capa!$A:$AE,BE$5,0)="",0,VLOOKUP($N167,Capa!$A:$AE,BE$5,0)),0),IF(ISERROR(1/VLOOKUP($N167,Capa!$A:$AE,BE$5,0)),0,1/VLOOKUP($N167,Capa!$A:$AE,BE$5,0))))</f>
        <v/>
      </c>
      <c r="BF167" s="118" t="str">
        <f>IF(BF$6="","",IF(BF$3="Maior",IFERROR(IF(VLOOKUP($N167,Capa!$A:$AE,BF$5,0)="",0,VLOOKUP($N167,Capa!$A:$AE,BF$5,0)),0),IF(ISERROR(1/VLOOKUP($N167,Capa!$A:$AE,BF$5,0)),0,1/VLOOKUP($N167,Capa!$A:$AE,BF$5,0))))</f>
        <v/>
      </c>
      <c r="BG167" s="118" t="str">
        <f>IF(BG$6="","",IF(BG$3="Maior",IFERROR(IF(VLOOKUP($N167,Capa!$A:$AE,BG$5,0)="",0,VLOOKUP($N167,Capa!$A:$AE,BG$5,0)),0),IF(ISERROR(1/VLOOKUP($N167,Capa!$A:$AE,BG$5,0)),0,1/VLOOKUP($N167,Capa!$A:$AE,BG$5,0))))</f>
        <v/>
      </c>
      <c r="BH167" s="118" t="str">
        <f>IF(BH$6="","",IF(BH$3="Maior",IFERROR(IF(VLOOKUP($N167,Capa!$A:$AE,BH$5,0)="",0,VLOOKUP($N167,Capa!$A:$AE,BH$5,0)),0),IF(ISERROR(1/VLOOKUP($N167,Capa!$A:$AE,BH$5,0)),0,1/VLOOKUP($N167,Capa!$A:$AE,BH$5,0))))</f>
        <v/>
      </c>
      <c r="BI167" s="118" t="str">
        <f>IF(BI$6="","",IF(BI$3="Maior",IFERROR(IF(VLOOKUP($N167,Capa!$A:$AE,BI$5,0)="",0,VLOOKUP($N167,Capa!$A:$AE,BI$5,0)),0),IF(ISERROR(1/VLOOKUP($N167,Capa!$A:$AE,BI$5,0)),0,1/VLOOKUP($N167,Capa!$A:$AE,BI$5,0))))</f>
        <v/>
      </c>
      <c r="BJ167" s="118" t="str">
        <f>IF(BJ$6="","",IF(BJ$3="Maior",IFERROR(IF(VLOOKUP($N167,Capa!$A:$AE,BJ$5,0)="",0,VLOOKUP($N167,Capa!$A:$AE,BJ$5,0)),0),IF(ISERROR(1/VLOOKUP($N167,Capa!$A:$AE,BJ$5,0)),0,1/VLOOKUP($N167,Capa!$A:$AE,BJ$5,0))))</f>
        <v/>
      </c>
      <c r="BK167" s="118" t="str">
        <f>IF(BK$6="","",IF(BK$3="Maior",IFERROR(IF(VLOOKUP($N167,Capa!$A:$AE,BK$5,0)="",0,VLOOKUP($N167,Capa!$A:$AE,BK$5,0)),0),IF(ISERROR(1/VLOOKUP($N167,Capa!$A:$AE,BK$5,0)),0,1/VLOOKUP($N167,Capa!$A:$AE,BK$5,0))))</f>
        <v/>
      </c>
      <c r="BL167" s="118" t="str">
        <f>IF(BL$6="","",IF(BL$3="Maior",IFERROR(IF(VLOOKUP($N167,Capa!$A:$AE,BL$5,0)="",0,VLOOKUP($N167,Capa!$A:$AE,BL$5,0)),0),IF(ISERROR(1/VLOOKUP($N167,Capa!$A:$AE,BL$5,0)),0,1/VLOOKUP($N167,Capa!$A:$AE,BL$5,0))))</f>
        <v/>
      </c>
      <c r="BM167" s="118" t="str">
        <f>IF(BM$6="","",IF(BM$3="Maior",IFERROR(IF(VLOOKUP($N167,Capa!$A:$AE,BM$5,0)="",0,VLOOKUP($N167,Capa!$A:$AE,BM$5,0)),0),IF(ISERROR(1/VLOOKUP($N167,Capa!$A:$AE,BM$5,0)),0,1/VLOOKUP($N167,Capa!$A:$AE,BM$5,0))))</f>
        <v/>
      </c>
      <c r="BN167" s="118" t="str">
        <f>IF(BN$6="","",IF(BN$3="Maior",IFERROR(IF(VLOOKUP($N167,Capa!$A:$AE,BN$5,0)="",0,VLOOKUP($N167,Capa!$A:$AE,BN$5,0)),0),IF(ISERROR(1/VLOOKUP($N167,Capa!$A:$AE,BN$5,0)),0,1/VLOOKUP($N167,Capa!$A:$AE,BN$5,0))))</f>
        <v/>
      </c>
      <c r="BO167" s="92"/>
    </row>
    <row r="168">
      <c r="G168" s="11"/>
      <c r="H168" s="8">
        <v>162.0</v>
      </c>
      <c r="I168" s="110" t="str">
        <f t="shared" si="6"/>
        <v>TECN3</v>
      </c>
      <c r="J168" s="111" t="str">
        <f>VLOOKUP(left(I168,4),Setor!A:D,3,0)&amp;" | "&amp;VLOOKUP(left(I168,4),Setor!A:D,4,0)</f>
        <v>Consumo Cíclico | Tecidos, Vestuário e Calçados</v>
      </c>
      <c r="K168" s="112">
        <f t="shared" si="7"/>
        <v>16358945.33</v>
      </c>
      <c r="L168" s="11"/>
      <c r="M168" s="11"/>
      <c r="N168" s="10" t="s">
        <v>214</v>
      </c>
      <c r="O168" s="113">
        <f t="shared" si="8"/>
        <v>2055.0405</v>
      </c>
      <c r="P168" s="114">
        <f>VLOOKUP(N168,'Dados StatusInvest'!A:Z,26,0)</f>
        <v>9982766.25</v>
      </c>
      <c r="Q168" s="115">
        <f t="shared" si="9"/>
        <v>405.0405</v>
      </c>
      <c r="R168" s="116">
        <f t="shared" ref="R168:AO168" si="171">IF(AQ168="","", RANK(AQ168,AQ$7:AQ$503,0))</f>
        <v>431</v>
      </c>
      <c r="S168" s="115">
        <f t="shared" si="171"/>
        <v>219</v>
      </c>
      <c r="T168" s="115" t="str">
        <f t="shared" si="171"/>
        <v/>
      </c>
      <c r="U168" s="115" t="str">
        <f t="shared" si="171"/>
        <v/>
      </c>
      <c r="V168" s="115" t="str">
        <f t="shared" si="171"/>
        <v/>
      </c>
      <c r="W168" s="115" t="str">
        <f t="shared" si="171"/>
        <v/>
      </c>
      <c r="X168" s="115" t="str">
        <f t="shared" si="171"/>
        <v/>
      </c>
      <c r="Y168" s="115" t="str">
        <f t="shared" si="171"/>
        <v/>
      </c>
      <c r="Z168" s="115" t="str">
        <f t="shared" si="171"/>
        <v/>
      </c>
      <c r="AA168" s="115" t="str">
        <f t="shared" si="171"/>
        <v/>
      </c>
      <c r="AB168" s="115" t="str">
        <f t="shared" si="171"/>
        <v/>
      </c>
      <c r="AC168" s="115" t="str">
        <f t="shared" si="171"/>
        <v/>
      </c>
      <c r="AD168" s="115" t="str">
        <f t="shared" si="171"/>
        <v/>
      </c>
      <c r="AE168" s="115" t="str">
        <f t="shared" si="171"/>
        <v/>
      </c>
      <c r="AF168" s="115" t="str">
        <f t="shared" si="171"/>
        <v/>
      </c>
      <c r="AG168" s="115" t="str">
        <f t="shared" si="171"/>
        <v/>
      </c>
      <c r="AH168" s="115" t="str">
        <f t="shared" si="171"/>
        <v/>
      </c>
      <c r="AI168" s="115" t="str">
        <f t="shared" si="171"/>
        <v/>
      </c>
      <c r="AJ168" s="115" t="str">
        <f t="shared" si="171"/>
        <v/>
      </c>
      <c r="AK168" s="115" t="str">
        <f t="shared" si="171"/>
        <v/>
      </c>
      <c r="AL168" s="115" t="str">
        <f t="shared" si="171"/>
        <v/>
      </c>
      <c r="AM168" s="115" t="str">
        <f t="shared" si="171"/>
        <v/>
      </c>
      <c r="AN168" s="115" t="str">
        <f t="shared" si="171"/>
        <v/>
      </c>
      <c r="AO168" s="115" t="str">
        <f t="shared" si="171"/>
        <v/>
      </c>
      <c r="AP168" s="117">
        <f>IF(AP$6="","",IF(AP$3="Maior",IFERROR(IF(VLOOKUP($N168,Capa!$A:$AE,AP$5,0)="",0,VLOOKUP($N168,Capa!$A:$AE,AP$5,0)),0),IF(ISERROR(1/VLOOKUP($N168,Capa!$A:$AE,AP$5,0)),0,1/VLOOKUP($N168,Capa!$A:$AE,AP$5,0))))</f>
        <v>0.0002780225959</v>
      </c>
      <c r="AQ168" s="118">
        <f>IF(AQ$6="","",IF(AQ$3="Maior",IFERROR(IF(VLOOKUP($N168,Capa!$A:$AE,AQ$5,0)="",0,VLOOKUP($N168,Capa!$A:$AE,AQ$5,0)),0),IF(ISERROR(1/VLOOKUP($N168,Capa!$A:$AE,AQ$5,0)),0,1/VLOOKUP($N168,Capa!$A:$AE,AQ$5,0))))</f>
        <v>-0.66</v>
      </c>
      <c r="AR168" s="118">
        <f>IF(AR$6="","",IF(AR$3="Maior",IFERROR(IF(VLOOKUP($N168,Capa!$A:$AE,AR$5,0)="",0,VLOOKUP($N168,Capa!$A:$AE,AR$5,0)),0),IF(ISERROR(1/VLOOKUP($N168,Capa!$A:$AE,AR$5,0)),0,1/VLOOKUP($N168,Capa!$A:$AE,AR$5,0))))</f>
        <v>0</v>
      </c>
      <c r="AS168" s="118" t="str">
        <f>IF(AS$6="","",IF(AS$3="Maior",IFERROR(IF(VLOOKUP($N168,Capa!$A:$AE,AS$5,0)="",0,VLOOKUP($N168,Capa!$A:$AE,AS$5,0)),0),IF(ISERROR(1/VLOOKUP($N168,Capa!$A:$AE,AS$5,0)),0,1/VLOOKUP($N168,Capa!$A:$AE,AS$5,0))))</f>
        <v/>
      </c>
      <c r="AT168" s="118" t="str">
        <f>IF(AT$6="","",IF(AT$3="Maior",IFERROR(IF(VLOOKUP($N168,Capa!$A:$AE,AT$5,0)="",0,VLOOKUP($N168,Capa!$A:$AE,AT$5,0)),0),IF(ISERROR(1/VLOOKUP($N168,Capa!$A:$AE,AT$5,0)),0,1/VLOOKUP($N168,Capa!$A:$AE,AT$5,0))))</f>
        <v/>
      </c>
      <c r="AU168" s="118" t="str">
        <f>IF(AU$6="","",IF(AU$3="Maior",IFERROR(IF(VLOOKUP($N168,Capa!$A:$AE,AU$5,0)="",0,VLOOKUP($N168,Capa!$A:$AE,AU$5,0)),0),IF(ISERROR(1/VLOOKUP($N168,Capa!$A:$AE,AU$5,0)),0,1/VLOOKUP($N168,Capa!$A:$AE,AU$5,0))))</f>
        <v/>
      </c>
      <c r="AV168" s="118" t="str">
        <f>IF(AV$6="","",IF(AV$3="Maior",IFERROR(IF(VLOOKUP($N168,Capa!$A:$AE,AV$5,0)="",0,VLOOKUP($N168,Capa!$A:$AE,AV$5,0)),0),IF(ISERROR(1/VLOOKUP($N168,Capa!$A:$AE,AV$5,0)),0,1/VLOOKUP($N168,Capa!$A:$AE,AV$5,0))))</f>
        <v/>
      </c>
      <c r="AW168" s="118" t="str">
        <f>IF(AW$6="","",IF(AW$3="Maior",IFERROR(IF(VLOOKUP($N168,Capa!$A:$AE,AW$5,0)="",0,VLOOKUP($N168,Capa!$A:$AE,AW$5,0)),0),IF(ISERROR(1/VLOOKUP($N168,Capa!$A:$AE,AW$5,0)),0,1/VLOOKUP($N168,Capa!$A:$AE,AW$5,0))))</f>
        <v/>
      </c>
      <c r="AX168" s="118" t="str">
        <f>IF(AX$6="","",IF(AX$3="Maior",IFERROR(IF(VLOOKUP($N168,Capa!$A:$AE,AX$5,0)="",0,VLOOKUP($N168,Capa!$A:$AE,AX$5,0)),0),IF(ISERROR(1/VLOOKUP($N168,Capa!$A:$AE,AX$5,0)),0,1/VLOOKUP($N168,Capa!$A:$AE,AX$5,0))))</f>
        <v/>
      </c>
      <c r="AY168" s="118" t="str">
        <f>IF(AY$6="","",IF(AY$3="Maior",IFERROR(IF(VLOOKUP($N168,Capa!$A:$AE,AY$5,0)="",0,VLOOKUP($N168,Capa!$A:$AE,AY$5,0)),0),IF(ISERROR(1/VLOOKUP($N168,Capa!$A:$AE,AY$5,0)),0,1/VLOOKUP($N168,Capa!$A:$AE,AY$5,0))))</f>
        <v/>
      </c>
      <c r="AZ168" s="118" t="str">
        <f>IF(AZ$6="","",IF(AZ$3="Maior",IFERROR(IF(VLOOKUP($N168,Capa!$A:$AE,AZ$5,0)="",0,VLOOKUP($N168,Capa!$A:$AE,AZ$5,0)),0),IF(ISERROR(1/VLOOKUP($N168,Capa!$A:$AE,AZ$5,0)),0,1/VLOOKUP($N168,Capa!$A:$AE,AZ$5,0))))</f>
        <v/>
      </c>
      <c r="BA168" s="118" t="str">
        <f>IF(BA$6="","",IF(BA$3="Maior",IFERROR(IF(VLOOKUP($N168,Capa!$A:$AE,BA$5,0)="",0,VLOOKUP($N168,Capa!$A:$AE,BA$5,0)),0),IF(ISERROR(1/VLOOKUP($N168,Capa!$A:$AE,BA$5,0)),0,1/VLOOKUP($N168,Capa!$A:$AE,BA$5,0))))</f>
        <v/>
      </c>
      <c r="BB168" s="118" t="str">
        <f>IF(BB$6="","",IF(BB$3="Maior",IFERROR(IF(VLOOKUP($N168,Capa!$A:$AE,BB$5,0)="",0,VLOOKUP($N168,Capa!$A:$AE,BB$5,0)),0),IF(ISERROR(1/VLOOKUP($N168,Capa!$A:$AE,BB$5,0)),0,1/VLOOKUP($N168,Capa!$A:$AE,BB$5,0))))</f>
        <v/>
      </c>
      <c r="BC168" s="118" t="str">
        <f>IF(BC$6="","",IF(BC$3="Maior",IFERROR(IF(VLOOKUP($N168,Capa!$A:$AE,BC$5,0)="",0,VLOOKUP($N168,Capa!$A:$AE,BC$5,0)),0),IF(ISERROR(1/VLOOKUP($N168,Capa!$A:$AE,BC$5,0)),0,1/VLOOKUP($N168,Capa!$A:$AE,BC$5,0))))</f>
        <v/>
      </c>
      <c r="BD168" s="118" t="str">
        <f>IF(BD$6="","",IF(BD$3="Maior",IFERROR(IF(VLOOKUP($N168,Capa!$A:$AE,BD$5,0)="",0,VLOOKUP($N168,Capa!$A:$AE,BD$5,0)),0),IF(ISERROR(1/VLOOKUP($N168,Capa!$A:$AE,BD$5,0)),0,1/VLOOKUP($N168,Capa!$A:$AE,BD$5,0))))</f>
        <v/>
      </c>
      <c r="BE168" s="118" t="str">
        <f>IF(BE$6="","",IF(BE$3="Maior",IFERROR(IF(VLOOKUP($N168,Capa!$A:$AE,BE$5,0)="",0,VLOOKUP($N168,Capa!$A:$AE,BE$5,0)),0),IF(ISERROR(1/VLOOKUP($N168,Capa!$A:$AE,BE$5,0)),0,1/VLOOKUP($N168,Capa!$A:$AE,BE$5,0))))</f>
        <v/>
      </c>
      <c r="BF168" s="118" t="str">
        <f>IF(BF$6="","",IF(BF$3="Maior",IFERROR(IF(VLOOKUP($N168,Capa!$A:$AE,BF$5,0)="",0,VLOOKUP($N168,Capa!$A:$AE,BF$5,0)),0),IF(ISERROR(1/VLOOKUP($N168,Capa!$A:$AE,BF$5,0)),0,1/VLOOKUP($N168,Capa!$A:$AE,BF$5,0))))</f>
        <v/>
      </c>
      <c r="BG168" s="118" t="str">
        <f>IF(BG$6="","",IF(BG$3="Maior",IFERROR(IF(VLOOKUP($N168,Capa!$A:$AE,BG$5,0)="",0,VLOOKUP($N168,Capa!$A:$AE,BG$5,0)),0),IF(ISERROR(1/VLOOKUP($N168,Capa!$A:$AE,BG$5,0)),0,1/VLOOKUP($N168,Capa!$A:$AE,BG$5,0))))</f>
        <v/>
      </c>
      <c r="BH168" s="118" t="str">
        <f>IF(BH$6="","",IF(BH$3="Maior",IFERROR(IF(VLOOKUP($N168,Capa!$A:$AE,BH$5,0)="",0,VLOOKUP($N168,Capa!$A:$AE,BH$5,0)),0),IF(ISERROR(1/VLOOKUP($N168,Capa!$A:$AE,BH$5,0)),0,1/VLOOKUP($N168,Capa!$A:$AE,BH$5,0))))</f>
        <v/>
      </c>
      <c r="BI168" s="118" t="str">
        <f>IF(BI$6="","",IF(BI$3="Maior",IFERROR(IF(VLOOKUP($N168,Capa!$A:$AE,BI$5,0)="",0,VLOOKUP($N168,Capa!$A:$AE,BI$5,0)),0),IF(ISERROR(1/VLOOKUP($N168,Capa!$A:$AE,BI$5,0)),0,1/VLOOKUP($N168,Capa!$A:$AE,BI$5,0))))</f>
        <v/>
      </c>
      <c r="BJ168" s="118" t="str">
        <f>IF(BJ$6="","",IF(BJ$3="Maior",IFERROR(IF(VLOOKUP($N168,Capa!$A:$AE,BJ$5,0)="",0,VLOOKUP($N168,Capa!$A:$AE,BJ$5,0)),0),IF(ISERROR(1/VLOOKUP($N168,Capa!$A:$AE,BJ$5,0)),0,1/VLOOKUP($N168,Capa!$A:$AE,BJ$5,0))))</f>
        <v/>
      </c>
      <c r="BK168" s="118" t="str">
        <f>IF(BK$6="","",IF(BK$3="Maior",IFERROR(IF(VLOOKUP($N168,Capa!$A:$AE,BK$5,0)="",0,VLOOKUP($N168,Capa!$A:$AE,BK$5,0)),0),IF(ISERROR(1/VLOOKUP($N168,Capa!$A:$AE,BK$5,0)),0,1/VLOOKUP($N168,Capa!$A:$AE,BK$5,0))))</f>
        <v/>
      </c>
      <c r="BL168" s="118" t="str">
        <f>IF(BL$6="","",IF(BL$3="Maior",IFERROR(IF(VLOOKUP($N168,Capa!$A:$AE,BL$5,0)="",0,VLOOKUP($N168,Capa!$A:$AE,BL$5,0)),0),IF(ISERROR(1/VLOOKUP($N168,Capa!$A:$AE,BL$5,0)),0,1/VLOOKUP($N168,Capa!$A:$AE,BL$5,0))))</f>
        <v/>
      </c>
      <c r="BM168" s="118" t="str">
        <f>IF(BM$6="","",IF(BM$3="Maior",IFERROR(IF(VLOOKUP($N168,Capa!$A:$AE,BM$5,0)="",0,VLOOKUP($N168,Capa!$A:$AE,BM$5,0)),0),IF(ISERROR(1/VLOOKUP($N168,Capa!$A:$AE,BM$5,0)),0,1/VLOOKUP($N168,Capa!$A:$AE,BM$5,0))))</f>
        <v/>
      </c>
      <c r="BN168" s="118" t="str">
        <f>IF(BN$6="","",IF(BN$3="Maior",IFERROR(IF(VLOOKUP($N168,Capa!$A:$AE,BN$5,0)="",0,VLOOKUP($N168,Capa!$A:$AE,BN$5,0)),0),IF(ISERROR(1/VLOOKUP($N168,Capa!$A:$AE,BN$5,0)),0,1/VLOOKUP($N168,Capa!$A:$AE,BN$5,0))))</f>
        <v/>
      </c>
      <c r="BO168" s="92"/>
    </row>
    <row r="169">
      <c r="G169" s="11"/>
      <c r="H169" s="8">
        <v>163.0</v>
      </c>
      <c r="I169" s="110" t="str">
        <f t="shared" si="6"/>
        <v>AESB3</v>
      </c>
      <c r="J169" s="111" t="str">
        <f>VLOOKUP(left(I169,4),Setor!A:D,3,0)&amp;" | "&amp;VLOOKUP(left(I169,4),Setor!A:D,4,0)</f>
        <v>#N/A</v>
      </c>
      <c r="K169" s="112">
        <f t="shared" si="7"/>
        <v>30108031.83</v>
      </c>
      <c r="L169" s="11"/>
      <c r="M169" s="11"/>
      <c r="N169" s="10" t="s">
        <v>215</v>
      </c>
      <c r="O169" s="113">
        <f t="shared" si="8"/>
        <v>807.0294</v>
      </c>
      <c r="P169" s="114">
        <f>VLOOKUP(N169,'Dados StatusInvest'!A:Z,26,0)</f>
        <v>10938296.63</v>
      </c>
      <c r="Q169" s="115">
        <f t="shared" si="9"/>
        <v>294.0294</v>
      </c>
      <c r="R169" s="116">
        <f t="shared" ref="R169:AO169" si="172">IF(AQ169="","", RANK(AQ169,AQ$7:AQ$503,0))</f>
        <v>294</v>
      </c>
      <c r="S169" s="115">
        <f t="shared" si="172"/>
        <v>219</v>
      </c>
      <c r="T169" s="115" t="str">
        <f t="shared" si="172"/>
        <v/>
      </c>
      <c r="U169" s="115" t="str">
        <f t="shared" si="172"/>
        <v/>
      </c>
      <c r="V169" s="115" t="str">
        <f t="shared" si="172"/>
        <v/>
      </c>
      <c r="W169" s="115" t="str">
        <f t="shared" si="172"/>
        <v/>
      </c>
      <c r="X169" s="115" t="str">
        <f t="shared" si="172"/>
        <v/>
      </c>
      <c r="Y169" s="115" t="str">
        <f t="shared" si="172"/>
        <v/>
      </c>
      <c r="Z169" s="115" t="str">
        <f t="shared" si="172"/>
        <v/>
      </c>
      <c r="AA169" s="115" t="str">
        <f t="shared" si="172"/>
        <v/>
      </c>
      <c r="AB169" s="115" t="str">
        <f t="shared" si="172"/>
        <v/>
      </c>
      <c r="AC169" s="115" t="str">
        <f t="shared" si="172"/>
        <v/>
      </c>
      <c r="AD169" s="115" t="str">
        <f t="shared" si="172"/>
        <v/>
      </c>
      <c r="AE169" s="115" t="str">
        <f t="shared" si="172"/>
        <v/>
      </c>
      <c r="AF169" s="115" t="str">
        <f t="shared" si="172"/>
        <v/>
      </c>
      <c r="AG169" s="115" t="str">
        <f t="shared" si="172"/>
        <v/>
      </c>
      <c r="AH169" s="115" t="str">
        <f t="shared" si="172"/>
        <v/>
      </c>
      <c r="AI169" s="115" t="str">
        <f t="shared" si="172"/>
        <v/>
      </c>
      <c r="AJ169" s="115" t="str">
        <f t="shared" si="172"/>
        <v/>
      </c>
      <c r="AK169" s="115" t="str">
        <f t="shared" si="172"/>
        <v/>
      </c>
      <c r="AL169" s="115" t="str">
        <f t="shared" si="172"/>
        <v/>
      </c>
      <c r="AM169" s="115" t="str">
        <f t="shared" si="172"/>
        <v/>
      </c>
      <c r="AN169" s="115" t="str">
        <f t="shared" si="172"/>
        <v/>
      </c>
      <c r="AO169" s="115" t="str">
        <f t="shared" si="172"/>
        <v/>
      </c>
      <c r="AP169" s="117">
        <f>IF(AP$6="","",IF(AP$3="Maior",IFERROR(IF(VLOOKUP($N169,Capa!$A:$AE,AP$5,0)="",0,VLOOKUP($N169,Capa!$A:$AE,AP$5,0)),0),IF(ISERROR(1/VLOOKUP($N169,Capa!$A:$AE,AP$5,0)),0,1/VLOOKUP($N169,Capa!$A:$AE,AP$5,0))))</f>
        <v>0.0576821149</v>
      </c>
      <c r="AQ169" s="118">
        <f>IF(AQ$6="","",IF(AQ$3="Maior",IFERROR(IF(VLOOKUP($N169,Capa!$A:$AE,AQ$5,0)="",0,VLOOKUP($N169,Capa!$A:$AE,AQ$5,0)),0),IF(ISERROR(1/VLOOKUP($N169,Capa!$A:$AE,AQ$5,0)),0,1/VLOOKUP($N169,Capa!$A:$AE,AQ$5,0))))</f>
        <v>5.1</v>
      </c>
      <c r="AR169" s="118">
        <f>IF(AR$6="","",IF(AR$3="Maior",IFERROR(IF(VLOOKUP($N169,Capa!$A:$AE,AR$5,0)="",0,VLOOKUP($N169,Capa!$A:$AE,AR$5,0)),0),IF(ISERROR(1/VLOOKUP($N169,Capa!$A:$AE,AR$5,0)),0,1/VLOOKUP($N169,Capa!$A:$AE,AR$5,0))))</f>
        <v>0</v>
      </c>
      <c r="AS169" s="118" t="str">
        <f>IF(AS$6="","",IF(AS$3="Maior",IFERROR(IF(VLOOKUP($N169,Capa!$A:$AE,AS$5,0)="",0,VLOOKUP($N169,Capa!$A:$AE,AS$5,0)),0),IF(ISERROR(1/VLOOKUP($N169,Capa!$A:$AE,AS$5,0)),0,1/VLOOKUP($N169,Capa!$A:$AE,AS$5,0))))</f>
        <v/>
      </c>
      <c r="AT169" s="118" t="str">
        <f>IF(AT$6="","",IF(AT$3="Maior",IFERROR(IF(VLOOKUP($N169,Capa!$A:$AE,AT$5,0)="",0,VLOOKUP($N169,Capa!$A:$AE,AT$5,0)),0),IF(ISERROR(1/VLOOKUP($N169,Capa!$A:$AE,AT$5,0)),0,1/VLOOKUP($N169,Capa!$A:$AE,AT$5,0))))</f>
        <v/>
      </c>
      <c r="AU169" s="118" t="str">
        <f>IF(AU$6="","",IF(AU$3="Maior",IFERROR(IF(VLOOKUP($N169,Capa!$A:$AE,AU$5,0)="",0,VLOOKUP($N169,Capa!$A:$AE,AU$5,0)),0),IF(ISERROR(1/VLOOKUP($N169,Capa!$A:$AE,AU$5,0)),0,1/VLOOKUP($N169,Capa!$A:$AE,AU$5,0))))</f>
        <v/>
      </c>
      <c r="AV169" s="118" t="str">
        <f>IF(AV$6="","",IF(AV$3="Maior",IFERROR(IF(VLOOKUP($N169,Capa!$A:$AE,AV$5,0)="",0,VLOOKUP($N169,Capa!$A:$AE,AV$5,0)),0),IF(ISERROR(1/VLOOKUP($N169,Capa!$A:$AE,AV$5,0)),0,1/VLOOKUP($N169,Capa!$A:$AE,AV$5,0))))</f>
        <v/>
      </c>
      <c r="AW169" s="118" t="str">
        <f>IF(AW$6="","",IF(AW$3="Maior",IFERROR(IF(VLOOKUP($N169,Capa!$A:$AE,AW$5,0)="",0,VLOOKUP($N169,Capa!$A:$AE,AW$5,0)),0),IF(ISERROR(1/VLOOKUP($N169,Capa!$A:$AE,AW$5,0)),0,1/VLOOKUP($N169,Capa!$A:$AE,AW$5,0))))</f>
        <v/>
      </c>
      <c r="AX169" s="118" t="str">
        <f>IF(AX$6="","",IF(AX$3="Maior",IFERROR(IF(VLOOKUP($N169,Capa!$A:$AE,AX$5,0)="",0,VLOOKUP($N169,Capa!$A:$AE,AX$5,0)),0),IF(ISERROR(1/VLOOKUP($N169,Capa!$A:$AE,AX$5,0)),0,1/VLOOKUP($N169,Capa!$A:$AE,AX$5,0))))</f>
        <v/>
      </c>
      <c r="AY169" s="118" t="str">
        <f>IF(AY$6="","",IF(AY$3="Maior",IFERROR(IF(VLOOKUP($N169,Capa!$A:$AE,AY$5,0)="",0,VLOOKUP($N169,Capa!$A:$AE,AY$5,0)),0),IF(ISERROR(1/VLOOKUP($N169,Capa!$A:$AE,AY$5,0)),0,1/VLOOKUP($N169,Capa!$A:$AE,AY$5,0))))</f>
        <v/>
      </c>
      <c r="AZ169" s="118" t="str">
        <f>IF(AZ$6="","",IF(AZ$3="Maior",IFERROR(IF(VLOOKUP($N169,Capa!$A:$AE,AZ$5,0)="",0,VLOOKUP($N169,Capa!$A:$AE,AZ$5,0)),0),IF(ISERROR(1/VLOOKUP($N169,Capa!$A:$AE,AZ$5,0)),0,1/VLOOKUP($N169,Capa!$A:$AE,AZ$5,0))))</f>
        <v/>
      </c>
      <c r="BA169" s="118" t="str">
        <f>IF(BA$6="","",IF(BA$3="Maior",IFERROR(IF(VLOOKUP($N169,Capa!$A:$AE,BA$5,0)="",0,VLOOKUP($N169,Capa!$A:$AE,BA$5,0)),0),IF(ISERROR(1/VLOOKUP($N169,Capa!$A:$AE,BA$5,0)),0,1/VLOOKUP($N169,Capa!$A:$AE,BA$5,0))))</f>
        <v/>
      </c>
      <c r="BB169" s="118" t="str">
        <f>IF(BB$6="","",IF(BB$3="Maior",IFERROR(IF(VLOOKUP($N169,Capa!$A:$AE,BB$5,0)="",0,VLOOKUP($N169,Capa!$A:$AE,BB$5,0)),0),IF(ISERROR(1/VLOOKUP($N169,Capa!$A:$AE,BB$5,0)),0,1/VLOOKUP($N169,Capa!$A:$AE,BB$5,0))))</f>
        <v/>
      </c>
      <c r="BC169" s="118" t="str">
        <f>IF(BC$6="","",IF(BC$3="Maior",IFERROR(IF(VLOOKUP($N169,Capa!$A:$AE,BC$5,0)="",0,VLOOKUP($N169,Capa!$A:$AE,BC$5,0)),0),IF(ISERROR(1/VLOOKUP($N169,Capa!$A:$AE,BC$5,0)),0,1/VLOOKUP($N169,Capa!$A:$AE,BC$5,0))))</f>
        <v/>
      </c>
      <c r="BD169" s="118" t="str">
        <f>IF(BD$6="","",IF(BD$3="Maior",IFERROR(IF(VLOOKUP($N169,Capa!$A:$AE,BD$5,0)="",0,VLOOKUP($N169,Capa!$A:$AE,BD$5,0)),0),IF(ISERROR(1/VLOOKUP($N169,Capa!$A:$AE,BD$5,0)),0,1/VLOOKUP($N169,Capa!$A:$AE,BD$5,0))))</f>
        <v/>
      </c>
      <c r="BE169" s="118" t="str">
        <f>IF(BE$6="","",IF(BE$3="Maior",IFERROR(IF(VLOOKUP($N169,Capa!$A:$AE,BE$5,0)="",0,VLOOKUP($N169,Capa!$A:$AE,BE$5,0)),0),IF(ISERROR(1/VLOOKUP($N169,Capa!$A:$AE,BE$5,0)),0,1/VLOOKUP($N169,Capa!$A:$AE,BE$5,0))))</f>
        <v/>
      </c>
      <c r="BF169" s="118" t="str">
        <f>IF(BF$6="","",IF(BF$3="Maior",IFERROR(IF(VLOOKUP($N169,Capa!$A:$AE,BF$5,0)="",0,VLOOKUP($N169,Capa!$A:$AE,BF$5,0)),0),IF(ISERROR(1/VLOOKUP($N169,Capa!$A:$AE,BF$5,0)),0,1/VLOOKUP($N169,Capa!$A:$AE,BF$5,0))))</f>
        <v/>
      </c>
      <c r="BG169" s="118" t="str">
        <f>IF(BG$6="","",IF(BG$3="Maior",IFERROR(IF(VLOOKUP($N169,Capa!$A:$AE,BG$5,0)="",0,VLOOKUP($N169,Capa!$A:$AE,BG$5,0)),0),IF(ISERROR(1/VLOOKUP($N169,Capa!$A:$AE,BG$5,0)),0,1/VLOOKUP($N169,Capa!$A:$AE,BG$5,0))))</f>
        <v/>
      </c>
      <c r="BH169" s="118" t="str">
        <f>IF(BH$6="","",IF(BH$3="Maior",IFERROR(IF(VLOOKUP($N169,Capa!$A:$AE,BH$5,0)="",0,VLOOKUP($N169,Capa!$A:$AE,BH$5,0)),0),IF(ISERROR(1/VLOOKUP($N169,Capa!$A:$AE,BH$5,0)),0,1/VLOOKUP($N169,Capa!$A:$AE,BH$5,0))))</f>
        <v/>
      </c>
      <c r="BI169" s="118" t="str">
        <f>IF(BI$6="","",IF(BI$3="Maior",IFERROR(IF(VLOOKUP($N169,Capa!$A:$AE,BI$5,0)="",0,VLOOKUP($N169,Capa!$A:$AE,BI$5,0)),0),IF(ISERROR(1/VLOOKUP($N169,Capa!$A:$AE,BI$5,0)),0,1/VLOOKUP($N169,Capa!$A:$AE,BI$5,0))))</f>
        <v/>
      </c>
      <c r="BJ169" s="118" t="str">
        <f>IF(BJ$6="","",IF(BJ$3="Maior",IFERROR(IF(VLOOKUP($N169,Capa!$A:$AE,BJ$5,0)="",0,VLOOKUP($N169,Capa!$A:$AE,BJ$5,0)),0),IF(ISERROR(1/VLOOKUP($N169,Capa!$A:$AE,BJ$5,0)),0,1/VLOOKUP($N169,Capa!$A:$AE,BJ$5,0))))</f>
        <v/>
      </c>
      <c r="BK169" s="118" t="str">
        <f>IF(BK$6="","",IF(BK$3="Maior",IFERROR(IF(VLOOKUP($N169,Capa!$A:$AE,BK$5,0)="",0,VLOOKUP($N169,Capa!$A:$AE,BK$5,0)),0),IF(ISERROR(1/VLOOKUP($N169,Capa!$A:$AE,BK$5,0)),0,1/VLOOKUP($N169,Capa!$A:$AE,BK$5,0))))</f>
        <v/>
      </c>
      <c r="BL169" s="118" t="str">
        <f>IF(BL$6="","",IF(BL$3="Maior",IFERROR(IF(VLOOKUP($N169,Capa!$A:$AE,BL$5,0)="",0,VLOOKUP($N169,Capa!$A:$AE,BL$5,0)),0),IF(ISERROR(1/VLOOKUP($N169,Capa!$A:$AE,BL$5,0)),0,1/VLOOKUP($N169,Capa!$A:$AE,BL$5,0))))</f>
        <v/>
      </c>
      <c r="BM169" s="118" t="str">
        <f>IF(BM$6="","",IF(BM$3="Maior",IFERROR(IF(VLOOKUP($N169,Capa!$A:$AE,BM$5,0)="",0,VLOOKUP($N169,Capa!$A:$AE,BM$5,0)),0),IF(ISERROR(1/VLOOKUP($N169,Capa!$A:$AE,BM$5,0)),0,1/VLOOKUP($N169,Capa!$A:$AE,BM$5,0))))</f>
        <v/>
      </c>
      <c r="BN169" s="118" t="str">
        <f>IF(BN$6="","",IF(BN$3="Maior",IFERROR(IF(VLOOKUP($N169,Capa!$A:$AE,BN$5,0)="",0,VLOOKUP($N169,Capa!$A:$AE,BN$5,0)),0),IF(ISERROR(1/VLOOKUP($N169,Capa!$A:$AE,BN$5,0)),0,1/VLOOKUP($N169,Capa!$A:$AE,BN$5,0))))</f>
        <v/>
      </c>
      <c r="BO169" s="92"/>
    </row>
    <row r="170">
      <c r="G170" s="11"/>
      <c r="H170" s="8">
        <v>164.0</v>
      </c>
      <c r="I170" s="110" t="str">
        <f t="shared" si="6"/>
        <v>RAIZ4</v>
      </c>
      <c r="J170" s="111" t="str">
        <f>VLOOKUP(left(I170,4),Setor!A:D,3,0)&amp;" | "&amp;VLOOKUP(left(I170,4),Setor!A:D,4,0)</f>
        <v>#N/A</v>
      </c>
      <c r="K170" s="112">
        <f t="shared" si="7"/>
        <v>57636954.42</v>
      </c>
      <c r="L170" s="11"/>
      <c r="M170" s="11"/>
      <c r="N170" s="10" t="s">
        <v>216</v>
      </c>
      <c r="O170" s="113">
        <f t="shared" si="8"/>
        <v>872.0307</v>
      </c>
      <c r="P170" s="114">
        <f>VLOOKUP(N170,'Dados StatusInvest'!A:Z,26,0)</f>
        <v>15802243.08</v>
      </c>
      <c r="Q170" s="115">
        <f t="shared" si="9"/>
        <v>307.0307</v>
      </c>
      <c r="R170" s="116">
        <f t="shared" ref="R170:AO170" si="173">IF(AQ170="","", RANK(AQ170,AQ$7:AQ$503,0))</f>
        <v>346</v>
      </c>
      <c r="S170" s="115">
        <f t="shared" si="173"/>
        <v>219</v>
      </c>
      <c r="T170" s="115" t="str">
        <f t="shared" si="173"/>
        <v/>
      </c>
      <c r="U170" s="115" t="str">
        <f t="shared" si="173"/>
        <v/>
      </c>
      <c r="V170" s="115" t="str">
        <f t="shared" si="173"/>
        <v/>
      </c>
      <c r="W170" s="115" t="str">
        <f t="shared" si="173"/>
        <v/>
      </c>
      <c r="X170" s="115" t="str">
        <f t="shared" si="173"/>
        <v/>
      </c>
      <c r="Y170" s="115" t="str">
        <f t="shared" si="173"/>
        <v/>
      </c>
      <c r="Z170" s="115" t="str">
        <f t="shared" si="173"/>
        <v/>
      </c>
      <c r="AA170" s="115" t="str">
        <f t="shared" si="173"/>
        <v/>
      </c>
      <c r="AB170" s="115" t="str">
        <f t="shared" si="173"/>
        <v/>
      </c>
      <c r="AC170" s="115" t="str">
        <f t="shared" si="173"/>
        <v/>
      </c>
      <c r="AD170" s="115" t="str">
        <f t="shared" si="173"/>
        <v/>
      </c>
      <c r="AE170" s="115" t="str">
        <f t="shared" si="173"/>
        <v/>
      </c>
      <c r="AF170" s="115" t="str">
        <f t="shared" si="173"/>
        <v/>
      </c>
      <c r="AG170" s="115" t="str">
        <f t="shared" si="173"/>
        <v/>
      </c>
      <c r="AH170" s="115" t="str">
        <f t="shared" si="173"/>
        <v/>
      </c>
      <c r="AI170" s="115" t="str">
        <f t="shared" si="173"/>
        <v/>
      </c>
      <c r="AJ170" s="115" t="str">
        <f t="shared" si="173"/>
        <v/>
      </c>
      <c r="AK170" s="115" t="str">
        <f t="shared" si="173"/>
        <v/>
      </c>
      <c r="AL170" s="115" t="str">
        <f t="shared" si="173"/>
        <v/>
      </c>
      <c r="AM170" s="115" t="str">
        <f t="shared" si="173"/>
        <v/>
      </c>
      <c r="AN170" s="115" t="str">
        <f t="shared" si="173"/>
        <v/>
      </c>
      <c r="AO170" s="115" t="str">
        <f t="shared" si="173"/>
        <v/>
      </c>
      <c r="AP170" s="117">
        <f>IF(AP$6="","",IF(AP$3="Maior",IFERROR(IF(VLOOKUP($N170,Capa!$A:$AE,AP$5,0)="",0,VLOOKUP($N170,Capa!$A:$AE,AP$5,0)),0),IF(ISERROR(1/VLOOKUP($N170,Capa!$A:$AE,AP$5,0)),0,1/VLOOKUP($N170,Capa!$A:$AE,AP$5,0))))</f>
        <v>0.05105338864</v>
      </c>
      <c r="AQ170" s="118">
        <f>IF(AQ$6="","",IF(AQ$3="Maior",IFERROR(IF(VLOOKUP($N170,Capa!$A:$AE,AQ$5,0)="",0,VLOOKUP($N170,Capa!$A:$AE,AQ$5,0)),0),IF(ISERROR(1/VLOOKUP($N170,Capa!$A:$AE,AQ$5,0)),0,1/VLOOKUP($N170,Capa!$A:$AE,AQ$5,0))))</f>
        <v>2.45</v>
      </c>
      <c r="AR170" s="118">
        <f>IF(AR$6="","",IF(AR$3="Maior",IFERROR(IF(VLOOKUP($N170,Capa!$A:$AE,AR$5,0)="",0,VLOOKUP($N170,Capa!$A:$AE,AR$5,0)),0),IF(ISERROR(1/VLOOKUP($N170,Capa!$A:$AE,AR$5,0)),0,1/VLOOKUP($N170,Capa!$A:$AE,AR$5,0))))</f>
        <v>0</v>
      </c>
      <c r="AS170" s="118" t="str">
        <f>IF(AS$6="","",IF(AS$3="Maior",IFERROR(IF(VLOOKUP($N170,Capa!$A:$AE,AS$5,0)="",0,VLOOKUP($N170,Capa!$A:$AE,AS$5,0)),0),IF(ISERROR(1/VLOOKUP($N170,Capa!$A:$AE,AS$5,0)),0,1/VLOOKUP($N170,Capa!$A:$AE,AS$5,0))))</f>
        <v/>
      </c>
      <c r="AT170" s="118" t="str">
        <f>IF(AT$6="","",IF(AT$3="Maior",IFERROR(IF(VLOOKUP($N170,Capa!$A:$AE,AT$5,0)="",0,VLOOKUP($N170,Capa!$A:$AE,AT$5,0)),0),IF(ISERROR(1/VLOOKUP($N170,Capa!$A:$AE,AT$5,0)),0,1/VLOOKUP($N170,Capa!$A:$AE,AT$5,0))))</f>
        <v/>
      </c>
      <c r="AU170" s="118" t="str">
        <f>IF(AU$6="","",IF(AU$3="Maior",IFERROR(IF(VLOOKUP($N170,Capa!$A:$AE,AU$5,0)="",0,VLOOKUP($N170,Capa!$A:$AE,AU$5,0)),0),IF(ISERROR(1/VLOOKUP($N170,Capa!$A:$AE,AU$5,0)),0,1/VLOOKUP($N170,Capa!$A:$AE,AU$5,0))))</f>
        <v/>
      </c>
      <c r="AV170" s="118" t="str">
        <f>IF(AV$6="","",IF(AV$3="Maior",IFERROR(IF(VLOOKUP($N170,Capa!$A:$AE,AV$5,0)="",0,VLOOKUP($N170,Capa!$A:$AE,AV$5,0)),0),IF(ISERROR(1/VLOOKUP($N170,Capa!$A:$AE,AV$5,0)),0,1/VLOOKUP($N170,Capa!$A:$AE,AV$5,0))))</f>
        <v/>
      </c>
      <c r="AW170" s="118" t="str">
        <f>IF(AW$6="","",IF(AW$3="Maior",IFERROR(IF(VLOOKUP($N170,Capa!$A:$AE,AW$5,0)="",0,VLOOKUP($N170,Capa!$A:$AE,AW$5,0)),0),IF(ISERROR(1/VLOOKUP($N170,Capa!$A:$AE,AW$5,0)),0,1/VLOOKUP($N170,Capa!$A:$AE,AW$5,0))))</f>
        <v/>
      </c>
      <c r="AX170" s="118" t="str">
        <f>IF(AX$6="","",IF(AX$3="Maior",IFERROR(IF(VLOOKUP($N170,Capa!$A:$AE,AX$5,0)="",0,VLOOKUP($N170,Capa!$A:$AE,AX$5,0)),0),IF(ISERROR(1/VLOOKUP($N170,Capa!$A:$AE,AX$5,0)),0,1/VLOOKUP($N170,Capa!$A:$AE,AX$5,0))))</f>
        <v/>
      </c>
      <c r="AY170" s="118" t="str">
        <f>IF(AY$6="","",IF(AY$3="Maior",IFERROR(IF(VLOOKUP($N170,Capa!$A:$AE,AY$5,0)="",0,VLOOKUP($N170,Capa!$A:$AE,AY$5,0)),0),IF(ISERROR(1/VLOOKUP($N170,Capa!$A:$AE,AY$5,0)),0,1/VLOOKUP($N170,Capa!$A:$AE,AY$5,0))))</f>
        <v/>
      </c>
      <c r="AZ170" s="118" t="str">
        <f>IF(AZ$6="","",IF(AZ$3="Maior",IFERROR(IF(VLOOKUP($N170,Capa!$A:$AE,AZ$5,0)="",0,VLOOKUP($N170,Capa!$A:$AE,AZ$5,0)),0),IF(ISERROR(1/VLOOKUP($N170,Capa!$A:$AE,AZ$5,0)),0,1/VLOOKUP($N170,Capa!$A:$AE,AZ$5,0))))</f>
        <v/>
      </c>
      <c r="BA170" s="118" t="str">
        <f>IF(BA$6="","",IF(BA$3="Maior",IFERROR(IF(VLOOKUP($N170,Capa!$A:$AE,BA$5,0)="",0,VLOOKUP($N170,Capa!$A:$AE,BA$5,0)),0),IF(ISERROR(1/VLOOKUP($N170,Capa!$A:$AE,BA$5,0)),0,1/VLOOKUP($N170,Capa!$A:$AE,BA$5,0))))</f>
        <v/>
      </c>
      <c r="BB170" s="118" t="str">
        <f>IF(BB$6="","",IF(BB$3="Maior",IFERROR(IF(VLOOKUP($N170,Capa!$A:$AE,BB$5,0)="",0,VLOOKUP($N170,Capa!$A:$AE,BB$5,0)),0),IF(ISERROR(1/VLOOKUP($N170,Capa!$A:$AE,BB$5,0)),0,1/VLOOKUP($N170,Capa!$A:$AE,BB$5,0))))</f>
        <v/>
      </c>
      <c r="BC170" s="118" t="str">
        <f>IF(BC$6="","",IF(BC$3="Maior",IFERROR(IF(VLOOKUP($N170,Capa!$A:$AE,BC$5,0)="",0,VLOOKUP($N170,Capa!$A:$AE,BC$5,0)),0),IF(ISERROR(1/VLOOKUP($N170,Capa!$A:$AE,BC$5,0)),0,1/VLOOKUP($N170,Capa!$A:$AE,BC$5,0))))</f>
        <v/>
      </c>
      <c r="BD170" s="118" t="str">
        <f>IF(BD$6="","",IF(BD$3="Maior",IFERROR(IF(VLOOKUP($N170,Capa!$A:$AE,BD$5,0)="",0,VLOOKUP($N170,Capa!$A:$AE,BD$5,0)),0),IF(ISERROR(1/VLOOKUP($N170,Capa!$A:$AE,BD$5,0)),0,1/VLOOKUP($N170,Capa!$A:$AE,BD$5,0))))</f>
        <v/>
      </c>
      <c r="BE170" s="118" t="str">
        <f>IF(BE$6="","",IF(BE$3="Maior",IFERROR(IF(VLOOKUP($N170,Capa!$A:$AE,BE$5,0)="",0,VLOOKUP($N170,Capa!$A:$AE,BE$5,0)),0),IF(ISERROR(1/VLOOKUP($N170,Capa!$A:$AE,BE$5,0)),0,1/VLOOKUP($N170,Capa!$A:$AE,BE$5,0))))</f>
        <v/>
      </c>
      <c r="BF170" s="118" t="str">
        <f>IF(BF$6="","",IF(BF$3="Maior",IFERROR(IF(VLOOKUP($N170,Capa!$A:$AE,BF$5,0)="",0,VLOOKUP($N170,Capa!$A:$AE,BF$5,0)),0),IF(ISERROR(1/VLOOKUP($N170,Capa!$A:$AE,BF$5,0)),0,1/VLOOKUP($N170,Capa!$A:$AE,BF$5,0))))</f>
        <v/>
      </c>
      <c r="BG170" s="118" t="str">
        <f>IF(BG$6="","",IF(BG$3="Maior",IFERROR(IF(VLOOKUP($N170,Capa!$A:$AE,BG$5,0)="",0,VLOOKUP($N170,Capa!$A:$AE,BG$5,0)),0),IF(ISERROR(1/VLOOKUP($N170,Capa!$A:$AE,BG$5,0)),0,1/VLOOKUP($N170,Capa!$A:$AE,BG$5,0))))</f>
        <v/>
      </c>
      <c r="BH170" s="118" t="str">
        <f>IF(BH$6="","",IF(BH$3="Maior",IFERROR(IF(VLOOKUP($N170,Capa!$A:$AE,BH$5,0)="",0,VLOOKUP($N170,Capa!$A:$AE,BH$5,0)),0),IF(ISERROR(1/VLOOKUP($N170,Capa!$A:$AE,BH$5,0)),0,1/VLOOKUP($N170,Capa!$A:$AE,BH$5,0))))</f>
        <v/>
      </c>
      <c r="BI170" s="118" t="str">
        <f>IF(BI$6="","",IF(BI$3="Maior",IFERROR(IF(VLOOKUP($N170,Capa!$A:$AE,BI$5,0)="",0,VLOOKUP($N170,Capa!$A:$AE,BI$5,0)),0),IF(ISERROR(1/VLOOKUP($N170,Capa!$A:$AE,BI$5,0)),0,1/VLOOKUP($N170,Capa!$A:$AE,BI$5,0))))</f>
        <v/>
      </c>
      <c r="BJ170" s="118" t="str">
        <f>IF(BJ$6="","",IF(BJ$3="Maior",IFERROR(IF(VLOOKUP($N170,Capa!$A:$AE,BJ$5,0)="",0,VLOOKUP($N170,Capa!$A:$AE,BJ$5,0)),0),IF(ISERROR(1/VLOOKUP($N170,Capa!$A:$AE,BJ$5,0)),0,1/VLOOKUP($N170,Capa!$A:$AE,BJ$5,0))))</f>
        <v/>
      </c>
      <c r="BK170" s="118" t="str">
        <f>IF(BK$6="","",IF(BK$3="Maior",IFERROR(IF(VLOOKUP($N170,Capa!$A:$AE,BK$5,0)="",0,VLOOKUP($N170,Capa!$A:$AE,BK$5,0)),0),IF(ISERROR(1/VLOOKUP($N170,Capa!$A:$AE,BK$5,0)),0,1/VLOOKUP($N170,Capa!$A:$AE,BK$5,0))))</f>
        <v/>
      </c>
      <c r="BL170" s="118" t="str">
        <f>IF(BL$6="","",IF(BL$3="Maior",IFERROR(IF(VLOOKUP($N170,Capa!$A:$AE,BL$5,0)="",0,VLOOKUP($N170,Capa!$A:$AE,BL$5,0)),0),IF(ISERROR(1/VLOOKUP($N170,Capa!$A:$AE,BL$5,0)),0,1/VLOOKUP($N170,Capa!$A:$AE,BL$5,0))))</f>
        <v/>
      </c>
      <c r="BM170" s="118" t="str">
        <f>IF(BM$6="","",IF(BM$3="Maior",IFERROR(IF(VLOOKUP($N170,Capa!$A:$AE,BM$5,0)="",0,VLOOKUP($N170,Capa!$A:$AE,BM$5,0)),0),IF(ISERROR(1/VLOOKUP($N170,Capa!$A:$AE,BM$5,0)),0,1/VLOOKUP($N170,Capa!$A:$AE,BM$5,0))))</f>
        <v/>
      </c>
      <c r="BN170" s="118" t="str">
        <f>IF(BN$6="","",IF(BN$3="Maior",IFERROR(IF(VLOOKUP($N170,Capa!$A:$AE,BN$5,0)="",0,VLOOKUP($N170,Capa!$A:$AE,BN$5,0)),0),IF(ISERROR(1/VLOOKUP($N170,Capa!$A:$AE,BN$5,0)),0,1/VLOOKUP($N170,Capa!$A:$AE,BN$5,0))))</f>
        <v/>
      </c>
      <c r="BO170" s="92"/>
    </row>
    <row r="171">
      <c r="G171" s="11"/>
      <c r="H171" s="8">
        <v>165.0</v>
      </c>
      <c r="I171" s="110" t="str">
        <f t="shared" si="6"/>
        <v>CEAB3</v>
      </c>
      <c r="J171" s="111" t="str">
        <f>VLOOKUP(left(I171,4),Setor!A:D,3,0)&amp;" | "&amp;VLOOKUP(left(I171,4),Setor!A:D,4,0)</f>
        <v>Consumo Cíclico | Comércio</v>
      </c>
      <c r="K171" s="112">
        <f t="shared" si="7"/>
        <v>17761586.5</v>
      </c>
      <c r="L171" s="11"/>
      <c r="M171" s="11"/>
      <c r="N171" s="10" t="s">
        <v>217</v>
      </c>
      <c r="O171" s="113">
        <f t="shared" si="8"/>
        <v>1060.0409</v>
      </c>
      <c r="P171" s="114">
        <f>VLOOKUP(N171,'Dados StatusInvest'!A:Z,26,0)</f>
        <v>21088137.54</v>
      </c>
      <c r="Q171" s="115">
        <f t="shared" si="9"/>
        <v>409.0409</v>
      </c>
      <c r="R171" s="116">
        <f t="shared" ref="R171:AO171" si="174">IF(AQ171="","", RANK(AQ171,AQ$7:AQ$503,0))</f>
        <v>432</v>
      </c>
      <c r="S171" s="115">
        <f t="shared" si="174"/>
        <v>219</v>
      </c>
      <c r="T171" s="115" t="str">
        <f t="shared" si="174"/>
        <v/>
      </c>
      <c r="U171" s="115" t="str">
        <f t="shared" si="174"/>
        <v/>
      </c>
      <c r="V171" s="115" t="str">
        <f t="shared" si="174"/>
        <v/>
      </c>
      <c r="W171" s="115" t="str">
        <f t="shared" si="174"/>
        <v/>
      </c>
      <c r="X171" s="115" t="str">
        <f t="shared" si="174"/>
        <v/>
      </c>
      <c r="Y171" s="115" t="str">
        <f t="shared" si="174"/>
        <v/>
      </c>
      <c r="Z171" s="115" t="str">
        <f t="shared" si="174"/>
        <v/>
      </c>
      <c r="AA171" s="115" t="str">
        <f t="shared" si="174"/>
        <v/>
      </c>
      <c r="AB171" s="115" t="str">
        <f t="shared" si="174"/>
        <v/>
      </c>
      <c r="AC171" s="115" t="str">
        <f t="shared" si="174"/>
        <v/>
      </c>
      <c r="AD171" s="115" t="str">
        <f t="shared" si="174"/>
        <v/>
      </c>
      <c r="AE171" s="115" t="str">
        <f t="shared" si="174"/>
        <v/>
      </c>
      <c r="AF171" s="115" t="str">
        <f t="shared" si="174"/>
        <v/>
      </c>
      <c r="AG171" s="115" t="str">
        <f t="shared" si="174"/>
        <v/>
      </c>
      <c r="AH171" s="115" t="str">
        <f t="shared" si="174"/>
        <v/>
      </c>
      <c r="AI171" s="115" t="str">
        <f t="shared" si="174"/>
        <v/>
      </c>
      <c r="AJ171" s="115" t="str">
        <f t="shared" si="174"/>
        <v/>
      </c>
      <c r="AK171" s="115" t="str">
        <f t="shared" si="174"/>
        <v/>
      </c>
      <c r="AL171" s="115" t="str">
        <f t="shared" si="174"/>
        <v/>
      </c>
      <c r="AM171" s="115" t="str">
        <f t="shared" si="174"/>
        <v/>
      </c>
      <c r="AN171" s="115" t="str">
        <f t="shared" si="174"/>
        <v/>
      </c>
      <c r="AO171" s="115" t="str">
        <f t="shared" si="174"/>
        <v/>
      </c>
      <c r="AP171" s="117">
        <f>IF(AP$6="","",IF(AP$3="Maior",IFERROR(IF(VLOOKUP($N171,Capa!$A:$AE,AP$5,0)="",0,VLOOKUP($N171,Capa!$A:$AE,AP$5,0)),0),IF(ISERROR(1/VLOOKUP($N171,Capa!$A:$AE,AP$5,0)),0,1/VLOOKUP($N171,Capa!$A:$AE,AP$5,0))))</f>
        <v>-0.002175033818</v>
      </c>
      <c r="AQ171" s="118">
        <f>IF(AQ$6="","",IF(AQ$3="Maior",IFERROR(IF(VLOOKUP($N171,Capa!$A:$AE,AQ$5,0)="",0,VLOOKUP($N171,Capa!$A:$AE,AQ$5,0)),0),IF(ISERROR(1/VLOOKUP($N171,Capa!$A:$AE,AQ$5,0)),0,1/VLOOKUP($N171,Capa!$A:$AE,AQ$5,0))))</f>
        <v>-0.68</v>
      </c>
      <c r="AR171" s="118">
        <f>IF(AR$6="","",IF(AR$3="Maior",IFERROR(IF(VLOOKUP($N171,Capa!$A:$AE,AR$5,0)="",0,VLOOKUP($N171,Capa!$A:$AE,AR$5,0)),0),IF(ISERROR(1/VLOOKUP($N171,Capa!$A:$AE,AR$5,0)),0,1/VLOOKUP($N171,Capa!$A:$AE,AR$5,0))))</f>
        <v>0</v>
      </c>
      <c r="AS171" s="118" t="str">
        <f>IF(AS$6="","",IF(AS$3="Maior",IFERROR(IF(VLOOKUP($N171,Capa!$A:$AE,AS$5,0)="",0,VLOOKUP($N171,Capa!$A:$AE,AS$5,0)),0),IF(ISERROR(1/VLOOKUP($N171,Capa!$A:$AE,AS$5,0)),0,1/VLOOKUP($N171,Capa!$A:$AE,AS$5,0))))</f>
        <v/>
      </c>
      <c r="AT171" s="118" t="str">
        <f>IF(AT$6="","",IF(AT$3="Maior",IFERROR(IF(VLOOKUP($N171,Capa!$A:$AE,AT$5,0)="",0,VLOOKUP($N171,Capa!$A:$AE,AT$5,0)),0),IF(ISERROR(1/VLOOKUP($N171,Capa!$A:$AE,AT$5,0)),0,1/VLOOKUP($N171,Capa!$A:$AE,AT$5,0))))</f>
        <v/>
      </c>
      <c r="AU171" s="118" t="str">
        <f>IF(AU$6="","",IF(AU$3="Maior",IFERROR(IF(VLOOKUP($N171,Capa!$A:$AE,AU$5,0)="",0,VLOOKUP($N171,Capa!$A:$AE,AU$5,0)),0),IF(ISERROR(1/VLOOKUP($N171,Capa!$A:$AE,AU$5,0)),0,1/VLOOKUP($N171,Capa!$A:$AE,AU$5,0))))</f>
        <v/>
      </c>
      <c r="AV171" s="118" t="str">
        <f>IF(AV$6="","",IF(AV$3="Maior",IFERROR(IF(VLOOKUP($N171,Capa!$A:$AE,AV$5,0)="",0,VLOOKUP($N171,Capa!$A:$AE,AV$5,0)),0),IF(ISERROR(1/VLOOKUP($N171,Capa!$A:$AE,AV$5,0)),0,1/VLOOKUP($N171,Capa!$A:$AE,AV$5,0))))</f>
        <v/>
      </c>
      <c r="AW171" s="118" t="str">
        <f>IF(AW$6="","",IF(AW$3="Maior",IFERROR(IF(VLOOKUP($N171,Capa!$A:$AE,AW$5,0)="",0,VLOOKUP($N171,Capa!$A:$AE,AW$5,0)),0),IF(ISERROR(1/VLOOKUP($N171,Capa!$A:$AE,AW$5,0)),0,1/VLOOKUP($N171,Capa!$A:$AE,AW$5,0))))</f>
        <v/>
      </c>
      <c r="AX171" s="118" t="str">
        <f>IF(AX$6="","",IF(AX$3="Maior",IFERROR(IF(VLOOKUP($N171,Capa!$A:$AE,AX$5,0)="",0,VLOOKUP($N171,Capa!$A:$AE,AX$5,0)),0),IF(ISERROR(1/VLOOKUP($N171,Capa!$A:$AE,AX$5,0)),0,1/VLOOKUP($N171,Capa!$A:$AE,AX$5,0))))</f>
        <v/>
      </c>
      <c r="AY171" s="118" t="str">
        <f>IF(AY$6="","",IF(AY$3="Maior",IFERROR(IF(VLOOKUP($N171,Capa!$A:$AE,AY$5,0)="",0,VLOOKUP($N171,Capa!$A:$AE,AY$5,0)),0),IF(ISERROR(1/VLOOKUP($N171,Capa!$A:$AE,AY$5,0)),0,1/VLOOKUP($N171,Capa!$A:$AE,AY$5,0))))</f>
        <v/>
      </c>
      <c r="AZ171" s="118" t="str">
        <f>IF(AZ$6="","",IF(AZ$3="Maior",IFERROR(IF(VLOOKUP($N171,Capa!$A:$AE,AZ$5,0)="",0,VLOOKUP($N171,Capa!$A:$AE,AZ$5,0)),0),IF(ISERROR(1/VLOOKUP($N171,Capa!$A:$AE,AZ$5,0)),0,1/VLOOKUP($N171,Capa!$A:$AE,AZ$5,0))))</f>
        <v/>
      </c>
      <c r="BA171" s="118" t="str">
        <f>IF(BA$6="","",IF(BA$3="Maior",IFERROR(IF(VLOOKUP($N171,Capa!$A:$AE,BA$5,0)="",0,VLOOKUP($N171,Capa!$A:$AE,BA$5,0)),0),IF(ISERROR(1/VLOOKUP($N171,Capa!$A:$AE,BA$5,0)),0,1/VLOOKUP($N171,Capa!$A:$AE,BA$5,0))))</f>
        <v/>
      </c>
      <c r="BB171" s="118" t="str">
        <f>IF(BB$6="","",IF(BB$3="Maior",IFERROR(IF(VLOOKUP($N171,Capa!$A:$AE,BB$5,0)="",0,VLOOKUP($N171,Capa!$A:$AE,BB$5,0)),0),IF(ISERROR(1/VLOOKUP($N171,Capa!$A:$AE,BB$5,0)),0,1/VLOOKUP($N171,Capa!$A:$AE,BB$5,0))))</f>
        <v/>
      </c>
      <c r="BC171" s="118" t="str">
        <f>IF(BC$6="","",IF(BC$3="Maior",IFERROR(IF(VLOOKUP($N171,Capa!$A:$AE,BC$5,0)="",0,VLOOKUP($N171,Capa!$A:$AE,BC$5,0)),0),IF(ISERROR(1/VLOOKUP($N171,Capa!$A:$AE,BC$5,0)),0,1/VLOOKUP($N171,Capa!$A:$AE,BC$5,0))))</f>
        <v/>
      </c>
      <c r="BD171" s="118" t="str">
        <f>IF(BD$6="","",IF(BD$3="Maior",IFERROR(IF(VLOOKUP($N171,Capa!$A:$AE,BD$5,0)="",0,VLOOKUP($N171,Capa!$A:$AE,BD$5,0)),0),IF(ISERROR(1/VLOOKUP($N171,Capa!$A:$AE,BD$5,0)),0,1/VLOOKUP($N171,Capa!$A:$AE,BD$5,0))))</f>
        <v/>
      </c>
      <c r="BE171" s="118" t="str">
        <f>IF(BE$6="","",IF(BE$3="Maior",IFERROR(IF(VLOOKUP($N171,Capa!$A:$AE,BE$5,0)="",0,VLOOKUP($N171,Capa!$A:$AE,BE$5,0)),0),IF(ISERROR(1/VLOOKUP($N171,Capa!$A:$AE,BE$5,0)),0,1/VLOOKUP($N171,Capa!$A:$AE,BE$5,0))))</f>
        <v/>
      </c>
      <c r="BF171" s="118" t="str">
        <f>IF(BF$6="","",IF(BF$3="Maior",IFERROR(IF(VLOOKUP($N171,Capa!$A:$AE,BF$5,0)="",0,VLOOKUP($N171,Capa!$A:$AE,BF$5,0)),0),IF(ISERROR(1/VLOOKUP($N171,Capa!$A:$AE,BF$5,0)),0,1/VLOOKUP($N171,Capa!$A:$AE,BF$5,0))))</f>
        <v/>
      </c>
      <c r="BG171" s="118" t="str">
        <f>IF(BG$6="","",IF(BG$3="Maior",IFERROR(IF(VLOOKUP($N171,Capa!$A:$AE,BG$5,0)="",0,VLOOKUP($N171,Capa!$A:$AE,BG$5,0)),0),IF(ISERROR(1/VLOOKUP($N171,Capa!$A:$AE,BG$5,0)),0,1/VLOOKUP($N171,Capa!$A:$AE,BG$5,0))))</f>
        <v/>
      </c>
      <c r="BH171" s="118" t="str">
        <f>IF(BH$6="","",IF(BH$3="Maior",IFERROR(IF(VLOOKUP($N171,Capa!$A:$AE,BH$5,0)="",0,VLOOKUP($N171,Capa!$A:$AE,BH$5,0)),0),IF(ISERROR(1/VLOOKUP($N171,Capa!$A:$AE,BH$5,0)),0,1/VLOOKUP($N171,Capa!$A:$AE,BH$5,0))))</f>
        <v/>
      </c>
      <c r="BI171" s="118" t="str">
        <f>IF(BI$6="","",IF(BI$3="Maior",IFERROR(IF(VLOOKUP($N171,Capa!$A:$AE,BI$5,0)="",0,VLOOKUP($N171,Capa!$A:$AE,BI$5,0)),0),IF(ISERROR(1/VLOOKUP($N171,Capa!$A:$AE,BI$5,0)),0,1/VLOOKUP($N171,Capa!$A:$AE,BI$5,0))))</f>
        <v/>
      </c>
      <c r="BJ171" s="118" t="str">
        <f>IF(BJ$6="","",IF(BJ$3="Maior",IFERROR(IF(VLOOKUP($N171,Capa!$A:$AE,BJ$5,0)="",0,VLOOKUP($N171,Capa!$A:$AE,BJ$5,0)),0),IF(ISERROR(1/VLOOKUP($N171,Capa!$A:$AE,BJ$5,0)),0,1/VLOOKUP($N171,Capa!$A:$AE,BJ$5,0))))</f>
        <v/>
      </c>
      <c r="BK171" s="118" t="str">
        <f>IF(BK$6="","",IF(BK$3="Maior",IFERROR(IF(VLOOKUP($N171,Capa!$A:$AE,BK$5,0)="",0,VLOOKUP($N171,Capa!$A:$AE,BK$5,0)),0),IF(ISERROR(1/VLOOKUP($N171,Capa!$A:$AE,BK$5,0)),0,1/VLOOKUP($N171,Capa!$A:$AE,BK$5,0))))</f>
        <v/>
      </c>
      <c r="BL171" s="118" t="str">
        <f>IF(BL$6="","",IF(BL$3="Maior",IFERROR(IF(VLOOKUP($N171,Capa!$A:$AE,BL$5,0)="",0,VLOOKUP($N171,Capa!$A:$AE,BL$5,0)),0),IF(ISERROR(1/VLOOKUP($N171,Capa!$A:$AE,BL$5,0)),0,1/VLOOKUP($N171,Capa!$A:$AE,BL$5,0))))</f>
        <v/>
      </c>
      <c r="BM171" s="118" t="str">
        <f>IF(BM$6="","",IF(BM$3="Maior",IFERROR(IF(VLOOKUP($N171,Capa!$A:$AE,BM$5,0)="",0,VLOOKUP($N171,Capa!$A:$AE,BM$5,0)),0),IF(ISERROR(1/VLOOKUP($N171,Capa!$A:$AE,BM$5,0)),0,1/VLOOKUP($N171,Capa!$A:$AE,BM$5,0))))</f>
        <v/>
      </c>
      <c r="BN171" s="118" t="str">
        <f>IF(BN$6="","",IF(BN$3="Maior",IFERROR(IF(VLOOKUP($N171,Capa!$A:$AE,BN$5,0)="",0,VLOOKUP($N171,Capa!$A:$AE,BN$5,0)),0),IF(ISERROR(1/VLOOKUP($N171,Capa!$A:$AE,BN$5,0)),0,1/VLOOKUP($N171,Capa!$A:$AE,BN$5,0))))</f>
        <v/>
      </c>
      <c r="BO171" s="92"/>
    </row>
    <row r="172">
      <c r="G172" s="11"/>
      <c r="H172" s="8">
        <v>166.0</v>
      </c>
      <c r="I172" s="110" t="str">
        <f t="shared" si="6"/>
        <v>SBFG3</v>
      </c>
      <c r="J172" s="111" t="str">
        <f>VLOOKUP(left(I172,4),Setor!A:D,3,0)&amp;" | "&amp;VLOOKUP(left(I172,4),Setor!A:D,4,0)</f>
        <v>#N/A</v>
      </c>
      <c r="K172" s="112">
        <f t="shared" si="7"/>
        <v>27439679.54</v>
      </c>
      <c r="L172" s="11"/>
      <c r="M172" s="11"/>
      <c r="N172" s="10" t="s">
        <v>218</v>
      </c>
      <c r="O172" s="113">
        <f t="shared" si="8"/>
        <v>353.0161</v>
      </c>
      <c r="P172" s="114">
        <f>VLOOKUP(N172,'Dados StatusInvest'!A:Z,26,0)</f>
        <v>23031667.46</v>
      </c>
      <c r="Q172" s="115">
        <f t="shared" si="9"/>
        <v>161.0161</v>
      </c>
      <c r="R172" s="116">
        <f t="shared" ref="R172:AO172" si="175">IF(AQ172="","", RANK(AQ172,AQ$7:AQ$503,0))</f>
        <v>182</v>
      </c>
      <c r="S172" s="115">
        <f t="shared" si="175"/>
        <v>10</v>
      </c>
      <c r="T172" s="115" t="str">
        <f t="shared" si="175"/>
        <v/>
      </c>
      <c r="U172" s="115" t="str">
        <f t="shared" si="175"/>
        <v/>
      </c>
      <c r="V172" s="115" t="str">
        <f t="shared" si="175"/>
        <v/>
      </c>
      <c r="W172" s="115" t="str">
        <f t="shared" si="175"/>
        <v/>
      </c>
      <c r="X172" s="115" t="str">
        <f t="shared" si="175"/>
        <v/>
      </c>
      <c r="Y172" s="115" t="str">
        <f t="shared" si="175"/>
        <v/>
      </c>
      <c r="Z172" s="115" t="str">
        <f t="shared" si="175"/>
        <v/>
      </c>
      <c r="AA172" s="115" t="str">
        <f t="shared" si="175"/>
        <v/>
      </c>
      <c r="AB172" s="115" t="str">
        <f t="shared" si="175"/>
        <v/>
      </c>
      <c r="AC172" s="115" t="str">
        <f t="shared" si="175"/>
        <v/>
      </c>
      <c r="AD172" s="115" t="str">
        <f t="shared" si="175"/>
        <v/>
      </c>
      <c r="AE172" s="115" t="str">
        <f t="shared" si="175"/>
        <v/>
      </c>
      <c r="AF172" s="115" t="str">
        <f t="shared" si="175"/>
        <v/>
      </c>
      <c r="AG172" s="115" t="str">
        <f t="shared" si="175"/>
        <v/>
      </c>
      <c r="AH172" s="115" t="str">
        <f t="shared" si="175"/>
        <v/>
      </c>
      <c r="AI172" s="115" t="str">
        <f t="shared" si="175"/>
        <v/>
      </c>
      <c r="AJ172" s="115" t="str">
        <f t="shared" si="175"/>
        <v/>
      </c>
      <c r="AK172" s="115" t="str">
        <f t="shared" si="175"/>
        <v/>
      </c>
      <c r="AL172" s="115" t="str">
        <f t="shared" si="175"/>
        <v/>
      </c>
      <c r="AM172" s="115" t="str">
        <f t="shared" si="175"/>
        <v/>
      </c>
      <c r="AN172" s="115" t="str">
        <f t="shared" si="175"/>
        <v/>
      </c>
      <c r="AO172" s="115" t="str">
        <f t="shared" si="175"/>
        <v/>
      </c>
      <c r="AP172" s="117">
        <f>IF(AP$6="","",IF(AP$3="Maior",IFERROR(IF(VLOOKUP($N172,Capa!$A:$AE,AP$5,0)="",0,VLOOKUP($N172,Capa!$A:$AE,AP$5,0)),0),IF(ISERROR(1/VLOOKUP($N172,Capa!$A:$AE,AP$5,0)),0,1/VLOOKUP($N172,Capa!$A:$AE,AP$5,0))))</f>
        <v>0.1267951891</v>
      </c>
      <c r="AQ172" s="118">
        <f>IF(AQ$6="","",IF(AQ$3="Maior",IFERROR(IF(VLOOKUP($N172,Capa!$A:$AE,AQ$5,0)="",0,VLOOKUP($N172,Capa!$A:$AE,AQ$5,0)),0),IF(ISERROR(1/VLOOKUP($N172,Capa!$A:$AE,AQ$5,0)),0,1/VLOOKUP($N172,Capa!$A:$AE,AQ$5,0))))</f>
        <v>12.3</v>
      </c>
      <c r="AR172" s="118">
        <f>IF(AR$6="","",IF(AR$3="Maior",IFERROR(IF(VLOOKUP($N172,Capa!$A:$AE,AR$5,0)="",0,VLOOKUP($N172,Capa!$A:$AE,AR$5,0)),0),IF(ISERROR(1/VLOOKUP($N172,Capa!$A:$AE,AR$5,0)),0,1/VLOOKUP($N172,Capa!$A:$AE,AR$5,0))))</f>
        <v>108.88</v>
      </c>
      <c r="AS172" s="118" t="str">
        <f>IF(AS$6="","",IF(AS$3="Maior",IFERROR(IF(VLOOKUP($N172,Capa!$A:$AE,AS$5,0)="",0,VLOOKUP($N172,Capa!$A:$AE,AS$5,0)),0),IF(ISERROR(1/VLOOKUP($N172,Capa!$A:$AE,AS$5,0)),0,1/VLOOKUP($N172,Capa!$A:$AE,AS$5,0))))</f>
        <v/>
      </c>
      <c r="AT172" s="118" t="str">
        <f>IF(AT$6="","",IF(AT$3="Maior",IFERROR(IF(VLOOKUP($N172,Capa!$A:$AE,AT$5,0)="",0,VLOOKUP($N172,Capa!$A:$AE,AT$5,0)),0),IF(ISERROR(1/VLOOKUP($N172,Capa!$A:$AE,AT$5,0)),0,1/VLOOKUP($N172,Capa!$A:$AE,AT$5,0))))</f>
        <v/>
      </c>
      <c r="AU172" s="118" t="str">
        <f>IF(AU$6="","",IF(AU$3="Maior",IFERROR(IF(VLOOKUP($N172,Capa!$A:$AE,AU$5,0)="",0,VLOOKUP($N172,Capa!$A:$AE,AU$5,0)),0),IF(ISERROR(1/VLOOKUP($N172,Capa!$A:$AE,AU$5,0)),0,1/VLOOKUP($N172,Capa!$A:$AE,AU$5,0))))</f>
        <v/>
      </c>
      <c r="AV172" s="118" t="str">
        <f>IF(AV$6="","",IF(AV$3="Maior",IFERROR(IF(VLOOKUP($N172,Capa!$A:$AE,AV$5,0)="",0,VLOOKUP($N172,Capa!$A:$AE,AV$5,0)),0),IF(ISERROR(1/VLOOKUP($N172,Capa!$A:$AE,AV$5,0)),0,1/VLOOKUP($N172,Capa!$A:$AE,AV$5,0))))</f>
        <v/>
      </c>
      <c r="AW172" s="118" t="str">
        <f>IF(AW$6="","",IF(AW$3="Maior",IFERROR(IF(VLOOKUP($N172,Capa!$A:$AE,AW$5,0)="",0,VLOOKUP($N172,Capa!$A:$AE,AW$5,0)),0),IF(ISERROR(1/VLOOKUP($N172,Capa!$A:$AE,AW$5,0)),0,1/VLOOKUP($N172,Capa!$A:$AE,AW$5,0))))</f>
        <v/>
      </c>
      <c r="AX172" s="118" t="str">
        <f>IF(AX$6="","",IF(AX$3="Maior",IFERROR(IF(VLOOKUP($N172,Capa!$A:$AE,AX$5,0)="",0,VLOOKUP($N172,Capa!$A:$AE,AX$5,0)),0),IF(ISERROR(1/VLOOKUP($N172,Capa!$A:$AE,AX$5,0)),0,1/VLOOKUP($N172,Capa!$A:$AE,AX$5,0))))</f>
        <v/>
      </c>
      <c r="AY172" s="118" t="str">
        <f>IF(AY$6="","",IF(AY$3="Maior",IFERROR(IF(VLOOKUP($N172,Capa!$A:$AE,AY$5,0)="",0,VLOOKUP($N172,Capa!$A:$AE,AY$5,0)),0),IF(ISERROR(1/VLOOKUP($N172,Capa!$A:$AE,AY$5,0)),0,1/VLOOKUP($N172,Capa!$A:$AE,AY$5,0))))</f>
        <v/>
      </c>
      <c r="AZ172" s="118" t="str">
        <f>IF(AZ$6="","",IF(AZ$3="Maior",IFERROR(IF(VLOOKUP($N172,Capa!$A:$AE,AZ$5,0)="",0,VLOOKUP($N172,Capa!$A:$AE,AZ$5,0)),0),IF(ISERROR(1/VLOOKUP($N172,Capa!$A:$AE,AZ$5,0)),0,1/VLOOKUP($N172,Capa!$A:$AE,AZ$5,0))))</f>
        <v/>
      </c>
      <c r="BA172" s="118" t="str">
        <f>IF(BA$6="","",IF(BA$3="Maior",IFERROR(IF(VLOOKUP($N172,Capa!$A:$AE,BA$5,0)="",0,VLOOKUP($N172,Capa!$A:$AE,BA$5,0)),0),IF(ISERROR(1/VLOOKUP($N172,Capa!$A:$AE,BA$5,0)),0,1/VLOOKUP($N172,Capa!$A:$AE,BA$5,0))))</f>
        <v/>
      </c>
      <c r="BB172" s="118" t="str">
        <f>IF(BB$6="","",IF(BB$3="Maior",IFERROR(IF(VLOOKUP($N172,Capa!$A:$AE,BB$5,0)="",0,VLOOKUP($N172,Capa!$A:$AE,BB$5,0)),0),IF(ISERROR(1/VLOOKUP($N172,Capa!$A:$AE,BB$5,0)),0,1/VLOOKUP($N172,Capa!$A:$AE,BB$5,0))))</f>
        <v/>
      </c>
      <c r="BC172" s="118" t="str">
        <f>IF(BC$6="","",IF(BC$3="Maior",IFERROR(IF(VLOOKUP($N172,Capa!$A:$AE,BC$5,0)="",0,VLOOKUP($N172,Capa!$A:$AE,BC$5,0)),0),IF(ISERROR(1/VLOOKUP($N172,Capa!$A:$AE,BC$5,0)),0,1/VLOOKUP($N172,Capa!$A:$AE,BC$5,0))))</f>
        <v/>
      </c>
      <c r="BD172" s="118" t="str">
        <f>IF(BD$6="","",IF(BD$3="Maior",IFERROR(IF(VLOOKUP($N172,Capa!$A:$AE,BD$5,0)="",0,VLOOKUP($N172,Capa!$A:$AE,BD$5,0)),0),IF(ISERROR(1/VLOOKUP($N172,Capa!$A:$AE,BD$5,0)),0,1/VLOOKUP($N172,Capa!$A:$AE,BD$5,0))))</f>
        <v/>
      </c>
      <c r="BE172" s="118" t="str">
        <f>IF(BE$6="","",IF(BE$3="Maior",IFERROR(IF(VLOOKUP($N172,Capa!$A:$AE,BE$5,0)="",0,VLOOKUP($N172,Capa!$A:$AE,BE$5,0)),0),IF(ISERROR(1/VLOOKUP($N172,Capa!$A:$AE,BE$5,0)),0,1/VLOOKUP($N172,Capa!$A:$AE,BE$5,0))))</f>
        <v/>
      </c>
      <c r="BF172" s="118" t="str">
        <f>IF(BF$6="","",IF(BF$3="Maior",IFERROR(IF(VLOOKUP($N172,Capa!$A:$AE,BF$5,0)="",0,VLOOKUP($N172,Capa!$A:$AE,BF$5,0)),0),IF(ISERROR(1/VLOOKUP($N172,Capa!$A:$AE,BF$5,0)),0,1/VLOOKUP($N172,Capa!$A:$AE,BF$5,0))))</f>
        <v/>
      </c>
      <c r="BG172" s="118" t="str">
        <f>IF(BG$6="","",IF(BG$3="Maior",IFERROR(IF(VLOOKUP($N172,Capa!$A:$AE,BG$5,0)="",0,VLOOKUP($N172,Capa!$A:$AE,BG$5,0)),0),IF(ISERROR(1/VLOOKUP($N172,Capa!$A:$AE,BG$5,0)),0,1/VLOOKUP($N172,Capa!$A:$AE,BG$5,0))))</f>
        <v/>
      </c>
      <c r="BH172" s="118" t="str">
        <f>IF(BH$6="","",IF(BH$3="Maior",IFERROR(IF(VLOOKUP($N172,Capa!$A:$AE,BH$5,0)="",0,VLOOKUP($N172,Capa!$A:$AE,BH$5,0)),0),IF(ISERROR(1/VLOOKUP($N172,Capa!$A:$AE,BH$5,0)),0,1/VLOOKUP($N172,Capa!$A:$AE,BH$5,0))))</f>
        <v/>
      </c>
      <c r="BI172" s="118" t="str">
        <f>IF(BI$6="","",IF(BI$3="Maior",IFERROR(IF(VLOOKUP($N172,Capa!$A:$AE,BI$5,0)="",0,VLOOKUP($N172,Capa!$A:$AE,BI$5,0)),0),IF(ISERROR(1/VLOOKUP($N172,Capa!$A:$AE,BI$5,0)),0,1/VLOOKUP($N172,Capa!$A:$AE,BI$5,0))))</f>
        <v/>
      </c>
      <c r="BJ172" s="118" t="str">
        <f>IF(BJ$6="","",IF(BJ$3="Maior",IFERROR(IF(VLOOKUP($N172,Capa!$A:$AE,BJ$5,0)="",0,VLOOKUP($N172,Capa!$A:$AE,BJ$5,0)),0),IF(ISERROR(1/VLOOKUP($N172,Capa!$A:$AE,BJ$5,0)),0,1/VLOOKUP($N172,Capa!$A:$AE,BJ$5,0))))</f>
        <v/>
      </c>
      <c r="BK172" s="118" t="str">
        <f>IF(BK$6="","",IF(BK$3="Maior",IFERROR(IF(VLOOKUP($N172,Capa!$A:$AE,BK$5,0)="",0,VLOOKUP($N172,Capa!$A:$AE,BK$5,0)),0),IF(ISERROR(1/VLOOKUP($N172,Capa!$A:$AE,BK$5,0)),0,1/VLOOKUP($N172,Capa!$A:$AE,BK$5,0))))</f>
        <v/>
      </c>
      <c r="BL172" s="118" t="str">
        <f>IF(BL$6="","",IF(BL$3="Maior",IFERROR(IF(VLOOKUP($N172,Capa!$A:$AE,BL$5,0)="",0,VLOOKUP($N172,Capa!$A:$AE,BL$5,0)),0),IF(ISERROR(1/VLOOKUP($N172,Capa!$A:$AE,BL$5,0)),0,1/VLOOKUP($N172,Capa!$A:$AE,BL$5,0))))</f>
        <v/>
      </c>
      <c r="BM172" s="118" t="str">
        <f>IF(BM$6="","",IF(BM$3="Maior",IFERROR(IF(VLOOKUP($N172,Capa!$A:$AE,BM$5,0)="",0,VLOOKUP($N172,Capa!$A:$AE,BM$5,0)),0),IF(ISERROR(1/VLOOKUP($N172,Capa!$A:$AE,BM$5,0)),0,1/VLOOKUP($N172,Capa!$A:$AE,BM$5,0))))</f>
        <v/>
      </c>
      <c r="BN172" s="118" t="str">
        <f>IF(BN$6="","",IF(BN$3="Maior",IFERROR(IF(VLOOKUP($N172,Capa!$A:$AE,BN$5,0)="",0,VLOOKUP($N172,Capa!$A:$AE,BN$5,0)),0),IF(ISERROR(1/VLOOKUP($N172,Capa!$A:$AE,BN$5,0)),0,1/VLOOKUP($N172,Capa!$A:$AE,BN$5,0))))</f>
        <v/>
      </c>
      <c r="BO172" s="92"/>
    </row>
    <row r="173">
      <c r="G173" s="11"/>
      <c r="H173" s="8">
        <v>167.0</v>
      </c>
      <c r="I173" s="110" t="str">
        <f t="shared" si="6"/>
        <v>CCRO3</v>
      </c>
      <c r="J173" s="111" t="str">
        <f>VLOOKUP(left(I173,4),Setor!A:D,3,0)&amp;" | "&amp;VLOOKUP(left(I173,4),Setor!A:D,4,0)</f>
        <v>Bens Industriais | Transporte</v>
      </c>
      <c r="K173" s="112">
        <f t="shared" si="7"/>
        <v>167890459.5</v>
      </c>
      <c r="L173" s="11"/>
      <c r="M173" s="11"/>
      <c r="N173" s="10" t="s">
        <v>219</v>
      </c>
      <c r="O173" s="113">
        <f t="shared" si="8"/>
        <v>438.01</v>
      </c>
      <c r="P173" s="114">
        <f>VLOOKUP(N173,'Dados StatusInvest'!A:Z,26,0)</f>
        <v>18024604.92</v>
      </c>
      <c r="Q173" s="115">
        <f t="shared" si="9"/>
        <v>100.01</v>
      </c>
      <c r="R173" s="116">
        <f t="shared" ref="R173:AO173" si="176">IF(AQ173="","", RANK(AQ173,AQ$7:AQ$503,0))</f>
        <v>198</v>
      </c>
      <c r="S173" s="115">
        <f t="shared" si="176"/>
        <v>140</v>
      </c>
      <c r="T173" s="115" t="str">
        <f t="shared" si="176"/>
        <v/>
      </c>
      <c r="U173" s="115" t="str">
        <f t="shared" si="176"/>
        <v/>
      </c>
      <c r="V173" s="115" t="str">
        <f t="shared" si="176"/>
        <v/>
      </c>
      <c r="W173" s="115" t="str">
        <f t="shared" si="176"/>
        <v/>
      </c>
      <c r="X173" s="115" t="str">
        <f t="shared" si="176"/>
        <v/>
      </c>
      <c r="Y173" s="115" t="str">
        <f t="shared" si="176"/>
        <v/>
      </c>
      <c r="Z173" s="115" t="str">
        <f t="shared" si="176"/>
        <v/>
      </c>
      <c r="AA173" s="115" t="str">
        <f t="shared" si="176"/>
        <v/>
      </c>
      <c r="AB173" s="115" t="str">
        <f t="shared" si="176"/>
        <v/>
      </c>
      <c r="AC173" s="115" t="str">
        <f t="shared" si="176"/>
        <v/>
      </c>
      <c r="AD173" s="115" t="str">
        <f t="shared" si="176"/>
        <v/>
      </c>
      <c r="AE173" s="115" t="str">
        <f t="shared" si="176"/>
        <v/>
      </c>
      <c r="AF173" s="115" t="str">
        <f t="shared" si="176"/>
        <v/>
      </c>
      <c r="AG173" s="115" t="str">
        <f t="shared" si="176"/>
        <v/>
      </c>
      <c r="AH173" s="115" t="str">
        <f t="shared" si="176"/>
        <v/>
      </c>
      <c r="AI173" s="115" t="str">
        <f t="shared" si="176"/>
        <v/>
      </c>
      <c r="AJ173" s="115" t="str">
        <f t="shared" si="176"/>
        <v/>
      </c>
      <c r="AK173" s="115" t="str">
        <f t="shared" si="176"/>
        <v/>
      </c>
      <c r="AL173" s="115" t="str">
        <f t="shared" si="176"/>
        <v/>
      </c>
      <c r="AM173" s="115" t="str">
        <f t="shared" si="176"/>
        <v/>
      </c>
      <c r="AN173" s="115" t="str">
        <f t="shared" si="176"/>
        <v/>
      </c>
      <c r="AO173" s="115" t="str">
        <f t="shared" si="176"/>
        <v/>
      </c>
      <c r="AP173" s="117">
        <f>IF(AP$6="","",IF(AP$3="Maior",IFERROR(IF(VLOOKUP($N173,Capa!$A:$AE,AP$5,0)="",0,VLOOKUP($N173,Capa!$A:$AE,AP$5,0)),0),IF(ISERROR(1/VLOOKUP($N173,Capa!$A:$AE,AP$5,0)),0,1/VLOOKUP($N173,Capa!$A:$AE,AP$5,0))))</f>
        <v>0.187680173</v>
      </c>
      <c r="AQ173" s="118">
        <f>IF(AQ$6="","",IF(AQ$3="Maior",IFERROR(IF(VLOOKUP($N173,Capa!$A:$AE,AQ$5,0)="",0,VLOOKUP($N173,Capa!$A:$AE,AQ$5,0)),0),IF(ISERROR(1/VLOOKUP($N173,Capa!$A:$AE,AQ$5,0)),0,1/VLOOKUP($N173,Capa!$A:$AE,AQ$5,0))))</f>
        <v>11.19</v>
      </c>
      <c r="AR173" s="118">
        <f>IF(AR$6="","",IF(AR$3="Maior",IFERROR(IF(VLOOKUP($N173,Capa!$A:$AE,AR$5,0)="",0,VLOOKUP($N173,Capa!$A:$AE,AR$5,0)),0),IF(ISERROR(1/VLOOKUP($N173,Capa!$A:$AE,AR$5,0)),0,1/VLOOKUP($N173,Capa!$A:$AE,AR$5,0))))</f>
        <v>18.72</v>
      </c>
      <c r="AS173" s="118" t="str">
        <f>IF(AS$6="","",IF(AS$3="Maior",IFERROR(IF(VLOOKUP($N173,Capa!$A:$AE,AS$5,0)="",0,VLOOKUP($N173,Capa!$A:$AE,AS$5,0)),0),IF(ISERROR(1/VLOOKUP($N173,Capa!$A:$AE,AS$5,0)),0,1/VLOOKUP($N173,Capa!$A:$AE,AS$5,0))))</f>
        <v/>
      </c>
      <c r="AT173" s="118" t="str">
        <f>IF(AT$6="","",IF(AT$3="Maior",IFERROR(IF(VLOOKUP($N173,Capa!$A:$AE,AT$5,0)="",0,VLOOKUP($N173,Capa!$A:$AE,AT$5,0)),0),IF(ISERROR(1/VLOOKUP($N173,Capa!$A:$AE,AT$5,0)),0,1/VLOOKUP($N173,Capa!$A:$AE,AT$5,0))))</f>
        <v/>
      </c>
      <c r="AU173" s="118" t="str">
        <f>IF(AU$6="","",IF(AU$3="Maior",IFERROR(IF(VLOOKUP($N173,Capa!$A:$AE,AU$5,0)="",0,VLOOKUP($N173,Capa!$A:$AE,AU$5,0)),0),IF(ISERROR(1/VLOOKUP($N173,Capa!$A:$AE,AU$5,0)),0,1/VLOOKUP($N173,Capa!$A:$AE,AU$5,0))))</f>
        <v/>
      </c>
      <c r="AV173" s="118" t="str">
        <f>IF(AV$6="","",IF(AV$3="Maior",IFERROR(IF(VLOOKUP($N173,Capa!$A:$AE,AV$5,0)="",0,VLOOKUP($N173,Capa!$A:$AE,AV$5,0)),0),IF(ISERROR(1/VLOOKUP($N173,Capa!$A:$AE,AV$5,0)),0,1/VLOOKUP($N173,Capa!$A:$AE,AV$5,0))))</f>
        <v/>
      </c>
      <c r="AW173" s="118" t="str">
        <f>IF(AW$6="","",IF(AW$3="Maior",IFERROR(IF(VLOOKUP($N173,Capa!$A:$AE,AW$5,0)="",0,VLOOKUP($N173,Capa!$A:$AE,AW$5,0)),0),IF(ISERROR(1/VLOOKUP($N173,Capa!$A:$AE,AW$5,0)),0,1/VLOOKUP($N173,Capa!$A:$AE,AW$5,0))))</f>
        <v/>
      </c>
      <c r="AX173" s="118" t="str">
        <f>IF(AX$6="","",IF(AX$3="Maior",IFERROR(IF(VLOOKUP($N173,Capa!$A:$AE,AX$5,0)="",0,VLOOKUP($N173,Capa!$A:$AE,AX$5,0)),0),IF(ISERROR(1/VLOOKUP($N173,Capa!$A:$AE,AX$5,0)),0,1/VLOOKUP($N173,Capa!$A:$AE,AX$5,0))))</f>
        <v/>
      </c>
      <c r="AY173" s="118" t="str">
        <f>IF(AY$6="","",IF(AY$3="Maior",IFERROR(IF(VLOOKUP($N173,Capa!$A:$AE,AY$5,0)="",0,VLOOKUP($N173,Capa!$A:$AE,AY$5,0)),0),IF(ISERROR(1/VLOOKUP($N173,Capa!$A:$AE,AY$5,0)),0,1/VLOOKUP($N173,Capa!$A:$AE,AY$5,0))))</f>
        <v/>
      </c>
      <c r="AZ173" s="118" t="str">
        <f>IF(AZ$6="","",IF(AZ$3="Maior",IFERROR(IF(VLOOKUP($N173,Capa!$A:$AE,AZ$5,0)="",0,VLOOKUP($N173,Capa!$A:$AE,AZ$5,0)),0),IF(ISERROR(1/VLOOKUP($N173,Capa!$A:$AE,AZ$5,0)),0,1/VLOOKUP($N173,Capa!$A:$AE,AZ$5,0))))</f>
        <v/>
      </c>
      <c r="BA173" s="118" t="str">
        <f>IF(BA$6="","",IF(BA$3="Maior",IFERROR(IF(VLOOKUP($N173,Capa!$A:$AE,BA$5,0)="",0,VLOOKUP($N173,Capa!$A:$AE,BA$5,0)),0),IF(ISERROR(1/VLOOKUP($N173,Capa!$A:$AE,BA$5,0)),0,1/VLOOKUP($N173,Capa!$A:$AE,BA$5,0))))</f>
        <v/>
      </c>
      <c r="BB173" s="118" t="str">
        <f>IF(BB$6="","",IF(BB$3="Maior",IFERROR(IF(VLOOKUP($N173,Capa!$A:$AE,BB$5,0)="",0,VLOOKUP($N173,Capa!$A:$AE,BB$5,0)),0),IF(ISERROR(1/VLOOKUP($N173,Capa!$A:$AE,BB$5,0)),0,1/VLOOKUP($N173,Capa!$A:$AE,BB$5,0))))</f>
        <v/>
      </c>
      <c r="BC173" s="118" t="str">
        <f>IF(BC$6="","",IF(BC$3="Maior",IFERROR(IF(VLOOKUP($N173,Capa!$A:$AE,BC$5,0)="",0,VLOOKUP($N173,Capa!$A:$AE,BC$5,0)),0),IF(ISERROR(1/VLOOKUP($N173,Capa!$A:$AE,BC$5,0)),0,1/VLOOKUP($N173,Capa!$A:$AE,BC$5,0))))</f>
        <v/>
      </c>
      <c r="BD173" s="118" t="str">
        <f>IF(BD$6="","",IF(BD$3="Maior",IFERROR(IF(VLOOKUP($N173,Capa!$A:$AE,BD$5,0)="",0,VLOOKUP($N173,Capa!$A:$AE,BD$5,0)),0),IF(ISERROR(1/VLOOKUP($N173,Capa!$A:$AE,BD$5,0)),0,1/VLOOKUP($N173,Capa!$A:$AE,BD$5,0))))</f>
        <v/>
      </c>
      <c r="BE173" s="118" t="str">
        <f>IF(BE$6="","",IF(BE$3="Maior",IFERROR(IF(VLOOKUP($N173,Capa!$A:$AE,BE$5,0)="",0,VLOOKUP($N173,Capa!$A:$AE,BE$5,0)),0),IF(ISERROR(1/VLOOKUP($N173,Capa!$A:$AE,BE$5,0)),0,1/VLOOKUP($N173,Capa!$A:$AE,BE$5,0))))</f>
        <v/>
      </c>
      <c r="BF173" s="118" t="str">
        <f>IF(BF$6="","",IF(BF$3="Maior",IFERROR(IF(VLOOKUP($N173,Capa!$A:$AE,BF$5,0)="",0,VLOOKUP($N173,Capa!$A:$AE,BF$5,0)),0),IF(ISERROR(1/VLOOKUP($N173,Capa!$A:$AE,BF$5,0)),0,1/VLOOKUP($N173,Capa!$A:$AE,BF$5,0))))</f>
        <v/>
      </c>
      <c r="BG173" s="118" t="str">
        <f>IF(BG$6="","",IF(BG$3="Maior",IFERROR(IF(VLOOKUP($N173,Capa!$A:$AE,BG$5,0)="",0,VLOOKUP($N173,Capa!$A:$AE,BG$5,0)),0),IF(ISERROR(1/VLOOKUP($N173,Capa!$A:$AE,BG$5,0)),0,1/VLOOKUP($N173,Capa!$A:$AE,BG$5,0))))</f>
        <v/>
      </c>
      <c r="BH173" s="118" t="str">
        <f>IF(BH$6="","",IF(BH$3="Maior",IFERROR(IF(VLOOKUP($N173,Capa!$A:$AE,BH$5,0)="",0,VLOOKUP($N173,Capa!$A:$AE,BH$5,0)),0),IF(ISERROR(1/VLOOKUP($N173,Capa!$A:$AE,BH$5,0)),0,1/VLOOKUP($N173,Capa!$A:$AE,BH$5,0))))</f>
        <v/>
      </c>
      <c r="BI173" s="118" t="str">
        <f>IF(BI$6="","",IF(BI$3="Maior",IFERROR(IF(VLOOKUP($N173,Capa!$A:$AE,BI$5,0)="",0,VLOOKUP($N173,Capa!$A:$AE,BI$5,0)),0),IF(ISERROR(1/VLOOKUP($N173,Capa!$A:$AE,BI$5,0)),0,1/VLOOKUP($N173,Capa!$A:$AE,BI$5,0))))</f>
        <v/>
      </c>
      <c r="BJ173" s="118" t="str">
        <f>IF(BJ$6="","",IF(BJ$3="Maior",IFERROR(IF(VLOOKUP($N173,Capa!$A:$AE,BJ$5,0)="",0,VLOOKUP($N173,Capa!$A:$AE,BJ$5,0)),0),IF(ISERROR(1/VLOOKUP($N173,Capa!$A:$AE,BJ$5,0)),0,1/VLOOKUP($N173,Capa!$A:$AE,BJ$5,0))))</f>
        <v/>
      </c>
      <c r="BK173" s="118" t="str">
        <f>IF(BK$6="","",IF(BK$3="Maior",IFERROR(IF(VLOOKUP($N173,Capa!$A:$AE,BK$5,0)="",0,VLOOKUP($N173,Capa!$A:$AE,BK$5,0)),0),IF(ISERROR(1/VLOOKUP($N173,Capa!$A:$AE,BK$5,0)),0,1/VLOOKUP($N173,Capa!$A:$AE,BK$5,0))))</f>
        <v/>
      </c>
      <c r="BL173" s="118" t="str">
        <f>IF(BL$6="","",IF(BL$3="Maior",IFERROR(IF(VLOOKUP($N173,Capa!$A:$AE,BL$5,0)="",0,VLOOKUP($N173,Capa!$A:$AE,BL$5,0)),0),IF(ISERROR(1/VLOOKUP($N173,Capa!$A:$AE,BL$5,0)),0,1/VLOOKUP($N173,Capa!$A:$AE,BL$5,0))))</f>
        <v/>
      </c>
      <c r="BM173" s="118" t="str">
        <f>IF(BM$6="","",IF(BM$3="Maior",IFERROR(IF(VLOOKUP($N173,Capa!$A:$AE,BM$5,0)="",0,VLOOKUP($N173,Capa!$A:$AE,BM$5,0)),0),IF(ISERROR(1/VLOOKUP($N173,Capa!$A:$AE,BM$5,0)),0,1/VLOOKUP($N173,Capa!$A:$AE,BM$5,0))))</f>
        <v/>
      </c>
      <c r="BN173" s="118" t="str">
        <f>IF(BN$6="","",IF(BN$3="Maior",IFERROR(IF(VLOOKUP($N173,Capa!$A:$AE,BN$5,0)="",0,VLOOKUP($N173,Capa!$A:$AE,BN$5,0)),0),IF(ISERROR(1/VLOOKUP($N173,Capa!$A:$AE,BN$5,0)),0,1/VLOOKUP($N173,Capa!$A:$AE,BN$5,0))))</f>
        <v/>
      </c>
      <c r="BO173" s="92"/>
    </row>
    <row r="174">
      <c r="G174" s="11"/>
      <c r="H174" s="8">
        <v>168.0</v>
      </c>
      <c r="I174" s="110" t="str">
        <f t="shared" si="6"/>
        <v>SOMA3</v>
      </c>
      <c r="J174" s="111" t="str">
        <f>VLOOKUP(left(I174,4),Setor!A:D,3,0)&amp;" | "&amp;VLOOKUP(left(I174,4),Setor!A:D,4,0)</f>
        <v>Consumo Cíclico | Comércio</v>
      </c>
      <c r="K174" s="112">
        <f t="shared" si="7"/>
        <v>87878739.54</v>
      </c>
      <c r="L174" s="11"/>
      <c r="M174" s="11"/>
      <c r="N174" s="10" t="s">
        <v>220</v>
      </c>
      <c r="O174" s="113">
        <f t="shared" si="8"/>
        <v>437.009</v>
      </c>
      <c r="P174" s="114">
        <f>VLOOKUP(N174,'Dados StatusInvest'!A:Z,26,0)</f>
        <v>14418567.5</v>
      </c>
      <c r="Q174" s="115">
        <f t="shared" si="9"/>
        <v>90.009</v>
      </c>
      <c r="R174" s="116">
        <f t="shared" ref="R174:AO174" si="177">IF(AQ174="","", RANK(AQ174,AQ$7:AQ$503,0))</f>
        <v>128</v>
      </c>
      <c r="S174" s="115">
        <f t="shared" si="177"/>
        <v>219</v>
      </c>
      <c r="T174" s="115" t="str">
        <f t="shared" si="177"/>
        <v/>
      </c>
      <c r="U174" s="115" t="str">
        <f t="shared" si="177"/>
        <v/>
      </c>
      <c r="V174" s="115" t="str">
        <f t="shared" si="177"/>
        <v/>
      </c>
      <c r="W174" s="115" t="str">
        <f t="shared" si="177"/>
        <v/>
      </c>
      <c r="X174" s="115" t="str">
        <f t="shared" si="177"/>
        <v/>
      </c>
      <c r="Y174" s="115" t="str">
        <f t="shared" si="177"/>
        <v/>
      </c>
      <c r="Z174" s="115" t="str">
        <f t="shared" si="177"/>
        <v/>
      </c>
      <c r="AA174" s="115" t="str">
        <f t="shared" si="177"/>
        <v/>
      </c>
      <c r="AB174" s="115" t="str">
        <f t="shared" si="177"/>
        <v/>
      </c>
      <c r="AC174" s="115" t="str">
        <f t="shared" si="177"/>
        <v/>
      </c>
      <c r="AD174" s="115" t="str">
        <f t="shared" si="177"/>
        <v/>
      </c>
      <c r="AE174" s="115" t="str">
        <f t="shared" si="177"/>
        <v/>
      </c>
      <c r="AF174" s="115" t="str">
        <f t="shared" si="177"/>
        <v/>
      </c>
      <c r="AG174" s="115" t="str">
        <f t="shared" si="177"/>
        <v/>
      </c>
      <c r="AH174" s="115" t="str">
        <f t="shared" si="177"/>
        <v/>
      </c>
      <c r="AI174" s="115" t="str">
        <f t="shared" si="177"/>
        <v/>
      </c>
      <c r="AJ174" s="115" t="str">
        <f t="shared" si="177"/>
        <v/>
      </c>
      <c r="AK174" s="115" t="str">
        <f t="shared" si="177"/>
        <v/>
      </c>
      <c r="AL174" s="115" t="str">
        <f t="shared" si="177"/>
        <v/>
      </c>
      <c r="AM174" s="115" t="str">
        <f t="shared" si="177"/>
        <v/>
      </c>
      <c r="AN174" s="115" t="str">
        <f t="shared" si="177"/>
        <v/>
      </c>
      <c r="AO174" s="115" t="str">
        <f t="shared" si="177"/>
        <v/>
      </c>
      <c r="AP174" s="117">
        <f>IF(AP$6="","",IF(AP$3="Maior",IFERROR(IF(VLOOKUP($N174,Capa!$A:$AE,AP$5,0)="",0,VLOOKUP($N174,Capa!$A:$AE,AP$5,0)),0),IF(ISERROR(1/VLOOKUP($N174,Capa!$A:$AE,AP$5,0)),0,1/VLOOKUP($N174,Capa!$A:$AE,AP$5,0))))</f>
        <v>0.2056171856</v>
      </c>
      <c r="AQ174" s="118">
        <f>IF(AQ$6="","",IF(AQ$3="Maior",IFERROR(IF(VLOOKUP($N174,Capa!$A:$AE,AQ$5,0)="",0,VLOOKUP($N174,Capa!$A:$AE,AQ$5,0)),0),IF(ISERROR(1/VLOOKUP($N174,Capa!$A:$AE,AQ$5,0)),0,1/VLOOKUP($N174,Capa!$A:$AE,AQ$5,0))))</f>
        <v>15.25</v>
      </c>
      <c r="AR174" s="118">
        <f>IF(AR$6="","",IF(AR$3="Maior",IFERROR(IF(VLOOKUP($N174,Capa!$A:$AE,AR$5,0)="",0,VLOOKUP($N174,Capa!$A:$AE,AR$5,0)),0),IF(ISERROR(1/VLOOKUP($N174,Capa!$A:$AE,AR$5,0)),0,1/VLOOKUP($N174,Capa!$A:$AE,AR$5,0))))</f>
        <v>0</v>
      </c>
      <c r="AS174" s="118" t="str">
        <f>IF(AS$6="","",IF(AS$3="Maior",IFERROR(IF(VLOOKUP($N174,Capa!$A:$AE,AS$5,0)="",0,VLOOKUP($N174,Capa!$A:$AE,AS$5,0)),0),IF(ISERROR(1/VLOOKUP($N174,Capa!$A:$AE,AS$5,0)),0,1/VLOOKUP($N174,Capa!$A:$AE,AS$5,0))))</f>
        <v/>
      </c>
      <c r="AT174" s="118" t="str">
        <f>IF(AT$6="","",IF(AT$3="Maior",IFERROR(IF(VLOOKUP($N174,Capa!$A:$AE,AT$5,0)="",0,VLOOKUP($N174,Capa!$A:$AE,AT$5,0)),0),IF(ISERROR(1/VLOOKUP($N174,Capa!$A:$AE,AT$5,0)),0,1/VLOOKUP($N174,Capa!$A:$AE,AT$5,0))))</f>
        <v/>
      </c>
      <c r="AU174" s="118" t="str">
        <f>IF(AU$6="","",IF(AU$3="Maior",IFERROR(IF(VLOOKUP($N174,Capa!$A:$AE,AU$5,0)="",0,VLOOKUP($N174,Capa!$A:$AE,AU$5,0)),0),IF(ISERROR(1/VLOOKUP($N174,Capa!$A:$AE,AU$5,0)),0,1/VLOOKUP($N174,Capa!$A:$AE,AU$5,0))))</f>
        <v/>
      </c>
      <c r="AV174" s="118" t="str">
        <f>IF(AV$6="","",IF(AV$3="Maior",IFERROR(IF(VLOOKUP($N174,Capa!$A:$AE,AV$5,0)="",0,VLOOKUP($N174,Capa!$A:$AE,AV$5,0)),0),IF(ISERROR(1/VLOOKUP($N174,Capa!$A:$AE,AV$5,0)),0,1/VLOOKUP($N174,Capa!$A:$AE,AV$5,0))))</f>
        <v/>
      </c>
      <c r="AW174" s="118" t="str">
        <f>IF(AW$6="","",IF(AW$3="Maior",IFERROR(IF(VLOOKUP($N174,Capa!$A:$AE,AW$5,0)="",0,VLOOKUP($N174,Capa!$A:$AE,AW$5,0)),0),IF(ISERROR(1/VLOOKUP($N174,Capa!$A:$AE,AW$5,0)),0,1/VLOOKUP($N174,Capa!$A:$AE,AW$5,0))))</f>
        <v/>
      </c>
      <c r="AX174" s="118" t="str">
        <f>IF(AX$6="","",IF(AX$3="Maior",IFERROR(IF(VLOOKUP($N174,Capa!$A:$AE,AX$5,0)="",0,VLOOKUP($N174,Capa!$A:$AE,AX$5,0)),0),IF(ISERROR(1/VLOOKUP($N174,Capa!$A:$AE,AX$5,0)),0,1/VLOOKUP($N174,Capa!$A:$AE,AX$5,0))))</f>
        <v/>
      </c>
      <c r="AY174" s="118" t="str">
        <f>IF(AY$6="","",IF(AY$3="Maior",IFERROR(IF(VLOOKUP($N174,Capa!$A:$AE,AY$5,0)="",0,VLOOKUP($N174,Capa!$A:$AE,AY$5,0)),0),IF(ISERROR(1/VLOOKUP($N174,Capa!$A:$AE,AY$5,0)),0,1/VLOOKUP($N174,Capa!$A:$AE,AY$5,0))))</f>
        <v/>
      </c>
      <c r="AZ174" s="118" t="str">
        <f>IF(AZ$6="","",IF(AZ$3="Maior",IFERROR(IF(VLOOKUP($N174,Capa!$A:$AE,AZ$5,0)="",0,VLOOKUP($N174,Capa!$A:$AE,AZ$5,0)),0),IF(ISERROR(1/VLOOKUP($N174,Capa!$A:$AE,AZ$5,0)),0,1/VLOOKUP($N174,Capa!$A:$AE,AZ$5,0))))</f>
        <v/>
      </c>
      <c r="BA174" s="118" t="str">
        <f>IF(BA$6="","",IF(BA$3="Maior",IFERROR(IF(VLOOKUP($N174,Capa!$A:$AE,BA$5,0)="",0,VLOOKUP($N174,Capa!$A:$AE,BA$5,0)),0),IF(ISERROR(1/VLOOKUP($N174,Capa!$A:$AE,BA$5,0)),0,1/VLOOKUP($N174,Capa!$A:$AE,BA$5,0))))</f>
        <v/>
      </c>
      <c r="BB174" s="118" t="str">
        <f>IF(BB$6="","",IF(BB$3="Maior",IFERROR(IF(VLOOKUP($N174,Capa!$A:$AE,BB$5,0)="",0,VLOOKUP($N174,Capa!$A:$AE,BB$5,0)),0),IF(ISERROR(1/VLOOKUP($N174,Capa!$A:$AE,BB$5,0)),0,1/VLOOKUP($N174,Capa!$A:$AE,BB$5,0))))</f>
        <v/>
      </c>
      <c r="BC174" s="118" t="str">
        <f>IF(BC$6="","",IF(BC$3="Maior",IFERROR(IF(VLOOKUP($N174,Capa!$A:$AE,BC$5,0)="",0,VLOOKUP($N174,Capa!$A:$AE,BC$5,0)),0),IF(ISERROR(1/VLOOKUP($N174,Capa!$A:$AE,BC$5,0)),0,1/VLOOKUP($N174,Capa!$A:$AE,BC$5,0))))</f>
        <v/>
      </c>
      <c r="BD174" s="118" t="str">
        <f>IF(BD$6="","",IF(BD$3="Maior",IFERROR(IF(VLOOKUP($N174,Capa!$A:$AE,BD$5,0)="",0,VLOOKUP($N174,Capa!$A:$AE,BD$5,0)),0),IF(ISERROR(1/VLOOKUP($N174,Capa!$A:$AE,BD$5,0)),0,1/VLOOKUP($N174,Capa!$A:$AE,BD$5,0))))</f>
        <v/>
      </c>
      <c r="BE174" s="118" t="str">
        <f>IF(BE$6="","",IF(BE$3="Maior",IFERROR(IF(VLOOKUP($N174,Capa!$A:$AE,BE$5,0)="",0,VLOOKUP($N174,Capa!$A:$AE,BE$5,0)),0),IF(ISERROR(1/VLOOKUP($N174,Capa!$A:$AE,BE$5,0)),0,1/VLOOKUP($N174,Capa!$A:$AE,BE$5,0))))</f>
        <v/>
      </c>
      <c r="BF174" s="118" t="str">
        <f>IF(BF$6="","",IF(BF$3="Maior",IFERROR(IF(VLOOKUP($N174,Capa!$A:$AE,BF$5,0)="",0,VLOOKUP($N174,Capa!$A:$AE,BF$5,0)),0),IF(ISERROR(1/VLOOKUP($N174,Capa!$A:$AE,BF$5,0)),0,1/VLOOKUP($N174,Capa!$A:$AE,BF$5,0))))</f>
        <v/>
      </c>
      <c r="BG174" s="118" t="str">
        <f>IF(BG$6="","",IF(BG$3="Maior",IFERROR(IF(VLOOKUP($N174,Capa!$A:$AE,BG$5,0)="",0,VLOOKUP($N174,Capa!$A:$AE,BG$5,0)),0),IF(ISERROR(1/VLOOKUP($N174,Capa!$A:$AE,BG$5,0)),0,1/VLOOKUP($N174,Capa!$A:$AE,BG$5,0))))</f>
        <v/>
      </c>
      <c r="BH174" s="118" t="str">
        <f>IF(BH$6="","",IF(BH$3="Maior",IFERROR(IF(VLOOKUP($N174,Capa!$A:$AE,BH$5,0)="",0,VLOOKUP($N174,Capa!$A:$AE,BH$5,0)),0),IF(ISERROR(1/VLOOKUP($N174,Capa!$A:$AE,BH$5,0)),0,1/VLOOKUP($N174,Capa!$A:$AE,BH$5,0))))</f>
        <v/>
      </c>
      <c r="BI174" s="118" t="str">
        <f>IF(BI$6="","",IF(BI$3="Maior",IFERROR(IF(VLOOKUP($N174,Capa!$A:$AE,BI$5,0)="",0,VLOOKUP($N174,Capa!$A:$AE,BI$5,0)),0),IF(ISERROR(1/VLOOKUP($N174,Capa!$A:$AE,BI$5,0)),0,1/VLOOKUP($N174,Capa!$A:$AE,BI$5,0))))</f>
        <v/>
      </c>
      <c r="BJ174" s="118" t="str">
        <f>IF(BJ$6="","",IF(BJ$3="Maior",IFERROR(IF(VLOOKUP($N174,Capa!$A:$AE,BJ$5,0)="",0,VLOOKUP($N174,Capa!$A:$AE,BJ$5,0)),0),IF(ISERROR(1/VLOOKUP($N174,Capa!$A:$AE,BJ$5,0)),0,1/VLOOKUP($N174,Capa!$A:$AE,BJ$5,0))))</f>
        <v/>
      </c>
      <c r="BK174" s="118" t="str">
        <f>IF(BK$6="","",IF(BK$3="Maior",IFERROR(IF(VLOOKUP($N174,Capa!$A:$AE,BK$5,0)="",0,VLOOKUP($N174,Capa!$A:$AE,BK$5,0)),0),IF(ISERROR(1/VLOOKUP($N174,Capa!$A:$AE,BK$5,0)),0,1/VLOOKUP($N174,Capa!$A:$AE,BK$5,0))))</f>
        <v/>
      </c>
      <c r="BL174" s="118" t="str">
        <f>IF(BL$6="","",IF(BL$3="Maior",IFERROR(IF(VLOOKUP($N174,Capa!$A:$AE,BL$5,0)="",0,VLOOKUP($N174,Capa!$A:$AE,BL$5,0)),0),IF(ISERROR(1/VLOOKUP($N174,Capa!$A:$AE,BL$5,0)),0,1/VLOOKUP($N174,Capa!$A:$AE,BL$5,0))))</f>
        <v/>
      </c>
      <c r="BM174" s="118" t="str">
        <f>IF(BM$6="","",IF(BM$3="Maior",IFERROR(IF(VLOOKUP($N174,Capa!$A:$AE,BM$5,0)="",0,VLOOKUP($N174,Capa!$A:$AE,BM$5,0)),0),IF(ISERROR(1/VLOOKUP($N174,Capa!$A:$AE,BM$5,0)),0,1/VLOOKUP($N174,Capa!$A:$AE,BM$5,0))))</f>
        <v/>
      </c>
      <c r="BN174" s="118" t="str">
        <f>IF(BN$6="","",IF(BN$3="Maior",IFERROR(IF(VLOOKUP($N174,Capa!$A:$AE,BN$5,0)="",0,VLOOKUP($N174,Capa!$A:$AE,BN$5,0)),0),IF(ISERROR(1/VLOOKUP($N174,Capa!$A:$AE,BN$5,0)),0,1/VLOOKUP($N174,Capa!$A:$AE,BN$5,0))))</f>
        <v/>
      </c>
      <c r="BO174" s="92"/>
    </row>
    <row r="175">
      <c r="G175" s="11"/>
      <c r="H175" s="8">
        <v>169.0</v>
      </c>
      <c r="I175" s="110" t="str">
        <f t="shared" si="6"/>
        <v>CASH3</v>
      </c>
      <c r="J175" s="111" t="str">
        <f>VLOOKUP(left(I175,4),Setor!A:D,3,0)&amp;" | "&amp;VLOOKUP(left(I175,4),Setor!A:D,4,0)</f>
        <v>Tecnologia da Informação | Programas e Serviços</v>
      </c>
      <c r="K175" s="112">
        <f t="shared" si="7"/>
        <v>337927346.8</v>
      </c>
      <c r="L175" s="11"/>
      <c r="M175" s="11"/>
      <c r="N175" s="10" t="s">
        <v>221</v>
      </c>
      <c r="O175" s="113">
        <f t="shared" si="8"/>
        <v>857.0348</v>
      </c>
      <c r="P175" s="114">
        <f>VLOOKUP(N175,'Dados StatusInvest'!A:Z,26,0)</f>
        <v>18700907.96</v>
      </c>
      <c r="Q175" s="115">
        <f t="shared" si="9"/>
        <v>348.0348</v>
      </c>
      <c r="R175" s="116">
        <f t="shared" ref="R175:AO175" si="178">IF(AQ175="","", RANK(AQ175,AQ$7:AQ$503,0))</f>
        <v>290</v>
      </c>
      <c r="S175" s="115">
        <f t="shared" si="178"/>
        <v>219</v>
      </c>
      <c r="T175" s="115" t="str">
        <f t="shared" si="178"/>
        <v/>
      </c>
      <c r="U175" s="115" t="str">
        <f t="shared" si="178"/>
        <v/>
      </c>
      <c r="V175" s="115" t="str">
        <f t="shared" si="178"/>
        <v/>
      </c>
      <c r="W175" s="115" t="str">
        <f t="shared" si="178"/>
        <v/>
      </c>
      <c r="X175" s="115" t="str">
        <f t="shared" si="178"/>
        <v/>
      </c>
      <c r="Y175" s="115" t="str">
        <f t="shared" si="178"/>
        <v/>
      </c>
      <c r="Z175" s="115" t="str">
        <f t="shared" si="178"/>
        <v/>
      </c>
      <c r="AA175" s="115" t="str">
        <f t="shared" si="178"/>
        <v/>
      </c>
      <c r="AB175" s="115" t="str">
        <f t="shared" si="178"/>
        <v/>
      </c>
      <c r="AC175" s="115" t="str">
        <f t="shared" si="178"/>
        <v/>
      </c>
      <c r="AD175" s="115" t="str">
        <f t="shared" si="178"/>
        <v/>
      </c>
      <c r="AE175" s="115" t="str">
        <f t="shared" si="178"/>
        <v/>
      </c>
      <c r="AF175" s="115" t="str">
        <f t="shared" si="178"/>
        <v/>
      </c>
      <c r="AG175" s="115" t="str">
        <f t="shared" si="178"/>
        <v/>
      </c>
      <c r="AH175" s="115" t="str">
        <f t="shared" si="178"/>
        <v/>
      </c>
      <c r="AI175" s="115" t="str">
        <f t="shared" si="178"/>
        <v/>
      </c>
      <c r="AJ175" s="115" t="str">
        <f t="shared" si="178"/>
        <v/>
      </c>
      <c r="AK175" s="115" t="str">
        <f t="shared" si="178"/>
        <v/>
      </c>
      <c r="AL175" s="115" t="str">
        <f t="shared" si="178"/>
        <v/>
      </c>
      <c r="AM175" s="115" t="str">
        <f t="shared" si="178"/>
        <v/>
      </c>
      <c r="AN175" s="115" t="str">
        <f t="shared" si="178"/>
        <v/>
      </c>
      <c r="AO175" s="115" t="str">
        <f t="shared" si="178"/>
        <v/>
      </c>
      <c r="AP175" s="117">
        <f>IF(AP$6="","",IF(AP$3="Maior",IFERROR(IF(VLOOKUP($N175,Capa!$A:$AE,AP$5,0)="",0,VLOOKUP($N175,Capa!$A:$AE,AP$5,0)),0),IF(ISERROR(1/VLOOKUP($N175,Capa!$A:$AE,AP$5,0)),0,1/VLOOKUP($N175,Capa!$A:$AE,AP$5,0))))</f>
        <v>0.0321122844</v>
      </c>
      <c r="AQ175" s="118">
        <f>IF(AQ$6="","",IF(AQ$3="Maior",IFERROR(IF(VLOOKUP($N175,Capa!$A:$AE,AQ$5,0)="",0,VLOOKUP($N175,Capa!$A:$AE,AQ$5,0)),0),IF(ISERROR(1/VLOOKUP($N175,Capa!$A:$AE,AQ$5,0)),0,1/VLOOKUP($N175,Capa!$A:$AE,AQ$5,0))))</f>
        <v>5.45</v>
      </c>
      <c r="AR175" s="118">
        <f>IF(AR$6="","",IF(AR$3="Maior",IFERROR(IF(VLOOKUP($N175,Capa!$A:$AE,AR$5,0)="",0,VLOOKUP($N175,Capa!$A:$AE,AR$5,0)),0),IF(ISERROR(1/VLOOKUP($N175,Capa!$A:$AE,AR$5,0)),0,1/VLOOKUP($N175,Capa!$A:$AE,AR$5,0))))</f>
        <v>0</v>
      </c>
      <c r="AS175" s="118" t="str">
        <f>IF(AS$6="","",IF(AS$3="Maior",IFERROR(IF(VLOOKUP($N175,Capa!$A:$AE,AS$5,0)="",0,VLOOKUP($N175,Capa!$A:$AE,AS$5,0)),0),IF(ISERROR(1/VLOOKUP($N175,Capa!$A:$AE,AS$5,0)),0,1/VLOOKUP($N175,Capa!$A:$AE,AS$5,0))))</f>
        <v/>
      </c>
      <c r="AT175" s="118" t="str">
        <f>IF(AT$6="","",IF(AT$3="Maior",IFERROR(IF(VLOOKUP($N175,Capa!$A:$AE,AT$5,0)="",0,VLOOKUP($N175,Capa!$A:$AE,AT$5,0)),0),IF(ISERROR(1/VLOOKUP($N175,Capa!$A:$AE,AT$5,0)),0,1/VLOOKUP($N175,Capa!$A:$AE,AT$5,0))))</f>
        <v/>
      </c>
      <c r="AU175" s="118" t="str">
        <f>IF(AU$6="","",IF(AU$3="Maior",IFERROR(IF(VLOOKUP($N175,Capa!$A:$AE,AU$5,0)="",0,VLOOKUP($N175,Capa!$A:$AE,AU$5,0)),0),IF(ISERROR(1/VLOOKUP($N175,Capa!$A:$AE,AU$5,0)),0,1/VLOOKUP($N175,Capa!$A:$AE,AU$5,0))))</f>
        <v/>
      </c>
      <c r="AV175" s="118" t="str">
        <f>IF(AV$6="","",IF(AV$3="Maior",IFERROR(IF(VLOOKUP($N175,Capa!$A:$AE,AV$5,0)="",0,VLOOKUP($N175,Capa!$A:$AE,AV$5,0)),0),IF(ISERROR(1/VLOOKUP($N175,Capa!$A:$AE,AV$5,0)),0,1/VLOOKUP($N175,Capa!$A:$AE,AV$5,0))))</f>
        <v/>
      </c>
      <c r="AW175" s="118" t="str">
        <f>IF(AW$6="","",IF(AW$3="Maior",IFERROR(IF(VLOOKUP($N175,Capa!$A:$AE,AW$5,0)="",0,VLOOKUP($N175,Capa!$A:$AE,AW$5,0)),0),IF(ISERROR(1/VLOOKUP($N175,Capa!$A:$AE,AW$5,0)),0,1/VLOOKUP($N175,Capa!$A:$AE,AW$5,0))))</f>
        <v/>
      </c>
      <c r="AX175" s="118" t="str">
        <f>IF(AX$6="","",IF(AX$3="Maior",IFERROR(IF(VLOOKUP($N175,Capa!$A:$AE,AX$5,0)="",0,VLOOKUP($N175,Capa!$A:$AE,AX$5,0)),0),IF(ISERROR(1/VLOOKUP($N175,Capa!$A:$AE,AX$5,0)),0,1/VLOOKUP($N175,Capa!$A:$AE,AX$5,0))))</f>
        <v/>
      </c>
      <c r="AY175" s="118" t="str">
        <f>IF(AY$6="","",IF(AY$3="Maior",IFERROR(IF(VLOOKUP($N175,Capa!$A:$AE,AY$5,0)="",0,VLOOKUP($N175,Capa!$A:$AE,AY$5,0)),0),IF(ISERROR(1/VLOOKUP($N175,Capa!$A:$AE,AY$5,0)),0,1/VLOOKUP($N175,Capa!$A:$AE,AY$5,0))))</f>
        <v/>
      </c>
      <c r="AZ175" s="118" t="str">
        <f>IF(AZ$6="","",IF(AZ$3="Maior",IFERROR(IF(VLOOKUP($N175,Capa!$A:$AE,AZ$5,0)="",0,VLOOKUP($N175,Capa!$A:$AE,AZ$5,0)),0),IF(ISERROR(1/VLOOKUP($N175,Capa!$A:$AE,AZ$5,0)),0,1/VLOOKUP($N175,Capa!$A:$AE,AZ$5,0))))</f>
        <v/>
      </c>
      <c r="BA175" s="118" t="str">
        <f>IF(BA$6="","",IF(BA$3="Maior",IFERROR(IF(VLOOKUP($N175,Capa!$A:$AE,BA$5,0)="",0,VLOOKUP($N175,Capa!$A:$AE,BA$5,0)),0),IF(ISERROR(1/VLOOKUP($N175,Capa!$A:$AE,BA$5,0)),0,1/VLOOKUP($N175,Capa!$A:$AE,BA$5,0))))</f>
        <v/>
      </c>
      <c r="BB175" s="118" t="str">
        <f>IF(BB$6="","",IF(BB$3="Maior",IFERROR(IF(VLOOKUP($N175,Capa!$A:$AE,BB$5,0)="",0,VLOOKUP($N175,Capa!$A:$AE,BB$5,0)),0),IF(ISERROR(1/VLOOKUP($N175,Capa!$A:$AE,BB$5,0)),0,1/VLOOKUP($N175,Capa!$A:$AE,BB$5,0))))</f>
        <v/>
      </c>
      <c r="BC175" s="118" t="str">
        <f>IF(BC$6="","",IF(BC$3="Maior",IFERROR(IF(VLOOKUP($N175,Capa!$A:$AE,BC$5,0)="",0,VLOOKUP($N175,Capa!$A:$AE,BC$5,0)),0),IF(ISERROR(1/VLOOKUP($N175,Capa!$A:$AE,BC$5,0)),0,1/VLOOKUP($N175,Capa!$A:$AE,BC$5,0))))</f>
        <v/>
      </c>
      <c r="BD175" s="118" t="str">
        <f>IF(BD$6="","",IF(BD$3="Maior",IFERROR(IF(VLOOKUP($N175,Capa!$A:$AE,BD$5,0)="",0,VLOOKUP($N175,Capa!$A:$AE,BD$5,0)),0),IF(ISERROR(1/VLOOKUP($N175,Capa!$A:$AE,BD$5,0)),0,1/VLOOKUP($N175,Capa!$A:$AE,BD$5,0))))</f>
        <v/>
      </c>
      <c r="BE175" s="118" t="str">
        <f>IF(BE$6="","",IF(BE$3="Maior",IFERROR(IF(VLOOKUP($N175,Capa!$A:$AE,BE$5,0)="",0,VLOOKUP($N175,Capa!$A:$AE,BE$5,0)),0),IF(ISERROR(1/VLOOKUP($N175,Capa!$A:$AE,BE$5,0)),0,1/VLOOKUP($N175,Capa!$A:$AE,BE$5,0))))</f>
        <v/>
      </c>
      <c r="BF175" s="118" t="str">
        <f>IF(BF$6="","",IF(BF$3="Maior",IFERROR(IF(VLOOKUP($N175,Capa!$A:$AE,BF$5,0)="",0,VLOOKUP($N175,Capa!$A:$AE,BF$5,0)),0),IF(ISERROR(1/VLOOKUP($N175,Capa!$A:$AE,BF$5,0)),0,1/VLOOKUP($N175,Capa!$A:$AE,BF$5,0))))</f>
        <v/>
      </c>
      <c r="BG175" s="118" t="str">
        <f>IF(BG$6="","",IF(BG$3="Maior",IFERROR(IF(VLOOKUP($N175,Capa!$A:$AE,BG$5,0)="",0,VLOOKUP($N175,Capa!$A:$AE,BG$5,0)),0),IF(ISERROR(1/VLOOKUP($N175,Capa!$A:$AE,BG$5,0)),0,1/VLOOKUP($N175,Capa!$A:$AE,BG$5,0))))</f>
        <v/>
      </c>
      <c r="BH175" s="118" t="str">
        <f>IF(BH$6="","",IF(BH$3="Maior",IFERROR(IF(VLOOKUP($N175,Capa!$A:$AE,BH$5,0)="",0,VLOOKUP($N175,Capa!$A:$AE,BH$5,0)),0),IF(ISERROR(1/VLOOKUP($N175,Capa!$A:$AE,BH$5,0)),0,1/VLOOKUP($N175,Capa!$A:$AE,BH$5,0))))</f>
        <v/>
      </c>
      <c r="BI175" s="118" t="str">
        <f>IF(BI$6="","",IF(BI$3="Maior",IFERROR(IF(VLOOKUP($N175,Capa!$A:$AE,BI$5,0)="",0,VLOOKUP($N175,Capa!$A:$AE,BI$5,0)),0),IF(ISERROR(1/VLOOKUP($N175,Capa!$A:$AE,BI$5,0)),0,1/VLOOKUP($N175,Capa!$A:$AE,BI$5,0))))</f>
        <v/>
      </c>
      <c r="BJ175" s="118" t="str">
        <f>IF(BJ$6="","",IF(BJ$3="Maior",IFERROR(IF(VLOOKUP($N175,Capa!$A:$AE,BJ$5,0)="",0,VLOOKUP($N175,Capa!$A:$AE,BJ$5,0)),0),IF(ISERROR(1/VLOOKUP($N175,Capa!$A:$AE,BJ$5,0)),0,1/VLOOKUP($N175,Capa!$A:$AE,BJ$5,0))))</f>
        <v/>
      </c>
      <c r="BK175" s="118" t="str">
        <f>IF(BK$6="","",IF(BK$3="Maior",IFERROR(IF(VLOOKUP($N175,Capa!$A:$AE,BK$5,0)="",0,VLOOKUP($N175,Capa!$A:$AE,BK$5,0)),0),IF(ISERROR(1/VLOOKUP($N175,Capa!$A:$AE,BK$5,0)),0,1/VLOOKUP($N175,Capa!$A:$AE,BK$5,0))))</f>
        <v/>
      </c>
      <c r="BL175" s="118" t="str">
        <f>IF(BL$6="","",IF(BL$3="Maior",IFERROR(IF(VLOOKUP($N175,Capa!$A:$AE,BL$5,0)="",0,VLOOKUP($N175,Capa!$A:$AE,BL$5,0)),0),IF(ISERROR(1/VLOOKUP($N175,Capa!$A:$AE,BL$5,0)),0,1/VLOOKUP($N175,Capa!$A:$AE,BL$5,0))))</f>
        <v/>
      </c>
      <c r="BM175" s="118" t="str">
        <f>IF(BM$6="","",IF(BM$3="Maior",IFERROR(IF(VLOOKUP($N175,Capa!$A:$AE,BM$5,0)="",0,VLOOKUP($N175,Capa!$A:$AE,BM$5,0)),0),IF(ISERROR(1/VLOOKUP($N175,Capa!$A:$AE,BM$5,0)),0,1/VLOOKUP($N175,Capa!$A:$AE,BM$5,0))))</f>
        <v/>
      </c>
      <c r="BN175" s="118" t="str">
        <f>IF(BN$6="","",IF(BN$3="Maior",IFERROR(IF(VLOOKUP($N175,Capa!$A:$AE,BN$5,0)="",0,VLOOKUP($N175,Capa!$A:$AE,BN$5,0)),0),IF(ISERROR(1/VLOOKUP($N175,Capa!$A:$AE,BN$5,0)),0,1/VLOOKUP($N175,Capa!$A:$AE,BN$5,0))))</f>
        <v/>
      </c>
      <c r="BO175" s="92"/>
    </row>
    <row r="176">
      <c r="G176" s="11"/>
      <c r="H176" s="8">
        <v>170.0</v>
      </c>
      <c r="I176" s="110" t="str">
        <f t="shared" si="6"/>
        <v>AMER3</v>
      </c>
      <c r="J176" s="111" t="str">
        <f>VLOOKUP(left(I176,4),Setor!A:D,3,0)&amp;" | "&amp;VLOOKUP(left(I176,4),Setor!A:D,4,0)</f>
        <v>#N/A</v>
      </c>
      <c r="K176" s="112">
        <f t="shared" si="7"/>
        <v>210764110.9</v>
      </c>
      <c r="L176" s="11"/>
      <c r="M176" s="11"/>
      <c r="N176" s="10" t="s">
        <v>222</v>
      </c>
      <c r="O176" s="113">
        <f t="shared" si="8"/>
        <v>669.026</v>
      </c>
      <c r="P176" s="114">
        <f>VLOOKUP(N176,'Dados StatusInvest'!A:Z,26,0)</f>
        <v>24679520.42</v>
      </c>
      <c r="Q176" s="115">
        <f t="shared" si="9"/>
        <v>260.026</v>
      </c>
      <c r="R176" s="116">
        <f t="shared" ref="R176:AO176" si="179">IF(AQ176="","", RANK(AQ176,AQ$7:AQ$503,0))</f>
        <v>190</v>
      </c>
      <c r="S176" s="115">
        <f t="shared" si="179"/>
        <v>219</v>
      </c>
      <c r="T176" s="115" t="str">
        <f t="shared" si="179"/>
        <v/>
      </c>
      <c r="U176" s="115" t="str">
        <f t="shared" si="179"/>
        <v/>
      </c>
      <c r="V176" s="115" t="str">
        <f t="shared" si="179"/>
        <v/>
      </c>
      <c r="W176" s="115" t="str">
        <f t="shared" si="179"/>
        <v/>
      </c>
      <c r="X176" s="115" t="str">
        <f t="shared" si="179"/>
        <v/>
      </c>
      <c r="Y176" s="115" t="str">
        <f t="shared" si="179"/>
        <v/>
      </c>
      <c r="Z176" s="115" t="str">
        <f t="shared" si="179"/>
        <v/>
      </c>
      <c r="AA176" s="115" t="str">
        <f t="shared" si="179"/>
        <v/>
      </c>
      <c r="AB176" s="115" t="str">
        <f t="shared" si="179"/>
        <v/>
      </c>
      <c r="AC176" s="115" t="str">
        <f t="shared" si="179"/>
        <v/>
      </c>
      <c r="AD176" s="115" t="str">
        <f t="shared" si="179"/>
        <v/>
      </c>
      <c r="AE176" s="115" t="str">
        <f t="shared" si="179"/>
        <v/>
      </c>
      <c r="AF176" s="115" t="str">
        <f t="shared" si="179"/>
        <v/>
      </c>
      <c r="AG176" s="115" t="str">
        <f t="shared" si="179"/>
        <v/>
      </c>
      <c r="AH176" s="115" t="str">
        <f t="shared" si="179"/>
        <v/>
      </c>
      <c r="AI176" s="115" t="str">
        <f t="shared" si="179"/>
        <v/>
      </c>
      <c r="AJ176" s="115" t="str">
        <f t="shared" si="179"/>
        <v/>
      </c>
      <c r="AK176" s="115" t="str">
        <f t="shared" si="179"/>
        <v/>
      </c>
      <c r="AL176" s="115" t="str">
        <f t="shared" si="179"/>
        <v/>
      </c>
      <c r="AM176" s="115" t="str">
        <f t="shared" si="179"/>
        <v/>
      </c>
      <c r="AN176" s="115" t="str">
        <f t="shared" si="179"/>
        <v/>
      </c>
      <c r="AO176" s="115" t="str">
        <f t="shared" si="179"/>
        <v/>
      </c>
      <c r="AP176" s="117">
        <f>IF(AP$6="","",IF(AP$3="Maior",IFERROR(IF(VLOOKUP($N176,Capa!$A:$AE,AP$5,0)="",0,VLOOKUP($N176,Capa!$A:$AE,AP$5,0)),0),IF(ISERROR(1/VLOOKUP($N176,Capa!$A:$AE,AP$5,0)),0,1/VLOOKUP($N176,Capa!$A:$AE,AP$5,0))))</f>
        <v>0.07485405466</v>
      </c>
      <c r="AQ176" s="118">
        <f>IF(AQ$6="","",IF(AQ$3="Maior",IFERROR(IF(VLOOKUP($N176,Capa!$A:$AE,AQ$5,0)="",0,VLOOKUP($N176,Capa!$A:$AE,AQ$5,0)),0),IF(ISERROR(1/VLOOKUP($N176,Capa!$A:$AE,AQ$5,0)),0,1/VLOOKUP($N176,Capa!$A:$AE,AQ$5,0))))</f>
        <v>11.5</v>
      </c>
      <c r="AR176" s="118">
        <f>IF(AR$6="","",IF(AR$3="Maior",IFERROR(IF(VLOOKUP($N176,Capa!$A:$AE,AR$5,0)="",0,VLOOKUP($N176,Capa!$A:$AE,AR$5,0)),0),IF(ISERROR(1/VLOOKUP($N176,Capa!$A:$AE,AR$5,0)),0,1/VLOOKUP($N176,Capa!$A:$AE,AR$5,0))))</f>
        <v>0</v>
      </c>
      <c r="AS176" s="118" t="str">
        <f>IF(AS$6="","",IF(AS$3="Maior",IFERROR(IF(VLOOKUP($N176,Capa!$A:$AE,AS$5,0)="",0,VLOOKUP($N176,Capa!$A:$AE,AS$5,0)),0),IF(ISERROR(1/VLOOKUP($N176,Capa!$A:$AE,AS$5,0)),0,1/VLOOKUP($N176,Capa!$A:$AE,AS$5,0))))</f>
        <v/>
      </c>
      <c r="AT176" s="118" t="str">
        <f>IF(AT$6="","",IF(AT$3="Maior",IFERROR(IF(VLOOKUP($N176,Capa!$A:$AE,AT$5,0)="",0,VLOOKUP($N176,Capa!$A:$AE,AT$5,0)),0),IF(ISERROR(1/VLOOKUP($N176,Capa!$A:$AE,AT$5,0)),0,1/VLOOKUP($N176,Capa!$A:$AE,AT$5,0))))</f>
        <v/>
      </c>
      <c r="AU176" s="118" t="str">
        <f>IF(AU$6="","",IF(AU$3="Maior",IFERROR(IF(VLOOKUP($N176,Capa!$A:$AE,AU$5,0)="",0,VLOOKUP($N176,Capa!$A:$AE,AU$5,0)),0),IF(ISERROR(1/VLOOKUP($N176,Capa!$A:$AE,AU$5,0)),0,1/VLOOKUP($N176,Capa!$A:$AE,AU$5,0))))</f>
        <v/>
      </c>
      <c r="AV176" s="118" t="str">
        <f>IF(AV$6="","",IF(AV$3="Maior",IFERROR(IF(VLOOKUP($N176,Capa!$A:$AE,AV$5,0)="",0,VLOOKUP($N176,Capa!$A:$AE,AV$5,0)),0),IF(ISERROR(1/VLOOKUP($N176,Capa!$A:$AE,AV$5,0)),0,1/VLOOKUP($N176,Capa!$A:$AE,AV$5,0))))</f>
        <v/>
      </c>
      <c r="AW176" s="118" t="str">
        <f>IF(AW$6="","",IF(AW$3="Maior",IFERROR(IF(VLOOKUP($N176,Capa!$A:$AE,AW$5,0)="",0,VLOOKUP($N176,Capa!$A:$AE,AW$5,0)),0),IF(ISERROR(1/VLOOKUP($N176,Capa!$A:$AE,AW$5,0)),0,1/VLOOKUP($N176,Capa!$A:$AE,AW$5,0))))</f>
        <v/>
      </c>
      <c r="AX176" s="118" t="str">
        <f>IF(AX$6="","",IF(AX$3="Maior",IFERROR(IF(VLOOKUP($N176,Capa!$A:$AE,AX$5,0)="",0,VLOOKUP($N176,Capa!$A:$AE,AX$5,0)),0),IF(ISERROR(1/VLOOKUP($N176,Capa!$A:$AE,AX$5,0)),0,1/VLOOKUP($N176,Capa!$A:$AE,AX$5,0))))</f>
        <v/>
      </c>
      <c r="AY176" s="118" t="str">
        <f>IF(AY$6="","",IF(AY$3="Maior",IFERROR(IF(VLOOKUP($N176,Capa!$A:$AE,AY$5,0)="",0,VLOOKUP($N176,Capa!$A:$AE,AY$5,0)),0),IF(ISERROR(1/VLOOKUP($N176,Capa!$A:$AE,AY$5,0)),0,1/VLOOKUP($N176,Capa!$A:$AE,AY$5,0))))</f>
        <v/>
      </c>
      <c r="AZ176" s="118" t="str">
        <f>IF(AZ$6="","",IF(AZ$3="Maior",IFERROR(IF(VLOOKUP($N176,Capa!$A:$AE,AZ$5,0)="",0,VLOOKUP($N176,Capa!$A:$AE,AZ$5,0)),0),IF(ISERROR(1/VLOOKUP($N176,Capa!$A:$AE,AZ$5,0)),0,1/VLOOKUP($N176,Capa!$A:$AE,AZ$5,0))))</f>
        <v/>
      </c>
      <c r="BA176" s="118" t="str">
        <f>IF(BA$6="","",IF(BA$3="Maior",IFERROR(IF(VLOOKUP($N176,Capa!$A:$AE,BA$5,0)="",0,VLOOKUP($N176,Capa!$A:$AE,BA$5,0)),0),IF(ISERROR(1/VLOOKUP($N176,Capa!$A:$AE,BA$5,0)),0,1/VLOOKUP($N176,Capa!$A:$AE,BA$5,0))))</f>
        <v/>
      </c>
      <c r="BB176" s="118" t="str">
        <f>IF(BB$6="","",IF(BB$3="Maior",IFERROR(IF(VLOOKUP($N176,Capa!$A:$AE,BB$5,0)="",0,VLOOKUP($N176,Capa!$A:$AE,BB$5,0)),0),IF(ISERROR(1/VLOOKUP($N176,Capa!$A:$AE,BB$5,0)),0,1/VLOOKUP($N176,Capa!$A:$AE,BB$5,0))))</f>
        <v/>
      </c>
      <c r="BC176" s="118" t="str">
        <f>IF(BC$6="","",IF(BC$3="Maior",IFERROR(IF(VLOOKUP($N176,Capa!$A:$AE,BC$5,0)="",0,VLOOKUP($N176,Capa!$A:$AE,BC$5,0)),0),IF(ISERROR(1/VLOOKUP($N176,Capa!$A:$AE,BC$5,0)),0,1/VLOOKUP($N176,Capa!$A:$AE,BC$5,0))))</f>
        <v/>
      </c>
      <c r="BD176" s="118" t="str">
        <f>IF(BD$6="","",IF(BD$3="Maior",IFERROR(IF(VLOOKUP($N176,Capa!$A:$AE,BD$5,0)="",0,VLOOKUP($N176,Capa!$A:$AE,BD$5,0)),0),IF(ISERROR(1/VLOOKUP($N176,Capa!$A:$AE,BD$5,0)),0,1/VLOOKUP($N176,Capa!$A:$AE,BD$5,0))))</f>
        <v/>
      </c>
      <c r="BE176" s="118" t="str">
        <f>IF(BE$6="","",IF(BE$3="Maior",IFERROR(IF(VLOOKUP($N176,Capa!$A:$AE,BE$5,0)="",0,VLOOKUP($N176,Capa!$A:$AE,BE$5,0)),0),IF(ISERROR(1/VLOOKUP($N176,Capa!$A:$AE,BE$5,0)),0,1/VLOOKUP($N176,Capa!$A:$AE,BE$5,0))))</f>
        <v/>
      </c>
      <c r="BF176" s="118" t="str">
        <f>IF(BF$6="","",IF(BF$3="Maior",IFERROR(IF(VLOOKUP($N176,Capa!$A:$AE,BF$5,0)="",0,VLOOKUP($N176,Capa!$A:$AE,BF$5,0)),0),IF(ISERROR(1/VLOOKUP($N176,Capa!$A:$AE,BF$5,0)),0,1/VLOOKUP($N176,Capa!$A:$AE,BF$5,0))))</f>
        <v/>
      </c>
      <c r="BG176" s="118" t="str">
        <f>IF(BG$6="","",IF(BG$3="Maior",IFERROR(IF(VLOOKUP($N176,Capa!$A:$AE,BG$5,0)="",0,VLOOKUP($N176,Capa!$A:$AE,BG$5,0)),0),IF(ISERROR(1/VLOOKUP($N176,Capa!$A:$AE,BG$5,0)),0,1/VLOOKUP($N176,Capa!$A:$AE,BG$5,0))))</f>
        <v/>
      </c>
      <c r="BH176" s="118" t="str">
        <f>IF(BH$6="","",IF(BH$3="Maior",IFERROR(IF(VLOOKUP($N176,Capa!$A:$AE,BH$5,0)="",0,VLOOKUP($N176,Capa!$A:$AE,BH$5,0)),0),IF(ISERROR(1/VLOOKUP($N176,Capa!$A:$AE,BH$5,0)),0,1/VLOOKUP($N176,Capa!$A:$AE,BH$5,0))))</f>
        <v/>
      </c>
      <c r="BI176" s="118" t="str">
        <f>IF(BI$6="","",IF(BI$3="Maior",IFERROR(IF(VLOOKUP($N176,Capa!$A:$AE,BI$5,0)="",0,VLOOKUP($N176,Capa!$A:$AE,BI$5,0)),0),IF(ISERROR(1/VLOOKUP($N176,Capa!$A:$AE,BI$5,0)),0,1/VLOOKUP($N176,Capa!$A:$AE,BI$5,0))))</f>
        <v/>
      </c>
      <c r="BJ176" s="118" t="str">
        <f>IF(BJ$6="","",IF(BJ$3="Maior",IFERROR(IF(VLOOKUP($N176,Capa!$A:$AE,BJ$5,0)="",0,VLOOKUP($N176,Capa!$A:$AE,BJ$5,0)),0),IF(ISERROR(1/VLOOKUP($N176,Capa!$A:$AE,BJ$5,0)),0,1/VLOOKUP($N176,Capa!$A:$AE,BJ$5,0))))</f>
        <v/>
      </c>
      <c r="BK176" s="118" t="str">
        <f>IF(BK$6="","",IF(BK$3="Maior",IFERROR(IF(VLOOKUP($N176,Capa!$A:$AE,BK$5,0)="",0,VLOOKUP($N176,Capa!$A:$AE,BK$5,0)),0),IF(ISERROR(1/VLOOKUP($N176,Capa!$A:$AE,BK$5,0)),0,1/VLOOKUP($N176,Capa!$A:$AE,BK$5,0))))</f>
        <v/>
      </c>
      <c r="BL176" s="118" t="str">
        <f>IF(BL$6="","",IF(BL$3="Maior",IFERROR(IF(VLOOKUP($N176,Capa!$A:$AE,BL$5,0)="",0,VLOOKUP($N176,Capa!$A:$AE,BL$5,0)),0),IF(ISERROR(1/VLOOKUP($N176,Capa!$A:$AE,BL$5,0)),0,1/VLOOKUP($N176,Capa!$A:$AE,BL$5,0))))</f>
        <v/>
      </c>
      <c r="BM176" s="118" t="str">
        <f>IF(BM$6="","",IF(BM$3="Maior",IFERROR(IF(VLOOKUP($N176,Capa!$A:$AE,BM$5,0)="",0,VLOOKUP($N176,Capa!$A:$AE,BM$5,0)),0),IF(ISERROR(1/VLOOKUP($N176,Capa!$A:$AE,BM$5,0)),0,1/VLOOKUP($N176,Capa!$A:$AE,BM$5,0))))</f>
        <v/>
      </c>
      <c r="BN176" s="118" t="str">
        <f>IF(BN$6="","",IF(BN$3="Maior",IFERROR(IF(VLOOKUP($N176,Capa!$A:$AE,BN$5,0)="",0,VLOOKUP($N176,Capa!$A:$AE,BN$5,0)),0),IF(ISERROR(1/VLOOKUP($N176,Capa!$A:$AE,BN$5,0)),0,1/VLOOKUP($N176,Capa!$A:$AE,BN$5,0))))</f>
        <v/>
      </c>
      <c r="BO176" s="92"/>
    </row>
    <row r="177">
      <c r="G177" s="11"/>
      <c r="H177" s="8">
        <v>171.0</v>
      </c>
      <c r="I177" s="110" t="str">
        <f t="shared" si="6"/>
        <v>LWSA3</v>
      </c>
      <c r="J177" s="111" t="str">
        <f>VLOOKUP(left(I177,4),Setor!A:D,3,0)&amp;" | "&amp;VLOOKUP(left(I177,4),Setor!A:D,4,0)</f>
        <v>Tecnologia da Informação | Programas e Serviços</v>
      </c>
      <c r="K177" s="112">
        <f t="shared" si="7"/>
        <v>132076726.8</v>
      </c>
      <c r="L177" s="11"/>
      <c r="M177" s="11"/>
      <c r="N177" s="10" t="s">
        <v>223</v>
      </c>
      <c r="O177" s="113">
        <f t="shared" si="8"/>
        <v>645.0069</v>
      </c>
      <c r="P177" s="114">
        <f>VLOOKUP(N177,'Dados StatusInvest'!A:Z,26,0)</f>
        <v>17570990.42</v>
      </c>
      <c r="Q177" s="115">
        <f t="shared" si="9"/>
        <v>69.0069</v>
      </c>
      <c r="R177" s="116">
        <f t="shared" ref="R177:AO177" si="180">IF(AQ177="","", RANK(AQ177,AQ$7:AQ$503,0))</f>
        <v>375</v>
      </c>
      <c r="S177" s="115">
        <f t="shared" si="180"/>
        <v>201</v>
      </c>
      <c r="T177" s="115" t="str">
        <f t="shared" si="180"/>
        <v/>
      </c>
      <c r="U177" s="115" t="str">
        <f t="shared" si="180"/>
        <v/>
      </c>
      <c r="V177" s="115" t="str">
        <f t="shared" si="180"/>
        <v/>
      </c>
      <c r="W177" s="115" t="str">
        <f t="shared" si="180"/>
        <v/>
      </c>
      <c r="X177" s="115" t="str">
        <f t="shared" si="180"/>
        <v/>
      </c>
      <c r="Y177" s="115" t="str">
        <f t="shared" si="180"/>
        <v/>
      </c>
      <c r="Z177" s="115" t="str">
        <f t="shared" si="180"/>
        <v/>
      </c>
      <c r="AA177" s="115" t="str">
        <f t="shared" si="180"/>
        <v/>
      </c>
      <c r="AB177" s="115" t="str">
        <f t="shared" si="180"/>
        <v/>
      </c>
      <c r="AC177" s="115" t="str">
        <f t="shared" si="180"/>
        <v/>
      </c>
      <c r="AD177" s="115" t="str">
        <f t="shared" si="180"/>
        <v/>
      </c>
      <c r="AE177" s="115" t="str">
        <f t="shared" si="180"/>
        <v/>
      </c>
      <c r="AF177" s="115" t="str">
        <f t="shared" si="180"/>
        <v/>
      </c>
      <c r="AG177" s="115" t="str">
        <f t="shared" si="180"/>
        <v/>
      </c>
      <c r="AH177" s="115" t="str">
        <f t="shared" si="180"/>
        <v/>
      </c>
      <c r="AI177" s="115" t="str">
        <f t="shared" si="180"/>
        <v/>
      </c>
      <c r="AJ177" s="115" t="str">
        <f t="shared" si="180"/>
        <v/>
      </c>
      <c r="AK177" s="115" t="str">
        <f t="shared" si="180"/>
        <v/>
      </c>
      <c r="AL177" s="115" t="str">
        <f t="shared" si="180"/>
        <v/>
      </c>
      <c r="AM177" s="115" t="str">
        <f t="shared" si="180"/>
        <v/>
      </c>
      <c r="AN177" s="115" t="str">
        <f t="shared" si="180"/>
        <v/>
      </c>
      <c r="AO177" s="115" t="str">
        <f t="shared" si="180"/>
        <v/>
      </c>
      <c r="AP177" s="117">
        <f>IF(AP$6="","",IF(AP$3="Maior",IFERROR(IF(VLOOKUP($N177,Capa!$A:$AE,AP$5,0)="",0,VLOOKUP($N177,Capa!$A:$AE,AP$5,0)),0),IF(ISERROR(1/VLOOKUP($N177,Capa!$A:$AE,AP$5,0)),0,1/VLOOKUP($N177,Capa!$A:$AE,AP$5,0))))</f>
        <v>0.2170445004</v>
      </c>
      <c r="AQ177" s="118">
        <f>IF(AQ$6="","",IF(AQ$3="Maior",IFERROR(IF(VLOOKUP($N177,Capa!$A:$AE,AQ$5,0)="",0,VLOOKUP($N177,Capa!$A:$AE,AQ$5,0)),0),IF(ISERROR(1/VLOOKUP($N177,Capa!$A:$AE,AQ$5,0)),0,1/VLOOKUP($N177,Capa!$A:$AE,AQ$5,0))))</f>
        <v>0</v>
      </c>
      <c r="AR177" s="118">
        <f>IF(AR$6="","",IF(AR$3="Maior",IFERROR(IF(VLOOKUP($N177,Capa!$A:$AE,AR$5,0)="",0,VLOOKUP($N177,Capa!$A:$AE,AR$5,0)),0),IF(ISERROR(1/VLOOKUP($N177,Capa!$A:$AE,AR$5,0)),0,1/VLOOKUP($N177,Capa!$A:$AE,AR$5,0))))</f>
        <v>2.52</v>
      </c>
      <c r="AS177" s="118" t="str">
        <f>IF(AS$6="","",IF(AS$3="Maior",IFERROR(IF(VLOOKUP($N177,Capa!$A:$AE,AS$5,0)="",0,VLOOKUP($N177,Capa!$A:$AE,AS$5,0)),0),IF(ISERROR(1/VLOOKUP($N177,Capa!$A:$AE,AS$5,0)),0,1/VLOOKUP($N177,Capa!$A:$AE,AS$5,0))))</f>
        <v/>
      </c>
      <c r="AT177" s="118" t="str">
        <f>IF(AT$6="","",IF(AT$3="Maior",IFERROR(IF(VLOOKUP($N177,Capa!$A:$AE,AT$5,0)="",0,VLOOKUP($N177,Capa!$A:$AE,AT$5,0)),0),IF(ISERROR(1/VLOOKUP($N177,Capa!$A:$AE,AT$5,0)),0,1/VLOOKUP($N177,Capa!$A:$AE,AT$5,0))))</f>
        <v/>
      </c>
      <c r="AU177" s="118" t="str">
        <f>IF(AU$6="","",IF(AU$3="Maior",IFERROR(IF(VLOOKUP($N177,Capa!$A:$AE,AU$5,0)="",0,VLOOKUP($N177,Capa!$A:$AE,AU$5,0)),0),IF(ISERROR(1/VLOOKUP($N177,Capa!$A:$AE,AU$5,0)),0,1/VLOOKUP($N177,Capa!$A:$AE,AU$5,0))))</f>
        <v/>
      </c>
      <c r="AV177" s="118" t="str">
        <f>IF(AV$6="","",IF(AV$3="Maior",IFERROR(IF(VLOOKUP($N177,Capa!$A:$AE,AV$5,0)="",0,VLOOKUP($N177,Capa!$A:$AE,AV$5,0)),0),IF(ISERROR(1/VLOOKUP($N177,Capa!$A:$AE,AV$5,0)),0,1/VLOOKUP($N177,Capa!$A:$AE,AV$5,0))))</f>
        <v/>
      </c>
      <c r="AW177" s="118" t="str">
        <f>IF(AW$6="","",IF(AW$3="Maior",IFERROR(IF(VLOOKUP($N177,Capa!$A:$AE,AW$5,0)="",0,VLOOKUP($N177,Capa!$A:$AE,AW$5,0)),0),IF(ISERROR(1/VLOOKUP($N177,Capa!$A:$AE,AW$5,0)),0,1/VLOOKUP($N177,Capa!$A:$AE,AW$5,0))))</f>
        <v/>
      </c>
      <c r="AX177" s="118" t="str">
        <f>IF(AX$6="","",IF(AX$3="Maior",IFERROR(IF(VLOOKUP($N177,Capa!$A:$AE,AX$5,0)="",0,VLOOKUP($N177,Capa!$A:$AE,AX$5,0)),0),IF(ISERROR(1/VLOOKUP($N177,Capa!$A:$AE,AX$5,0)),0,1/VLOOKUP($N177,Capa!$A:$AE,AX$5,0))))</f>
        <v/>
      </c>
      <c r="AY177" s="118" t="str">
        <f>IF(AY$6="","",IF(AY$3="Maior",IFERROR(IF(VLOOKUP($N177,Capa!$A:$AE,AY$5,0)="",0,VLOOKUP($N177,Capa!$A:$AE,AY$5,0)),0),IF(ISERROR(1/VLOOKUP($N177,Capa!$A:$AE,AY$5,0)),0,1/VLOOKUP($N177,Capa!$A:$AE,AY$5,0))))</f>
        <v/>
      </c>
      <c r="AZ177" s="118" t="str">
        <f>IF(AZ$6="","",IF(AZ$3="Maior",IFERROR(IF(VLOOKUP($N177,Capa!$A:$AE,AZ$5,0)="",0,VLOOKUP($N177,Capa!$A:$AE,AZ$5,0)),0),IF(ISERROR(1/VLOOKUP($N177,Capa!$A:$AE,AZ$5,0)),0,1/VLOOKUP($N177,Capa!$A:$AE,AZ$5,0))))</f>
        <v/>
      </c>
      <c r="BA177" s="118" t="str">
        <f>IF(BA$6="","",IF(BA$3="Maior",IFERROR(IF(VLOOKUP($N177,Capa!$A:$AE,BA$5,0)="",0,VLOOKUP($N177,Capa!$A:$AE,BA$5,0)),0),IF(ISERROR(1/VLOOKUP($N177,Capa!$A:$AE,BA$5,0)),0,1/VLOOKUP($N177,Capa!$A:$AE,BA$5,0))))</f>
        <v/>
      </c>
      <c r="BB177" s="118" t="str">
        <f>IF(BB$6="","",IF(BB$3="Maior",IFERROR(IF(VLOOKUP($N177,Capa!$A:$AE,BB$5,0)="",0,VLOOKUP($N177,Capa!$A:$AE,BB$5,0)),0),IF(ISERROR(1/VLOOKUP($N177,Capa!$A:$AE,BB$5,0)),0,1/VLOOKUP($N177,Capa!$A:$AE,BB$5,0))))</f>
        <v/>
      </c>
      <c r="BC177" s="118" t="str">
        <f>IF(BC$6="","",IF(BC$3="Maior",IFERROR(IF(VLOOKUP($N177,Capa!$A:$AE,BC$5,0)="",0,VLOOKUP($N177,Capa!$A:$AE,BC$5,0)),0),IF(ISERROR(1/VLOOKUP($N177,Capa!$A:$AE,BC$5,0)),0,1/VLOOKUP($N177,Capa!$A:$AE,BC$5,0))))</f>
        <v/>
      </c>
      <c r="BD177" s="118" t="str">
        <f>IF(BD$6="","",IF(BD$3="Maior",IFERROR(IF(VLOOKUP($N177,Capa!$A:$AE,BD$5,0)="",0,VLOOKUP($N177,Capa!$A:$AE,BD$5,0)),0),IF(ISERROR(1/VLOOKUP($N177,Capa!$A:$AE,BD$5,0)),0,1/VLOOKUP($N177,Capa!$A:$AE,BD$5,0))))</f>
        <v/>
      </c>
      <c r="BE177" s="118" t="str">
        <f>IF(BE$6="","",IF(BE$3="Maior",IFERROR(IF(VLOOKUP($N177,Capa!$A:$AE,BE$5,0)="",0,VLOOKUP($N177,Capa!$A:$AE,BE$5,0)),0),IF(ISERROR(1/VLOOKUP($N177,Capa!$A:$AE,BE$5,0)),0,1/VLOOKUP($N177,Capa!$A:$AE,BE$5,0))))</f>
        <v/>
      </c>
      <c r="BF177" s="118" t="str">
        <f>IF(BF$6="","",IF(BF$3="Maior",IFERROR(IF(VLOOKUP($N177,Capa!$A:$AE,BF$5,0)="",0,VLOOKUP($N177,Capa!$A:$AE,BF$5,0)),0),IF(ISERROR(1/VLOOKUP($N177,Capa!$A:$AE,BF$5,0)),0,1/VLOOKUP($N177,Capa!$A:$AE,BF$5,0))))</f>
        <v/>
      </c>
      <c r="BG177" s="118" t="str">
        <f>IF(BG$6="","",IF(BG$3="Maior",IFERROR(IF(VLOOKUP($N177,Capa!$A:$AE,BG$5,0)="",0,VLOOKUP($N177,Capa!$A:$AE,BG$5,0)),0),IF(ISERROR(1/VLOOKUP($N177,Capa!$A:$AE,BG$5,0)),0,1/VLOOKUP($N177,Capa!$A:$AE,BG$5,0))))</f>
        <v/>
      </c>
      <c r="BH177" s="118" t="str">
        <f>IF(BH$6="","",IF(BH$3="Maior",IFERROR(IF(VLOOKUP($N177,Capa!$A:$AE,BH$5,0)="",0,VLOOKUP($N177,Capa!$A:$AE,BH$5,0)),0),IF(ISERROR(1/VLOOKUP($N177,Capa!$A:$AE,BH$5,0)),0,1/VLOOKUP($N177,Capa!$A:$AE,BH$5,0))))</f>
        <v/>
      </c>
      <c r="BI177" s="118" t="str">
        <f>IF(BI$6="","",IF(BI$3="Maior",IFERROR(IF(VLOOKUP($N177,Capa!$A:$AE,BI$5,0)="",0,VLOOKUP($N177,Capa!$A:$AE,BI$5,0)),0),IF(ISERROR(1/VLOOKUP($N177,Capa!$A:$AE,BI$5,0)),0,1/VLOOKUP($N177,Capa!$A:$AE,BI$5,0))))</f>
        <v/>
      </c>
      <c r="BJ177" s="118" t="str">
        <f>IF(BJ$6="","",IF(BJ$3="Maior",IFERROR(IF(VLOOKUP($N177,Capa!$A:$AE,BJ$5,0)="",0,VLOOKUP($N177,Capa!$A:$AE,BJ$5,0)),0),IF(ISERROR(1/VLOOKUP($N177,Capa!$A:$AE,BJ$5,0)),0,1/VLOOKUP($N177,Capa!$A:$AE,BJ$5,0))))</f>
        <v/>
      </c>
      <c r="BK177" s="118" t="str">
        <f>IF(BK$6="","",IF(BK$3="Maior",IFERROR(IF(VLOOKUP($N177,Capa!$A:$AE,BK$5,0)="",0,VLOOKUP($N177,Capa!$A:$AE,BK$5,0)),0),IF(ISERROR(1/VLOOKUP($N177,Capa!$A:$AE,BK$5,0)),0,1/VLOOKUP($N177,Capa!$A:$AE,BK$5,0))))</f>
        <v/>
      </c>
      <c r="BL177" s="118" t="str">
        <f>IF(BL$6="","",IF(BL$3="Maior",IFERROR(IF(VLOOKUP($N177,Capa!$A:$AE,BL$5,0)="",0,VLOOKUP($N177,Capa!$A:$AE,BL$5,0)),0),IF(ISERROR(1/VLOOKUP($N177,Capa!$A:$AE,BL$5,0)),0,1/VLOOKUP($N177,Capa!$A:$AE,BL$5,0))))</f>
        <v/>
      </c>
      <c r="BM177" s="118" t="str">
        <f>IF(BM$6="","",IF(BM$3="Maior",IFERROR(IF(VLOOKUP($N177,Capa!$A:$AE,BM$5,0)="",0,VLOOKUP($N177,Capa!$A:$AE,BM$5,0)),0),IF(ISERROR(1/VLOOKUP($N177,Capa!$A:$AE,BM$5,0)),0,1/VLOOKUP($N177,Capa!$A:$AE,BM$5,0))))</f>
        <v/>
      </c>
      <c r="BN177" s="118" t="str">
        <f>IF(BN$6="","",IF(BN$3="Maior",IFERROR(IF(VLOOKUP($N177,Capa!$A:$AE,BN$5,0)="",0,VLOOKUP($N177,Capa!$A:$AE,BN$5,0)),0),IF(ISERROR(1/VLOOKUP($N177,Capa!$A:$AE,BN$5,0)),0,1/VLOOKUP($N177,Capa!$A:$AE,BN$5,0))))</f>
        <v/>
      </c>
      <c r="BO177" s="92"/>
    </row>
    <row r="178">
      <c r="G178" s="11"/>
      <c r="H178" s="8">
        <v>172.0</v>
      </c>
      <c r="I178" s="110" t="str">
        <f t="shared" si="6"/>
        <v>BRFS3</v>
      </c>
      <c r="J178" s="111" t="str">
        <f>VLOOKUP(left(I178,4),Setor!A:D,3,0)&amp;" | "&amp;VLOOKUP(left(I178,4),Setor!A:D,4,0)</f>
        <v>Consumo não Cíclico | Alimentos Processados</v>
      </c>
      <c r="K178" s="112">
        <f t="shared" si="7"/>
        <v>157707610.6</v>
      </c>
      <c r="L178" s="11"/>
      <c r="M178" s="11"/>
      <c r="N178" s="10" t="s">
        <v>224</v>
      </c>
      <c r="O178" s="113">
        <f t="shared" si="8"/>
        <v>701.0018</v>
      </c>
      <c r="P178" s="114">
        <f>VLOOKUP(N178,'Dados StatusInvest'!A:Z,26,0)</f>
        <v>12951409.46</v>
      </c>
      <c r="Q178" s="115">
        <f t="shared" si="9"/>
        <v>18.0018</v>
      </c>
      <c r="R178" s="116">
        <f t="shared" ref="R178:AO178" si="181">IF(AQ178="","", RANK(AQ178,AQ$7:AQ$503,0))</f>
        <v>215</v>
      </c>
      <c r="S178" s="115">
        <f t="shared" si="181"/>
        <v>468</v>
      </c>
      <c r="T178" s="115" t="str">
        <f t="shared" si="181"/>
        <v/>
      </c>
      <c r="U178" s="115" t="str">
        <f t="shared" si="181"/>
        <v/>
      </c>
      <c r="V178" s="115" t="str">
        <f t="shared" si="181"/>
        <v/>
      </c>
      <c r="W178" s="115" t="str">
        <f t="shared" si="181"/>
        <v/>
      </c>
      <c r="X178" s="115" t="str">
        <f t="shared" si="181"/>
        <v/>
      </c>
      <c r="Y178" s="115" t="str">
        <f t="shared" si="181"/>
        <v/>
      </c>
      <c r="Z178" s="115" t="str">
        <f t="shared" si="181"/>
        <v/>
      </c>
      <c r="AA178" s="115" t="str">
        <f t="shared" si="181"/>
        <v/>
      </c>
      <c r="AB178" s="115" t="str">
        <f t="shared" si="181"/>
        <v/>
      </c>
      <c r="AC178" s="115" t="str">
        <f t="shared" si="181"/>
        <v/>
      </c>
      <c r="AD178" s="115" t="str">
        <f t="shared" si="181"/>
        <v/>
      </c>
      <c r="AE178" s="115" t="str">
        <f t="shared" si="181"/>
        <v/>
      </c>
      <c r="AF178" s="115" t="str">
        <f t="shared" si="181"/>
        <v/>
      </c>
      <c r="AG178" s="115" t="str">
        <f t="shared" si="181"/>
        <v/>
      </c>
      <c r="AH178" s="115" t="str">
        <f t="shared" si="181"/>
        <v/>
      </c>
      <c r="AI178" s="115" t="str">
        <f t="shared" si="181"/>
        <v/>
      </c>
      <c r="AJ178" s="115" t="str">
        <f t="shared" si="181"/>
        <v/>
      </c>
      <c r="AK178" s="115" t="str">
        <f t="shared" si="181"/>
        <v/>
      </c>
      <c r="AL178" s="115" t="str">
        <f t="shared" si="181"/>
        <v/>
      </c>
      <c r="AM178" s="115" t="str">
        <f t="shared" si="181"/>
        <v/>
      </c>
      <c r="AN178" s="115" t="str">
        <f t="shared" si="181"/>
        <v/>
      </c>
      <c r="AO178" s="115" t="str">
        <f t="shared" si="181"/>
        <v/>
      </c>
      <c r="AP178" s="117">
        <f>IF(AP$6="","",IF(AP$3="Maior",IFERROR(IF(VLOOKUP($N178,Capa!$A:$AE,AP$5,0)="",0,VLOOKUP($N178,Capa!$A:$AE,AP$5,0)),0),IF(ISERROR(1/VLOOKUP($N178,Capa!$A:$AE,AP$5,0)),0,1/VLOOKUP($N178,Capa!$A:$AE,AP$5,0))))</f>
        <v>0.4497181845</v>
      </c>
      <c r="AQ178" s="118">
        <f>IF(AQ$6="","",IF(AQ$3="Maior",IFERROR(IF(VLOOKUP($N178,Capa!$A:$AE,AQ$5,0)="",0,VLOOKUP($N178,Capa!$A:$AE,AQ$5,0)),0),IF(ISERROR(1/VLOOKUP($N178,Capa!$A:$AE,AQ$5,0)),0,1/VLOOKUP($N178,Capa!$A:$AE,AQ$5,0))))</f>
        <v>10.42</v>
      </c>
      <c r="AR178" s="118">
        <f>IF(AR$6="","",IF(AR$3="Maior",IFERROR(IF(VLOOKUP($N178,Capa!$A:$AE,AR$5,0)="",0,VLOOKUP($N178,Capa!$A:$AE,AR$5,0)),0),IF(ISERROR(1/VLOOKUP($N178,Capa!$A:$AE,AR$5,0)),0,1/VLOOKUP($N178,Capa!$A:$AE,AR$5,0))))</f>
        <v>-2.49</v>
      </c>
      <c r="AS178" s="118" t="str">
        <f>IF(AS$6="","",IF(AS$3="Maior",IFERROR(IF(VLOOKUP($N178,Capa!$A:$AE,AS$5,0)="",0,VLOOKUP($N178,Capa!$A:$AE,AS$5,0)),0),IF(ISERROR(1/VLOOKUP($N178,Capa!$A:$AE,AS$5,0)),0,1/VLOOKUP($N178,Capa!$A:$AE,AS$5,0))))</f>
        <v/>
      </c>
      <c r="AT178" s="118" t="str">
        <f>IF(AT$6="","",IF(AT$3="Maior",IFERROR(IF(VLOOKUP($N178,Capa!$A:$AE,AT$5,0)="",0,VLOOKUP($N178,Capa!$A:$AE,AT$5,0)),0),IF(ISERROR(1/VLOOKUP($N178,Capa!$A:$AE,AT$5,0)),0,1/VLOOKUP($N178,Capa!$A:$AE,AT$5,0))))</f>
        <v/>
      </c>
      <c r="AU178" s="118" t="str">
        <f>IF(AU$6="","",IF(AU$3="Maior",IFERROR(IF(VLOOKUP($N178,Capa!$A:$AE,AU$5,0)="",0,VLOOKUP($N178,Capa!$A:$AE,AU$5,0)),0),IF(ISERROR(1/VLOOKUP($N178,Capa!$A:$AE,AU$5,0)),0,1/VLOOKUP($N178,Capa!$A:$AE,AU$5,0))))</f>
        <v/>
      </c>
      <c r="AV178" s="118" t="str">
        <f>IF(AV$6="","",IF(AV$3="Maior",IFERROR(IF(VLOOKUP($N178,Capa!$A:$AE,AV$5,0)="",0,VLOOKUP($N178,Capa!$A:$AE,AV$5,0)),0),IF(ISERROR(1/VLOOKUP($N178,Capa!$A:$AE,AV$5,0)),0,1/VLOOKUP($N178,Capa!$A:$AE,AV$5,0))))</f>
        <v/>
      </c>
      <c r="AW178" s="118" t="str">
        <f>IF(AW$6="","",IF(AW$3="Maior",IFERROR(IF(VLOOKUP($N178,Capa!$A:$AE,AW$5,0)="",0,VLOOKUP($N178,Capa!$A:$AE,AW$5,0)),0),IF(ISERROR(1/VLOOKUP($N178,Capa!$A:$AE,AW$5,0)),0,1/VLOOKUP($N178,Capa!$A:$AE,AW$5,0))))</f>
        <v/>
      </c>
      <c r="AX178" s="118" t="str">
        <f>IF(AX$6="","",IF(AX$3="Maior",IFERROR(IF(VLOOKUP($N178,Capa!$A:$AE,AX$5,0)="",0,VLOOKUP($N178,Capa!$A:$AE,AX$5,0)),0),IF(ISERROR(1/VLOOKUP($N178,Capa!$A:$AE,AX$5,0)),0,1/VLOOKUP($N178,Capa!$A:$AE,AX$5,0))))</f>
        <v/>
      </c>
      <c r="AY178" s="118" t="str">
        <f>IF(AY$6="","",IF(AY$3="Maior",IFERROR(IF(VLOOKUP($N178,Capa!$A:$AE,AY$5,0)="",0,VLOOKUP($N178,Capa!$A:$AE,AY$5,0)),0),IF(ISERROR(1/VLOOKUP($N178,Capa!$A:$AE,AY$5,0)),0,1/VLOOKUP($N178,Capa!$A:$AE,AY$5,0))))</f>
        <v/>
      </c>
      <c r="AZ178" s="118" t="str">
        <f>IF(AZ$6="","",IF(AZ$3="Maior",IFERROR(IF(VLOOKUP($N178,Capa!$A:$AE,AZ$5,0)="",0,VLOOKUP($N178,Capa!$A:$AE,AZ$5,0)),0),IF(ISERROR(1/VLOOKUP($N178,Capa!$A:$AE,AZ$5,0)),0,1/VLOOKUP($N178,Capa!$A:$AE,AZ$5,0))))</f>
        <v/>
      </c>
      <c r="BA178" s="118" t="str">
        <f>IF(BA$6="","",IF(BA$3="Maior",IFERROR(IF(VLOOKUP($N178,Capa!$A:$AE,BA$5,0)="",0,VLOOKUP($N178,Capa!$A:$AE,BA$5,0)),0),IF(ISERROR(1/VLOOKUP($N178,Capa!$A:$AE,BA$5,0)),0,1/VLOOKUP($N178,Capa!$A:$AE,BA$5,0))))</f>
        <v/>
      </c>
      <c r="BB178" s="118" t="str">
        <f>IF(BB$6="","",IF(BB$3="Maior",IFERROR(IF(VLOOKUP($N178,Capa!$A:$AE,BB$5,0)="",0,VLOOKUP($N178,Capa!$A:$AE,BB$5,0)),0),IF(ISERROR(1/VLOOKUP($N178,Capa!$A:$AE,BB$5,0)),0,1/VLOOKUP($N178,Capa!$A:$AE,BB$5,0))))</f>
        <v/>
      </c>
      <c r="BC178" s="118" t="str">
        <f>IF(BC$6="","",IF(BC$3="Maior",IFERROR(IF(VLOOKUP($N178,Capa!$A:$AE,BC$5,0)="",0,VLOOKUP($N178,Capa!$A:$AE,BC$5,0)),0),IF(ISERROR(1/VLOOKUP($N178,Capa!$A:$AE,BC$5,0)),0,1/VLOOKUP($N178,Capa!$A:$AE,BC$5,0))))</f>
        <v/>
      </c>
      <c r="BD178" s="118" t="str">
        <f>IF(BD$6="","",IF(BD$3="Maior",IFERROR(IF(VLOOKUP($N178,Capa!$A:$AE,BD$5,0)="",0,VLOOKUP($N178,Capa!$A:$AE,BD$5,0)),0),IF(ISERROR(1/VLOOKUP($N178,Capa!$A:$AE,BD$5,0)),0,1/VLOOKUP($N178,Capa!$A:$AE,BD$5,0))))</f>
        <v/>
      </c>
      <c r="BE178" s="118" t="str">
        <f>IF(BE$6="","",IF(BE$3="Maior",IFERROR(IF(VLOOKUP($N178,Capa!$A:$AE,BE$5,0)="",0,VLOOKUP($N178,Capa!$A:$AE,BE$5,0)),0),IF(ISERROR(1/VLOOKUP($N178,Capa!$A:$AE,BE$5,0)),0,1/VLOOKUP($N178,Capa!$A:$AE,BE$5,0))))</f>
        <v/>
      </c>
      <c r="BF178" s="118" t="str">
        <f>IF(BF$6="","",IF(BF$3="Maior",IFERROR(IF(VLOOKUP($N178,Capa!$A:$AE,BF$5,0)="",0,VLOOKUP($N178,Capa!$A:$AE,BF$5,0)),0),IF(ISERROR(1/VLOOKUP($N178,Capa!$A:$AE,BF$5,0)),0,1/VLOOKUP($N178,Capa!$A:$AE,BF$5,0))))</f>
        <v/>
      </c>
      <c r="BG178" s="118" t="str">
        <f>IF(BG$6="","",IF(BG$3="Maior",IFERROR(IF(VLOOKUP($N178,Capa!$A:$AE,BG$5,0)="",0,VLOOKUP($N178,Capa!$A:$AE,BG$5,0)),0),IF(ISERROR(1/VLOOKUP($N178,Capa!$A:$AE,BG$5,0)),0,1/VLOOKUP($N178,Capa!$A:$AE,BG$5,0))))</f>
        <v/>
      </c>
      <c r="BH178" s="118" t="str">
        <f>IF(BH$6="","",IF(BH$3="Maior",IFERROR(IF(VLOOKUP($N178,Capa!$A:$AE,BH$5,0)="",0,VLOOKUP($N178,Capa!$A:$AE,BH$5,0)),0),IF(ISERROR(1/VLOOKUP($N178,Capa!$A:$AE,BH$5,0)),0,1/VLOOKUP($N178,Capa!$A:$AE,BH$5,0))))</f>
        <v/>
      </c>
      <c r="BI178" s="118" t="str">
        <f>IF(BI$6="","",IF(BI$3="Maior",IFERROR(IF(VLOOKUP($N178,Capa!$A:$AE,BI$5,0)="",0,VLOOKUP($N178,Capa!$A:$AE,BI$5,0)),0),IF(ISERROR(1/VLOOKUP($N178,Capa!$A:$AE,BI$5,0)),0,1/VLOOKUP($N178,Capa!$A:$AE,BI$5,0))))</f>
        <v/>
      </c>
      <c r="BJ178" s="118" t="str">
        <f>IF(BJ$6="","",IF(BJ$3="Maior",IFERROR(IF(VLOOKUP($N178,Capa!$A:$AE,BJ$5,0)="",0,VLOOKUP($N178,Capa!$A:$AE,BJ$5,0)),0),IF(ISERROR(1/VLOOKUP($N178,Capa!$A:$AE,BJ$5,0)),0,1/VLOOKUP($N178,Capa!$A:$AE,BJ$5,0))))</f>
        <v/>
      </c>
      <c r="BK178" s="118" t="str">
        <f>IF(BK$6="","",IF(BK$3="Maior",IFERROR(IF(VLOOKUP($N178,Capa!$A:$AE,BK$5,0)="",0,VLOOKUP($N178,Capa!$A:$AE,BK$5,0)),0),IF(ISERROR(1/VLOOKUP($N178,Capa!$A:$AE,BK$5,0)),0,1/VLOOKUP($N178,Capa!$A:$AE,BK$5,0))))</f>
        <v/>
      </c>
      <c r="BL178" s="118" t="str">
        <f>IF(BL$6="","",IF(BL$3="Maior",IFERROR(IF(VLOOKUP($N178,Capa!$A:$AE,BL$5,0)="",0,VLOOKUP($N178,Capa!$A:$AE,BL$5,0)),0),IF(ISERROR(1/VLOOKUP($N178,Capa!$A:$AE,BL$5,0)),0,1/VLOOKUP($N178,Capa!$A:$AE,BL$5,0))))</f>
        <v/>
      </c>
      <c r="BM178" s="118" t="str">
        <f>IF(BM$6="","",IF(BM$3="Maior",IFERROR(IF(VLOOKUP($N178,Capa!$A:$AE,BM$5,0)="",0,VLOOKUP($N178,Capa!$A:$AE,BM$5,0)),0),IF(ISERROR(1/VLOOKUP($N178,Capa!$A:$AE,BM$5,0)),0,1/VLOOKUP($N178,Capa!$A:$AE,BM$5,0))))</f>
        <v/>
      </c>
      <c r="BN178" s="118" t="str">
        <f>IF(BN$6="","",IF(BN$3="Maior",IFERROR(IF(VLOOKUP($N178,Capa!$A:$AE,BN$5,0)="",0,VLOOKUP($N178,Capa!$A:$AE,BN$5,0)),0),IF(ISERROR(1/VLOOKUP($N178,Capa!$A:$AE,BN$5,0)),0,1/VLOOKUP($N178,Capa!$A:$AE,BN$5,0))))</f>
        <v/>
      </c>
      <c r="BO178" s="92"/>
    </row>
    <row r="179">
      <c r="G179" s="11"/>
      <c r="H179" s="8">
        <v>173.0</v>
      </c>
      <c r="I179" s="110" t="str">
        <f t="shared" si="6"/>
        <v>CIEL3</v>
      </c>
      <c r="J179" s="111" t="str">
        <f>VLOOKUP(left(I179,4),Setor!A:D,3,0)&amp;" | "&amp;VLOOKUP(left(I179,4),Setor!A:D,4,0)</f>
        <v>Financeiro | Serviços Financeiros Diversos</v>
      </c>
      <c r="K179" s="112">
        <f t="shared" si="7"/>
        <v>78201210.33</v>
      </c>
      <c r="L179" s="11"/>
      <c r="M179" s="11"/>
      <c r="N179" s="10" t="s">
        <v>225</v>
      </c>
      <c r="O179" s="113">
        <f t="shared" si="8"/>
        <v>485.0266</v>
      </c>
      <c r="P179" s="114">
        <f>VLOOKUP(N179,'Dados StatusInvest'!A:Z,26,0)</f>
        <v>16387676.54</v>
      </c>
      <c r="Q179" s="115">
        <f t="shared" si="9"/>
        <v>266.0266</v>
      </c>
      <c r="R179" s="116">
        <f t="shared" ref="R179:AO179" si="182">IF(AQ179="","", RANK(AQ179,AQ$7:AQ$503,0))</f>
        <v>157</v>
      </c>
      <c r="S179" s="115">
        <f t="shared" si="182"/>
        <v>62</v>
      </c>
      <c r="T179" s="115" t="str">
        <f t="shared" si="182"/>
        <v/>
      </c>
      <c r="U179" s="115" t="str">
        <f t="shared" si="182"/>
        <v/>
      </c>
      <c r="V179" s="115" t="str">
        <f t="shared" si="182"/>
        <v/>
      </c>
      <c r="W179" s="115" t="str">
        <f t="shared" si="182"/>
        <v/>
      </c>
      <c r="X179" s="115" t="str">
        <f t="shared" si="182"/>
        <v/>
      </c>
      <c r="Y179" s="115" t="str">
        <f t="shared" si="182"/>
        <v/>
      </c>
      <c r="Z179" s="115" t="str">
        <f t="shared" si="182"/>
        <v/>
      </c>
      <c r="AA179" s="115" t="str">
        <f t="shared" si="182"/>
        <v/>
      </c>
      <c r="AB179" s="115" t="str">
        <f t="shared" si="182"/>
        <v/>
      </c>
      <c r="AC179" s="115" t="str">
        <f t="shared" si="182"/>
        <v/>
      </c>
      <c r="AD179" s="115" t="str">
        <f t="shared" si="182"/>
        <v/>
      </c>
      <c r="AE179" s="115" t="str">
        <f t="shared" si="182"/>
        <v/>
      </c>
      <c r="AF179" s="115" t="str">
        <f t="shared" si="182"/>
        <v/>
      </c>
      <c r="AG179" s="115" t="str">
        <f t="shared" si="182"/>
        <v/>
      </c>
      <c r="AH179" s="115" t="str">
        <f t="shared" si="182"/>
        <v/>
      </c>
      <c r="AI179" s="115" t="str">
        <f t="shared" si="182"/>
        <v/>
      </c>
      <c r="AJ179" s="115" t="str">
        <f t="shared" si="182"/>
        <v/>
      </c>
      <c r="AK179" s="115" t="str">
        <f t="shared" si="182"/>
        <v/>
      </c>
      <c r="AL179" s="115" t="str">
        <f t="shared" si="182"/>
        <v/>
      </c>
      <c r="AM179" s="115" t="str">
        <f t="shared" si="182"/>
        <v/>
      </c>
      <c r="AN179" s="115" t="str">
        <f t="shared" si="182"/>
        <v/>
      </c>
      <c r="AO179" s="115" t="str">
        <f t="shared" si="182"/>
        <v/>
      </c>
      <c r="AP179" s="117">
        <f>IF(AP$6="","",IF(AP$3="Maior",IFERROR(IF(VLOOKUP($N179,Capa!$A:$AE,AP$5,0)="",0,VLOOKUP($N179,Capa!$A:$AE,AP$5,0)),0),IF(ISERROR(1/VLOOKUP($N179,Capa!$A:$AE,AP$5,0)),0,1/VLOOKUP($N179,Capa!$A:$AE,AP$5,0))))</f>
        <v>0.0725072596</v>
      </c>
      <c r="AQ179" s="118">
        <f>IF(AQ$6="","",IF(AQ$3="Maior",IFERROR(IF(VLOOKUP($N179,Capa!$A:$AE,AQ$5,0)="",0,VLOOKUP($N179,Capa!$A:$AE,AQ$5,0)),0),IF(ISERROR(1/VLOOKUP($N179,Capa!$A:$AE,AQ$5,0)),0,1/VLOOKUP($N179,Capa!$A:$AE,AQ$5,0))))</f>
        <v>13.98</v>
      </c>
      <c r="AR179" s="118">
        <f>IF(AR$6="","",IF(AR$3="Maior",IFERROR(IF(VLOOKUP($N179,Capa!$A:$AE,AR$5,0)="",0,VLOOKUP($N179,Capa!$A:$AE,AR$5,0)),0),IF(ISERROR(1/VLOOKUP($N179,Capa!$A:$AE,AR$5,0)),0,1/VLOOKUP($N179,Capa!$A:$AE,AR$5,0))))</f>
        <v>43.95</v>
      </c>
      <c r="AS179" s="118" t="str">
        <f>IF(AS$6="","",IF(AS$3="Maior",IFERROR(IF(VLOOKUP($N179,Capa!$A:$AE,AS$5,0)="",0,VLOOKUP($N179,Capa!$A:$AE,AS$5,0)),0),IF(ISERROR(1/VLOOKUP($N179,Capa!$A:$AE,AS$5,0)),0,1/VLOOKUP($N179,Capa!$A:$AE,AS$5,0))))</f>
        <v/>
      </c>
      <c r="AT179" s="118" t="str">
        <f>IF(AT$6="","",IF(AT$3="Maior",IFERROR(IF(VLOOKUP($N179,Capa!$A:$AE,AT$5,0)="",0,VLOOKUP($N179,Capa!$A:$AE,AT$5,0)),0),IF(ISERROR(1/VLOOKUP($N179,Capa!$A:$AE,AT$5,0)),0,1/VLOOKUP($N179,Capa!$A:$AE,AT$5,0))))</f>
        <v/>
      </c>
      <c r="AU179" s="118" t="str">
        <f>IF(AU$6="","",IF(AU$3="Maior",IFERROR(IF(VLOOKUP($N179,Capa!$A:$AE,AU$5,0)="",0,VLOOKUP($N179,Capa!$A:$AE,AU$5,0)),0),IF(ISERROR(1/VLOOKUP($N179,Capa!$A:$AE,AU$5,0)),0,1/VLOOKUP($N179,Capa!$A:$AE,AU$5,0))))</f>
        <v/>
      </c>
      <c r="AV179" s="118" t="str">
        <f>IF(AV$6="","",IF(AV$3="Maior",IFERROR(IF(VLOOKUP($N179,Capa!$A:$AE,AV$5,0)="",0,VLOOKUP($N179,Capa!$A:$AE,AV$5,0)),0),IF(ISERROR(1/VLOOKUP($N179,Capa!$A:$AE,AV$5,0)),0,1/VLOOKUP($N179,Capa!$A:$AE,AV$5,0))))</f>
        <v/>
      </c>
      <c r="AW179" s="118" t="str">
        <f>IF(AW$6="","",IF(AW$3="Maior",IFERROR(IF(VLOOKUP($N179,Capa!$A:$AE,AW$5,0)="",0,VLOOKUP($N179,Capa!$A:$AE,AW$5,0)),0),IF(ISERROR(1/VLOOKUP($N179,Capa!$A:$AE,AW$5,0)),0,1/VLOOKUP($N179,Capa!$A:$AE,AW$5,0))))</f>
        <v/>
      </c>
      <c r="AX179" s="118" t="str">
        <f>IF(AX$6="","",IF(AX$3="Maior",IFERROR(IF(VLOOKUP($N179,Capa!$A:$AE,AX$5,0)="",0,VLOOKUP($N179,Capa!$A:$AE,AX$5,0)),0),IF(ISERROR(1/VLOOKUP($N179,Capa!$A:$AE,AX$5,0)),0,1/VLOOKUP($N179,Capa!$A:$AE,AX$5,0))))</f>
        <v/>
      </c>
      <c r="AY179" s="118" t="str">
        <f>IF(AY$6="","",IF(AY$3="Maior",IFERROR(IF(VLOOKUP($N179,Capa!$A:$AE,AY$5,0)="",0,VLOOKUP($N179,Capa!$A:$AE,AY$5,0)),0),IF(ISERROR(1/VLOOKUP($N179,Capa!$A:$AE,AY$5,0)),0,1/VLOOKUP($N179,Capa!$A:$AE,AY$5,0))))</f>
        <v/>
      </c>
      <c r="AZ179" s="118" t="str">
        <f>IF(AZ$6="","",IF(AZ$3="Maior",IFERROR(IF(VLOOKUP($N179,Capa!$A:$AE,AZ$5,0)="",0,VLOOKUP($N179,Capa!$A:$AE,AZ$5,0)),0),IF(ISERROR(1/VLOOKUP($N179,Capa!$A:$AE,AZ$5,0)),0,1/VLOOKUP($N179,Capa!$A:$AE,AZ$5,0))))</f>
        <v/>
      </c>
      <c r="BA179" s="118" t="str">
        <f>IF(BA$6="","",IF(BA$3="Maior",IFERROR(IF(VLOOKUP($N179,Capa!$A:$AE,BA$5,0)="",0,VLOOKUP($N179,Capa!$A:$AE,BA$5,0)),0),IF(ISERROR(1/VLOOKUP($N179,Capa!$A:$AE,BA$5,0)),0,1/VLOOKUP($N179,Capa!$A:$AE,BA$5,0))))</f>
        <v/>
      </c>
      <c r="BB179" s="118" t="str">
        <f>IF(BB$6="","",IF(BB$3="Maior",IFERROR(IF(VLOOKUP($N179,Capa!$A:$AE,BB$5,0)="",0,VLOOKUP($N179,Capa!$A:$AE,BB$5,0)),0),IF(ISERROR(1/VLOOKUP($N179,Capa!$A:$AE,BB$5,0)),0,1/VLOOKUP($N179,Capa!$A:$AE,BB$5,0))))</f>
        <v/>
      </c>
      <c r="BC179" s="118" t="str">
        <f>IF(BC$6="","",IF(BC$3="Maior",IFERROR(IF(VLOOKUP($N179,Capa!$A:$AE,BC$5,0)="",0,VLOOKUP($N179,Capa!$A:$AE,BC$5,0)),0),IF(ISERROR(1/VLOOKUP($N179,Capa!$A:$AE,BC$5,0)),0,1/VLOOKUP($N179,Capa!$A:$AE,BC$5,0))))</f>
        <v/>
      </c>
      <c r="BD179" s="118" t="str">
        <f>IF(BD$6="","",IF(BD$3="Maior",IFERROR(IF(VLOOKUP($N179,Capa!$A:$AE,BD$5,0)="",0,VLOOKUP($N179,Capa!$A:$AE,BD$5,0)),0),IF(ISERROR(1/VLOOKUP($N179,Capa!$A:$AE,BD$5,0)),0,1/VLOOKUP($N179,Capa!$A:$AE,BD$5,0))))</f>
        <v/>
      </c>
      <c r="BE179" s="118" t="str">
        <f>IF(BE$6="","",IF(BE$3="Maior",IFERROR(IF(VLOOKUP($N179,Capa!$A:$AE,BE$5,0)="",0,VLOOKUP($N179,Capa!$A:$AE,BE$5,0)),0),IF(ISERROR(1/VLOOKUP($N179,Capa!$A:$AE,BE$5,0)),0,1/VLOOKUP($N179,Capa!$A:$AE,BE$5,0))))</f>
        <v/>
      </c>
      <c r="BF179" s="118" t="str">
        <f>IF(BF$6="","",IF(BF$3="Maior",IFERROR(IF(VLOOKUP($N179,Capa!$A:$AE,BF$5,0)="",0,VLOOKUP($N179,Capa!$A:$AE,BF$5,0)),0),IF(ISERROR(1/VLOOKUP($N179,Capa!$A:$AE,BF$5,0)),0,1/VLOOKUP($N179,Capa!$A:$AE,BF$5,0))))</f>
        <v/>
      </c>
      <c r="BG179" s="118" t="str">
        <f>IF(BG$6="","",IF(BG$3="Maior",IFERROR(IF(VLOOKUP($N179,Capa!$A:$AE,BG$5,0)="",0,VLOOKUP($N179,Capa!$A:$AE,BG$5,0)),0),IF(ISERROR(1/VLOOKUP($N179,Capa!$A:$AE,BG$5,0)),0,1/VLOOKUP($N179,Capa!$A:$AE,BG$5,0))))</f>
        <v/>
      </c>
      <c r="BH179" s="118" t="str">
        <f>IF(BH$6="","",IF(BH$3="Maior",IFERROR(IF(VLOOKUP($N179,Capa!$A:$AE,BH$5,0)="",0,VLOOKUP($N179,Capa!$A:$AE,BH$5,0)),0),IF(ISERROR(1/VLOOKUP($N179,Capa!$A:$AE,BH$5,0)),0,1/VLOOKUP($N179,Capa!$A:$AE,BH$5,0))))</f>
        <v/>
      </c>
      <c r="BI179" s="118" t="str">
        <f>IF(BI$6="","",IF(BI$3="Maior",IFERROR(IF(VLOOKUP($N179,Capa!$A:$AE,BI$5,0)="",0,VLOOKUP($N179,Capa!$A:$AE,BI$5,0)),0),IF(ISERROR(1/VLOOKUP($N179,Capa!$A:$AE,BI$5,0)),0,1/VLOOKUP($N179,Capa!$A:$AE,BI$5,0))))</f>
        <v/>
      </c>
      <c r="BJ179" s="118" t="str">
        <f>IF(BJ$6="","",IF(BJ$3="Maior",IFERROR(IF(VLOOKUP($N179,Capa!$A:$AE,BJ$5,0)="",0,VLOOKUP($N179,Capa!$A:$AE,BJ$5,0)),0),IF(ISERROR(1/VLOOKUP($N179,Capa!$A:$AE,BJ$5,0)),0,1/VLOOKUP($N179,Capa!$A:$AE,BJ$5,0))))</f>
        <v/>
      </c>
      <c r="BK179" s="118" t="str">
        <f>IF(BK$6="","",IF(BK$3="Maior",IFERROR(IF(VLOOKUP($N179,Capa!$A:$AE,BK$5,0)="",0,VLOOKUP($N179,Capa!$A:$AE,BK$5,0)),0),IF(ISERROR(1/VLOOKUP($N179,Capa!$A:$AE,BK$5,0)),0,1/VLOOKUP($N179,Capa!$A:$AE,BK$5,0))))</f>
        <v/>
      </c>
      <c r="BL179" s="118" t="str">
        <f>IF(BL$6="","",IF(BL$3="Maior",IFERROR(IF(VLOOKUP($N179,Capa!$A:$AE,BL$5,0)="",0,VLOOKUP($N179,Capa!$A:$AE,BL$5,0)),0),IF(ISERROR(1/VLOOKUP($N179,Capa!$A:$AE,BL$5,0)),0,1/VLOOKUP($N179,Capa!$A:$AE,BL$5,0))))</f>
        <v/>
      </c>
      <c r="BM179" s="118" t="str">
        <f>IF(BM$6="","",IF(BM$3="Maior",IFERROR(IF(VLOOKUP($N179,Capa!$A:$AE,BM$5,0)="",0,VLOOKUP($N179,Capa!$A:$AE,BM$5,0)),0),IF(ISERROR(1/VLOOKUP($N179,Capa!$A:$AE,BM$5,0)),0,1/VLOOKUP($N179,Capa!$A:$AE,BM$5,0))))</f>
        <v/>
      </c>
      <c r="BN179" s="118" t="str">
        <f>IF(BN$6="","",IF(BN$3="Maior",IFERROR(IF(VLOOKUP($N179,Capa!$A:$AE,BN$5,0)="",0,VLOOKUP($N179,Capa!$A:$AE,BN$5,0)),0),IF(ISERROR(1/VLOOKUP($N179,Capa!$A:$AE,BN$5,0)),0,1/VLOOKUP($N179,Capa!$A:$AE,BN$5,0))))</f>
        <v/>
      </c>
      <c r="BO179" s="92"/>
    </row>
    <row r="180">
      <c r="G180" s="11"/>
      <c r="H180" s="8">
        <v>174.0</v>
      </c>
      <c r="I180" s="110" t="str">
        <f t="shared" si="6"/>
        <v>BBSE3</v>
      </c>
      <c r="J180" s="111" t="str">
        <f>VLOOKUP(left(I180,4),Setor!A:D,3,0)&amp;" | "&amp;VLOOKUP(left(I180,4),Setor!A:D,4,0)</f>
        <v>Financeiro | Previdência e Seguros</v>
      </c>
      <c r="K180" s="112">
        <f t="shared" si="7"/>
        <v>120399804.1</v>
      </c>
      <c r="L180" s="11"/>
      <c r="M180" s="11"/>
      <c r="N180" s="10" t="s">
        <v>226</v>
      </c>
      <c r="O180" s="113">
        <f t="shared" si="8"/>
        <v>412.0111</v>
      </c>
      <c r="P180" s="114">
        <f>VLOOKUP(N180,'Dados StatusInvest'!A:Z,26,0)</f>
        <v>21611539.46</v>
      </c>
      <c r="Q180" s="115">
        <f t="shared" si="9"/>
        <v>111.0111</v>
      </c>
      <c r="R180" s="116">
        <f t="shared" ref="R180:AO180" si="183">IF(AQ180="","", RANK(AQ180,AQ$7:AQ$503,0))</f>
        <v>192</v>
      </c>
      <c r="S180" s="115">
        <f t="shared" si="183"/>
        <v>109</v>
      </c>
      <c r="T180" s="115" t="str">
        <f t="shared" si="183"/>
        <v/>
      </c>
      <c r="U180" s="115" t="str">
        <f t="shared" si="183"/>
        <v/>
      </c>
      <c r="V180" s="115" t="str">
        <f t="shared" si="183"/>
        <v/>
      </c>
      <c r="W180" s="115" t="str">
        <f t="shared" si="183"/>
        <v/>
      </c>
      <c r="X180" s="115" t="str">
        <f t="shared" si="183"/>
        <v/>
      </c>
      <c r="Y180" s="115" t="str">
        <f t="shared" si="183"/>
        <v/>
      </c>
      <c r="Z180" s="115" t="str">
        <f t="shared" si="183"/>
        <v/>
      </c>
      <c r="AA180" s="115" t="str">
        <f t="shared" si="183"/>
        <v/>
      </c>
      <c r="AB180" s="115" t="str">
        <f t="shared" si="183"/>
        <v/>
      </c>
      <c r="AC180" s="115" t="str">
        <f t="shared" si="183"/>
        <v/>
      </c>
      <c r="AD180" s="115" t="str">
        <f t="shared" si="183"/>
        <v/>
      </c>
      <c r="AE180" s="115" t="str">
        <f t="shared" si="183"/>
        <v/>
      </c>
      <c r="AF180" s="115" t="str">
        <f t="shared" si="183"/>
        <v/>
      </c>
      <c r="AG180" s="115" t="str">
        <f t="shared" si="183"/>
        <v/>
      </c>
      <c r="AH180" s="115" t="str">
        <f t="shared" si="183"/>
        <v/>
      </c>
      <c r="AI180" s="115" t="str">
        <f t="shared" si="183"/>
        <v/>
      </c>
      <c r="AJ180" s="115" t="str">
        <f t="shared" si="183"/>
        <v/>
      </c>
      <c r="AK180" s="115" t="str">
        <f t="shared" si="183"/>
        <v/>
      </c>
      <c r="AL180" s="115" t="str">
        <f t="shared" si="183"/>
        <v/>
      </c>
      <c r="AM180" s="115" t="str">
        <f t="shared" si="183"/>
        <v/>
      </c>
      <c r="AN180" s="115" t="str">
        <f t="shared" si="183"/>
        <v/>
      </c>
      <c r="AO180" s="115" t="str">
        <f t="shared" si="183"/>
        <v/>
      </c>
      <c r="AP180" s="117">
        <f>IF(AP$6="","",IF(AP$3="Maior",IFERROR(IF(VLOOKUP($N180,Capa!$A:$AE,AP$5,0)="",0,VLOOKUP($N180,Capa!$A:$AE,AP$5,0)),0),IF(ISERROR(1/VLOOKUP($N180,Capa!$A:$AE,AP$5,0)),0,1/VLOOKUP($N180,Capa!$A:$AE,AP$5,0))))</f>
        <v>0.1655963715</v>
      </c>
      <c r="AQ180" s="118">
        <f>IF(AQ$6="","",IF(AQ$3="Maior",IFERROR(IF(VLOOKUP($N180,Capa!$A:$AE,AQ$5,0)="",0,VLOOKUP($N180,Capa!$A:$AE,AQ$5,0)),0),IF(ISERROR(1/VLOOKUP($N180,Capa!$A:$AE,AQ$5,0)),0,1/VLOOKUP($N180,Capa!$A:$AE,AQ$5,0))))</f>
        <v>11.29</v>
      </c>
      <c r="AR180" s="118">
        <f>IF(AR$6="","",IF(AR$3="Maior",IFERROR(IF(VLOOKUP($N180,Capa!$A:$AE,AR$5,0)="",0,VLOOKUP($N180,Capa!$A:$AE,AR$5,0)),0),IF(ISERROR(1/VLOOKUP($N180,Capa!$A:$AE,AR$5,0)),0,1/VLOOKUP($N180,Capa!$A:$AE,AR$5,0))))</f>
        <v>24.16</v>
      </c>
      <c r="AS180" s="118" t="str">
        <f>IF(AS$6="","",IF(AS$3="Maior",IFERROR(IF(VLOOKUP($N180,Capa!$A:$AE,AS$5,0)="",0,VLOOKUP($N180,Capa!$A:$AE,AS$5,0)),0),IF(ISERROR(1/VLOOKUP($N180,Capa!$A:$AE,AS$5,0)),0,1/VLOOKUP($N180,Capa!$A:$AE,AS$5,0))))</f>
        <v/>
      </c>
      <c r="AT180" s="118" t="str">
        <f>IF(AT$6="","",IF(AT$3="Maior",IFERROR(IF(VLOOKUP($N180,Capa!$A:$AE,AT$5,0)="",0,VLOOKUP($N180,Capa!$A:$AE,AT$5,0)),0),IF(ISERROR(1/VLOOKUP($N180,Capa!$A:$AE,AT$5,0)),0,1/VLOOKUP($N180,Capa!$A:$AE,AT$5,0))))</f>
        <v/>
      </c>
      <c r="AU180" s="118" t="str">
        <f>IF(AU$6="","",IF(AU$3="Maior",IFERROR(IF(VLOOKUP($N180,Capa!$A:$AE,AU$5,0)="",0,VLOOKUP($N180,Capa!$A:$AE,AU$5,0)),0),IF(ISERROR(1/VLOOKUP($N180,Capa!$A:$AE,AU$5,0)),0,1/VLOOKUP($N180,Capa!$A:$AE,AU$5,0))))</f>
        <v/>
      </c>
      <c r="AV180" s="118" t="str">
        <f>IF(AV$6="","",IF(AV$3="Maior",IFERROR(IF(VLOOKUP($N180,Capa!$A:$AE,AV$5,0)="",0,VLOOKUP($N180,Capa!$A:$AE,AV$5,0)),0),IF(ISERROR(1/VLOOKUP($N180,Capa!$A:$AE,AV$5,0)),0,1/VLOOKUP($N180,Capa!$A:$AE,AV$5,0))))</f>
        <v/>
      </c>
      <c r="AW180" s="118" t="str">
        <f>IF(AW$6="","",IF(AW$3="Maior",IFERROR(IF(VLOOKUP($N180,Capa!$A:$AE,AW$5,0)="",0,VLOOKUP($N180,Capa!$A:$AE,AW$5,0)),0),IF(ISERROR(1/VLOOKUP($N180,Capa!$A:$AE,AW$5,0)),0,1/VLOOKUP($N180,Capa!$A:$AE,AW$5,0))))</f>
        <v/>
      </c>
      <c r="AX180" s="118" t="str">
        <f>IF(AX$6="","",IF(AX$3="Maior",IFERROR(IF(VLOOKUP($N180,Capa!$A:$AE,AX$5,0)="",0,VLOOKUP($N180,Capa!$A:$AE,AX$5,0)),0),IF(ISERROR(1/VLOOKUP($N180,Capa!$A:$AE,AX$5,0)),0,1/VLOOKUP($N180,Capa!$A:$AE,AX$5,0))))</f>
        <v/>
      </c>
      <c r="AY180" s="118" t="str">
        <f>IF(AY$6="","",IF(AY$3="Maior",IFERROR(IF(VLOOKUP($N180,Capa!$A:$AE,AY$5,0)="",0,VLOOKUP($N180,Capa!$A:$AE,AY$5,0)),0),IF(ISERROR(1/VLOOKUP($N180,Capa!$A:$AE,AY$5,0)),0,1/VLOOKUP($N180,Capa!$A:$AE,AY$5,0))))</f>
        <v/>
      </c>
      <c r="AZ180" s="118" t="str">
        <f>IF(AZ$6="","",IF(AZ$3="Maior",IFERROR(IF(VLOOKUP($N180,Capa!$A:$AE,AZ$5,0)="",0,VLOOKUP($N180,Capa!$A:$AE,AZ$5,0)),0),IF(ISERROR(1/VLOOKUP($N180,Capa!$A:$AE,AZ$5,0)),0,1/VLOOKUP($N180,Capa!$A:$AE,AZ$5,0))))</f>
        <v/>
      </c>
      <c r="BA180" s="118" t="str">
        <f>IF(BA$6="","",IF(BA$3="Maior",IFERROR(IF(VLOOKUP($N180,Capa!$A:$AE,BA$5,0)="",0,VLOOKUP($N180,Capa!$A:$AE,BA$5,0)),0),IF(ISERROR(1/VLOOKUP($N180,Capa!$A:$AE,BA$5,0)),0,1/VLOOKUP($N180,Capa!$A:$AE,BA$5,0))))</f>
        <v/>
      </c>
      <c r="BB180" s="118" t="str">
        <f>IF(BB$6="","",IF(BB$3="Maior",IFERROR(IF(VLOOKUP($N180,Capa!$A:$AE,BB$5,0)="",0,VLOOKUP($N180,Capa!$A:$AE,BB$5,0)),0),IF(ISERROR(1/VLOOKUP($N180,Capa!$A:$AE,BB$5,0)),0,1/VLOOKUP($N180,Capa!$A:$AE,BB$5,0))))</f>
        <v/>
      </c>
      <c r="BC180" s="118" t="str">
        <f>IF(BC$6="","",IF(BC$3="Maior",IFERROR(IF(VLOOKUP($N180,Capa!$A:$AE,BC$5,0)="",0,VLOOKUP($N180,Capa!$A:$AE,BC$5,0)),0),IF(ISERROR(1/VLOOKUP($N180,Capa!$A:$AE,BC$5,0)),0,1/VLOOKUP($N180,Capa!$A:$AE,BC$5,0))))</f>
        <v/>
      </c>
      <c r="BD180" s="118" t="str">
        <f>IF(BD$6="","",IF(BD$3="Maior",IFERROR(IF(VLOOKUP($N180,Capa!$A:$AE,BD$5,0)="",0,VLOOKUP($N180,Capa!$A:$AE,BD$5,0)),0),IF(ISERROR(1/VLOOKUP($N180,Capa!$A:$AE,BD$5,0)),0,1/VLOOKUP($N180,Capa!$A:$AE,BD$5,0))))</f>
        <v/>
      </c>
      <c r="BE180" s="118" t="str">
        <f>IF(BE$6="","",IF(BE$3="Maior",IFERROR(IF(VLOOKUP($N180,Capa!$A:$AE,BE$5,0)="",0,VLOOKUP($N180,Capa!$A:$AE,BE$5,0)),0),IF(ISERROR(1/VLOOKUP($N180,Capa!$A:$AE,BE$5,0)),0,1/VLOOKUP($N180,Capa!$A:$AE,BE$5,0))))</f>
        <v/>
      </c>
      <c r="BF180" s="118" t="str">
        <f>IF(BF$6="","",IF(BF$3="Maior",IFERROR(IF(VLOOKUP($N180,Capa!$A:$AE,BF$5,0)="",0,VLOOKUP($N180,Capa!$A:$AE,BF$5,0)),0),IF(ISERROR(1/VLOOKUP($N180,Capa!$A:$AE,BF$5,0)),0,1/VLOOKUP($N180,Capa!$A:$AE,BF$5,0))))</f>
        <v/>
      </c>
      <c r="BG180" s="118" t="str">
        <f>IF(BG$6="","",IF(BG$3="Maior",IFERROR(IF(VLOOKUP($N180,Capa!$A:$AE,BG$5,0)="",0,VLOOKUP($N180,Capa!$A:$AE,BG$5,0)),0),IF(ISERROR(1/VLOOKUP($N180,Capa!$A:$AE,BG$5,0)),0,1/VLOOKUP($N180,Capa!$A:$AE,BG$5,0))))</f>
        <v/>
      </c>
      <c r="BH180" s="118" t="str">
        <f>IF(BH$6="","",IF(BH$3="Maior",IFERROR(IF(VLOOKUP($N180,Capa!$A:$AE,BH$5,0)="",0,VLOOKUP($N180,Capa!$A:$AE,BH$5,0)),0),IF(ISERROR(1/VLOOKUP($N180,Capa!$A:$AE,BH$5,0)),0,1/VLOOKUP($N180,Capa!$A:$AE,BH$5,0))))</f>
        <v/>
      </c>
      <c r="BI180" s="118" t="str">
        <f>IF(BI$6="","",IF(BI$3="Maior",IFERROR(IF(VLOOKUP($N180,Capa!$A:$AE,BI$5,0)="",0,VLOOKUP($N180,Capa!$A:$AE,BI$5,0)),0),IF(ISERROR(1/VLOOKUP($N180,Capa!$A:$AE,BI$5,0)),0,1/VLOOKUP($N180,Capa!$A:$AE,BI$5,0))))</f>
        <v/>
      </c>
      <c r="BJ180" s="118" t="str">
        <f>IF(BJ$6="","",IF(BJ$3="Maior",IFERROR(IF(VLOOKUP($N180,Capa!$A:$AE,BJ$5,0)="",0,VLOOKUP($N180,Capa!$A:$AE,BJ$5,0)),0),IF(ISERROR(1/VLOOKUP($N180,Capa!$A:$AE,BJ$5,0)),0,1/VLOOKUP($N180,Capa!$A:$AE,BJ$5,0))))</f>
        <v/>
      </c>
      <c r="BK180" s="118" t="str">
        <f>IF(BK$6="","",IF(BK$3="Maior",IFERROR(IF(VLOOKUP($N180,Capa!$A:$AE,BK$5,0)="",0,VLOOKUP($N180,Capa!$A:$AE,BK$5,0)),0),IF(ISERROR(1/VLOOKUP($N180,Capa!$A:$AE,BK$5,0)),0,1/VLOOKUP($N180,Capa!$A:$AE,BK$5,0))))</f>
        <v/>
      </c>
      <c r="BL180" s="118" t="str">
        <f>IF(BL$6="","",IF(BL$3="Maior",IFERROR(IF(VLOOKUP($N180,Capa!$A:$AE,BL$5,0)="",0,VLOOKUP($N180,Capa!$A:$AE,BL$5,0)),0),IF(ISERROR(1/VLOOKUP($N180,Capa!$A:$AE,BL$5,0)),0,1/VLOOKUP($N180,Capa!$A:$AE,BL$5,0))))</f>
        <v/>
      </c>
      <c r="BM180" s="118" t="str">
        <f>IF(BM$6="","",IF(BM$3="Maior",IFERROR(IF(VLOOKUP($N180,Capa!$A:$AE,BM$5,0)="",0,VLOOKUP($N180,Capa!$A:$AE,BM$5,0)),0),IF(ISERROR(1/VLOOKUP($N180,Capa!$A:$AE,BM$5,0)),0,1/VLOOKUP($N180,Capa!$A:$AE,BM$5,0))))</f>
        <v/>
      </c>
      <c r="BN180" s="118" t="str">
        <f>IF(BN$6="","",IF(BN$3="Maior",IFERROR(IF(VLOOKUP($N180,Capa!$A:$AE,BN$5,0)="",0,VLOOKUP($N180,Capa!$A:$AE,BN$5,0)),0),IF(ISERROR(1/VLOOKUP($N180,Capa!$A:$AE,BN$5,0)),0,1/VLOOKUP($N180,Capa!$A:$AE,BN$5,0))))</f>
        <v/>
      </c>
      <c r="BO180" s="92"/>
    </row>
    <row r="181">
      <c r="G181" s="11"/>
      <c r="H181" s="8">
        <v>175.0</v>
      </c>
      <c r="I181" s="110" t="str">
        <f t="shared" si="6"/>
        <v>CEBR5</v>
      </c>
      <c r="J181" s="111" t="str">
        <f>VLOOKUP(left(I181,4),Setor!A:D,3,0)&amp;" | "&amp;VLOOKUP(left(I181,4),Setor!A:D,4,0)</f>
        <v>Utilidade Pública | Energia Elétrica</v>
      </c>
      <c r="K181" s="112">
        <f t="shared" si="7"/>
        <v>322522.19</v>
      </c>
      <c r="L181" s="11"/>
      <c r="M181" s="11"/>
      <c r="N181" s="10" t="s">
        <v>227</v>
      </c>
      <c r="O181" s="113">
        <f t="shared" si="8"/>
        <v>415.0114</v>
      </c>
      <c r="P181" s="114">
        <f>VLOOKUP(N181,'Dados StatusInvest'!A:Z,26,0)</f>
        <v>19625830.25</v>
      </c>
      <c r="Q181" s="115">
        <f t="shared" si="9"/>
        <v>114.0114</v>
      </c>
      <c r="R181" s="116">
        <f t="shared" ref="R181:AO181" si="184">IF(AQ181="","", RANK(AQ181,AQ$7:AQ$503,0))</f>
        <v>192</v>
      </c>
      <c r="S181" s="115">
        <f t="shared" si="184"/>
        <v>109</v>
      </c>
      <c r="T181" s="115" t="str">
        <f t="shared" si="184"/>
        <v/>
      </c>
      <c r="U181" s="115" t="str">
        <f t="shared" si="184"/>
        <v/>
      </c>
      <c r="V181" s="115" t="str">
        <f t="shared" si="184"/>
        <v/>
      </c>
      <c r="W181" s="115" t="str">
        <f t="shared" si="184"/>
        <v/>
      </c>
      <c r="X181" s="115" t="str">
        <f t="shared" si="184"/>
        <v/>
      </c>
      <c r="Y181" s="115" t="str">
        <f t="shared" si="184"/>
        <v/>
      </c>
      <c r="Z181" s="115" t="str">
        <f t="shared" si="184"/>
        <v/>
      </c>
      <c r="AA181" s="115" t="str">
        <f t="shared" si="184"/>
        <v/>
      </c>
      <c r="AB181" s="115" t="str">
        <f t="shared" si="184"/>
        <v/>
      </c>
      <c r="AC181" s="115" t="str">
        <f t="shared" si="184"/>
        <v/>
      </c>
      <c r="AD181" s="115" t="str">
        <f t="shared" si="184"/>
        <v/>
      </c>
      <c r="AE181" s="115" t="str">
        <f t="shared" si="184"/>
        <v/>
      </c>
      <c r="AF181" s="115" t="str">
        <f t="shared" si="184"/>
        <v/>
      </c>
      <c r="AG181" s="115" t="str">
        <f t="shared" si="184"/>
        <v/>
      </c>
      <c r="AH181" s="115" t="str">
        <f t="shared" si="184"/>
        <v/>
      </c>
      <c r="AI181" s="115" t="str">
        <f t="shared" si="184"/>
        <v/>
      </c>
      <c r="AJ181" s="115" t="str">
        <f t="shared" si="184"/>
        <v/>
      </c>
      <c r="AK181" s="115" t="str">
        <f t="shared" si="184"/>
        <v/>
      </c>
      <c r="AL181" s="115" t="str">
        <f t="shared" si="184"/>
        <v/>
      </c>
      <c r="AM181" s="115" t="str">
        <f t="shared" si="184"/>
        <v/>
      </c>
      <c r="AN181" s="115" t="str">
        <f t="shared" si="184"/>
        <v/>
      </c>
      <c r="AO181" s="115" t="str">
        <f t="shared" si="184"/>
        <v/>
      </c>
      <c r="AP181" s="117">
        <f>IF(AP$6="","",IF(AP$3="Maior",IFERROR(IF(VLOOKUP($N181,Capa!$A:$AE,AP$5,0)="",0,VLOOKUP($N181,Capa!$A:$AE,AP$5,0)),0),IF(ISERROR(1/VLOOKUP($N181,Capa!$A:$AE,AP$5,0)),0,1/VLOOKUP($N181,Capa!$A:$AE,AP$5,0))))</f>
        <v>0.1626362889</v>
      </c>
      <c r="AQ181" s="118">
        <f>IF(AQ$6="","",IF(AQ$3="Maior",IFERROR(IF(VLOOKUP($N181,Capa!$A:$AE,AQ$5,0)="",0,VLOOKUP($N181,Capa!$A:$AE,AQ$5,0)),0),IF(ISERROR(1/VLOOKUP($N181,Capa!$A:$AE,AQ$5,0)),0,1/VLOOKUP($N181,Capa!$A:$AE,AQ$5,0))))</f>
        <v>11.29</v>
      </c>
      <c r="AR181" s="118">
        <f>IF(AR$6="","",IF(AR$3="Maior",IFERROR(IF(VLOOKUP($N181,Capa!$A:$AE,AR$5,0)="",0,VLOOKUP($N181,Capa!$A:$AE,AR$5,0)),0),IF(ISERROR(1/VLOOKUP($N181,Capa!$A:$AE,AR$5,0)),0,1/VLOOKUP($N181,Capa!$A:$AE,AR$5,0))))</f>
        <v>24.16</v>
      </c>
      <c r="AS181" s="118" t="str">
        <f>IF(AS$6="","",IF(AS$3="Maior",IFERROR(IF(VLOOKUP($N181,Capa!$A:$AE,AS$5,0)="",0,VLOOKUP($N181,Capa!$A:$AE,AS$5,0)),0),IF(ISERROR(1/VLOOKUP($N181,Capa!$A:$AE,AS$5,0)),0,1/VLOOKUP($N181,Capa!$A:$AE,AS$5,0))))</f>
        <v/>
      </c>
      <c r="AT181" s="118" t="str">
        <f>IF(AT$6="","",IF(AT$3="Maior",IFERROR(IF(VLOOKUP($N181,Capa!$A:$AE,AT$5,0)="",0,VLOOKUP($N181,Capa!$A:$AE,AT$5,0)),0),IF(ISERROR(1/VLOOKUP($N181,Capa!$A:$AE,AT$5,0)),0,1/VLOOKUP($N181,Capa!$A:$AE,AT$5,0))))</f>
        <v/>
      </c>
      <c r="AU181" s="118" t="str">
        <f>IF(AU$6="","",IF(AU$3="Maior",IFERROR(IF(VLOOKUP($N181,Capa!$A:$AE,AU$5,0)="",0,VLOOKUP($N181,Capa!$A:$AE,AU$5,0)),0),IF(ISERROR(1/VLOOKUP($N181,Capa!$A:$AE,AU$5,0)),0,1/VLOOKUP($N181,Capa!$A:$AE,AU$5,0))))</f>
        <v/>
      </c>
      <c r="AV181" s="118" t="str">
        <f>IF(AV$6="","",IF(AV$3="Maior",IFERROR(IF(VLOOKUP($N181,Capa!$A:$AE,AV$5,0)="",0,VLOOKUP($N181,Capa!$A:$AE,AV$5,0)),0),IF(ISERROR(1/VLOOKUP($N181,Capa!$A:$AE,AV$5,0)),0,1/VLOOKUP($N181,Capa!$A:$AE,AV$5,0))))</f>
        <v/>
      </c>
      <c r="AW181" s="118" t="str">
        <f>IF(AW$6="","",IF(AW$3="Maior",IFERROR(IF(VLOOKUP($N181,Capa!$A:$AE,AW$5,0)="",0,VLOOKUP($N181,Capa!$A:$AE,AW$5,0)),0),IF(ISERROR(1/VLOOKUP($N181,Capa!$A:$AE,AW$5,0)),0,1/VLOOKUP($N181,Capa!$A:$AE,AW$5,0))))</f>
        <v/>
      </c>
      <c r="AX181" s="118" t="str">
        <f>IF(AX$6="","",IF(AX$3="Maior",IFERROR(IF(VLOOKUP($N181,Capa!$A:$AE,AX$5,0)="",0,VLOOKUP($N181,Capa!$A:$AE,AX$5,0)),0),IF(ISERROR(1/VLOOKUP($N181,Capa!$A:$AE,AX$5,0)),0,1/VLOOKUP($N181,Capa!$A:$AE,AX$5,0))))</f>
        <v/>
      </c>
      <c r="AY181" s="118" t="str">
        <f>IF(AY$6="","",IF(AY$3="Maior",IFERROR(IF(VLOOKUP($N181,Capa!$A:$AE,AY$5,0)="",0,VLOOKUP($N181,Capa!$A:$AE,AY$5,0)),0),IF(ISERROR(1/VLOOKUP($N181,Capa!$A:$AE,AY$5,0)),0,1/VLOOKUP($N181,Capa!$A:$AE,AY$5,0))))</f>
        <v/>
      </c>
      <c r="AZ181" s="118" t="str">
        <f>IF(AZ$6="","",IF(AZ$3="Maior",IFERROR(IF(VLOOKUP($N181,Capa!$A:$AE,AZ$5,0)="",0,VLOOKUP($N181,Capa!$A:$AE,AZ$5,0)),0),IF(ISERROR(1/VLOOKUP($N181,Capa!$A:$AE,AZ$5,0)),0,1/VLOOKUP($N181,Capa!$A:$AE,AZ$5,0))))</f>
        <v/>
      </c>
      <c r="BA181" s="118" t="str">
        <f>IF(BA$6="","",IF(BA$3="Maior",IFERROR(IF(VLOOKUP($N181,Capa!$A:$AE,BA$5,0)="",0,VLOOKUP($N181,Capa!$A:$AE,BA$5,0)),0),IF(ISERROR(1/VLOOKUP($N181,Capa!$A:$AE,BA$5,0)),0,1/VLOOKUP($N181,Capa!$A:$AE,BA$5,0))))</f>
        <v/>
      </c>
      <c r="BB181" s="118" t="str">
        <f>IF(BB$6="","",IF(BB$3="Maior",IFERROR(IF(VLOOKUP($N181,Capa!$A:$AE,BB$5,0)="",0,VLOOKUP($N181,Capa!$A:$AE,BB$5,0)),0),IF(ISERROR(1/VLOOKUP($N181,Capa!$A:$AE,BB$5,0)),0,1/VLOOKUP($N181,Capa!$A:$AE,BB$5,0))))</f>
        <v/>
      </c>
      <c r="BC181" s="118" t="str">
        <f>IF(BC$6="","",IF(BC$3="Maior",IFERROR(IF(VLOOKUP($N181,Capa!$A:$AE,BC$5,0)="",0,VLOOKUP($N181,Capa!$A:$AE,BC$5,0)),0),IF(ISERROR(1/VLOOKUP($N181,Capa!$A:$AE,BC$5,0)),0,1/VLOOKUP($N181,Capa!$A:$AE,BC$5,0))))</f>
        <v/>
      </c>
      <c r="BD181" s="118" t="str">
        <f>IF(BD$6="","",IF(BD$3="Maior",IFERROR(IF(VLOOKUP($N181,Capa!$A:$AE,BD$5,0)="",0,VLOOKUP($N181,Capa!$A:$AE,BD$5,0)),0),IF(ISERROR(1/VLOOKUP($N181,Capa!$A:$AE,BD$5,0)),0,1/VLOOKUP($N181,Capa!$A:$AE,BD$5,0))))</f>
        <v/>
      </c>
      <c r="BE181" s="118" t="str">
        <f>IF(BE$6="","",IF(BE$3="Maior",IFERROR(IF(VLOOKUP($N181,Capa!$A:$AE,BE$5,0)="",0,VLOOKUP($N181,Capa!$A:$AE,BE$5,0)),0),IF(ISERROR(1/VLOOKUP($N181,Capa!$A:$AE,BE$5,0)),0,1/VLOOKUP($N181,Capa!$A:$AE,BE$5,0))))</f>
        <v/>
      </c>
      <c r="BF181" s="118" t="str">
        <f>IF(BF$6="","",IF(BF$3="Maior",IFERROR(IF(VLOOKUP($N181,Capa!$A:$AE,BF$5,0)="",0,VLOOKUP($N181,Capa!$A:$AE,BF$5,0)),0),IF(ISERROR(1/VLOOKUP($N181,Capa!$A:$AE,BF$5,0)),0,1/VLOOKUP($N181,Capa!$A:$AE,BF$5,0))))</f>
        <v/>
      </c>
      <c r="BG181" s="118" t="str">
        <f>IF(BG$6="","",IF(BG$3="Maior",IFERROR(IF(VLOOKUP($N181,Capa!$A:$AE,BG$5,0)="",0,VLOOKUP($N181,Capa!$A:$AE,BG$5,0)),0),IF(ISERROR(1/VLOOKUP($N181,Capa!$A:$AE,BG$5,0)),0,1/VLOOKUP($N181,Capa!$A:$AE,BG$5,0))))</f>
        <v/>
      </c>
      <c r="BH181" s="118" t="str">
        <f>IF(BH$6="","",IF(BH$3="Maior",IFERROR(IF(VLOOKUP($N181,Capa!$A:$AE,BH$5,0)="",0,VLOOKUP($N181,Capa!$A:$AE,BH$5,0)),0),IF(ISERROR(1/VLOOKUP($N181,Capa!$A:$AE,BH$5,0)),0,1/VLOOKUP($N181,Capa!$A:$AE,BH$5,0))))</f>
        <v/>
      </c>
      <c r="BI181" s="118" t="str">
        <f>IF(BI$6="","",IF(BI$3="Maior",IFERROR(IF(VLOOKUP($N181,Capa!$A:$AE,BI$5,0)="",0,VLOOKUP($N181,Capa!$A:$AE,BI$5,0)),0),IF(ISERROR(1/VLOOKUP($N181,Capa!$A:$AE,BI$5,0)),0,1/VLOOKUP($N181,Capa!$A:$AE,BI$5,0))))</f>
        <v/>
      </c>
      <c r="BJ181" s="118" t="str">
        <f>IF(BJ$6="","",IF(BJ$3="Maior",IFERROR(IF(VLOOKUP($N181,Capa!$A:$AE,BJ$5,0)="",0,VLOOKUP($N181,Capa!$A:$AE,BJ$5,0)),0),IF(ISERROR(1/VLOOKUP($N181,Capa!$A:$AE,BJ$5,0)),0,1/VLOOKUP($N181,Capa!$A:$AE,BJ$5,0))))</f>
        <v/>
      </c>
      <c r="BK181" s="118" t="str">
        <f>IF(BK$6="","",IF(BK$3="Maior",IFERROR(IF(VLOOKUP($N181,Capa!$A:$AE,BK$5,0)="",0,VLOOKUP($N181,Capa!$A:$AE,BK$5,0)),0),IF(ISERROR(1/VLOOKUP($N181,Capa!$A:$AE,BK$5,0)),0,1/VLOOKUP($N181,Capa!$A:$AE,BK$5,0))))</f>
        <v/>
      </c>
      <c r="BL181" s="118" t="str">
        <f>IF(BL$6="","",IF(BL$3="Maior",IFERROR(IF(VLOOKUP($N181,Capa!$A:$AE,BL$5,0)="",0,VLOOKUP($N181,Capa!$A:$AE,BL$5,0)),0),IF(ISERROR(1/VLOOKUP($N181,Capa!$A:$AE,BL$5,0)),0,1/VLOOKUP($N181,Capa!$A:$AE,BL$5,0))))</f>
        <v/>
      </c>
      <c r="BM181" s="118" t="str">
        <f>IF(BM$6="","",IF(BM$3="Maior",IFERROR(IF(VLOOKUP($N181,Capa!$A:$AE,BM$5,0)="",0,VLOOKUP($N181,Capa!$A:$AE,BM$5,0)),0),IF(ISERROR(1/VLOOKUP($N181,Capa!$A:$AE,BM$5,0)),0,1/VLOOKUP($N181,Capa!$A:$AE,BM$5,0))))</f>
        <v/>
      </c>
      <c r="BN181" s="118" t="str">
        <f>IF(BN$6="","",IF(BN$3="Maior",IFERROR(IF(VLOOKUP($N181,Capa!$A:$AE,BN$5,0)="",0,VLOOKUP($N181,Capa!$A:$AE,BN$5,0)),0),IF(ISERROR(1/VLOOKUP($N181,Capa!$A:$AE,BN$5,0)),0,1/VLOOKUP($N181,Capa!$A:$AE,BN$5,0))))</f>
        <v/>
      </c>
      <c r="BO181" s="92"/>
    </row>
    <row r="182">
      <c r="G182" s="11"/>
      <c r="H182" s="8">
        <v>176.0</v>
      </c>
      <c r="I182" s="110" t="str">
        <f t="shared" si="6"/>
        <v>CEBR3</v>
      </c>
      <c r="J182" s="111" t="str">
        <f>VLOOKUP(left(I182,4),Setor!A:D,3,0)&amp;" | "&amp;VLOOKUP(left(I182,4),Setor!A:D,4,0)</f>
        <v>Utilidade Pública | Energia Elétrica</v>
      </c>
      <c r="K182" s="112">
        <f t="shared" si="7"/>
        <v>353701.12</v>
      </c>
      <c r="L182" s="11"/>
      <c r="M182" s="11"/>
      <c r="N182" s="10" t="s">
        <v>228</v>
      </c>
      <c r="O182" s="113">
        <f t="shared" si="8"/>
        <v>781.0333</v>
      </c>
      <c r="P182" s="114">
        <f>VLOOKUP(N182,'Dados StatusInvest'!A:Z,26,0)</f>
        <v>14371874.46</v>
      </c>
      <c r="Q182" s="115">
        <f t="shared" si="9"/>
        <v>333.0333</v>
      </c>
      <c r="R182" s="116">
        <f t="shared" ref="R182:AO182" si="185">IF(AQ182="","", RANK(AQ182,AQ$7:AQ$503,0))</f>
        <v>289</v>
      </c>
      <c r="S182" s="115">
        <f t="shared" si="185"/>
        <v>159</v>
      </c>
      <c r="T182" s="115" t="str">
        <f t="shared" si="185"/>
        <v/>
      </c>
      <c r="U182" s="115" t="str">
        <f t="shared" si="185"/>
        <v/>
      </c>
      <c r="V182" s="115" t="str">
        <f t="shared" si="185"/>
        <v/>
      </c>
      <c r="W182" s="115" t="str">
        <f t="shared" si="185"/>
        <v/>
      </c>
      <c r="X182" s="115" t="str">
        <f t="shared" si="185"/>
        <v/>
      </c>
      <c r="Y182" s="115" t="str">
        <f t="shared" si="185"/>
        <v/>
      </c>
      <c r="Z182" s="115" t="str">
        <f t="shared" si="185"/>
        <v/>
      </c>
      <c r="AA182" s="115" t="str">
        <f t="shared" si="185"/>
        <v/>
      </c>
      <c r="AB182" s="115" t="str">
        <f t="shared" si="185"/>
        <v/>
      </c>
      <c r="AC182" s="115" t="str">
        <f t="shared" si="185"/>
        <v/>
      </c>
      <c r="AD182" s="115" t="str">
        <f t="shared" si="185"/>
        <v/>
      </c>
      <c r="AE182" s="115" t="str">
        <f t="shared" si="185"/>
        <v/>
      </c>
      <c r="AF182" s="115" t="str">
        <f t="shared" si="185"/>
        <v/>
      </c>
      <c r="AG182" s="115" t="str">
        <f t="shared" si="185"/>
        <v/>
      </c>
      <c r="AH182" s="115" t="str">
        <f t="shared" si="185"/>
        <v/>
      </c>
      <c r="AI182" s="115" t="str">
        <f t="shared" si="185"/>
        <v/>
      </c>
      <c r="AJ182" s="115" t="str">
        <f t="shared" si="185"/>
        <v/>
      </c>
      <c r="AK182" s="115" t="str">
        <f t="shared" si="185"/>
        <v/>
      </c>
      <c r="AL182" s="115" t="str">
        <f t="shared" si="185"/>
        <v/>
      </c>
      <c r="AM182" s="115" t="str">
        <f t="shared" si="185"/>
        <v/>
      </c>
      <c r="AN182" s="115" t="str">
        <f t="shared" si="185"/>
        <v/>
      </c>
      <c r="AO182" s="115" t="str">
        <f t="shared" si="185"/>
        <v/>
      </c>
      <c r="AP182" s="117">
        <f>IF(AP$6="","",IF(AP$3="Maior",IFERROR(IF(VLOOKUP($N182,Capa!$A:$AE,AP$5,0)="",0,VLOOKUP($N182,Capa!$A:$AE,AP$5,0)),0),IF(ISERROR(1/VLOOKUP($N182,Capa!$A:$AE,AP$5,0)),0,1/VLOOKUP($N182,Capa!$A:$AE,AP$5,0))))</f>
        <v>0.03905251498</v>
      </c>
      <c r="AQ182" s="118">
        <f>IF(AQ$6="","",IF(AQ$3="Maior",IFERROR(IF(VLOOKUP($N182,Capa!$A:$AE,AQ$5,0)="",0,VLOOKUP($N182,Capa!$A:$AE,AQ$5,0)),0),IF(ISERROR(1/VLOOKUP($N182,Capa!$A:$AE,AQ$5,0)),0,1/VLOOKUP($N182,Capa!$A:$AE,AQ$5,0))))</f>
        <v>5.84</v>
      </c>
      <c r="AR182" s="118">
        <f>IF(AR$6="","",IF(AR$3="Maior",IFERROR(IF(VLOOKUP($N182,Capa!$A:$AE,AR$5,0)="",0,VLOOKUP($N182,Capa!$A:$AE,AR$5,0)),0),IF(ISERROR(1/VLOOKUP($N182,Capa!$A:$AE,AR$5,0)),0,1/VLOOKUP($N182,Capa!$A:$AE,AR$5,0))))</f>
        <v>11.73</v>
      </c>
      <c r="AS182" s="118" t="str">
        <f>IF(AS$6="","",IF(AS$3="Maior",IFERROR(IF(VLOOKUP($N182,Capa!$A:$AE,AS$5,0)="",0,VLOOKUP($N182,Capa!$A:$AE,AS$5,0)),0),IF(ISERROR(1/VLOOKUP($N182,Capa!$A:$AE,AS$5,0)),0,1/VLOOKUP($N182,Capa!$A:$AE,AS$5,0))))</f>
        <v/>
      </c>
      <c r="AT182" s="118" t="str">
        <f>IF(AT$6="","",IF(AT$3="Maior",IFERROR(IF(VLOOKUP($N182,Capa!$A:$AE,AT$5,0)="",0,VLOOKUP($N182,Capa!$A:$AE,AT$5,0)),0),IF(ISERROR(1/VLOOKUP($N182,Capa!$A:$AE,AT$5,0)),0,1/VLOOKUP($N182,Capa!$A:$AE,AT$5,0))))</f>
        <v/>
      </c>
      <c r="AU182" s="118" t="str">
        <f>IF(AU$6="","",IF(AU$3="Maior",IFERROR(IF(VLOOKUP($N182,Capa!$A:$AE,AU$5,0)="",0,VLOOKUP($N182,Capa!$A:$AE,AU$5,0)),0),IF(ISERROR(1/VLOOKUP($N182,Capa!$A:$AE,AU$5,0)),0,1/VLOOKUP($N182,Capa!$A:$AE,AU$5,0))))</f>
        <v/>
      </c>
      <c r="AV182" s="118" t="str">
        <f>IF(AV$6="","",IF(AV$3="Maior",IFERROR(IF(VLOOKUP($N182,Capa!$A:$AE,AV$5,0)="",0,VLOOKUP($N182,Capa!$A:$AE,AV$5,0)),0),IF(ISERROR(1/VLOOKUP($N182,Capa!$A:$AE,AV$5,0)),0,1/VLOOKUP($N182,Capa!$A:$AE,AV$5,0))))</f>
        <v/>
      </c>
      <c r="AW182" s="118" t="str">
        <f>IF(AW$6="","",IF(AW$3="Maior",IFERROR(IF(VLOOKUP($N182,Capa!$A:$AE,AW$5,0)="",0,VLOOKUP($N182,Capa!$A:$AE,AW$5,0)),0),IF(ISERROR(1/VLOOKUP($N182,Capa!$A:$AE,AW$5,0)),0,1/VLOOKUP($N182,Capa!$A:$AE,AW$5,0))))</f>
        <v/>
      </c>
      <c r="AX182" s="118" t="str">
        <f>IF(AX$6="","",IF(AX$3="Maior",IFERROR(IF(VLOOKUP($N182,Capa!$A:$AE,AX$5,0)="",0,VLOOKUP($N182,Capa!$A:$AE,AX$5,0)),0),IF(ISERROR(1/VLOOKUP($N182,Capa!$A:$AE,AX$5,0)),0,1/VLOOKUP($N182,Capa!$A:$AE,AX$5,0))))</f>
        <v/>
      </c>
      <c r="AY182" s="118" t="str">
        <f>IF(AY$6="","",IF(AY$3="Maior",IFERROR(IF(VLOOKUP($N182,Capa!$A:$AE,AY$5,0)="",0,VLOOKUP($N182,Capa!$A:$AE,AY$5,0)),0),IF(ISERROR(1/VLOOKUP($N182,Capa!$A:$AE,AY$5,0)),0,1/VLOOKUP($N182,Capa!$A:$AE,AY$5,0))))</f>
        <v/>
      </c>
      <c r="AZ182" s="118" t="str">
        <f>IF(AZ$6="","",IF(AZ$3="Maior",IFERROR(IF(VLOOKUP($N182,Capa!$A:$AE,AZ$5,0)="",0,VLOOKUP($N182,Capa!$A:$AE,AZ$5,0)),0),IF(ISERROR(1/VLOOKUP($N182,Capa!$A:$AE,AZ$5,0)),0,1/VLOOKUP($N182,Capa!$A:$AE,AZ$5,0))))</f>
        <v/>
      </c>
      <c r="BA182" s="118" t="str">
        <f>IF(BA$6="","",IF(BA$3="Maior",IFERROR(IF(VLOOKUP($N182,Capa!$A:$AE,BA$5,0)="",0,VLOOKUP($N182,Capa!$A:$AE,BA$5,0)),0),IF(ISERROR(1/VLOOKUP($N182,Capa!$A:$AE,BA$5,0)),0,1/VLOOKUP($N182,Capa!$A:$AE,BA$5,0))))</f>
        <v/>
      </c>
      <c r="BB182" s="118" t="str">
        <f>IF(BB$6="","",IF(BB$3="Maior",IFERROR(IF(VLOOKUP($N182,Capa!$A:$AE,BB$5,0)="",0,VLOOKUP($N182,Capa!$A:$AE,BB$5,0)),0),IF(ISERROR(1/VLOOKUP($N182,Capa!$A:$AE,BB$5,0)),0,1/VLOOKUP($N182,Capa!$A:$AE,BB$5,0))))</f>
        <v/>
      </c>
      <c r="BC182" s="118" t="str">
        <f>IF(BC$6="","",IF(BC$3="Maior",IFERROR(IF(VLOOKUP($N182,Capa!$A:$AE,BC$5,0)="",0,VLOOKUP($N182,Capa!$A:$AE,BC$5,0)),0),IF(ISERROR(1/VLOOKUP($N182,Capa!$A:$AE,BC$5,0)),0,1/VLOOKUP($N182,Capa!$A:$AE,BC$5,0))))</f>
        <v/>
      </c>
      <c r="BD182" s="118" t="str">
        <f>IF(BD$6="","",IF(BD$3="Maior",IFERROR(IF(VLOOKUP($N182,Capa!$A:$AE,BD$5,0)="",0,VLOOKUP($N182,Capa!$A:$AE,BD$5,0)),0),IF(ISERROR(1/VLOOKUP($N182,Capa!$A:$AE,BD$5,0)),0,1/VLOOKUP($N182,Capa!$A:$AE,BD$5,0))))</f>
        <v/>
      </c>
      <c r="BE182" s="118" t="str">
        <f>IF(BE$6="","",IF(BE$3="Maior",IFERROR(IF(VLOOKUP($N182,Capa!$A:$AE,BE$5,0)="",0,VLOOKUP($N182,Capa!$A:$AE,BE$5,0)),0),IF(ISERROR(1/VLOOKUP($N182,Capa!$A:$AE,BE$5,0)),0,1/VLOOKUP($N182,Capa!$A:$AE,BE$5,0))))</f>
        <v/>
      </c>
      <c r="BF182" s="118" t="str">
        <f>IF(BF$6="","",IF(BF$3="Maior",IFERROR(IF(VLOOKUP($N182,Capa!$A:$AE,BF$5,0)="",0,VLOOKUP($N182,Capa!$A:$AE,BF$5,0)),0),IF(ISERROR(1/VLOOKUP($N182,Capa!$A:$AE,BF$5,0)),0,1/VLOOKUP($N182,Capa!$A:$AE,BF$5,0))))</f>
        <v/>
      </c>
      <c r="BG182" s="118" t="str">
        <f>IF(BG$6="","",IF(BG$3="Maior",IFERROR(IF(VLOOKUP($N182,Capa!$A:$AE,BG$5,0)="",0,VLOOKUP($N182,Capa!$A:$AE,BG$5,0)),0),IF(ISERROR(1/VLOOKUP($N182,Capa!$A:$AE,BG$5,0)),0,1/VLOOKUP($N182,Capa!$A:$AE,BG$5,0))))</f>
        <v/>
      </c>
      <c r="BH182" s="118" t="str">
        <f>IF(BH$6="","",IF(BH$3="Maior",IFERROR(IF(VLOOKUP($N182,Capa!$A:$AE,BH$5,0)="",0,VLOOKUP($N182,Capa!$A:$AE,BH$5,0)),0),IF(ISERROR(1/VLOOKUP($N182,Capa!$A:$AE,BH$5,0)),0,1/VLOOKUP($N182,Capa!$A:$AE,BH$5,0))))</f>
        <v/>
      </c>
      <c r="BI182" s="118" t="str">
        <f>IF(BI$6="","",IF(BI$3="Maior",IFERROR(IF(VLOOKUP($N182,Capa!$A:$AE,BI$5,0)="",0,VLOOKUP($N182,Capa!$A:$AE,BI$5,0)),0),IF(ISERROR(1/VLOOKUP($N182,Capa!$A:$AE,BI$5,0)),0,1/VLOOKUP($N182,Capa!$A:$AE,BI$5,0))))</f>
        <v/>
      </c>
      <c r="BJ182" s="118" t="str">
        <f>IF(BJ$6="","",IF(BJ$3="Maior",IFERROR(IF(VLOOKUP($N182,Capa!$A:$AE,BJ$5,0)="",0,VLOOKUP($N182,Capa!$A:$AE,BJ$5,0)),0),IF(ISERROR(1/VLOOKUP($N182,Capa!$A:$AE,BJ$5,0)),0,1/VLOOKUP($N182,Capa!$A:$AE,BJ$5,0))))</f>
        <v/>
      </c>
      <c r="BK182" s="118" t="str">
        <f>IF(BK$6="","",IF(BK$3="Maior",IFERROR(IF(VLOOKUP($N182,Capa!$A:$AE,BK$5,0)="",0,VLOOKUP($N182,Capa!$A:$AE,BK$5,0)),0),IF(ISERROR(1/VLOOKUP($N182,Capa!$A:$AE,BK$5,0)),0,1/VLOOKUP($N182,Capa!$A:$AE,BK$5,0))))</f>
        <v/>
      </c>
      <c r="BL182" s="118" t="str">
        <f>IF(BL$6="","",IF(BL$3="Maior",IFERROR(IF(VLOOKUP($N182,Capa!$A:$AE,BL$5,0)="",0,VLOOKUP($N182,Capa!$A:$AE,BL$5,0)),0),IF(ISERROR(1/VLOOKUP($N182,Capa!$A:$AE,BL$5,0)),0,1/VLOOKUP($N182,Capa!$A:$AE,BL$5,0))))</f>
        <v/>
      </c>
      <c r="BM182" s="118" t="str">
        <f>IF(BM$6="","",IF(BM$3="Maior",IFERROR(IF(VLOOKUP($N182,Capa!$A:$AE,BM$5,0)="",0,VLOOKUP($N182,Capa!$A:$AE,BM$5,0)),0),IF(ISERROR(1/VLOOKUP($N182,Capa!$A:$AE,BM$5,0)),0,1/VLOOKUP($N182,Capa!$A:$AE,BM$5,0))))</f>
        <v/>
      </c>
      <c r="BN182" s="118" t="str">
        <f>IF(BN$6="","",IF(BN$3="Maior",IFERROR(IF(VLOOKUP($N182,Capa!$A:$AE,BN$5,0)="",0,VLOOKUP($N182,Capa!$A:$AE,BN$5,0)),0),IF(ISERROR(1/VLOOKUP($N182,Capa!$A:$AE,BN$5,0)),0,1/VLOOKUP($N182,Capa!$A:$AE,BN$5,0))))</f>
        <v/>
      </c>
      <c r="BO182" s="92"/>
    </row>
    <row r="183">
      <c r="G183" s="11"/>
      <c r="H183" s="8">
        <v>177.0</v>
      </c>
      <c r="I183" s="110" t="str">
        <f t="shared" si="6"/>
        <v>CEBR6</v>
      </c>
      <c r="J183" s="111" t="str">
        <f>VLOOKUP(left(I183,4),Setor!A:D,3,0)&amp;" | "&amp;VLOOKUP(left(I183,4),Setor!A:D,4,0)</f>
        <v>Utilidade Pública | Energia Elétrica</v>
      </c>
      <c r="K183" s="112">
        <f t="shared" si="7"/>
        <v>493015.84</v>
      </c>
      <c r="L183" s="11"/>
      <c r="M183" s="11"/>
      <c r="N183" s="10" t="s">
        <v>229</v>
      </c>
      <c r="O183" s="113">
        <f t="shared" si="8"/>
        <v>896.0398</v>
      </c>
      <c r="P183" s="114">
        <f>VLOOKUP(N183,'Dados StatusInvest'!A:Z,26,0)</f>
        <v>12318283.58</v>
      </c>
      <c r="Q183" s="115">
        <f t="shared" si="9"/>
        <v>398.0398</v>
      </c>
      <c r="R183" s="116">
        <f t="shared" ref="R183:AO183" si="186">IF(AQ183="","", RANK(AQ183,AQ$7:AQ$503,0))</f>
        <v>279</v>
      </c>
      <c r="S183" s="115">
        <f t="shared" si="186"/>
        <v>219</v>
      </c>
      <c r="T183" s="115" t="str">
        <f t="shared" si="186"/>
        <v/>
      </c>
      <c r="U183" s="115" t="str">
        <f t="shared" si="186"/>
        <v/>
      </c>
      <c r="V183" s="115" t="str">
        <f t="shared" si="186"/>
        <v/>
      </c>
      <c r="W183" s="115" t="str">
        <f t="shared" si="186"/>
        <v/>
      </c>
      <c r="X183" s="115" t="str">
        <f t="shared" si="186"/>
        <v/>
      </c>
      <c r="Y183" s="115" t="str">
        <f t="shared" si="186"/>
        <v/>
      </c>
      <c r="Z183" s="115" t="str">
        <f t="shared" si="186"/>
        <v/>
      </c>
      <c r="AA183" s="115" t="str">
        <f t="shared" si="186"/>
        <v/>
      </c>
      <c r="AB183" s="115" t="str">
        <f t="shared" si="186"/>
        <v/>
      </c>
      <c r="AC183" s="115" t="str">
        <f t="shared" si="186"/>
        <v/>
      </c>
      <c r="AD183" s="115" t="str">
        <f t="shared" si="186"/>
        <v/>
      </c>
      <c r="AE183" s="115" t="str">
        <f t="shared" si="186"/>
        <v/>
      </c>
      <c r="AF183" s="115" t="str">
        <f t="shared" si="186"/>
        <v/>
      </c>
      <c r="AG183" s="115" t="str">
        <f t="shared" si="186"/>
        <v/>
      </c>
      <c r="AH183" s="115" t="str">
        <f t="shared" si="186"/>
        <v/>
      </c>
      <c r="AI183" s="115" t="str">
        <f t="shared" si="186"/>
        <v/>
      </c>
      <c r="AJ183" s="115" t="str">
        <f t="shared" si="186"/>
        <v/>
      </c>
      <c r="AK183" s="115" t="str">
        <f t="shared" si="186"/>
        <v/>
      </c>
      <c r="AL183" s="115" t="str">
        <f t="shared" si="186"/>
        <v/>
      </c>
      <c r="AM183" s="115" t="str">
        <f t="shared" si="186"/>
        <v/>
      </c>
      <c r="AN183" s="115" t="str">
        <f t="shared" si="186"/>
        <v/>
      </c>
      <c r="AO183" s="115" t="str">
        <f t="shared" si="186"/>
        <v/>
      </c>
      <c r="AP183" s="117">
        <f>IF(AP$6="","",IF(AP$3="Maior",IFERROR(IF(VLOOKUP($N183,Capa!$A:$AE,AP$5,0)="",0,VLOOKUP($N183,Capa!$A:$AE,AP$5,0)),0),IF(ISERROR(1/VLOOKUP($N183,Capa!$A:$AE,AP$5,0)),0,1/VLOOKUP($N183,Capa!$A:$AE,AP$5,0))))</f>
        <v>0.007657626272</v>
      </c>
      <c r="AQ183" s="118">
        <f>IF(AQ$6="","",IF(AQ$3="Maior",IFERROR(IF(VLOOKUP($N183,Capa!$A:$AE,AQ$5,0)="",0,VLOOKUP($N183,Capa!$A:$AE,AQ$5,0)),0),IF(ISERROR(1/VLOOKUP($N183,Capa!$A:$AE,AQ$5,0)),0,1/VLOOKUP($N183,Capa!$A:$AE,AQ$5,0))))</f>
        <v>6.24</v>
      </c>
      <c r="AR183" s="118">
        <f>IF(AR$6="","",IF(AR$3="Maior",IFERROR(IF(VLOOKUP($N183,Capa!$A:$AE,AR$5,0)="",0,VLOOKUP($N183,Capa!$A:$AE,AR$5,0)),0),IF(ISERROR(1/VLOOKUP($N183,Capa!$A:$AE,AR$5,0)),0,1/VLOOKUP($N183,Capa!$A:$AE,AR$5,0))))</f>
        <v>0</v>
      </c>
      <c r="AS183" s="118" t="str">
        <f>IF(AS$6="","",IF(AS$3="Maior",IFERROR(IF(VLOOKUP($N183,Capa!$A:$AE,AS$5,0)="",0,VLOOKUP($N183,Capa!$A:$AE,AS$5,0)),0),IF(ISERROR(1/VLOOKUP($N183,Capa!$A:$AE,AS$5,0)),0,1/VLOOKUP($N183,Capa!$A:$AE,AS$5,0))))</f>
        <v/>
      </c>
      <c r="AT183" s="118" t="str">
        <f>IF(AT$6="","",IF(AT$3="Maior",IFERROR(IF(VLOOKUP($N183,Capa!$A:$AE,AT$5,0)="",0,VLOOKUP($N183,Capa!$A:$AE,AT$5,0)),0),IF(ISERROR(1/VLOOKUP($N183,Capa!$A:$AE,AT$5,0)),0,1/VLOOKUP($N183,Capa!$A:$AE,AT$5,0))))</f>
        <v/>
      </c>
      <c r="AU183" s="118" t="str">
        <f>IF(AU$6="","",IF(AU$3="Maior",IFERROR(IF(VLOOKUP($N183,Capa!$A:$AE,AU$5,0)="",0,VLOOKUP($N183,Capa!$A:$AE,AU$5,0)),0),IF(ISERROR(1/VLOOKUP($N183,Capa!$A:$AE,AU$5,0)),0,1/VLOOKUP($N183,Capa!$A:$AE,AU$5,0))))</f>
        <v/>
      </c>
      <c r="AV183" s="118" t="str">
        <f>IF(AV$6="","",IF(AV$3="Maior",IFERROR(IF(VLOOKUP($N183,Capa!$A:$AE,AV$5,0)="",0,VLOOKUP($N183,Capa!$A:$AE,AV$5,0)),0),IF(ISERROR(1/VLOOKUP($N183,Capa!$A:$AE,AV$5,0)),0,1/VLOOKUP($N183,Capa!$A:$AE,AV$5,0))))</f>
        <v/>
      </c>
      <c r="AW183" s="118" t="str">
        <f>IF(AW$6="","",IF(AW$3="Maior",IFERROR(IF(VLOOKUP($N183,Capa!$A:$AE,AW$5,0)="",0,VLOOKUP($N183,Capa!$A:$AE,AW$5,0)),0),IF(ISERROR(1/VLOOKUP($N183,Capa!$A:$AE,AW$5,0)),0,1/VLOOKUP($N183,Capa!$A:$AE,AW$5,0))))</f>
        <v/>
      </c>
      <c r="AX183" s="118" t="str">
        <f>IF(AX$6="","",IF(AX$3="Maior",IFERROR(IF(VLOOKUP($N183,Capa!$A:$AE,AX$5,0)="",0,VLOOKUP($N183,Capa!$A:$AE,AX$5,0)),0),IF(ISERROR(1/VLOOKUP($N183,Capa!$A:$AE,AX$5,0)),0,1/VLOOKUP($N183,Capa!$A:$AE,AX$5,0))))</f>
        <v/>
      </c>
      <c r="AY183" s="118" t="str">
        <f>IF(AY$6="","",IF(AY$3="Maior",IFERROR(IF(VLOOKUP($N183,Capa!$A:$AE,AY$5,0)="",0,VLOOKUP($N183,Capa!$A:$AE,AY$5,0)),0),IF(ISERROR(1/VLOOKUP($N183,Capa!$A:$AE,AY$5,0)),0,1/VLOOKUP($N183,Capa!$A:$AE,AY$5,0))))</f>
        <v/>
      </c>
      <c r="AZ183" s="118" t="str">
        <f>IF(AZ$6="","",IF(AZ$3="Maior",IFERROR(IF(VLOOKUP($N183,Capa!$A:$AE,AZ$5,0)="",0,VLOOKUP($N183,Capa!$A:$AE,AZ$5,0)),0),IF(ISERROR(1/VLOOKUP($N183,Capa!$A:$AE,AZ$5,0)),0,1/VLOOKUP($N183,Capa!$A:$AE,AZ$5,0))))</f>
        <v/>
      </c>
      <c r="BA183" s="118" t="str">
        <f>IF(BA$6="","",IF(BA$3="Maior",IFERROR(IF(VLOOKUP($N183,Capa!$A:$AE,BA$5,0)="",0,VLOOKUP($N183,Capa!$A:$AE,BA$5,0)),0),IF(ISERROR(1/VLOOKUP($N183,Capa!$A:$AE,BA$5,0)),0,1/VLOOKUP($N183,Capa!$A:$AE,BA$5,0))))</f>
        <v/>
      </c>
      <c r="BB183" s="118" t="str">
        <f>IF(BB$6="","",IF(BB$3="Maior",IFERROR(IF(VLOOKUP($N183,Capa!$A:$AE,BB$5,0)="",0,VLOOKUP($N183,Capa!$A:$AE,BB$5,0)),0),IF(ISERROR(1/VLOOKUP($N183,Capa!$A:$AE,BB$5,0)),0,1/VLOOKUP($N183,Capa!$A:$AE,BB$5,0))))</f>
        <v/>
      </c>
      <c r="BC183" s="118" t="str">
        <f>IF(BC$6="","",IF(BC$3="Maior",IFERROR(IF(VLOOKUP($N183,Capa!$A:$AE,BC$5,0)="",0,VLOOKUP($N183,Capa!$A:$AE,BC$5,0)),0),IF(ISERROR(1/VLOOKUP($N183,Capa!$A:$AE,BC$5,0)),0,1/VLOOKUP($N183,Capa!$A:$AE,BC$5,0))))</f>
        <v/>
      </c>
      <c r="BD183" s="118" t="str">
        <f>IF(BD$6="","",IF(BD$3="Maior",IFERROR(IF(VLOOKUP($N183,Capa!$A:$AE,BD$5,0)="",0,VLOOKUP($N183,Capa!$A:$AE,BD$5,0)),0),IF(ISERROR(1/VLOOKUP($N183,Capa!$A:$AE,BD$5,0)),0,1/VLOOKUP($N183,Capa!$A:$AE,BD$5,0))))</f>
        <v/>
      </c>
      <c r="BE183" s="118" t="str">
        <f>IF(BE$6="","",IF(BE$3="Maior",IFERROR(IF(VLOOKUP($N183,Capa!$A:$AE,BE$5,0)="",0,VLOOKUP($N183,Capa!$A:$AE,BE$5,0)),0),IF(ISERROR(1/VLOOKUP($N183,Capa!$A:$AE,BE$5,0)),0,1/VLOOKUP($N183,Capa!$A:$AE,BE$5,0))))</f>
        <v/>
      </c>
      <c r="BF183" s="118" t="str">
        <f>IF(BF$6="","",IF(BF$3="Maior",IFERROR(IF(VLOOKUP($N183,Capa!$A:$AE,BF$5,0)="",0,VLOOKUP($N183,Capa!$A:$AE,BF$5,0)),0),IF(ISERROR(1/VLOOKUP($N183,Capa!$A:$AE,BF$5,0)),0,1/VLOOKUP($N183,Capa!$A:$AE,BF$5,0))))</f>
        <v/>
      </c>
      <c r="BG183" s="118" t="str">
        <f>IF(BG$6="","",IF(BG$3="Maior",IFERROR(IF(VLOOKUP($N183,Capa!$A:$AE,BG$5,0)="",0,VLOOKUP($N183,Capa!$A:$AE,BG$5,0)),0),IF(ISERROR(1/VLOOKUP($N183,Capa!$A:$AE,BG$5,0)),0,1/VLOOKUP($N183,Capa!$A:$AE,BG$5,0))))</f>
        <v/>
      </c>
      <c r="BH183" s="118" t="str">
        <f>IF(BH$6="","",IF(BH$3="Maior",IFERROR(IF(VLOOKUP($N183,Capa!$A:$AE,BH$5,0)="",0,VLOOKUP($N183,Capa!$A:$AE,BH$5,0)),0),IF(ISERROR(1/VLOOKUP($N183,Capa!$A:$AE,BH$5,0)),0,1/VLOOKUP($N183,Capa!$A:$AE,BH$5,0))))</f>
        <v/>
      </c>
      <c r="BI183" s="118" t="str">
        <f>IF(BI$6="","",IF(BI$3="Maior",IFERROR(IF(VLOOKUP($N183,Capa!$A:$AE,BI$5,0)="",0,VLOOKUP($N183,Capa!$A:$AE,BI$5,0)),0),IF(ISERROR(1/VLOOKUP($N183,Capa!$A:$AE,BI$5,0)),0,1/VLOOKUP($N183,Capa!$A:$AE,BI$5,0))))</f>
        <v/>
      </c>
      <c r="BJ183" s="118" t="str">
        <f>IF(BJ$6="","",IF(BJ$3="Maior",IFERROR(IF(VLOOKUP($N183,Capa!$A:$AE,BJ$5,0)="",0,VLOOKUP($N183,Capa!$A:$AE,BJ$5,0)),0),IF(ISERROR(1/VLOOKUP($N183,Capa!$A:$AE,BJ$5,0)),0,1/VLOOKUP($N183,Capa!$A:$AE,BJ$5,0))))</f>
        <v/>
      </c>
      <c r="BK183" s="118" t="str">
        <f>IF(BK$6="","",IF(BK$3="Maior",IFERROR(IF(VLOOKUP($N183,Capa!$A:$AE,BK$5,0)="",0,VLOOKUP($N183,Capa!$A:$AE,BK$5,0)),0),IF(ISERROR(1/VLOOKUP($N183,Capa!$A:$AE,BK$5,0)),0,1/VLOOKUP($N183,Capa!$A:$AE,BK$5,0))))</f>
        <v/>
      </c>
      <c r="BL183" s="118" t="str">
        <f>IF(BL$6="","",IF(BL$3="Maior",IFERROR(IF(VLOOKUP($N183,Capa!$A:$AE,BL$5,0)="",0,VLOOKUP($N183,Capa!$A:$AE,BL$5,0)),0),IF(ISERROR(1/VLOOKUP($N183,Capa!$A:$AE,BL$5,0)),0,1/VLOOKUP($N183,Capa!$A:$AE,BL$5,0))))</f>
        <v/>
      </c>
      <c r="BM183" s="118" t="str">
        <f>IF(BM$6="","",IF(BM$3="Maior",IFERROR(IF(VLOOKUP($N183,Capa!$A:$AE,BM$5,0)="",0,VLOOKUP($N183,Capa!$A:$AE,BM$5,0)),0),IF(ISERROR(1/VLOOKUP($N183,Capa!$A:$AE,BM$5,0)),0,1/VLOOKUP($N183,Capa!$A:$AE,BM$5,0))))</f>
        <v/>
      </c>
      <c r="BN183" s="118" t="str">
        <f>IF(BN$6="","",IF(BN$3="Maior",IFERROR(IF(VLOOKUP($N183,Capa!$A:$AE,BN$5,0)="",0,VLOOKUP($N183,Capa!$A:$AE,BN$5,0)),0),IF(ISERROR(1/VLOOKUP($N183,Capa!$A:$AE,BN$5,0)),0,1/VLOOKUP($N183,Capa!$A:$AE,BN$5,0))))</f>
        <v/>
      </c>
      <c r="BO183" s="92"/>
    </row>
    <row r="184">
      <c r="G184" s="11"/>
      <c r="H184" s="8">
        <v>178.0</v>
      </c>
      <c r="I184" s="110" t="str">
        <f t="shared" si="6"/>
        <v>LUPA3</v>
      </c>
      <c r="J184" s="111" t="str">
        <f>VLOOKUP(left(I184,4),Setor!A:D,3,0)&amp;" | "&amp;VLOOKUP(left(I184,4),Setor!A:D,4,0)</f>
        <v>Petróleo, Gás e Biocombustíveis | Petróleo, Gás e Biocombustíveis</v>
      </c>
      <c r="K184" s="112">
        <f t="shared" si="7"/>
        <v>12377541.75</v>
      </c>
      <c r="L184" s="11"/>
      <c r="M184" s="11"/>
      <c r="N184" s="10" t="s">
        <v>230</v>
      </c>
      <c r="O184" s="113">
        <f t="shared" si="8"/>
        <v>384.0141</v>
      </c>
      <c r="P184" s="114">
        <f>VLOOKUP(N184,'Dados StatusInvest'!A:Z,26,0)</f>
        <v>12930315.79</v>
      </c>
      <c r="Q184" s="115">
        <f t="shared" si="9"/>
        <v>141.0141</v>
      </c>
      <c r="R184" s="116">
        <f t="shared" ref="R184:AO184" si="187">IF(AQ184="","", RANK(AQ184,AQ$7:AQ$503,0))</f>
        <v>204</v>
      </c>
      <c r="S184" s="115">
        <f t="shared" si="187"/>
        <v>39</v>
      </c>
      <c r="T184" s="115" t="str">
        <f t="shared" si="187"/>
        <v/>
      </c>
      <c r="U184" s="115" t="str">
        <f t="shared" si="187"/>
        <v/>
      </c>
      <c r="V184" s="115" t="str">
        <f t="shared" si="187"/>
        <v/>
      </c>
      <c r="W184" s="115" t="str">
        <f t="shared" si="187"/>
        <v/>
      </c>
      <c r="X184" s="115" t="str">
        <f t="shared" si="187"/>
        <v/>
      </c>
      <c r="Y184" s="115" t="str">
        <f t="shared" si="187"/>
        <v/>
      </c>
      <c r="Z184" s="115" t="str">
        <f t="shared" si="187"/>
        <v/>
      </c>
      <c r="AA184" s="115" t="str">
        <f t="shared" si="187"/>
        <v/>
      </c>
      <c r="AB184" s="115" t="str">
        <f t="shared" si="187"/>
        <v/>
      </c>
      <c r="AC184" s="115" t="str">
        <f t="shared" si="187"/>
        <v/>
      </c>
      <c r="AD184" s="115" t="str">
        <f t="shared" si="187"/>
        <v/>
      </c>
      <c r="AE184" s="115" t="str">
        <f t="shared" si="187"/>
        <v/>
      </c>
      <c r="AF184" s="115" t="str">
        <f t="shared" si="187"/>
        <v/>
      </c>
      <c r="AG184" s="115" t="str">
        <f t="shared" si="187"/>
        <v/>
      </c>
      <c r="AH184" s="115" t="str">
        <f t="shared" si="187"/>
        <v/>
      </c>
      <c r="AI184" s="115" t="str">
        <f t="shared" si="187"/>
        <v/>
      </c>
      <c r="AJ184" s="115" t="str">
        <f t="shared" si="187"/>
        <v/>
      </c>
      <c r="AK184" s="115" t="str">
        <f t="shared" si="187"/>
        <v/>
      </c>
      <c r="AL184" s="115" t="str">
        <f t="shared" si="187"/>
        <v/>
      </c>
      <c r="AM184" s="115" t="str">
        <f t="shared" si="187"/>
        <v/>
      </c>
      <c r="AN184" s="115" t="str">
        <f t="shared" si="187"/>
        <v/>
      </c>
      <c r="AO184" s="115" t="str">
        <f t="shared" si="187"/>
        <v/>
      </c>
      <c r="AP184" s="117">
        <f>IF(AP$6="","",IF(AP$3="Maior",IFERROR(IF(VLOOKUP($N184,Capa!$A:$AE,AP$5,0)="",0,VLOOKUP($N184,Capa!$A:$AE,AP$5,0)),0),IF(ISERROR(1/VLOOKUP($N184,Capa!$A:$AE,AP$5,0)),0,1/VLOOKUP($N184,Capa!$A:$AE,AP$5,0))))</f>
        <v>0.1412506857</v>
      </c>
      <c r="AQ184" s="118">
        <f>IF(AQ$6="","",IF(AQ$3="Maior",IFERROR(IF(VLOOKUP($N184,Capa!$A:$AE,AQ$5,0)="",0,VLOOKUP($N184,Capa!$A:$AE,AQ$5,0)),0),IF(ISERROR(1/VLOOKUP($N184,Capa!$A:$AE,AQ$5,0)),0,1/VLOOKUP($N184,Capa!$A:$AE,AQ$5,0))))</f>
        <v>10.94</v>
      </c>
      <c r="AR184" s="118">
        <f>IF(AR$6="","",IF(AR$3="Maior",IFERROR(IF(VLOOKUP($N184,Capa!$A:$AE,AR$5,0)="",0,VLOOKUP($N184,Capa!$A:$AE,AR$5,0)),0),IF(ISERROR(1/VLOOKUP($N184,Capa!$A:$AE,AR$5,0)),0,1/VLOOKUP($N184,Capa!$A:$AE,AR$5,0))))</f>
        <v>55.55</v>
      </c>
      <c r="AS184" s="118" t="str">
        <f>IF(AS$6="","",IF(AS$3="Maior",IFERROR(IF(VLOOKUP($N184,Capa!$A:$AE,AS$5,0)="",0,VLOOKUP($N184,Capa!$A:$AE,AS$5,0)),0),IF(ISERROR(1/VLOOKUP($N184,Capa!$A:$AE,AS$5,0)),0,1/VLOOKUP($N184,Capa!$A:$AE,AS$5,0))))</f>
        <v/>
      </c>
      <c r="AT184" s="118" t="str">
        <f>IF(AT$6="","",IF(AT$3="Maior",IFERROR(IF(VLOOKUP($N184,Capa!$A:$AE,AT$5,0)="",0,VLOOKUP($N184,Capa!$A:$AE,AT$5,0)),0),IF(ISERROR(1/VLOOKUP($N184,Capa!$A:$AE,AT$5,0)),0,1/VLOOKUP($N184,Capa!$A:$AE,AT$5,0))))</f>
        <v/>
      </c>
      <c r="AU184" s="118" t="str">
        <f>IF(AU$6="","",IF(AU$3="Maior",IFERROR(IF(VLOOKUP($N184,Capa!$A:$AE,AU$5,0)="",0,VLOOKUP($N184,Capa!$A:$AE,AU$5,0)),0),IF(ISERROR(1/VLOOKUP($N184,Capa!$A:$AE,AU$5,0)),0,1/VLOOKUP($N184,Capa!$A:$AE,AU$5,0))))</f>
        <v/>
      </c>
      <c r="AV184" s="118" t="str">
        <f>IF(AV$6="","",IF(AV$3="Maior",IFERROR(IF(VLOOKUP($N184,Capa!$A:$AE,AV$5,0)="",0,VLOOKUP($N184,Capa!$A:$AE,AV$5,0)),0),IF(ISERROR(1/VLOOKUP($N184,Capa!$A:$AE,AV$5,0)),0,1/VLOOKUP($N184,Capa!$A:$AE,AV$5,0))))</f>
        <v/>
      </c>
      <c r="AW184" s="118" t="str">
        <f>IF(AW$6="","",IF(AW$3="Maior",IFERROR(IF(VLOOKUP($N184,Capa!$A:$AE,AW$5,0)="",0,VLOOKUP($N184,Capa!$A:$AE,AW$5,0)),0),IF(ISERROR(1/VLOOKUP($N184,Capa!$A:$AE,AW$5,0)),0,1/VLOOKUP($N184,Capa!$A:$AE,AW$5,0))))</f>
        <v/>
      </c>
      <c r="AX184" s="118" t="str">
        <f>IF(AX$6="","",IF(AX$3="Maior",IFERROR(IF(VLOOKUP($N184,Capa!$A:$AE,AX$5,0)="",0,VLOOKUP($N184,Capa!$A:$AE,AX$5,0)),0),IF(ISERROR(1/VLOOKUP($N184,Capa!$A:$AE,AX$5,0)),0,1/VLOOKUP($N184,Capa!$A:$AE,AX$5,0))))</f>
        <v/>
      </c>
      <c r="AY184" s="118" t="str">
        <f>IF(AY$6="","",IF(AY$3="Maior",IFERROR(IF(VLOOKUP($N184,Capa!$A:$AE,AY$5,0)="",0,VLOOKUP($N184,Capa!$A:$AE,AY$5,0)),0),IF(ISERROR(1/VLOOKUP($N184,Capa!$A:$AE,AY$5,0)),0,1/VLOOKUP($N184,Capa!$A:$AE,AY$5,0))))</f>
        <v/>
      </c>
      <c r="AZ184" s="118" t="str">
        <f>IF(AZ$6="","",IF(AZ$3="Maior",IFERROR(IF(VLOOKUP($N184,Capa!$A:$AE,AZ$5,0)="",0,VLOOKUP($N184,Capa!$A:$AE,AZ$5,0)),0),IF(ISERROR(1/VLOOKUP($N184,Capa!$A:$AE,AZ$5,0)),0,1/VLOOKUP($N184,Capa!$A:$AE,AZ$5,0))))</f>
        <v/>
      </c>
      <c r="BA184" s="118" t="str">
        <f>IF(BA$6="","",IF(BA$3="Maior",IFERROR(IF(VLOOKUP($N184,Capa!$A:$AE,BA$5,0)="",0,VLOOKUP($N184,Capa!$A:$AE,BA$5,0)),0),IF(ISERROR(1/VLOOKUP($N184,Capa!$A:$AE,BA$5,0)),0,1/VLOOKUP($N184,Capa!$A:$AE,BA$5,0))))</f>
        <v/>
      </c>
      <c r="BB184" s="118" t="str">
        <f>IF(BB$6="","",IF(BB$3="Maior",IFERROR(IF(VLOOKUP($N184,Capa!$A:$AE,BB$5,0)="",0,VLOOKUP($N184,Capa!$A:$AE,BB$5,0)),0),IF(ISERROR(1/VLOOKUP($N184,Capa!$A:$AE,BB$5,0)),0,1/VLOOKUP($N184,Capa!$A:$AE,BB$5,0))))</f>
        <v/>
      </c>
      <c r="BC184" s="118" t="str">
        <f>IF(BC$6="","",IF(BC$3="Maior",IFERROR(IF(VLOOKUP($N184,Capa!$A:$AE,BC$5,0)="",0,VLOOKUP($N184,Capa!$A:$AE,BC$5,0)),0),IF(ISERROR(1/VLOOKUP($N184,Capa!$A:$AE,BC$5,0)),0,1/VLOOKUP($N184,Capa!$A:$AE,BC$5,0))))</f>
        <v/>
      </c>
      <c r="BD184" s="118" t="str">
        <f>IF(BD$6="","",IF(BD$3="Maior",IFERROR(IF(VLOOKUP($N184,Capa!$A:$AE,BD$5,0)="",0,VLOOKUP($N184,Capa!$A:$AE,BD$5,0)),0),IF(ISERROR(1/VLOOKUP($N184,Capa!$A:$AE,BD$5,0)),0,1/VLOOKUP($N184,Capa!$A:$AE,BD$5,0))))</f>
        <v/>
      </c>
      <c r="BE184" s="118" t="str">
        <f>IF(BE$6="","",IF(BE$3="Maior",IFERROR(IF(VLOOKUP($N184,Capa!$A:$AE,BE$5,0)="",0,VLOOKUP($N184,Capa!$A:$AE,BE$5,0)),0),IF(ISERROR(1/VLOOKUP($N184,Capa!$A:$AE,BE$5,0)),0,1/VLOOKUP($N184,Capa!$A:$AE,BE$5,0))))</f>
        <v/>
      </c>
      <c r="BF184" s="118" t="str">
        <f>IF(BF$6="","",IF(BF$3="Maior",IFERROR(IF(VLOOKUP($N184,Capa!$A:$AE,BF$5,0)="",0,VLOOKUP($N184,Capa!$A:$AE,BF$5,0)),0),IF(ISERROR(1/VLOOKUP($N184,Capa!$A:$AE,BF$5,0)),0,1/VLOOKUP($N184,Capa!$A:$AE,BF$5,0))))</f>
        <v/>
      </c>
      <c r="BG184" s="118" t="str">
        <f>IF(BG$6="","",IF(BG$3="Maior",IFERROR(IF(VLOOKUP($N184,Capa!$A:$AE,BG$5,0)="",0,VLOOKUP($N184,Capa!$A:$AE,BG$5,0)),0),IF(ISERROR(1/VLOOKUP($N184,Capa!$A:$AE,BG$5,0)),0,1/VLOOKUP($N184,Capa!$A:$AE,BG$5,0))))</f>
        <v/>
      </c>
      <c r="BH184" s="118" t="str">
        <f>IF(BH$6="","",IF(BH$3="Maior",IFERROR(IF(VLOOKUP($N184,Capa!$A:$AE,BH$5,0)="",0,VLOOKUP($N184,Capa!$A:$AE,BH$5,0)),0),IF(ISERROR(1/VLOOKUP($N184,Capa!$A:$AE,BH$5,0)),0,1/VLOOKUP($N184,Capa!$A:$AE,BH$5,0))))</f>
        <v/>
      </c>
      <c r="BI184" s="118" t="str">
        <f>IF(BI$6="","",IF(BI$3="Maior",IFERROR(IF(VLOOKUP($N184,Capa!$A:$AE,BI$5,0)="",0,VLOOKUP($N184,Capa!$A:$AE,BI$5,0)),0),IF(ISERROR(1/VLOOKUP($N184,Capa!$A:$AE,BI$5,0)),0,1/VLOOKUP($N184,Capa!$A:$AE,BI$5,0))))</f>
        <v/>
      </c>
      <c r="BJ184" s="118" t="str">
        <f>IF(BJ$6="","",IF(BJ$3="Maior",IFERROR(IF(VLOOKUP($N184,Capa!$A:$AE,BJ$5,0)="",0,VLOOKUP($N184,Capa!$A:$AE,BJ$5,0)),0),IF(ISERROR(1/VLOOKUP($N184,Capa!$A:$AE,BJ$5,0)),0,1/VLOOKUP($N184,Capa!$A:$AE,BJ$5,0))))</f>
        <v/>
      </c>
      <c r="BK184" s="118" t="str">
        <f>IF(BK$6="","",IF(BK$3="Maior",IFERROR(IF(VLOOKUP($N184,Capa!$A:$AE,BK$5,0)="",0,VLOOKUP($N184,Capa!$A:$AE,BK$5,0)),0),IF(ISERROR(1/VLOOKUP($N184,Capa!$A:$AE,BK$5,0)),0,1/VLOOKUP($N184,Capa!$A:$AE,BK$5,0))))</f>
        <v/>
      </c>
      <c r="BL184" s="118" t="str">
        <f>IF(BL$6="","",IF(BL$3="Maior",IFERROR(IF(VLOOKUP($N184,Capa!$A:$AE,BL$5,0)="",0,VLOOKUP($N184,Capa!$A:$AE,BL$5,0)),0),IF(ISERROR(1/VLOOKUP($N184,Capa!$A:$AE,BL$5,0)),0,1/VLOOKUP($N184,Capa!$A:$AE,BL$5,0))))</f>
        <v/>
      </c>
      <c r="BM184" s="118" t="str">
        <f>IF(BM$6="","",IF(BM$3="Maior",IFERROR(IF(VLOOKUP($N184,Capa!$A:$AE,BM$5,0)="",0,VLOOKUP($N184,Capa!$A:$AE,BM$5,0)),0),IF(ISERROR(1/VLOOKUP($N184,Capa!$A:$AE,BM$5,0)),0,1/VLOOKUP($N184,Capa!$A:$AE,BM$5,0))))</f>
        <v/>
      </c>
      <c r="BN184" s="118" t="str">
        <f>IF(BN$6="","",IF(BN$3="Maior",IFERROR(IF(VLOOKUP($N184,Capa!$A:$AE,BN$5,0)="",0,VLOOKUP($N184,Capa!$A:$AE,BN$5,0)),0),IF(ISERROR(1/VLOOKUP($N184,Capa!$A:$AE,BN$5,0)),0,1/VLOOKUP($N184,Capa!$A:$AE,BN$5,0))))</f>
        <v/>
      </c>
      <c r="BO184" s="92"/>
    </row>
    <row r="185">
      <c r="G185" s="11"/>
      <c r="H185" s="8">
        <v>179.0</v>
      </c>
      <c r="I185" s="110" t="str">
        <f t="shared" si="6"/>
        <v>PEAB4</v>
      </c>
      <c r="J185" s="111" t="str">
        <f>VLOOKUP(left(I185,4),Setor!A:D,3,0)&amp;" | "&amp;VLOOKUP(left(I185,4),Setor!A:D,4,0)</f>
        <v>Financeiro | Holdings Diversificadas</v>
      </c>
      <c r="K185" s="112">
        <f t="shared" si="7"/>
        <v>12990.1</v>
      </c>
      <c r="L185" s="11"/>
      <c r="M185" s="11"/>
      <c r="N185" s="10" t="s">
        <v>231</v>
      </c>
      <c r="O185" s="113">
        <f t="shared" si="8"/>
        <v>1166.0471</v>
      </c>
      <c r="P185" s="114">
        <f>VLOOKUP(N185,'Dados StatusInvest'!A:Z,26,0)</f>
        <v>10429479.96</v>
      </c>
      <c r="Q185" s="115">
        <f t="shared" si="9"/>
        <v>471.0471</v>
      </c>
      <c r="R185" s="116">
        <f t="shared" ref="R185:AO185" si="188">IF(AQ185="","", RANK(AQ185,AQ$7:AQ$503,0))</f>
        <v>476</v>
      </c>
      <c r="S185" s="115">
        <f t="shared" si="188"/>
        <v>219</v>
      </c>
      <c r="T185" s="115" t="str">
        <f t="shared" si="188"/>
        <v/>
      </c>
      <c r="U185" s="115" t="str">
        <f t="shared" si="188"/>
        <v/>
      </c>
      <c r="V185" s="115" t="str">
        <f t="shared" si="188"/>
        <v/>
      </c>
      <c r="W185" s="115" t="str">
        <f t="shared" si="188"/>
        <v/>
      </c>
      <c r="X185" s="115" t="str">
        <f t="shared" si="188"/>
        <v/>
      </c>
      <c r="Y185" s="115" t="str">
        <f t="shared" si="188"/>
        <v/>
      </c>
      <c r="Z185" s="115" t="str">
        <f t="shared" si="188"/>
        <v/>
      </c>
      <c r="AA185" s="115" t="str">
        <f t="shared" si="188"/>
        <v/>
      </c>
      <c r="AB185" s="115" t="str">
        <f t="shared" si="188"/>
        <v/>
      </c>
      <c r="AC185" s="115" t="str">
        <f t="shared" si="188"/>
        <v/>
      </c>
      <c r="AD185" s="115" t="str">
        <f t="shared" si="188"/>
        <v/>
      </c>
      <c r="AE185" s="115" t="str">
        <f t="shared" si="188"/>
        <v/>
      </c>
      <c r="AF185" s="115" t="str">
        <f t="shared" si="188"/>
        <v/>
      </c>
      <c r="AG185" s="115" t="str">
        <f t="shared" si="188"/>
        <v/>
      </c>
      <c r="AH185" s="115" t="str">
        <f t="shared" si="188"/>
        <v/>
      </c>
      <c r="AI185" s="115" t="str">
        <f t="shared" si="188"/>
        <v/>
      </c>
      <c r="AJ185" s="115" t="str">
        <f t="shared" si="188"/>
        <v/>
      </c>
      <c r="AK185" s="115" t="str">
        <f t="shared" si="188"/>
        <v/>
      </c>
      <c r="AL185" s="115" t="str">
        <f t="shared" si="188"/>
        <v/>
      </c>
      <c r="AM185" s="115" t="str">
        <f t="shared" si="188"/>
        <v/>
      </c>
      <c r="AN185" s="115" t="str">
        <f t="shared" si="188"/>
        <v/>
      </c>
      <c r="AO185" s="115" t="str">
        <f t="shared" si="188"/>
        <v/>
      </c>
      <c r="AP185" s="117">
        <f>IF(AP$6="","",IF(AP$3="Maior",IFERROR(IF(VLOOKUP($N185,Capa!$A:$AE,AP$5,0)="",0,VLOOKUP($N185,Capa!$A:$AE,AP$5,0)),0),IF(ISERROR(1/VLOOKUP($N185,Capa!$A:$AE,AP$5,0)),0,1/VLOOKUP($N185,Capa!$A:$AE,AP$5,0))))</f>
        <v>-0.1788866843</v>
      </c>
      <c r="AQ185" s="118">
        <f>IF(AQ$6="","",IF(AQ$3="Maior",IFERROR(IF(VLOOKUP($N185,Capa!$A:$AE,AQ$5,0)="",0,VLOOKUP($N185,Capa!$A:$AE,AQ$5,0)),0),IF(ISERROR(1/VLOOKUP($N185,Capa!$A:$AE,AQ$5,0)),0,1/VLOOKUP($N185,Capa!$A:$AE,AQ$5,0))))</f>
        <v>-20.2</v>
      </c>
      <c r="AR185" s="118">
        <f>IF(AR$6="","",IF(AR$3="Maior",IFERROR(IF(VLOOKUP($N185,Capa!$A:$AE,AR$5,0)="",0,VLOOKUP($N185,Capa!$A:$AE,AR$5,0)),0),IF(ISERROR(1/VLOOKUP($N185,Capa!$A:$AE,AR$5,0)),0,1/VLOOKUP($N185,Capa!$A:$AE,AR$5,0))))</f>
        <v>0</v>
      </c>
      <c r="AS185" s="118" t="str">
        <f>IF(AS$6="","",IF(AS$3="Maior",IFERROR(IF(VLOOKUP($N185,Capa!$A:$AE,AS$5,0)="",0,VLOOKUP($N185,Capa!$A:$AE,AS$5,0)),0),IF(ISERROR(1/VLOOKUP($N185,Capa!$A:$AE,AS$5,0)),0,1/VLOOKUP($N185,Capa!$A:$AE,AS$5,0))))</f>
        <v/>
      </c>
      <c r="AT185" s="118" t="str">
        <f>IF(AT$6="","",IF(AT$3="Maior",IFERROR(IF(VLOOKUP($N185,Capa!$A:$AE,AT$5,0)="",0,VLOOKUP($N185,Capa!$A:$AE,AT$5,0)),0),IF(ISERROR(1/VLOOKUP($N185,Capa!$A:$AE,AT$5,0)),0,1/VLOOKUP($N185,Capa!$A:$AE,AT$5,0))))</f>
        <v/>
      </c>
      <c r="AU185" s="118" t="str">
        <f>IF(AU$6="","",IF(AU$3="Maior",IFERROR(IF(VLOOKUP($N185,Capa!$A:$AE,AU$5,0)="",0,VLOOKUP($N185,Capa!$A:$AE,AU$5,0)),0),IF(ISERROR(1/VLOOKUP($N185,Capa!$A:$AE,AU$5,0)),0,1/VLOOKUP($N185,Capa!$A:$AE,AU$5,0))))</f>
        <v/>
      </c>
      <c r="AV185" s="118" t="str">
        <f>IF(AV$6="","",IF(AV$3="Maior",IFERROR(IF(VLOOKUP($N185,Capa!$A:$AE,AV$5,0)="",0,VLOOKUP($N185,Capa!$A:$AE,AV$5,0)),0),IF(ISERROR(1/VLOOKUP($N185,Capa!$A:$AE,AV$5,0)),0,1/VLOOKUP($N185,Capa!$A:$AE,AV$5,0))))</f>
        <v/>
      </c>
      <c r="AW185" s="118" t="str">
        <f>IF(AW$6="","",IF(AW$3="Maior",IFERROR(IF(VLOOKUP($N185,Capa!$A:$AE,AW$5,0)="",0,VLOOKUP($N185,Capa!$A:$AE,AW$5,0)),0),IF(ISERROR(1/VLOOKUP($N185,Capa!$A:$AE,AW$5,0)),0,1/VLOOKUP($N185,Capa!$A:$AE,AW$5,0))))</f>
        <v/>
      </c>
      <c r="AX185" s="118" t="str">
        <f>IF(AX$6="","",IF(AX$3="Maior",IFERROR(IF(VLOOKUP($N185,Capa!$A:$AE,AX$5,0)="",0,VLOOKUP($N185,Capa!$A:$AE,AX$5,0)),0),IF(ISERROR(1/VLOOKUP($N185,Capa!$A:$AE,AX$5,0)),0,1/VLOOKUP($N185,Capa!$A:$AE,AX$5,0))))</f>
        <v/>
      </c>
      <c r="AY185" s="118" t="str">
        <f>IF(AY$6="","",IF(AY$3="Maior",IFERROR(IF(VLOOKUP($N185,Capa!$A:$AE,AY$5,0)="",0,VLOOKUP($N185,Capa!$A:$AE,AY$5,0)),0),IF(ISERROR(1/VLOOKUP($N185,Capa!$A:$AE,AY$5,0)),0,1/VLOOKUP($N185,Capa!$A:$AE,AY$5,0))))</f>
        <v/>
      </c>
      <c r="AZ185" s="118" t="str">
        <f>IF(AZ$6="","",IF(AZ$3="Maior",IFERROR(IF(VLOOKUP($N185,Capa!$A:$AE,AZ$5,0)="",0,VLOOKUP($N185,Capa!$A:$AE,AZ$5,0)),0),IF(ISERROR(1/VLOOKUP($N185,Capa!$A:$AE,AZ$5,0)),0,1/VLOOKUP($N185,Capa!$A:$AE,AZ$5,0))))</f>
        <v/>
      </c>
      <c r="BA185" s="118" t="str">
        <f>IF(BA$6="","",IF(BA$3="Maior",IFERROR(IF(VLOOKUP($N185,Capa!$A:$AE,BA$5,0)="",0,VLOOKUP($N185,Capa!$A:$AE,BA$5,0)),0),IF(ISERROR(1/VLOOKUP($N185,Capa!$A:$AE,BA$5,0)),0,1/VLOOKUP($N185,Capa!$A:$AE,BA$5,0))))</f>
        <v/>
      </c>
      <c r="BB185" s="118" t="str">
        <f>IF(BB$6="","",IF(BB$3="Maior",IFERROR(IF(VLOOKUP($N185,Capa!$A:$AE,BB$5,0)="",0,VLOOKUP($N185,Capa!$A:$AE,BB$5,0)),0),IF(ISERROR(1/VLOOKUP($N185,Capa!$A:$AE,BB$5,0)),0,1/VLOOKUP($N185,Capa!$A:$AE,BB$5,0))))</f>
        <v/>
      </c>
      <c r="BC185" s="118" t="str">
        <f>IF(BC$6="","",IF(BC$3="Maior",IFERROR(IF(VLOOKUP($N185,Capa!$A:$AE,BC$5,0)="",0,VLOOKUP($N185,Capa!$A:$AE,BC$5,0)),0),IF(ISERROR(1/VLOOKUP($N185,Capa!$A:$AE,BC$5,0)),0,1/VLOOKUP($N185,Capa!$A:$AE,BC$5,0))))</f>
        <v/>
      </c>
      <c r="BD185" s="118" t="str">
        <f>IF(BD$6="","",IF(BD$3="Maior",IFERROR(IF(VLOOKUP($N185,Capa!$A:$AE,BD$5,0)="",0,VLOOKUP($N185,Capa!$A:$AE,BD$5,0)),0),IF(ISERROR(1/VLOOKUP($N185,Capa!$A:$AE,BD$5,0)),0,1/VLOOKUP($N185,Capa!$A:$AE,BD$5,0))))</f>
        <v/>
      </c>
      <c r="BE185" s="118" t="str">
        <f>IF(BE$6="","",IF(BE$3="Maior",IFERROR(IF(VLOOKUP($N185,Capa!$A:$AE,BE$5,0)="",0,VLOOKUP($N185,Capa!$A:$AE,BE$5,0)),0),IF(ISERROR(1/VLOOKUP($N185,Capa!$A:$AE,BE$5,0)),0,1/VLOOKUP($N185,Capa!$A:$AE,BE$5,0))))</f>
        <v/>
      </c>
      <c r="BF185" s="118" t="str">
        <f>IF(BF$6="","",IF(BF$3="Maior",IFERROR(IF(VLOOKUP($N185,Capa!$A:$AE,BF$5,0)="",0,VLOOKUP($N185,Capa!$A:$AE,BF$5,0)),0),IF(ISERROR(1/VLOOKUP($N185,Capa!$A:$AE,BF$5,0)),0,1/VLOOKUP($N185,Capa!$A:$AE,BF$5,0))))</f>
        <v/>
      </c>
      <c r="BG185" s="118" t="str">
        <f>IF(BG$6="","",IF(BG$3="Maior",IFERROR(IF(VLOOKUP($N185,Capa!$A:$AE,BG$5,0)="",0,VLOOKUP($N185,Capa!$A:$AE,BG$5,0)),0),IF(ISERROR(1/VLOOKUP($N185,Capa!$A:$AE,BG$5,0)),0,1/VLOOKUP($N185,Capa!$A:$AE,BG$5,0))))</f>
        <v/>
      </c>
      <c r="BH185" s="118" t="str">
        <f>IF(BH$6="","",IF(BH$3="Maior",IFERROR(IF(VLOOKUP($N185,Capa!$A:$AE,BH$5,0)="",0,VLOOKUP($N185,Capa!$A:$AE,BH$5,0)),0),IF(ISERROR(1/VLOOKUP($N185,Capa!$A:$AE,BH$5,0)),0,1/VLOOKUP($N185,Capa!$A:$AE,BH$5,0))))</f>
        <v/>
      </c>
      <c r="BI185" s="118" t="str">
        <f>IF(BI$6="","",IF(BI$3="Maior",IFERROR(IF(VLOOKUP($N185,Capa!$A:$AE,BI$5,0)="",0,VLOOKUP($N185,Capa!$A:$AE,BI$5,0)),0),IF(ISERROR(1/VLOOKUP($N185,Capa!$A:$AE,BI$5,0)),0,1/VLOOKUP($N185,Capa!$A:$AE,BI$5,0))))</f>
        <v/>
      </c>
      <c r="BJ185" s="118" t="str">
        <f>IF(BJ$6="","",IF(BJ$3="Maior",IFERROR(IF(VLOOKUP($N185,Capa!$A:$AE,BJ$5,0)="",0,VLOOKUP($N185,Capa!$A:$AE,BJ$5,0)),0),IF(ISERROR(1/VLOOKUP($N185,Capa!$A:$AE,BJ$5,0)),0,1/VLOOKUP($N185,Capa!$A:$AE,BJ$5,0))))</f>
        <v/>
      </c>
      <c r="BK185" s="118" t="str">
        <f>IF(BK$6="","",IF(BK$3="Maior",IFERROR(IF(VLOOKUP($N185,Capa!$A:$AE,BK$5,0)="",0,VLOOKUP($N185,Capa!$A:$AE,BK$5,0)),0),IF(ISERROR(1/VLOOKUP($N185,Capa!$A:$AE,BK$5,0)),0,1/VLOOKUP($N185,Capa!$A:$AE,BK$5,0))))</f>
        <v/>
      </c>
      <c r="BL185" s="118" t="str">
        <f>IF(BL$6="","",IF(BL$3="Maior",IFERROR(IF(VLOOKUP($N185,Capa!$A:$AE,BL$5,0)="",0,VLOOKUP($N185,Capa!$A:$AE,BL$5,0)),0),IF(ISERROR(1/VLOOKUP($N185,Capa!$A:$AE,BL$5,0)),0,1/VLOOKUP($N185,Capa!$A:$AE,BL$5,0))))</f>
        <v/>
      </c>
      <c r="BM185" s="118" t="str">
        <f>IF(BM$6="","",IF(BM$3="Maior",IFERROR(IF(VLOOKUP($N185,Capa!$A:$AE,BM$5,0)="",0,VLOOKUP($N185,Capa!$A:$AE,BM$5,0)),0),IF(ISERROR(1/VLOOKUP($N185,Capa!$A:$AE,BM$5,0)),0,1/VLOOKUP($N185,Capa!$A:$AE,BM$5,0))))</f>
        <v/>
      </c>
      <c r="BN185" s="118" t="str">
        <f>IF(BN$6="","",IF(BN$3="Maior",IFERROR(IF(VLOOKUP($N185,Capa!$A:$AE,BN$5,0)="",0,VLOOKUP($N185,Capa!$A:$AE,BN$5,0)),0),IF(ISERROR(1/VLOOKUP($N185,Capa!$A:$AE,BN$5,0)),0,1/VLOOKUP($N185,Capa!$A:$AE,BN$5,0))))</f>
        <v/>
      </c>
      <c r="BO185" s="92"/>
    </row>
    <row r="186">
      <c r="G186" s="11"/>
      <c r="H186" s="8">
        <v>180.0</v>
      </c>
      <c r="I186" s="110" t="str">
        <f t="shared" si="6"/>
        <v>PEAB3</v>
      </c>
      <c r="J186" s="111" t="str">
        <f>VLOOKUP(left(I186,4),Setor!A:D,3,0)&amp;" | "&amp;VLOOKUP(left(I186,4),Setor!A:D,4,0)</f>
        <v>Financeiro | Holdings Diversificadas</v>
      </c>
      <c r="K186" s="112">
        <f t="shared" si="7"/>
        <v>32705.57</v>
      </c>
      <c r="L186" s="11"/>
      <c r="M186" s="11"/>
      <c r="N186" s="10" t="s">
        <v>232</v>
      </c>
      <c r="O186" s="113">
        <f t="shared" si="8"/>
        <v>478.027</v>
      </c>
      <c r="P186" s="114">
        <f>VLOOKUP(N186,'Dados StatusInvest'!A:Z,26,0)</f>
        <v>17978875.63</v>
      </c>
      <c r="Q186" s="115">
        <f t="shared" si="9"/>
        <v>270.027</v>
      </c>
      <c r="R186" s="116">
        <f t="shared" ref="R186:AO186" si="189">IF(AQ186="","", RANK(AQ186,AQ$7:AQ$503,0))</f>
        <v>39</v>
      </c>
      <c r="S186" s="115">
        <f t="shared" si="189"/>
        <v>169</v>
      </c>
      <c r="T186" s="115" t="str">
        <f t="shared" si="189"/>
        <v/>
      </c>
      <c r="U186" s="115" t="str">
        <f t="shared" si="189"/>
        <v/>
      </c>
      <c r="V186" s="115" t="str">
        <f t="shared" si="189"/>
        <v/>
      </c>
      <c r="W186" s="115" t="str">
        <f t="shared" si="189"/>
        <v/>
      </c>
      <c r="X186" s="115" t="str">
        <f t="shared" si="189"/>
        <v/>
      </c>
      <c r="Y186" s="115" t="str">
        <f t="shared" si="189"/>
        <v/>
      </c>
      <c r="Z186" s="115" t="str">
        <f t="shared" si="189"/>
        <v/>
      </c>
      <c r="AA186" s="115" t="str">
        <f t="shared" si="189"/>
        <v/>
      </c>
      <c r="AB186" s="115" t="str">
        <f t="shared" si="189"/>
        <v/>
      </c>
      <c r="AC186" s="115" t="str">
        <f t="shared" si="189"/>
        <v/>
      </c>
      <c r="AD186" s="115" t="str">
        <f t="shared" si="189"/>
        <v/>
      </c>
      <c r="AE186" s="115" t="str">
        <f t="shared" si="189"/>
        <v/>
      </c>
      <c r="AF186" s="115" t="str">
        <f t="shared" si="189"/>
        <v/>
      </c>
      <c r="AG186" s="115" t="str">
        <f t="shared" si="189"/>
        <v/>
      </c>
      <c r="AH186" s="115" t="str">
        <f t="shared" si="189"/>
        <v/>
      </c>
      <c r="AI186" s="115" t="str">
        <f t="shared" si="189"/>
        <v/>
      </c>
      <c r="AJ186" s="115" t="str">
        <f t="shared" si="189"/>
        <v/>
      </c>
      <c r="AK186" s="115" t="str">
        <f t="shared" si="189"/>
        <v/>
      </c>
      <c r="AL186" s="115" t="str">
        <f t="shared" si="189"/>
        <v/>
      </c>
      <c r="AM186" s="115" t="str">
        <f t="shared" si="189"/>
        <v/>
      </c>
      <c r="AN186" s="115" t="str">
        <f t="shared" si="189"/>
        <v/>
      </c>
      <c r="AO186" s="115" t="str">
        <f t="shared" si="189"/>
        <v/>
      </c>
      <c r="AP186" s="117">
        <f>IF(AP$6="","",IF(AP$3="Maior",IFERROR(IF(VLOOKUP($N186,Capa!$A:$AE,AP$5,0)="",0,VLOOKUP($N186,Capa!$A:$AE,AP$5,0)),0),IF(ISERROR(1/VLOOKUP($N186,Capa!$A:$AE,AP$5,0)),0,1/VLOOKUP($N186,Capa!$A:$AE,AP$5,0))))</f>
        <v>0.0710949943</v>
      </c>
      <c r="AQ186" s="118">
        <f>IF(AQ$6="","",IF(AQ$3="Maior",IFERROR(IF(VLOOKUP($N186,Capa!$A:$AE,AQ$5,0)="",0,VLOOKUP($N186,Capa!$A:$AE,AQ$5,0)),0),IF(ISERROR(1/VLOOKUP($N186,Capa!$A:$AE,AQ$5,0)),0,1/VLOOKUP($N186,Capa!$A:$AE,AQ$5,0))))</f>
        <v>32.3</v>
      </c>
      <c r="AR186" s="118">
        <f>IF(AR$6="","",IF(AR$3="Maior",IFERROR(IF(VLOOKUP($N186,Capa!$A:$AE,AR$5,0)="",0,VLOOKUP($N186,Capa!$A:$AE,AR$5,0)),0),IF(ISERROR(1/VLOOKUP($N186,Capa!$A:$AE,AR$5,0)),0,1/VLOOKUP($N186,Capa!$A:$AE,AR$5,0))))</f>
        <v>10.55</v>
      </c>
      <c r="AS186" s="118" t="str">
        <f>IF(AS$6="","",IF(AS$3="Maior",IFERROR(IF(VLOOKUP($N186,Capa!$A:$AE,AS$5,0)="",0,VLOOKUP($N186,Capa!$A:$AE,AS$5,0)),0),IF(ISERROR(1/VLOOKUP($N186,Capa!$A:$AE,AS$5,0)),0,1/VLOOKUP($N186,Capa!$A:$AE,AS$5,0))))</f>
        <v/>
      </c>
      <c r="AT186" s="118" t="str">
        <f>IF(AT$6="","",IF(AT$3="Maior",IFERROR(IF(VLOOKUP($N186,Capa!$A:$AE,AT$5,0)="",0,VLOOKUP($N186,Capa!$A:$AE,AT$5,0)),0),IF(ISERROR(1/VLOOKUP($N186,Capa!$A:$AE,AT$5,0)),0,1/VLOOKUP($N186,Capa!$A:$AE,AT$5,0))))</f>
        <v/>
      </c>
      <c r="AU186" s="118" t="str">
        <f>IF(AU$6="","",IF(AU$3="Maior",IFERROR(IF(VLOOKUP($N186,Capa!$A:$AE,AU$5,0)="",0,VLOOKUP($N186,Capa!$A:$AE,AU$5,0)),0),IF(ISERROR(1/VLOOKUP($N186,Capa!$A:$AE,AU$5,0)),0,1/VLOOKUP($N186,Capa!$A:$AE,AU$5,0))))</f>
        <v/>
      </c>
      <c r="AV186" s="118" t="str">
        <f>IF(AV$6="","",IF(AV$3="Maior",IFERROR(IF(VLOOKUP($N186,Capa!$A:$AE,AV$5,0)="",0,VLOOKUP($N186,Capa!$A:$AE,AV$5,0)),0),IF(ISERROR(1/VLOOKUP($N186,Capa!$A:$AE,AV$5,0)),0,1/VLOOKUP($N186,Capa!$A:$AE,AV$5,0))))</f>
        <v/>
      </c>
      <c r="AW186" s="118" t="str">
        <f>IF(AW$6="","",IF(AW$3="Maior",IFERROR(IF(VLOOKUP($N186,Capa!$A:$AE,AW$5,0)="",0,VLOOKUP($N186,Capa!$A:$AE,AW$5,0)),0),IF(ISERROR(1/VLOOKUP($N186,Capa!$A:$AE,AW$5,0)),0,1/VLOOKUP($N186,Capa!$A:$AE,AW$5,0))))</f>
        <v/>
      </c>
      <c r="AX186" s="118" t="str">
        <f>IF(AX$6="","",IF(AX$3="Maior",IFERROR(IF(VLOOKUP($N186,Capa!$A:$AE,AX$5,0)="",0,VLOOKUP($N186,Capa!$A:$AE,AX$5,0)),0),IF(ISERROR(1/VLOOKUP($N186,Capa!$A:$AE,AX$5,0)),0,1/VLOOKUP($N186,Capa!$A:$AE,AX$5,0))))</f>
        <v/>
      </c>
      <c r="AY186" s="118" t="str">
        <f>IF(AY$6="","",IF(AY$3="Maior",IFERROR(IF(VLOOKUP($N186,Capa!$A:$AE,AY$5,0)="",0,VLOOKUP($N186,Capa!$A:$AE,AY$5,0)),0),IF(ISERROR(1/VLOOKUP($N186,Capa!$A:$AE,AY$5,0)),0,1/VLOOKUP($N186,Capa!$A:$AE,AY$5,0))))</f>
        <v/>
      </c>
      <c r="AZ186" s="118" t="str">
        <f>IF(AZ$6="","",IF(AZ$3="Maior",IFERROR(IF(VLOOKUP($N186,Capa!$A:$AE,AZ$5,0)="",0,VLOOKUP($N186,Capa!$A:$AE,AZ$5,0)),0),IF(ISERROR(1/VLOOKUP($N186,Capa!$A:$AE,AZ$5,0)),0,1/VLOOKUP($N186,Capa!$A:$AE,AZ$5,0))))</f>
        <v/>
      </c>
      <c r="BA186" s="118" t="str">
        <f>IF(BA$6="","",IF(BA$3="Maior",IFERROR(IF(VLOOKUP($N186,Capa!$A:$AE,BA$5,0)="",0,VLOOKUP($N186,Capa!$A:$AE,BA$5,0)),0),IF(ISERROR(1/VLOOKUP($N186,Capa!$A:$AE,BA$5,0)),0,1/VLOOKUP($N186,Capa!$A:$AE,BA$5,0))))</f>
        <v/>
      </c>
      <c r="BB186" s="118" t="str">
        <f>IF(BB$6="","",IF(BB$3="Maior",IFERROR(IF(VLOOKUP($N186,Capa!$A:$AE,BB$5,0)="",0,VLOOKUP($N186,Capa!$A:$AE,BB$5,0)),0),IF(ISERROR(1/VLOOKUP($N186,Capa!$A:$AE,BB$5,0)),0,1/VLOOKUP($N186,Capa!$A:$AE,BB$5,0))))</f>
        <v/>
      </c>
      <c r="BC186" s="118" t="str">
        <f>IF(BC$6="","",IF(BC$3="Maior",IFERROR(IF(VLOOKUP($N186,Capa!$A:$AE,BC$5,0)="",0,VLOOKUP($N186,Capa!$A:$AE,BC$5,0)),0),IF(ISERROR(1/VLOOKUP($N186,Capa!$A:$AE,BC$5,0)),0,1/VLOOKUP($N186,Capa!$A:$AE,BC$5,0))))</f>
        <v/>
      </c>
      <c r="BD186" s="118" t="str">
        <f>IF(BD$6="","",IF(BD$3="Maior",IFERROR(IF(VLOOKUP($N186,Capa!$A:$AE,BD$5,0)="",0,VLOOKUP($N186,Capa!$A:$AE,BD$5,0)),0),IF(ISERROR(1/VLOOKUP($N186,Capa!$A:$AE,BD$5,0)),0,1/VLOOKUP($N186,Capa!$A:$AE,BD$5,0))))</f>
        <v/>
      </c>
      <c r="BE186" s="118" t="str">
        <f>IF(BE$6="","",IF(BE$3="Maior",IFERROR(IF(VLOOKUP($N186,Capa!$A:$AE,BE$5,0)="",0,VLOOKUP($N186,Capa!$A:$AE,BE$5,0)),0),IF(ISERROR(1/VLOOKUP($N186,Capa!$A:$AE,BE$5,0)),0,1/VLOOKUP($N186,Capa!$A:$AE,BE$5,0))))</f>
        <v/>
      </c>
      <c r="BF186" s="118" t="str">
        <f>IF(BF$6="","",IF(BF$3="Maior",IFERROR(IF(VLOOKUP($N186,Capa!$A:$AE,BF$5,0)="",0,VLOOKUP($N186,Capa!$A:$AE,BF$5,0)),0),IF(ISERROR(1/VLOOKUP($N186,Capa!$A:$AE,BF$5,0)),0,1/VLOOKUP($N186,Capa!$A:$AE,BF$5,0))))</f>
        <v/>
      </c>
      <c r="BG186" s="118" t="str">
        <f>IF(BG$6="","",IF(BG$3="Maior",IFERROR(IF(VLOOKUP($N186,Capa!$A:$AE,BG$5,0)="",0,VLOOKUP($N186,Capa!$A:$AE,BG$5,0)),0),IF(ISERROR(1/VLOOKUP($N186,Capa!$A:$AE,BG$5,0)),0,1/VLOOKUP($N186,Capa!$A:$AE,BG$5,0))))</f>
        <v/>
      </c>
      <c r="BH186" s="118" t="str">
        <f>IF(BH$6="","",IF(BH$3="Maior",IFERROR(IF(VLOOKUP($N186,Capa!$A:$AE,BH$5,0)="",0,VLOOKUP($N186,Capa!$A:$AE,BH$5,0)),0),IF(ISERROR(1/VLOOKUP($N186,Capa!$A:$AE,BH$5,0)),0,1/VLOOKUP($N186,Capa!$A:$AE,BH$5,0))))</f>
        <v/>
      </c>
      <c r="BI186" s="118" t="str">
        <f>IF(BI$6="","",IF(BI$3="Maior",IFERROR(IF(VLOOKUP($N186,Capa!$A:$AE,BI$5,0)="",0,VLOOKUP($N186,Capa!$A:$AE,BI$5,0)),0),IF(ISERROR(1/VLOOKUP($N186,Capa!$A:$AE,BI$5,0)),0,1/VLOOKUP($N186,Capa!$A:$AE,BI$5,0))))</f>
        <v/>
      </c>
      <c r="BJ186" s="118" t="str">
        <f>IF(BJ$6="","",IF(BJ$3="Maior",IFERROR(IF(VLOOKUP($N186,Capa!$A:$AE,BJ$5,0)="",0,VLOOKUP($N186,Capa!$A:$AE,BJ$5,0)),0),IF(ISERROR(1/VLOOKUP($N186,Capa!$A:$AE,BJ$5,0)),0,1/VLOOKUP($N186,Capa!$A:$AE,BJ$5,0))))</f>
        <v/>
      </c>
      <c r="BK186" s="118" t="str">
        <f>IF(BK$6="","",IF(BK$3="Maior",IFERROR(IF(VLOOKUP($N186,Capa!$A:$AE,BK$5,0)="",0,VLOOKUP($N186,Capa!$A:$AE,BK$5,0)),0),IF(ISERROR(1/VLOOKUP($N186,Capa!$A:$AE,BK$5,0)),0,1/VLOOKUP($N186,Capa!$A:$AE,BK$5,0))))</f>
        <v/>
      </c>
      <c r="BL186" s="118" t="str">
        <f>IF(BL$6="","",IF(BL$3="Maior",IFERROR(IF(VLOOKUP($N186,Capa!$A:$AE,BL$5,0)="",0,VLOOKUP($N186,Capa!$A:$AE,BL$5,0)),0),IF(ISERROR(1/VLOOKUP($N186,Capa!$A:$AE,BL$5,0)),0,1/VLOOKUP($N186,Capa!$A:$AE,BL$5,0))))</f>
        <v/>
      </c>
      <c r="BM186" s="118" t="str">
        <f>IF(BM$6="","",IF(BM$3="Maior",IFERROR(IF(VLOOKUP($N186,Capa!$A:$AE,BM$5,0)="",0,VLOOKUP($N186,Capa!$A:$AE,BM$5,0)),0),IF(ISERROR(1/VLOOKUP($N186,Capa!$A:$AE,BM$5,0)),0,1/VLOOKUP($N186,Capa!$A:$AE,BM$5,0))))</f>
        <v/>
      </c>
      <c r="BN186" s="118" t="str">
        <f>IF(BN$6="","",IF(BN$3="Maior",IFERROR(IF(VLOOKUP($N186,Capa!$A:$AE,BN$5,0)="",0,VLOOKUP($N186,Capa!$A:$AE,BN$5,0)),0),IF(ISERROR(1/VLOOKUP($N186,Capa!$A:$AE,BN$5,0)),0,1/VLOOKUP($N186,Capa!$A:$AE,BN$5,0))))</f>
        <v/>
      </c>
      <c r="BO186" s="92"/>
    </row>
    <row r="187">
      <c r="G187" s="11"/>
      <c r="H187" s="8">
        <v>181.0</v>
      </c>
      <c r="I187" s="110" t="str">
        <f t="shared" si="6"/>
        <v>RCSL3</v>
      </c>
      <c r="J187" s="111" t="str">
        <f>VLOOKUP(left(I187,4),Setor!A:D,3,0)&amp;" | "&amp;VLOOKUP(left(I187,4),Setor!A:D,4,0)</f>
        <v>Bens Industriais | Material de Transporte</v>
      </c>
      <c r="K187" s="112">
        <f t="shared" si="7"/>
        <v>27364770.17</v>
      </c>
      <c r="L187" s="11"/>
      <c r="M187" s="11"/>
      <c r="N187" s="10" t="s">
        <v>233</v>
      </c>
      <c r="O187" s="113">
        <f t="shared" si="8"/>
        <v>604.0272</v>
      </c>
      <c r="P187" s="114">
        <f>VLOOKUP(N187,'Dados StatusInvest'!A:Z,26,0)</f>
        <v>14903444.5</v>
      </c>
      <c r="Q187" s="115">
        <f t="shared" si="9"/>
        <v>272.0272</v>
      </c>
      <c r="R187" s="116">
        <f t="shared" ref="R187:AO187" si="190">IF(AQ187="","", RANK(AQ187,AQ$7:AQ$503,0))</f>
        <v>113</v>
      </c>
      <c r="S187" s="115">
        <f t="shared" si="190"/>
        <v>219</v>
      </c>
      <c r="T187" s="115" t="str">
        <f t="shared" si="190"/>
        <v/>
      </c>
      <c r="U187" s="115" t="str">
        <f t="shared" si="190"/>
        <v/>
      </c>
      <c r="V187" s="115" t="str">
        <f t="shared" si="190"/>
        <v/>
      </c>
      <c r="W187" s="115" t="str">
        <f t="shared" si="190"/>
        <v/>
      </c>
      <c r="X187" s="115" t="str">
        <f t="shared" si="190"/>
        <v/>
      </c>
      <c r="Y187" s="115" t="str">
        <f t="shared" si="190"/>
        <v/>
      </c>
      <c r="Z187" s="115" t="str">
        <f t="shared" si="190"/>
        <v/>
      </c>
      <c r="AA187" s="115" t="str">
        <f t="shared" si="190"/>
        <v/>
      </c>
      <c r="AB187" s="115" t="str">
        <f t="shared" si="190"/>
        <v/>
      </c>
      <c r="AC187" s="115" t="str">
        <f t="shared" si="190"/>
        <v/>
      </c>
      <c r="AD187" s="115" t="str">
        <f t="shared" si="190"/>
        <v/>
      </c>
      <c r="AE187" s="115" t="str">
        <f t="shared" si="190"/>
        <v/>
      </c>
      <c r="AF187" s="115" t="str">
        <f t="shared" si="190"/>
        <v/>
      </c>
      <c r="AG187" s="115" t="str">
        <f t="shared" si="190"/>
        <v/>
      </c>
      <c r="AH187" s="115" t="str">
        <f t="shared" si="190"/>
        <v/>
      </c>
      <c r="AI187" s="115" t="str">
        <f t="shared" si="190"/>
        <v/>
      </c>
      <c r="AJ187" s="115" t="str">
        <f t="shared" si="190"/>
        <v/>
      </c>
      <c r="AK187" s="115" t="str">
        <f t="shared" si="190"/>
        <v/>
      </c>
      <c r="AL187" s="115" t="str">
        <f t="shared" si="190"/>
        <v/>
      </c>
      <c r="AM187" s="115" t="str">
        <f t="shared" si="190"/>
        <v/>
      </c>
      <c r="AN187" s="115" t="str">
        <f t="shared" si="190"/>
        <v/>
      </c>
      <c r="AO187" s="115" t="str">
        <f t="shared" si="190"/>
        <v/>
      </c>
      <c r="AP187" s="117">
        <f>IF(AP$6="","",IF(AP$3="Maior",IFERROR(IF(VLOOKUP($N187,Capa!$A:$AE,AP$5,0)="",0,VLOOKUP($N187,Capa!$A:$AE,AP$5,0)),0),IF(ISERROR(1/VLOOKUP($N187,Capa!$A:$AE,AP$5,0)),0,1/VLOOKUP($N187,Capa!$A:$AE,AP$5,0))))</f>
        <v>0.06999790878</v>
      </c>
      <c r="AQ187" s="118">
        <f>IF(AQ$6="","",IF(AQ$3="Maior",IFERROR(IF(VLOOKUP($N187,Capa!$A:$AE,AQ$5,0)="",0,VLOOKUP($N187,Capa!$A:$AE,AQ$5,0)),0),IF(ISERROR(1/VLOOKUP($N187,Capa!$A:$AE,AQ$5,0)),0,1/VLOOKUP($N187,Capa!$A:$AE,AQ$5,0))))</f>
        <v>16.38</v>
      </c>
      <c r="AR187" s="118">
        <f>IF(AR$6="","",IF(AR$3="Maior",IFERROR(IF(VLOOKUP($N187,Capa!$A:$AE,AR$5,0)="",0,VLOOKUP($N187,Capa!$A:$AE,AR$5,0)),0),IF(ISERROR(1/VLOOKUP($N187,Capa!$A:$AE,AR$5,0)),0,1/VLOOKUP($N187,Capa!$A:$AE,AR$5,0))))</f>
        <v>0</v>
      </c>
      <c r="AS187" s="118" t="str">
        <f>IF(AS$6="","",IF(AS$3="Maior",IFERROR(IF(VLOOKUP($N187,Capa!$A:$AE,AS$5,0)="",0,VLOOKUP($N187,Capa!$A:$AE,AS$5,0)),0),IF(ISERROR(1/VLOOKUP($N187,Capa!$A:$AE,AS$5,0)),0,1/VLOOKUP($N187,Capa!$A:$AE,AS$5,0))))</f>
        <v/>
      </c>
      <c r="AT187" s="118" t="str">
        <f>IF(AT$6="","",IF(AT$3="Maior",IFERROR(IF(VLOOKUP($N187,Capa!$A:$AE,AT$5,0)="",0,VLOOKUP($N187,Capa!$A:$AE,AT$5,0)),0),IF(ISERROR(1/VLOOKUP($N187,Capa!$A:$AE,AT$5,0)),0,1/VLOOKUP($N187,Capa!$A:$AE,AT$5,0))))</f>
        <v/>
      </c>
      <c r="AU187" s="118" t="str">
        <f>IF(AU$6="","",IF(AU$3="Maior",IFERROR(IF(VLOOKUP($N187,Capa!$A:$AE,AU$5,0)="",0,VLOOKUP($N187,Capa!$A:$AE,AU$5,0)),0),IF(ISERROR(1/VLOOKUP($N187,Capa!$A:$AE,AU$5,0)),0,1/VLOOKUP($N187,Capa!$A:$AE,AU$5,0))))</f>
        <v/>
      </c>
      <c r="AV187" s="118" t="str">
        <f>IF(AV$6="","",IF(AV$3="Maior",IFERROR(IF(VLOOKUP($N187,Capa!$A:$AE,AV$5,0)="",0,VLOOKUP($N187,Capa!$A:$AE,AV$5,0)),0),IF(ISERROR(1/VLOOKUP($N187,Capa!$A:$AE,AV$5,0)),0,1/VLOOKUP($N187,Capa!$A:$AE,AV$5,0))))</f>
        <v/>
      </c>
      <c r="AW187" s="118" t="str">
        <f>IF(AW$6="","",IF(AW$3="Maior",IFERROR(IF(VLOOKUP($N187,Capa!$A:$AE,AW$5,0)="",0,VLOOKUP($N187,Capa!$A:$AE,AW$5,0)),0),IF(ISERROR(1/VLOOKUP($N187,Capa!$A:$AE,AW$5,0)),0,1/VLOOKUP($N187,Capa!$A:$AE,AW$5,0))))</f>
        <v/>
      </c>
      <c r="AX187" s="118" t="str">
        <f>IF(AX$6="","",IF(AX$3="Maior",IFERROR(IF(VLOOKUP($N187,Capa!$A:$AE,AX$5,0)="",0,VLOOKUP($N187,Capa!$A:$AE,AX$5,0)),0),IF(ISERROR(1/VLOOKUP($N187,Capa!$A:$AE,AX$5,0)),0,1/VLOOKUP($N187,Capa!$A:$AE,AX$5,0))))</f>
        <v/>
      </c>
      <c r="AY187" s="118" t="str">
        <f>IF(AY$6="","",IF(AY$3="Maior",IFERROR(IF(VLOOKUP($N187,Capa!$A:$AE,AY$5,0)="",0,VLOOKUP($N187,Capa!$A:$AE,AY$5,0)),0),IF(ISERROR(1/VLOOKUP($N187,Capa!$A:$AE,AY$5,0)),0,1/VLOOKUP($N187,Capa!$A:$AE,AY$5,0))))</f>
        <v/>
      </c>
      <c r="AZ187" s="118" t="str">
        <f>IF(AZ$6="","",IF(AZ$3="Maior",IFERROR(IF(VLOOKUP($N187,Capa!$A:$AE,AZ$5,0)="",0,VLOOKUP($N187,Capa!$A:$AE,AZ$5,0)),0),IF(ISERROR(1/VLOOKUP($N187,Capa!$A:$AE,AZ$5,0)),0,1/VLOOKUP($N187,Capa!$A:$AE,AZ$5,0))))</f>
        <v/>
      </c>
      <c r="BA187" s="118" t="str">
        <f>IF(BA$6="","",IF(BA$3="Maior",IFERROR(IF(VLOOKUP($N187,Capa!$A:$AE,BA$5,0)="",0,VLOOKUP($N187,Capa!$A:$AE,BA$5,0)),0),IF(ISERROR(1/VLOOKUP($N187,Capa!$A:$AE,BA$5,0)),0,1/VLOOKUP($N187,Capa!$A:$AE,BA$5,0))))</f>
        <v/>
      </c>
      <c r="BB187" s="118" t="str">
        <f>IF(BB$6="","",IF(BB$3="Maior",IFERROR(IF(VLOOKUP($N187,Capa!$A:$AE,BB$5,0)="",0,VLOOKUP($N187,Capa!$A:$AE,BB$5,0)),0),IF(ISERROR(1/VLOOKUP($N187,Capa!$A:$AE,BB$5,0)),0,1/VLOOKUP($N187,Capa!$A:$AE,BB$5,0))))</f>
        <v/>
      </c>
      <c r="BC187" s="118" t="str">
        <f>IF(BC$6="","",IF(BC$3="Maior",IFERROR(IF(VLOOKUP($N187,Capa!$A:$AE,BC$5,0)="",0,VLOOKUP($N187,Capa!$A:$AE,BC$5,0)),0),IF(ISERROR(1/VLOOKUP($N187,Capa!$A:$AE,BC$5,0)),0,1/VLOOKUP($N187,Capa!$A:$AE,BC$5,0))))</f>
        <v/>
      </c>
      <c r="BD187" s="118" t="str">
        <f>IF(BD$6="","",IF(BD$3="Maior",IFERROR(IF(VLOOKUP($N187,Capa!$A:$AE,BD$5,0)="",0,VLOOKUP($N187,Capa!$A:$AE,BD$5,0)),0),IF(ISERROR(1/VLOOKUP($N187,Capa!$A:$AE,BD$5,0)),0,1/VLOOKUP($N187,Capa!$A:$AE,BD$5,0))))</f>
        <v/>
      </c>
      <c r="BE187" s="118" t="str">
        <f>IF(BE$6="","",IF(BE$3="Maior",IFERROR(IF(VLOOKUP($N187,Capa!$A:$AE,BE$5,0)="",0,VLOOKUP($N187,Capa!$A:$AE,BE$5,0)),0),IF(ISERROR(1/VLOOKUP($N187,Capa!$A:$AE,BE$5,0)),0,1/VLOOKUP($N187,Capa!$A:$AE,BE$5,0))))</f>
        <v/>
      </c>
      <c r="BF187" s="118" t="str">
        <f>IF(BF$6="","",IF(BF$3="Maior",IFERROR(IF(VLOOKUP($N187,Capa!$A:$AE,BF$5,0)="",0,VLOOKUP($N187,Capa!$A:$AE,BF$5,0)),0),IF(ISERROR(1/VLOOKUP($N187,Capa!$A:$AE,BF$5,0)),0,1/VLOOKUP($N187,Capa!$A:$AE,BF$5,0))))</f>
        <v/>
      </c>
      <c r="BG187" s="118" t="str">
        <f>IF(BG$6="","",IF(BG$3="Maior",IFERROR(IF(VLOOKUP($N187,Capa!$A:$AE,BG$5,0)="",0,VLOOKUP($N187,Capa!$A:$AE,BG$5,0)),0),IF(ISERROR(1/VLOOKUP($N187,Capa!$A:$AE,BG$5,0)),0,1/VLOOKUP($N187,Capa!$A:$AE,BG$5,0))))</f>
        <v/>
      </c>
      <c r="BH187" s="118" t="str">
        <f>IF(BH$6="","",IF(BH$3="Maior",IFERROR(IF(VLOOKUP($N187,Capa!$A:$AE,BH$5,0)="",0,VLOOKUP($N187,Capa!$A:$AE,BH$5,0)),0),IF(ISERROR(1/VLOOKUP($N187,Capa!$A:$AE,BH$5,0)),0,1/VLOOKUP($N187,Capa!$A:$AE,BH$5,0))))</f>
        <v/>
      </c>
      <c r="BI187" s="118" t="str">
        <f>IF(BI$6="","",IF(BI$3="Maior",IFERROR(IF(VLOOKUP($N187,Capa!$A:$AE,BI$5,0)="",0,VLOOKUP($N187,Capa!$A:$AE,BI$5,0)),0),IF(ISERROR(1/VLOOKUP($N187,Capa!$A:$AE,BI$5,0)),0,1/VLOOKUP($N187,Capa!$A:$AE,BI$5,0))))</f>
        <v/>
      </c>
      <c r="BJ187" s="118" t="str">
        <f>IF(BJ$6="","",IF(BJ$3="Maior",IFERROR(IF(VLOOKUP($N187,Capa!$A:$AE,BJ$5,0)="",0,VLOOKUP($N187,Capa!$A:$AE,BJ$5,0)),0),IF(ISERROR(1/VLOOKUP($N187,Capa!$A:$AE,BJ$5,0)),0,1/VLOOKUP($N187,Capa!$A:$AE,BJ$5,0))))</f>
        <v/>
      </c>
      <c r="BK187" s="118" t="str">
        <f>IF(BK$6="","",IF(BK$3="Maior",IFERROR(IF(VLOOKUP($N187,Capa!$A:$AE,BK$5,0)="",0,VLOOKUP($N187,Capa!$A:$AE,BK$5,0)),0),IF(ISERROR(1/VLOOKUP($N187,Capa!$A:$AE,BK$5,0)),0,1/VLOOKUP($N187,Capa!$A:$AE,BK$5,0))))</f>
        <v/>
      </c>
      <c r="BL187" s="118" t="str">
        <f>IF(BL$6="","",IF(BL$3="Maior",IFERROR(IF(VLOOKUP($N187,Capa!$A:$AE,BL$5,0)="",0,VLOOKUP($N187,Capa!$A:$AE,BL$5,0)),0),IF(ISERROR(1/VLOOKUP($N187,Capa!$A:$AE,BL$5,0)),0,1/VLOOKUP($N187,Capa!$A:$AE,BL$5,0))))</f>
        <v/>
      </c>
      <c r="BM187" s="118" t="str">
        <f>IF(BM$6="","",IF(BM$3="Maior",IFERROR(IF(VLOOKUP($N187,Capa!$A:$AE,BM$5,0)="",0,VLOOKUP($N187,Capa!$A:$AE,BM$5,0)),0),IF(ISERROR(1/VLOOKUP($N187,Capa!$A:$AE,BM$5,0)),0,1/VLOOKUP($N187,Capa!$A:$AE,BM$5,0))))</f>
        <v/>
      </c>
      <c r="BN187" s="118" t="str">
        <f>IF(BN$6="","",IF(BN$3="Maior",IFERROR(IF(VLOOKUP($N187,Capa!$A:$AE,BN$5,0)="",0,VLOOKUP($N187,Capa!$A:$AE,BN$5,0)),0),IF(ISERROR(1/VLOOKUP($N187,Capa!$A:$AE,BN$5,0)),0,1/VLOOKUP($N187,Capa!$A:$AE,BN$5,0))))</f>
        <v/>
      </c>
      <c r="BO187" s="92"/>
    </row>
    <row r="188">
      <c r="G188" s="11"/>
      <c r="H188" s="8">
        <v>182.0</v>
      </c>
      <c r="I188" s="110" t="str">
        <f t="shared" si="6"/>
        <v>IFCM3</v>
      </c>
      <c r="J188" s="111" t="str">
        <f>VLOOKUP(left(I188,4),Setor!A:D,3,0)&amp;" | "&amp;VLOOKUP(left(I188,4),Setor!A:D,4,0)</f>
        <v>#N/A</v>
      </c>
      <c r="K188" s="112">
        <f t="shared" si="7"/>
        <v>21088137.54</v>
      </c>
      <c r="L188" s="11"/>
      <c r="M188" s="11"/>
      <c r="N188" s="10" t="s">
        <v>234</v>
      </c>
      <c r="O188" s="113">
        <f t="shared" si="8"/>
        <v>451.016</v>
      </c>
      <c r="P188" s="114">
        <f>VLOOKUP(N188,'Dados StatusInvest'!A:Z,26,0)</f>
        <v>14790043.54</v>
      </c>
      <c r="Q188" s="115">
        <f t="shared" si="9"/>
        <v>160.016</v>
      </c>
      <c r="R188" s="116">
        <f t="shared" ref="R188:AO188" si="191">IF(AQ188="","", RANK(AQ188,AQ$7:AQ$503,0))</f>
        <v>205</v>
      </c>
      <c r="S188" s="115">
        <f t="shared" si="191"/>
        <v>86</v>
      </c>
      <c r="T188" s="115" t="str">
        <f t="shared" si="191"/>
        <v/>
      </c>
      <c r="U188" s="115" t="str">
        <f t="shared" si="191"/>
        <v/>
      </c>
      <c r="V188" s="115" t="str">
        <f t="shared" si="191"/>
        <v/>
      </c>
      <c r="W188" s="115" t="str">
        <f t="shared" si="191"/>
        <v/>
      </c>
      <c r="X188" s="115" t="str">
        <f t="shared" si="191"/>
        <v/>
      </c>
      <c r="Y188" s="115" t="str">
        <f t="shared" si="191"/>
        <v/>
      </c>
      <c r="Z188" s="115" t="str">
        <f t="shared" si="191"/>
        <v/>
      </c>
      <c r="AA188" s="115" t="str">
        <f t="shared" si="191"/>
        <v/>
      </c>
      <c r="AB188" s="115" t="str">
        <f t="shared" si="191"/>
        <v/>
      </c>
      <c r="AC188" s="115" t="str">
        <f t="shared" si="191"/>
        <v/>
      </c>
      <c r="AD188" s="115" t="str">
        <f t="shared" si="191"/>
        <v/>
      </c>
      <c r="AE188" s="115" t="str">
        <f t="shared" si="191"/>
        <v/>
      </c>
      <c r="AF188" s="115" t="str">
        <f t="shared" si="191"/>
        <v/>
      </c>
      <c r="AG188" s="115" t="str">
        <f t="shared" si="191"/>
        <v/>
      </c>
      <c r="AH188" s="115" t="str">
        <f t="shared" si="191"/>
        <v/>
      </c>
      <c r="AI188" s="115" t="str">
        <f t="shared" si="191"/>
        <v/>
      </c>
      <c r="AJ188" s="115" t="str">
        <f t="shared" si="191"/>
        <v/>
      </c>
      <c r="AK188" s="115" t="str">
        <f t="shared" si="191"/>
        <v/>
      </c>
      <c r="AL188" s="115" t="str">
        <f t="shared" si="191"/>
        <v/>
      </c>
      <c r="AM188" s="115" t="str">
        <f t="shared" si="191"/>
        <v/>
      </c>
      <c r="AN188" s="115" t="str">
        <f t="shared" si="191"/>
        <v/>
      </c>
      <c r="AO188" s="115" t="str">
        <f t="shared" si="191"/>
        <v/>
      </c>
      <c r="AP188" s="117">
        <f>IF(AP$6="","",IF(AP$3="Maior",IFERROR(IF(VLOOKUP($N188,Capa!$A:$AE,AP$5,0)="",0,VLOOKUP($N188,Capa!$A:$AE,AP$5,0)),0),IF(ISERROR(1/VLOOKUP($N188,Capa!$A:$AE,AP$5,0)),0,1/VLOOKUP($N188,Capa!$A:$AE,AP$5,0))))</f>
        <v>0.1270216342</v>
      </c>
      <c r="AQ188" s="118">
        <f>IF(AQ$6="","",IF(AQ$3="Maior",IFERROR(IF(VLOOKUP($N188,Capa!$A:$AE,AQ$5,0)="",0,VLOOKUP($N188,Capa!$A:$AE,AQ$5,0)),0),IF(ISERROR(1/VLOOKUP($N188,Capa!$A:$AE,AQ$5,0)),0,1/VLOOKUP($N188,Capa!$A:$AE,AQ$5,0))))</f>
        <v>10.93</v>
      </c>
      <c r="AR188" s="118">
        <f>IF(AR$6="","",IF(AR$3="Maior",IFERROR(IF(VLOOKUP($N188,Capa!$A:$AE,AR$5,0)="",0,VLOOKUP($N188,Capa!$A:$AE,AR$5,0)),0),IF(ISERROR(1/VLOOKUP($N188,Capa!$A:$AE,AR$5,0)),0,1/VLOOKUP($N188,Capa!$A:$AE,AR$5,0))))</f>
        <v>33.02</v>
      </c>
      <c r="AS188" s="118" t="str">
        <f>IF(AS$6="","",IF(AS$3="Maior",IFERROR(IF(VLOOKUP($N188,Capa!$A:$AE,AS$5,0)="",0,VLOOKUP($N188,Capa!$A:$AE,AS$5,0)),0),IF(ISERROR(1/VLOOKUP($N188,Capa!$A:$AE,AS$5,0)),0,1/VLOOKUP($N188,Capa!$A:$AE,AS$5,0))))</f>
        <v/>
      </c>
      <c r="AT188" s="118" t="str">
        <f>IF(AT$6="","",IF(AT$3="Maior",IFERROR(IF(VLOOKUP($N188,Capa!$A:$AE,AT$5,0)="",0,VLOOKUP($N188,Capa!$A:$AE,AT$5,0)),0),IF(ISERROR(1/VLOOKUP($N188,Capa!$A:$AE,AT$5,0)),0,1/VLOOKUP($N188,Capa!$A:$AE,AT$5,0))))</f>
        <v/>
      </c>
      <c r="AU188" s="118" t="str">
        <f>IF(AU$6="","",IF(AU$3="Maior",IFERROR(IF(VLOOKUP($N188,Capa!$A:$AE,AU$5,0)="",0,VLOOKUP($N188,Capa!$A:$AE,AU$5,0)),0),IF(ISERROR(1/VLOOKUP($N188,Capa!$A:$AE,AU$5,0)),0,1/VLOOKUP($N188,Capa!$A:$AE,AU$5,0))))</f>
        <v/>
      </c>
      <c r="AV188" s="118" t="str">
        <f>IF(AV$6="","",IF(AV$3="Maior",IFERROR(IF(VLOOKUP($N188,Capa!$A:$AE,AV$5,0)="",0,VLOOKUP($N188,Capa!$A:$AE,AV$5,0)),0),IF(ISERROR(1/VLOOKUP($N188,Capa!$A:$AE,AV$5,0)),0,1/VLOOKUP($N188,Capa!$A:$AE,AV$5,0))))</f>
        <v/>
      </c>
      <c r="AW188" s="118" t="str">
        <f>IF(AW$6="","",IF(AW$3="Maior",IFERROR(IF(VLOOKUP($N188,Capa!$A:$AE,AW$5,0)="",0,VLOOKUP($N188,Capa!$A:$AE,AW$5,0)),0),IF(ISERROR(1/VLOOKUP($N188,Capa!$A:$AE,AW$5,0)),0,1/VLOOKUP($N188,Capa!$A:$AE,AW$5,0))))</f>
        <v/>
      </c>
      <c r="AX188" s="118" t="str">
        <f>IF(AX$6="","",IF(AX$3="Maior",IFERROR(IF(VLOOKUP($N188,Capa!$A:$AE,AX$5,0)="",0,VLOOKUP($N188,Capa!$A:$AE,AX$5,0)),0),IF(ISERROR(1/VLOOKUP($N188,Capa!$A:$AE,AX$5,0)),0,1/VLOOKUP($N188,Capa!$A:$AE,AX$5,0))))</f>
        <v/>
      </c>
      <c r="AY188" s="118" t="str">
        <f>IF(AY$6="","",IF(AY$3="Maior",IFERROR(IF(VLOOKUP($N188,Capa!$A:$AE,AY$5,0)="",0,VLOOKUP($N188,Capa!$A:$AE,AY$5,0)),0),IF(ISERROR(1/VLOOKUP($N188,Capa!$A:$AE,AY$5,0)),0,1/VLOOKUP($N188,Capa!$A:$AE,AY$5,0))))</f>
        <v/>
      </c>
      <c r="AZ188" s="118" t="str">
        <f>IF(AZ$6="","",IF(AZ$3="Maior",IFERROR(IF(VLOOKUP($N188,Capa!$A:$AE,AZ$5,0)="",0,VLOOKUP($N188,Capa!$A:$AE,AZ$5,0)),0),IF(ISERROR(1/VLOOKUP($N188,Capa!$A:$AE,AZ$5,0)),0,1/VLOOKUP($N188,Capa!$A:$AE,AZ$5,0))))</f>
        <v/>
      </c>
      <c r="BA188" s="118" t="str">
        <f>IF(BA$6="","",IF(BA$3="Maior",IFERROR(IF(VLOOKUP($N188,Capa!$A:$AE,BA$5,0)="",0,VLOOKUP($N188,Capa!$A:$AE,BA$5,0)),0),IF(ISERROR(1/VLOOKUP($N188,Capa!$A:$AE,BA$5,0)),0,1/VLOOKUP($N188,Capa!$A:$AE,BA$5,0))))</f>
        <v/>
      </c>
      <c r="BB188" s="118" t="str">
        <f>IF(BB$6="","",IF(BB$3="Maior",IFERROR(IF(VLOOKUP($N188,Capa!$A:$AE,BB$5,0)="",0,VLOOKUP($N188,Capa!$A:$AE,BB$5,0)),0),IF(ISERROR(1/VLOOKUP($N188,Capa!$A:$AE,BB$5,0)),0,1/VLOOKUP($N188,Capa!$A:$AE,BB$5,0))))</f>
        <v/>
      </c>
      <c r="BC188" s="118" t="str">
        <f>IF(BC$6="","",IF(BC$3="Maior",IFERROR(IF(VLOOKUP($N188,Capa!$A:$AE,BC$5,0)="",0,VLOOKUP($N188,Capa!$A:$AE,BC$5,0)),0),IF(ISERROR(1/VLOOKUP($N188,Capa!$A:$AE,BC$5,0)),0,1/VLOOKUP($N188,Capa!$A:$AE,BC$5,0))))</f>
        <v/>
      </c>
      <c r="BD188" s="118" t="str">
        <f>IF(BD$6="","",IF(BD$3="Maior",IFERROR(IF(VLOOKUP($N188,Capa!$A:$AE,BD$5,0)="",0,VLOOKUP($N188,Capa!$A:$AE,BD$5,0)),0),IF(ISERROR(1/VLOOKUP($N188,Capa!$A:$AE,BD$5,0)),0,1/VLOOKUP($N188,Capa!$A:$AE,BD$5,0))))</f>
        <v/>
      </c>
      <c r="BE188" s="118" t="str">
        <f>IF(BE$6="","",IF(BE$3="Maior",IFERROR(IF(VLOOKUP($N188,Capa!$A:$AE,BE$5,0)="",0,VLOOKUP($N188,Capa!$A:$AE,BE$5,0)),0),IF(ISERROR(1/VLOOKUP($N188,Capa!$A:$AE,BE$5,0)),0,1/VLOOKUP($N188,Capa!$A:$AE,BE$5,0))))</f>
        <v/>
      </c>
      <c r="BF188" s="118" t="str">
        <f>IF(BF$6="","",IF(BF$3="Maior",IFERROR(IF(VLOOKUP($N188,Capa!$A:$AE,BF$5,0)="",0,VLOOKUP($N188,Capa!$A:$AE,BF$5,0)),0),IF(ISERROR(1/VLOOKUP($N188,Capa!$A:$AE,BF$5,0)),0,1/VLOOKUP($N188,Capa!$A:$AE,BF$5,0))))</f>
        <v/>
      </c>
      <c r="BG188" s="118" t="str">
        <f>IF(BG$6="","",IF(BG$3="Maior",IFERROR(IF(VLOOKUP($N188,Capa!$A:$AE,BG$5,0)="",0,VLOOKUP($N188,Capa!$A:$AE,BG$5,0)),0),IF(ISERROR(1/VLOOKUP($N188,Capa!$A:$AE,BG$5,0)),0,1/VLOOKUP($N188,Capa!$A:$AE,BG$5,0))))</f>
        <v/>
      </c>
      <c r="BH188" s="118" t="str">
        <f>IF(BH$6="","",IF(BH$3="Maior",IFERROR(IF(VLOOKUP($N188,Capa!$A:$AE,BH$5,0)="",0,VLOOKUP($N188,Capa!$A:$AE,BH$5,0)),0),IF(ISERROR(1/VLOOKUP($N188,Capa!$A:$AE,BH$5,0)),0,1/VLOOKUP($N188,Capa!$A:$AE,BH$5,0))))</f>
        <v/>
      </c>
      <c r="BI188" s="118" t="str">
        <f>IF(BI$6="","",IF(BI$3="Maior",IFERROR(IF(VLOOKUP($N188,Capa!$A:$AE,BI$5,0)="",0,VLOOKUP($N188,Capa!$A:$AE,BI$5,0)),0),IF(ISERROR(1/VLOOKUP($N188,Capa!$A:$AE,BI$5,0)),0,1/VLOOKUP($N188,Capa!$A:$AE,BI$5,0))))</f>
        <v/>
      </c>
      <c r="BJ188" s="118" t="str">
        <f>IF(BJ$6="","",IF(BJ$3="Maior",IFERROR(IF(VLOOKUP($N188,Capa!$A:$AE,BJ$5,0)="",0,VLOOKUP($N188,Capa!$A:$AE,BJ$5,0)),0),IF(ISERROR(1/VLOOKUP($N188,Capa!$A:$AE,BJ$5,0)),0,1/VLOOKUP($N188,Capa!$A:$AE,BJ$5,0))))</f>
        <v/>
      </c>
      <c r="BK188" s="118" t="str">
        <f>IF(BK$6="","",IF(BK$3="Maior",IFERROR(IF(VLOOKUP($N188,Capa!$A:$AE,BK$5,0)="",0,VLOOKUP($N188,Capa!$A:$AE,BK$5,0)),0),IF(ISERROR(1/VLOOKUP($N188,Capa!$A:$AE,BK$5,0)),0,1/VLOOKUP($N188,Capa!$A:$AE,BK$5,0))))</f>
        <v/>
      </c>
      <c r="BL188" s="118" t="str">
        <f>IF(BL$6="","",IF(BL$3="Maior",IFERROR(IF(VLOOKUP($N188,Capa!$A:$AE,BL$5,0)="",0,VLOOKUP($N188,Capa!$A:$AE,BL$5,0)),0),IF(ISERROR(1/VLOOKUP($N188,Capa!$A:$AE,BL$5,0)),0,1/VLOOKUP($N188,Capa!$A:$AE,BL$5,0))))</f>
        <v/>
      </c>
      <c r="BM188" s="118" t="str">
        <f>IF(BM$6="","",IF(BM$3="Maior",IFERROR(IF(VLOOKUP($N188,Capa!$A:$AE,BM$5,0)="",0,VLOOKUP($N188,Capa!$A:$AE,BM$5,0)),0),IF(ISERROR(1/VLOOKUP($N188,Capa!$A:$AE,BM$5,0)),0,1/VLOOKUP($N188,Capa!$A:$AE,BM$5,0))))</f>
        <v/>
      </c>
      <c r="BN188" s="118" t="str">
        <f>IF(BN$6="","",IF(BN$3="Maior",IFERROR(IF(VLOOKUP($N188,Capa!$A:$AE,BN$5,0)="",0,VLOOKUP($N188,Capa!$A:$AE,BN$5,0)),0),IF(ISERROR(1/VLOOKUP($N188,Capa!$A:$AE,BN$5,0)),0,1/VLOOKUP($N188,Capa!$A:$AE,BN$5,0))))</f>
        <v/>
      </c>
      <c r="BO188" s="92"/>
    </row>
    <row r="189">
      <c r="G189" s="11"/>
      <c r="H189" s="8">
        <v>183.0</v>
      </c>
      <c r="I189" s="110" t="str">
        <f t="shared" si="6"/>
        <v>IRBR3</v>
      </c>
      <c r="J189" s="111" t="str">
        <f>VLOOKUP(left(I189,4),Setor!A:D,3,0)&amp;" | "&amp;VLOOKUP(left(I189,4),Setor!A:D,4,0)</f>
        <v>Financeiro | Previdência e Seguros</v>
      </c>
      <c r="K189" s="112">
        <f t="shared" si="7"/>
        <v>62307613.58</v>
      </c>
      <c r="L189" s="11"/>
      <c r="M189" s="11"/>
      <c r="N189" s="10" t="s">
        <v>235</v>
      </c>
      <c r="O189" s="113">
        <f t="shared" si="8"/>
        <v>441.015</v>
      </c>
      <c r="P189" s="114">
        <f>VLOOKUP(N189,'Dados StatusInvest'!A:Z,26,0)</f>
        <v>12660653.38</v>
      </c>
      <c r="Q189" s="115">
        <f t="shared" si="9"/>
        <v>150.015</v>
      </c>
      <c r="R189" s="116">
        <f t="shared" ref="R189:AO189" si="192">IF(AQ189="","", RANK(AQ189,AQ$7:AQ$503,0))</f>
        <v>264</v>
      </c>
      <c r="S189" s="115">
        <f t="shared" si="192"/>
        <v>27</v>
      </c>
      <c r="T189" s="115" t="str">
        <f t="shared" si="192"/>
        <v/>
      </c>
      <c r="U189" s="115" t="str">
        <f t="shared" si="192"/>
        <v/>
      </c>
      <c r="V189" s="115" t="str">
        <f t="shared" si="192"/>
        <v/>
      </c>
      <c r="W189" s="115" t="str">
        <f t="shared" si="192"/>
        <v/>
      </c>
      <c r="X189" s="115" t="str">
        <f t="shared" si="192"/>
        <v/>
      </c>
      <c r="Y189" s="115" t="str">
        <f t="shared" si="192"/>
        <v/>
      </c>
      <c r="Z189" s="115" t="str">
        <f t="shared" si="192"/>
        <v/>
      </c>
      <c r="AA189" s="115" t="str">
        <f t="shared" si="192"/>
        <v/>
      </c>
      <c r="AB189" s="115" t="str">
        <f t="shared" si="192"/>
        <v/>
      </c>
      <c r="AC189" s="115" t="str">
        <f t="shared" si="192"/>
        <v/>
      </c>
      <c r="AD189" s="115" t="str">
        <f t="shared" si="192"/>
        <v/>
      </c>
      <c r="AE189" s="115" t="str">
        <f t="shared" si="192"/>
        <v/>
      </c>
      <c r="AF189" s="115" t="str">
        <f t="shared" si="192"/>
        <v/>
      </c>
      <c r="AG189" s="115" t="str">
        <f t="shared" si="192"/>
        <v/>
      </c>
      <c r="AH189" s="115" t="str">
        <f t="shared" si="192"/>
        <v/>
      </c>
      <c r="AI189" s="115" t="str">
        <f t="shared" si="192"/>
        <v/>
      </c>
      <c r="AJ189" s="115" t="str">
        <f t="shared" si="192"/>
        <v/>
      </c>
      <c r="AK189" s="115" t="str">
        <f t="shared" si="192"/>
        <v/>
      </c>
      <c r="AL189" s="115" t="str">
        <f t="shared" si="192"/>
        <v/>
      </c>
      <c r="AM189" s="115" t="str">
        <f t="shared" si="192"/>
        <v/>
      </c>
      <c r="AN189" s="115" t="str">
        <f t="shared" si="192"/>
        <v/>
      </c>
      <c r="AO189" s="115" t="str">
        <f t="shared" si="192"/>
        <v/>
      </c>
      <c r="AP189" s="117">
        <f>IF(AP$6="","",IF(AP$3="Maior",IFERROR(IF(VLOOKUP($N189,Capa!$A:$AE,AP$5,0)="",0,VLOOKUP($N189,Capa!$A:$AE,AP$5,0)),0),IF(ISERROR(1/VLOOKUP($N189,Capa!$A:$AE,AP$5,0)),0,1/VLOOKUP($N189,Capa!$A:$AE,AP$5,0))))</f>
        <v>0.1300565392</v>
      </c>
      <c r="AQ189" s="118">
        <f>IF(AQ$6="","",IF(AQ$3="Maior",IFERROR(IF(VLOOKUP($N189,Capa!$A:$AE,AQ$5,0)="",0,VLOOKUP($N189,Capa!$A:$AE,AQ$5,0)),0),IF(ISERROR(1/VLOOKUP($N189,Capa!$A:$AE,AQ$5,0)),0,1/VLOOKUP($N189,Capa!$A:$AE,AQ$5,0))))</f>
        <v>7.25</v>
      </c>
      <c r="AR189" s="118">
        <f>IF(AR$6="","",IF(AR$3="Maior",IFERROR(IF(VLOOKUP($N189,Capa!$A:$AE,AR$5,0)="",0,VLOOKUP($N189,Capa!$A:$AE,AR$5,0)),0),IF(ISERROR(1/VLOOKUP($N189,Capa!$A:$AE,AR$5,0)),0,1/VLOOKUP($N189,Capa!$A:$AE,AR$5,0))))</f>
        <v>75.67</v>
      </c>
      <c r="AS189" s="118" t="str">
        <f>IF(AS$6="","",IF(AS$3="Maior",IFERROR(IF(VLOOKUP($N189,Capa!$A:$AE,AS$5,0)="",0,VLOOKUP($N189,Capa!$A:$AE,AS$5,0)),0),IF(ISERROR(1/VLOOKUP($N189,Capa!$A:$AE,AS$5,0)),0,1/VLOOKUP($N189,Capa!$A:$AE,AS$5,0))))</f>
        <v/>
      </c>
      <c r="AT189" s="118" t="str">
        <f>IF(AT$6="","",IF(AT$3="Maior",IFERROR(IF(VLOOKUP($N189,Capa!$A:$AE,AT$5,0)="",0,VLOOKUP($N189,Capa!$A:$AE,AT$5,0)),0),IF(ISERROR(1/VLOOKUP($N189,Capa!$A:$AE,AT$5,0)),0,1/VLOOKUP($N189,Capa!$A:$AE,AT$5,0))))</f>
        <v/>
      </c>
      <c r="AU189" s="118" t="str">
        <f>IF(AU$6="","",IF(AU$3="Maior",IFERROR(IF(VLOOKUP($N189,Capa!$A:$AE,AU$5,0)="",0,VLOOKUP($N189,Capa!$A:$AE,AU$5,0)),0),IF(ISERROR(1/VLOOKUP($N189,Capa!$A:$AE,AU$5,0)),0,1/VLOOKUP($N189,Capa!$A:$AE,AU$5,0))))</f>
        <v/>
      </c>
      <c r="AV189" s="118" t="str">
        <f>IF(AV$6="","",IF(AV$3="Maior",IFERROR(IF(VLOOKUP($N189,Capa!$A:$AE,AV$5,0)="",0,VLOOKUP($N189,Capa!$A:$AE,AV$5,0)),0),IF(ISERROR(1/VLOOKUP($N189,Capa!$A:$AE,AV$5,0)),0,1/VLOOKUP($N189,Capa!$A:$AE,AV$5,0))))</f>
        <v/>
      </c>
      <c r="AW189" s="118" t="str">
        <f>IF(AW$6="","",IF(AW$3="Maior",IFERROR(IF(VLOOKUP($N189,Capa!$A:$AE,AW$5,0)="",0,VLOOKUP($N189,Capa!$A:$AE,AW$5,0)),0),IF(ISERROR(1/VLOOKUP($N189,Capa!$A:$AE,AW$5,0)),0,1/VLOOKUP($N189,Capa!$A:$AE,AW$5,0))))</f>
        <v/>
      </c>
      <c r="AX189" s="118" t="str">
        <f>IF(AX$6="","",IF(AX$3="Maior",IFERROR(IF(VLOOKUP($N189,Capa!$A:$AE,AX$5,0)="",0,VLOOKUP($N189,Capa!$A:$AE,AX$5,0)),0),IF(ISERROR(1/VLOOKUP($N189,Capa!$A:$AE,AX$5,0)),0,1/VLOOKUP($N189,Capa!$A:$AE,AX$5,0))))</f>
        <v/>
      </c>
      <c r="AY189" s="118" t="str">
        <f>IF(AY$6="","",IF(AY$3="Maior",IFERROR(IF(VLOOKUP($N189,Capa!$A:$AE,AY$5,0)="",0,VLOOKUP($N189,Capa!$A:$AE,AY$5,0)),0),IF(ISERROR(1/VLOOKUP($N189,Capa!$A:$AE,AY$5,0)),0,1/VLOOKUP($N189,Capa!$A:$AE,AY$5,0))))</f>
        <v/>
      </c>
      <c r="AZ189" s="118" t="str">
        <f>IF(AZ$6="","",IF(AZ$3="Maior",IFERROR(IF(VLOOKUP($N189,Capa!$A:$AE,AZ$5,0)="",0,VLOOKUP($N189,Capa!$A:$AE,AZ$5,0)),0),IF(ISERROR(1/VLOOKUP($N189,Capa!$A:$AE,AZ$5,0)),0,1/VLOOKUP($N189,Capa!$A:$AE,AZ$5,0))))</f>
        <v/>
      </c>
      <c r="BA189" s="118" t="str">
        <f>IF(BA$6="","",IF(BA$3="Maior",IFERROR(IF(VLOOKUP($N189,Capa!$A:$AE,BA$5,0)="",0,VLOOKUP($N189,Capa!$A:$AE,BA$5,0)),0),IF(ISERROR(1/VLOOKUP($N189,Capa!$A:$AE,BA$5,0)),0,1/VLOOKUP($N189,Capa!$A:$AE,BA$5,0))))</f>
        <v/>
      </c>
      <c r="BB189" s="118" t="str">
        <f>IF(BB$6="","",IF(BB$3="Maior",IFERROR(IF(VLOOKUP($N189,Capa!$A:$AE,BB$5,0)="",0,VLOOKUP($N189,Capa!$A:$AE,BB$5,0)),0),IF(ISERROR(1/VLOOKUP($N189,Capa!$A:$AE,BB$5,0)),0,1/VLOOKUP($N189,Capa!$A:$AE,BB$5,0))))</f>
        <v/>
      </c>
      <c r="BC189" s="118" t="str">
        <f>IF(BC$6="","",IF(BC$3="Maior",IFERROR(IF(VLOOKUP($N189,Capa!$A:$AE,BC$5,0)="",0,VLOOKUP($N189,Capa!$A:$AE,BC$5,0)),0),IF(ISERROR(1/VLOOKUP($N189,Capa!$A:$AE,BC$5,0)),0,1/VLOOKUP($N189,Capa!$A:$AE,BC$5,0))))</f>
        <v/>
      </c>
      <c r="BD189" s="118" t="str">
        <f>IF(BD$6="","",IF(BD$3="Maior",IFERROR(IF(VLOOKUP($N189,Capa!$A:$AE,BD$5,0)="",0,VLOOKUP($N189,Capa!$A:$AE,BD$5,0)),0),IF(ISERROR(1/VLOOKUP($N189,Capa!$A:$AE,BD$5,0)),0,1/VLOOKUP($N189,Capa!$A:$AE,BD$5,0))))</f>
        <v/>
      </c>
      <c r="BE189" s="118" t="str">
        <f>IF(BE$6="","",IF(BE$3="Maior",IFERROR(IF(VLOOKUP($N189,Capa!$A:$AE,BE$5,0)="",0,VLOOKUP($N189,Capa!$A:$AE,BE$5,0)),0),IF(ISERROR(1/VLOOKUP($N189,Capa!$A:$AE,BE$5,0)),0,1/VLOOKUP($N189,Capa!$A:$AE,BE$5,0))))</f>
        <v/>
      </c>
      <c r="BF189" s="118" t="str">
        <f>IF(BF$6="","",IF(BF$3="Maior",IFERROR(IF(VLOOKUP($N189,Capa!$A:$AE,BF$5,0)="",0,VLOOKUP($N189,Capa!$A:$AE,BF$5,0)),0),IF(ISERROR(1/VLOOKUP($N189,Capa!$A:$AE,BF$5,0)),0,1/VLOOKUP($N189,Capa!$A:$AE,BF$5,0))))</f>
        <v/>
      </c>
      <c r="BG189" s="118" t="str">
        <f>IF(BG$6="","",IF(BG$3="Maior",IFERROR(IF(VLOOKUP($N189,Capa!$A:$AE,BG$5,0)="",0,VLOOKUP($N189,Capa!$A:$AE,BG$5,0)),0),IF(ISERROR(1/VLOOKUP($N189,Capa!$A:$AE,BG$5,0)),0,1/VLOOKUP($N189,Capa!$A:$AE,BG$5,0))))</f>
        <v/>
      </c>
      <c r="BH189" s="118" t="str">
        <f>IF(BH$6="","",IF(BH$3="Maior",IFERROR(IF(VLOOKUP($N189,Capa!$A:$AE,BH$5,0)="",0,VLOOKUP($N189,Capa!$A:$AE,BH$5,0)),0),IF(ISERROR(1/VLOOKUP($N189,Capa!$A:$AE,BH$5,0)),0,1/VLOOKUP($N189,Capa!$A:$AE,BH$5,0))))</f>
        <v/>
      </c>
      <c r="BI189" s="118" t="str">
        <f>IF(BI$6="","",IF(BI$3="Maior",IFERROR(IF(VLOOKUP($N189,Capa!$A:$AE,BI$5,0)="",0,VLOOKUP($N189,Capa!$A:$AE,BI$5,0)),0),IF(ISERROR(1/VLOOKUP($N189,Capa!$A:$AE,BI$5,0)),0,1/VLOOKUP($N189,Capa!$A:$AE,BI$5,0))))</f>
        <v/>
      </c>
      <c r="BJ189" s="118" t="str">
        <f>IF(BJ$6="","",IF(BJ$3="Maior",IFERROR(IF(VLOOKUP($N189,Capa!$A:$AE,BJ$5,0)="",0,VLOOKUP($N189,Capa!$A:$AE,BJ$5,0)),0),IF(ISERROR(1/VLOOKUP($N189,Capa!$A:$AE,BJ$5,0)),0,1/VLOOKUP($N189,Capa!$A:$AE,BJ$5,0))))</f>
        <v/>
      </c>
      <c r="BK189" s="118" t="str">
        <f>IF(BK$6="","",IF(BK$3="Maior",IFERROR(IF(VLOOKUP($N189,Capa!$A:$AE,BK$5,0)="",0,VLOOKUP($N189,Capa!$A:$AE,BK$5,0)),0),IF(ISERROR(1/VLOOKUP($N189,Capa!$A:$AE,BK$5,0)),0,1/VLOOKUP($N189,Capa!$A:$AE,BK$5,0))))</f>
        <v/>
      </c>
      <c r="BL189" s="118" t="str">
        <f>IF(BL$6="","",IF(BL$3="Maior",IFERROR(IF(VLOOKUP($N189,Capa!$A:$AE,BL$5,0)="",0,VLOOKUP($N189,Capa!$A:$AE,BL$5,0)),0),IF(ISERROR(1/VLOOKUP($N189,Capa!$A:$AE,BL$5,0)),0,1/VLOOKUP($N189,Capa!$A:$AE,BL$5,0))))</f>
        <v/>
      </c>
      <c r="BM189" s="118" t="str">
        <f>IF(BM$6="","",IF(BM$3="Maior",IFERROR(IF(VLOOKUP($N189,Capa!$A:$AE,BM$5,0)="",0,VLOOKUP($N189,Capa!$A:$AE,BM$5,0)),0),IF(ISERROR(1/VLOOKUP($N189,Capa!$A:$AE,BM$5,0)),0,1/VLOOKUP($N189,Capa!$A:$AE,BM$5,0))))</f>
        <v/>
      </c>
      <c r="BN189" s="118" t="str">
        <f>IF(BN$6="","",IF(BN$3="Maior",IFERROR(IF(VLOOKUP($N189,Capa!$A:$AE,BN$5,0)="",0,VLOOKUP($N189,Capa!$A:$AE,BN$5,0)),0),IF(ISERROR(1/VLOOKUP($N189,Capa!$A:$AE,BN$5,0)),0,1/VLOOKUP($N189,Capa!$A:$AE,BN$5,0))))</f>
        <v/>
      </c>
      <c r="BO189" s="92"/>
    </row>
    <row r="190">
      <c r="G190" s="11"/>
      <c r="H190" s="8">
        <v>184.0</v>
      </c>
      <c r="I190" s="110" t="str">
        <f t="shared" si="6"/>
        <v>UGPA3</v>
      </c>
      <c r="J190" s="111" t="str">
        <f>VLOOKUP(left(I190,4),Setor!A:D,3,0)&amp;" | "&amp;VLOOKUP(left(I190,4),Setor!A:D,4,0)</f>
        <v>Petróleo, Gás e Biocombustíveis | Petróleo, Gás e Biocombustíveis</v>
      </c>
      <c r="K190" s="112">
        <f t="shared" si="7"/>
        <v>124862991.7</v>
      </c>
      <c r="L190" s="11"/>
      <c r="M190" s="11"/>
      <c r="N190" s="10" t="s">
        <v>236</v>
      </c>
      <c r="O190" s="113">
        <f t="shared" si="8"/>
        <v>916.0374</v>
      </c>
      <c r="P190" s="114">
        <f>VLOOKUP(N190,'Dados StatusInvest'!A:Z,26,0)</f>
        <v>14462116.63</v>
      </c>
      <c r="Q190" s="115">
        <f t="shared" si="9"/>
        <v>374.0374</v>
      </c>
      <c r="R190" s="116">
        <f t="shared" ref="R190:AO190" si="193">IF(AQ190="","", RANK(AQ190,AQ$7:AQ$503,0))</f>
        <v>323</v>
      </c>
      <c r="S190" s="115">
        <f t="shared" si="193"/>
        <v>219</v>
      </c>
      <c r="T190" s="115" t="str">
        <f t="shared" si="193"/>
        <v/>
      </c>
      <c r="U190" s="115" t="str">
        <f t="shared" si="193"/>
        <v/>
      </c>
      <c r="V190" s="115" t="str">
        <f t="shared" si="193"/>
        <v/>
      </c>
      <c r="W190" s="115" t="str">
        <f t="shared" si="193"/>
        <v/>
      </c>
      <c r="X190" s="115" t="str">
        <f t="shared" si="193"/>
        <v/>
      </c>
      <c r="Y190" s="115" t="str">
        <f t="shared" si="193"/>
        <v/>
      </c>
      <c r="Z190" s="115" t="str">
        <f t="shared" si="193"/>
        <v/>
      </c>
      <c r="AA190" s="115" t="str">
        <f t="shared" si="193"/>
        <v/>
      </c>
      <c r="AB190" s="115" t="str">
        <f t="shared" si="193"/>
        <v/>
      </c>
      <c r="AC190" s="115" t="str">
        <f t="shared" si="193"/>
        <v/>
      </c>
      <c r="AD190" s="115" t="str">
        <f t="shared" si="193"/>
        <v/>
      </c>
      <c r="AE190" s="115" t="str">
        <f t="shared" si="193"/>
        <v/>
      </c>
      <c r="AF190" s="115" t="str">
        <f t="shared" si="193"/>
        <v/>
      </c>
      <c r="AG190" s="115" t="str">
        <f t="shared" si="193"/>
        <v/>
      </c>
      <c r="AH190" s="115" t="str">
        <f t="shared" si="193"/>
        <v/>
      </c>
      <c r="AI190" s="115" t="str">
        <f t="shared" si="193"/>
        <v/>
      </c>
      <c r="AJ190" s="115" t="str">
        <f t="shared" si="193"/>
        <v/>
      </c>
      <c r="AK190" s="115" t="str">
        <f t="shared" si="193"/>
        <v/>
      </c>
      <c r="AL190" s="115" t="str">
        <f t="shared" si="193"/>
        <v/>
      </c>
      <c r="AM190" s="115" t="str">
        <f t="shared" si="193"/>
        <v/>
      </c>
      <c r="AN190" s="115" t="str">
        <f t="shared" si="193"/>
        <v/>
      </c>
      <c r="AO190" s="115" t="str">
        <f t="shared" si="193"/>
        <v/>
      </c>
      <c r="AP190" s="117">
        <f>IF(AP$6="","",IF(AP$3="Maior",IFERROR(IF(VLOOKUP($N190,Capa!$A:$AE,AP$5,0)="",0,VLOOKUP($N190,Capa!$A:$AE,AP$5,0)),0),IF(ISERROR(1/VLOOKUP($N190,Capa!$A:$AE,AP$5,0)),0,1/VLOOKUP($N190,Capa!$A:$AE,AP$5,0))))</f>
        <v>0.01807025912</v>
      </c>
      <c r="AQ190" s="118">
        <f>IF(AQ$6="","",IF(AQ$3="Maior",IFERROR(IF(VLOOKUP($N190,Capa!$A:$AE,AQ$5,0)="",0,VLOOKUP($N190,Capa!$A:$AE,AQ$5,0)),0),IF(ISERROR(1/VLOOKUP($N190,Capa!$A:$AE,AQ$5,0)),0,1/VLOOKUP($N190,Capa!$A:$AE,AQ$5,0))))</f>
        <v>3.38</v>
      </c>
      <c r="AR190" s="118">
        <f>IF(AR$6="","",IF(AR$3="Maior",IFERROR(IF(VLOOKUP($N190,Capa!$A:$AE,AR$5,0)="",0,VLOOKUP($N190,Capa!$A:$AE,AR$5,0)),0),IF(ISERROR(1/VLOOKUP($N190,Capa!$A:$AE,AR$5,0)),0,1/VLOOKUP($N190,Capa!$A:$AE,AR$5,0))))</f>
        <v>0</v>
      </c>
      <c r="AS190" s="118" t="str">
        <f>IF(AS$6="","",IF(AS$3="Maior",IFERROR(IF(VLOOKUP($N190,Capa!$A:$AE,AS$5,0)="",0,VLOOKUP($N190,Capa!$A:$AE,AS$5,0)),0),IF(ISERROR(1/VLOOKUP($N190,Capa!$A:$AE,AS$5,0)),0,1/VLOOKUP($N190,Capa!$A:$AE,AS$5,0))))</f>
        <v/>
      </c>
      <c r="AT190" s="118" t="str">
        <f>IF(AT$6="","",IF(AT$3="Maior",IFERROR(IF(VLOOKUP($N190,Capa!$A:$AE,AT$5,0)="",0,VLOOKUP($N190,Capa!$A:$AE,AT$5,0)),0),IF(ISERROR(1/VLOOKUP($N190,Capa!$A:$AE,AT$5,0)),0,1/VLOOKUP($N190,Capa!$A:$AE,AT$5,0))))</f>
        <v/>
      </c>
      <c r="AU190" s="118" t="str">
        <f>IF(AU$6="","",IF(AU$3="Maior",IFERROR(IF(VLOOKUP($N190,Capa!$A:$AE,AU$5,0)="",0,VLOOKUP($N190,Capa!$A:$AE,AU$5,0)),0),IF(ISERROR(1/VLOOKUP($N190,Capa!$A:$AE,AU$5,0)),0,1/VLOOKUP($N190,Capa!$A:$AE,AU$5,0))))</f>
        <v/>
      </c>
      <c r="AV190" s="118" t="str">
        <f>IF(AV$6="","",IF(AV$3="Maior",IFERROR(IF(VLOOKUP($N190,Capa!$A:$AE,AV$5,0)="",0,VLOOKUP($N190,Capa!$A:$AE,AV$5,0)),0),IF(ISERROR(1/VLOOKUP($N190,Capa!$A:$AE,AV$5,0)),0,1/VLOOKUP($N190,Capa!$A:$AE,AV$5,0))))</f>
        <v/>
      </c>
      <c r="AW190" s="118" t="str">
        <f>IF(AW$6="","",IF(AW$3="Maior",IFERROR(IF(VLOOKUP($N190,Capa!$A:$AE,AW$5,0)="",0,VLOOKUP($N190,Capa!$A:$AE,AW$5,0)),0),IF(ISERROR(1/VLOOKUP($N190,Capa!$A:$AE,AW$5,0)),0,1/VLOOKUP($N190,Capa!$A:$AE,AW$5,0))))</f>
        <v/>
      </c>
      <c r="AX190" s="118" t="str">
        <f>IF(AX$6="","",IF(AX$3="Maior",IFERROR(IF(VLOOKUP($N190,Capa!$A:$AE,AX$5,0)="",0,VLOOKUP($N190,Capa!$A:$AE,AX$5,0)),0),IF(ISERROR(1/VLOOKUP($N190,Capa!$A:$AE,AX$5,0)),0,1/VLOOKUP($N190,Capa!$A:$AE,AX$5,0))))</f>
        <v/>
      </c>
      <c r="AY190" s="118" t="str">
        <f>IF(AY$6="","",IF(AY$3="Maior",IFERROR(IF(VLOOKUP($N190,Capa!$A:$AE,AY$5,0)="",0,VLOOKUP($N190,Capa!$A:$AE,AY$5,0)),0),IF(ISERROR(1/VLOOKUP($N190,Capa!$A:$AE,AY$5,0)),0,1/VLOOKUP($N190,Capa!$A:$AE,AY$5,0))))</f>
        <v/>
      </c>
      <c r="AZ190" s="118" t="str">
        <f>IF(AZ$6="","",IF(AZ$3="Maior",IFERROR(IF(VLOOKUP($N190,Capa!$A:$AE,AZ$5,0)="",0,VLOOKUP($N190,Capa!$A:$AE,AZ$5,0)),0),IF(ISERROR(1/VLOOKUP($N190,Capa!$A:$AE,AZ$5,0)),0,1/VLOOKUP($N190,Capa!$A:$AE,AZ$5,0))))</f>
        <v/>
      </c>
      <c r="BA190" s="118" t="str">
        <f>IF(BA$6="","",IF(BA$3="Maior",IFERROR(IF(VLOOKUP($N190,Capa!$A:$AE,BA$5,0)="",0,VLOOKUP($N190,Capa!$A:$AE,BA$5,0)),0),IF(ISERROR(1/VLOOKUP($N190,Capa!$A:$AE,BA$5,0)),0,1/VLOOKUP($N190,Capa!$A:$AE,BA$5,0))))</f>
        <v/>
      </c>
      <c r="BB190" s="118" t="str">
        <f>IF(BB$6="","",IF(BB$3="Maior",IFERROR(IF(VLOOKUP($N190,Capa!$A:$AE,BB$5,0)="",0,VLOOKUP($N190,Capa!$A:$AE,BB$5,0)),0),IF(ISERROR(1/VLOOKUP($N190,Capa!$A:$AE,BB$5,0)),0,1/VLOOKUP($N190,Capa!$A:$AE,BB$5,0))))</f>
        <v/>
      </c>
      <c r="BC190" s="118" t="str">
        <f>IF(BC$6="","",IF(BC$3="Maior",IFERROR(IF(VLOOKUP($N190,Capa!$A:$AE,BC$5,0)="",0,VLOOKUP($N190,Capa!$A:$AE,BC$5,0)),0),IF(ISERROR(1/VLOOKUP($N190,Capa!$A:$AE,BC$5,0)),0,1/VLOOKUP($N190,Capa!$A:$AE,BC$5,0))))</f>
        <v/>
      </c>
      <c r="BD190" s="118" t="str">
        <f>IF(BD$6="","",IF(BD$3="Maior",IFERROR(IF(VLOOKUP($N190,Capa!$A:$AE,BD$5,0)="",0,VLOOKUP($N190,Capa!$A:$AE,BD$5,0)),0),IF(ISERROR(1/VLOOKUP($N190,Capa!$A:$AE,BD$5,0)),0,1/VLOOKUP($N190,Capa!$A:$AE,BD$5,0))))</f>
        <v/>
      </c>
      <c r="BE190" s="118" t="str">
        <f>IF(BE$6="","",IF(BE$3="Maior",IFERROR(IF(VLOOKUP($N190,Capa!$A:$AE,BE$5,0)="",0,VLOOKUP($N190,Capa!$A:$AE,BE$5,0)),0),IF(ISERROR(1/VLOOKUP($N190,Capa!$A:$AE,BE$5,0)),0,1/VLOOKUP($N190,Capa!$A:$AE,BE$5,0))))</f>
        <v/>
      </c>
      <c r="BF190" s="118" t="str">
        <f>IF(BF$6="","",IF(BF$3="Maior",IFERROR(IF(VLOOKUP($N190,Capa!$A:$AE,BF$5,0)="",0,VLOOKUP($N190,Capa!$A:$AE,BF$5,0)),0),IF(ISERROR(1/VLOOKUP($N190,Capa!$A:$AE,BF$5,0)),0,1/VLOOKUP($N190,Capa!$A:$AE,BF$5,0))))</f>
        <v/>
      </c>
      <c r="BG190" s="118" t="str">
        <f>IF(BG$6="","",IF(BG$3="Maior",IFERROR(IF(VLOOKUP($N190,Capa!$A:$AE,BG$5,0)="",0,VLOOKUP($N190,Capa!$A:$AE,BG$5,0)),0),IF(ISERROR(1/VLOOKUP($N190,Capa!$A:$AE,BG$5,0)),0,1/VLOOKUP($N190,Capa!$A:$AE,BG$5,0))))</f>
        <v/>
      </c>
      <c r="BH190" s="118" t="str">
        <f>IF(BH$6="","",IF(BH$3="Maior",IFERROR(IF(VLOOKUP($N190,Capa!$A:$AE,BH$5,0)="",0,VLOOKUP($N190,Capa!$A:$AE,BH$5,0)),0),IF(ISERROR(1/VLOOKUP($N190,Capa!$A:$AE,BH$5,0)),0,1/VLOOKUP($N190,Capa!$A:$AE,BH$5,0))))</f>
        <v/>
      </c>
      <c r="BI190" s="118" t="str">
        <f>IF(BI$6="","",IF(BI$3="Maior",IFERROR(IF(VLOOKUP($N190,Capa!$A:$AE,BI$5,0)="",0,VLOOKUP($N190,Capa!$A:$AE,BI$5,0)),0),IF(ISERROR(1/VLOOKUP($N190,Capa!$A:$AE,BI$5,0)),0,1/VLOOKUP($N190,Capa!$A:$AE,BI$5,0))))</f>
        <v/>
      </c>
      <c r="BJ190" s="118" t="str">
        <f>IF(BJ$6="","",IF(BJ$3="Maior",IFERROR(IF(VLOOKUP($N190,Capa!$A:$AE,BJ$5,0)="",0,VLOOKUP($N190,Capa!$A:$AE,BJ$5,0)),0),IF(ISERROR(1/VLOOKUP($N190,Capa!$A:$AE,BJ$5,0)),0,1/VLOOKUP($N190,Capa!$A:$AE,BJ$5,0))))</f>
        <v/>
      </c>
      <c r="BK190" s="118" t="str">
        <f>IF(BK$6="","",IF(BK$3="Maior",IFERROR(IF(VLOOKUP($N190,Capa!$A:$AE,BK$5,0)="",0,VLOOKUP($N190,Capa!$A:$AE,BK$5,0)),0),IF(ISERROR(1/VLOOKUP($N190,Capa!$A:$AE,BK$5,0)),0,1/VLOOKUP($N190,Capa!$A:$AE,BK$5,0))))</f>
        <v/>
      </c>
      <c r="BL190" s="118" t="str">
        <f>IF(BL$6="","",IF(BL$3="Maior",IFERROR(IF(VLOOKUP($N190,Capa!$A:$AE,BL$5,0)="",0,VLOOKUP($N190,Capa!$A:$AE,BL$5,0)),0),IF(ISERROR(1/VLOOKUP($N190,Capa!$A:$AE,BL$5,0)),0,1/VLOOKUP($N190,Capa!$A:$AE,BL$5,0))))</f>
        <v/>
      </c>
      <c r="BM190" s="118" t="str">
        <f>IF(BM$6="","",IF(BM$3="Maior",IFERROR(IF(VLOOKUP($N190,Capa!$A:$AE,BM$5,0)="",0,VLOOKUP($N190,Capa!$A:$AE,BM$5,0)),0),IF(ISERROR(1/VLOOKUP($N190,Capa!$A:$AE,BM$5,0)),0,1/VLOOKUP($N190,Capa!$A:$AE,BM$5,0))))</f>
        <v/>
      </c>
      <c r="BN190" s="118" t="str">
        <f>IF(BN$6="","",IF(BN$3="Maior",IFERROR(IF(VLOOKUP($N190,Capa!$A:$AE,BN$5,0)="",0,VLOOKUP($N190,Capa!$A:$AE,BN$5,0)),0),IF(ISERROR(1/VLOOKUP($N190,Capa!$A:$AE,BN$5,0)),0,1/VLOOKUP($N190,Capa!$A:$AE,BN$5,0))))</f>
        <v/>
      </c>
      <c r="BO190" s="92"/>
    </row>
    <row r="191">
      <c r="G191" s="11"/>
      <c r="H191" s="8">
        <v>185.0</v>
      </c>
      <c r="I191" s="110" t="str">
        <f t="shared" si="6"/>
        <v>MEAL3</v>
      </c>
      <c r="J191" s="111" t="str">
        <f>VLOOKUP(left(I191,4),Setor!A:D,3,0)&amp;" | "&amp;VLOOKUP(left(I191,4),Setor!A:D,4,0)</f>
        <v>Consumo Cíclico | Hoteis e Restaurantes</v>
      </c>
      <c r="K191" s="112">
        <f t="shared" si="7"/>
        <v>11116985.04</v>
      </c>
      <c r="L191" s="11"/>
      <c r="M191" s="11"/>
      <c r="N191" s="10" t="s">
        <v>237</v>
      </c>
      <c r="O191" s="113">
        <f t="shared" si="8"/>
        <v>424.0208</v>
      </c>
      <c r="P191" s="114">
        <f>VLOOKUP(N191,'Dados StatusInvest'!A:Z,26,0)</f>
        <v>10374740.88</v>
      </c>
      <c r="Q191" s="115">
        <f t="shared" si="9"/>
        <v>208.0208</v>
      </c>
      <c r="R191" s="116">
        <f t="shared" ref="R191:AO191" si="194">IF(AQ191="","", RANK(AQ191,AQ$7:AQ$503,0))</f>
        <v>203</v>
      </c>
      <c r="S191" s="115">
        <f t="shared" si="194"/>
        <v>13</v>
      </c>
      <c r="T191" s="115" t="str">
        <f t="shared" si="194"/>
        <v/>
      </c>
      <c r="U191" s="115" t="str">
        <f t="shared" si="194"/>
        <v/>
      </c>
      <c r="V191" s="115" t="str">
        <f t="shared" si="194"/>
        <v/>
      </c>
      <c r="W191" s="115" t="str">
        <f t="shared" si="194"/>
        <v/>
      </c>
      <c r="X191" s="115" t="str">
        <f t="shared" si="194"/>
        <v/>
      </c>
      <c r="Y191" s="115" t="str">
        <f t="shared" si="194"/>
        <v/>
      </c>
      <c r="Z191" s="115" t="str">
        <f t="shared" si="194"/>
        <v/>
      </c>
      <c r="AA191" s="115" t="str">
        <f t="shared" si="194"/>
        <v/>
      </c>
      <c r="AB191" s="115" t="str">
        <f t="shared" si="194"/>
        <v/>
      </c>
      <c r="AC191" s="115" t="str">
        <f t="shared" si="194"/>
        <v/>
      </c>
      <c r="AD191" s="115" t="str">
        <f t="shared" si="194"/>
        <v/>
      </c>
      <c r="AE191" s="115" t="str">
        <f t="shared" si="194"/>
        <v/>
      </c>
      <c r="AF191" s="115" t="str">
        <f t="shared" si="194"/>
        <v/>
      </c>
      <c r="AG191" s="115" t="str">
        <f t="shared" si="194"/>
        <v/>
      </c>
      <c r="AH191" s="115" t="str">
        <f t="shared" si="194"/>
        <v/>
      </c>
      <c r="AI191" s="115" t="str">
        <f t="shared" si="194"/>
        <v/>
      </c>
      <c r="AJ191" s="115" t="str">
        <f t="shared" si="194"/>
        <v/>
      </c>
      <c r="AK191" s="115" t="str">
        <f t="shared" si="194"/>
        <v/>
      </c>
      <c r="AL191" s="115" t="str">
        <f t="shared" si="194"/>
        <v/>
      </c>
      <c r="AM191" s="115" t="str">
        <f t="shared" si="194"/>
        <v/>
      </c>
      <c r="AN191" s="115" t="str">
        <f t="shared" si="194"/>
        <v/>
      </c>
      <c r="AO191" s="115" t="str">
        <f t="shared" si="194"/>
        <v/>
      </c>
      <c r="AP191" s="117">
        <f>IF(AP$6="","",IF(AP$3="Maior",IFERROR(IF(VLOOKUP($N191,Capa!$A:$AE,AP$5,0)="",0,VLOOKUP($N191,Capa!$A:$AE,AP$5,0)),0),IF(ISERROR(1/VLOOKUP($N191,Capa!$A:$AE,AP$5,0)),0,1/VLOOKUP($N191,Capa!$A:$AE,AP$5,0))))</f>
        <v>0.1012135031</v>
      </c>
      <c r="AQ191" s="118">
        <f>IF(AQ$6="","",IF(AQ$3="Maior",IFERROR(IF(VLOOKUP($N191,Capa!$A:$AE,AQ$5,0)="",0,VLOOKUP($N191,Capa!$A:$AE,AQ$5,0)),0),IF(ISERROR(1/VLOOKUP($N191,Capa!$A:$AE,AQ$5,0)),0,1/VLOOKUP($N191,Capa!$A:$AE,AQ$5,0))))</f>
        <v>11</v>
      </c>
      <c r="AR191" s="118">
        <f>IF(AR$6="","",IF(AR$3="Maior",IFERROR(IF(VLOOKUP($N191,Capa!$A:$AE,AR$5,0)="",0,VLOOKUP($N191,Capa!$A:$AE,AR$5,0)),0),IF(ISERROR(1/VLOOKUP($N191,Capa!$A:$AE,AR$5,0)),0,1/VLOOKUP($N191,Capa!$A:$AE,AR$5,0))))</f>
        <v>97.05</v>
      </c>
      <c r="AS191" s="118" t="str">
        <f>IF(AS$6="","",IF(AS$3="Maior",IFERROR(IF(VLOOKUP($N191,Capa!$A:$AE,AS$5,0)="",0,VLOOKUP($N191,Capa!$A:$AE,AS$5,0)),0),IF(ISERROR(1/VLOOKUP($N191,Capa!$A:$AE,AS$5,0)),0,1/VLOOKUP($N191,Capa!$A:$AE,AS$5,0))))</f>
        <v/>
      </c>
      <c r="AT191" s="118" t="str">
        <f>IF(AT$6="","",IF(AT$3="Maior",IFERROR(IF(VLOOKUP($N191,Capa!$A:$AE,AT$5,0)="",0,VLOOKUP($N191,Capa!$A:$AE,AT$5,0)),0),IF(ISERROR(1/VLOOKUP($N191,Capa!$A:$AE,AT$5,0)),0,1/VLOOKUP($N191,Capa!$A:$AE,AT$5,0))))</f>
        <v/>
      </c>
      <c r="AU191" s="118" t="str">
        <f>IF(AU$6="","",IF(AU$3="Maior",IFERROR(IF(VLOOKUP($N191,Capa!$A:$AE,AU$5,0)="",0,VLOOKUP($N191,Capa!$A:$AE,AU$5,0)),0),IF(ISERROR(1/VLOOKUP($N191,Capa!$A:$AE,AU$5,0)),0,1/VLOOKUP($N191,Capa!$A:$AE,AU$5,0))))</f>
        <v/>
      </c>
      <c r="AV191" s="118" t="str">
        <f>IF(AV$6="","",IF(AV$3="Maior",IFERROR(IF(VLOOKUP($N191,Capa!$A:$AE,AV$5,0)="",0,VLOOKUP($N191,Capa!$A:$AE,AV$5,0)),0),IF(ISERROR(1/VLOOKUP($N191,Capa!$A:$AE,AV$5,0)),0,1/VLOOKUP($N191,Capa!$A:$AE,AV$5,0))))</f>
        <v/>
      </c>
      <c r="AW191" s="118" t="str">
        <f>IF(AW$6="","",IF(AW$3="Maior",IFERROR(IF(VLOOKUP($N191,Capa!$A:$AE,AW$5,0)="",0,VLOOKUP($N191,Capa!$A:$AE,AW$5,0)),0),IF(ISERROR(1/VLOOKUP($N191,Capa!$A:$AE,AW$5,0)),0,1/VLOOKUP($N191,Capa!$A:$AE,AW$5,0))))</f>
        <v/>
      </c>
      <c r="AX191" s="118" t="str">
        <f>IF(AX$6="","",IF(AX$3="Maior",IFERROR(IF(VLOOKUP($N191,Capa!$A:$AE,AX$5,0)="",0,VLOOKUP($N191,Capa!$A:$AE,AX$5,0)),0),IF(ISERROR(1/VLOOKUP($N191,Capa!$A:$AE,AX$5,0)),0,1/VLOOKUP($N191,Capa!$A:$AE,AX$5,0))))</f>
        <v/>
      </c>
      <c r="AY191" s="118" t="str">
        <f>IF(AY$6="","",IF(AY$3="Maior",IFERROR(IF(VLOOKUP($N191,Capa!$A:$AE,AY$5,0)="",0,VLOOKUP($N191,Capa!$A:$AE,AY$5,0)),0),IF(ISERROR(1/VLOOKUP($N191,Capa!$A:$AE,AY$5,0)),0,1/VLOOKUP($N191,Capa!$A:$AE,AY$5,0))))</f>
        <v/>
      </c>
      <c r="AZ191" s="118" t="str">
        <f>IF(AZ$6="","",IF(AZ$3="Maior",IFERROR(IF(VLOOKUP($N191,Capa!$A:$AE,AZ$5,0)="",0,VLOOKUP($N191,Capa!$A:$AE,AZ$5,0)),0),IF(ISERROR(1/VLOOKUP($N191,Capa!$A:$AE,AZ$5,0)),0,1/VLOOKUP($N191,Capa!$A:$AE,AZ$5,0))))</f>
        <v/>
      </c>
      <c r="BA191" s="118" t="str">
        <f>IF(BA$6="","",IF(BA$3="Maior",IFERROR(IF(VLOOKUP($N191,Capa!$A:$AE,BA$5,0)="",0,VLOOKUP($N191,Capa!$A:$AE,BA$5,0)),0),IF(ISERROR(1/VLOOKUP($N191,Capa!$A:$AE,BA$5,0)),0,1/VLOOKUP($N191,Capa!$A:$AE,BA$5,0))))</f>
        <v/>
      </c>
      <c r="BB191" s="118" t="str">
        <f>IF(BB$6="","",IF(BB$3="Maior",IFERROR(IF(VLOOKUP($N191,Capa!$A:$AE,BB$5,0)="",0,VLOOKUP($N191,Capa!$A:$AE,BB$5,0)),0),IF(ISERROR(1/VLOOKUP($N191,Capa!$A:$AE,BB$5,0)),0,1/VLOOKUP($N191,Capa!$A:$AE,BB$5,0))))</f>
        <v/>
      </c>
      <c r="BC191" s="118" t="str">
        <f>IF(BC$6="","",IF(BC$3="Maior",IFERROR(IF(VLOOKUP($N191,Capa!$A:$AE,BC$5,0)="",0,VLOOKUP($N191,Capa!$A:$AE,BC$5,0)),0),IF(ISERROR(1/VLOOKUP($N191,Capa!$A:$AE,BC$5,0)),0,1/VLOOKUP($N191,Capa!$A:$AE,BC$5,0))))</f>
        <v/>
      </c>
      <c r="BD191" s="118" t="str">
        <f>IF(BD$6="","",IF(BD$3="Maior",IFERROR(IF(VLOOKUP($N191,Capa!$A:$AE,BD$5,0)="",0,VLOOKUP($N191,Capa!$A:$AE,BD$5,0)),0),IF(ISERROR(1/VLOOKUP($N191,Capa!$A:$AE,BD$5,0)),0,1/VLOOKUP($N191,Capa!$A:$AE,BD$5,0))))</f>
        <v/>
      </c>
      <c r="BE191" s="118" t="str">
        <f>IF(BE$6="","",IF(BE$3="Maior",IFERROR(IF(VLOOKUP($N191,Capa!$A:$AE,BE$5,0)="",0,VLOOKUP($N191,Capa!$A:$AE,BE$5,0)),0),IF(ISERROR(1/VLOOKUP($N191,Capa!$A:$AE,BE$5,0)),0,1/VLOOKUP($N191,Capa!$A:$AE,BE$5,0))))</f>
        <v/>
      </c>
      <c r="BF191" s="118" t="str">
        <f>IF(BF$6="","",IF(BF$3="Maior",IFERROR(IF(VLOOKUP($N191,Capa!$A:$AE,BF$5,0)="",0,VLOOKUP($N191,Capa!$A:$AE,BF$5,0)),0),IF(ISERROR(1/VLOOKUP($N191,Capa!$A:$AE,BF$5,0)),0,1/VLOOKUP($N191,Capa!$A:$AE,BF$5,0))))</f>
        <v/>
      </c>
      <c r="BG191" s="118" t="str">
        <f>IF(BG$6="","",IF(BG$3="Maior",IFERROR(IF(VLOOKUP($N191,Capa!$A:$AE,BG$5,0)="",0,VLOOKUP($N191,Capa!$A:$AE,BG$5,0)),0),IF(ISERROR(1/VLOOKUP($N191,Capa!$A:$AE,BG$5,0)),0,1/VLOOKUP($N191,Capa!$A:$AE,BG$5,0))))</f>
        <v/>
      </c>
      <c r="BH191" s="118" t="str">
        <f>IF(BH$6="","",IF(BH$3="Maior",IFERROR(IF(VLOOKUP($N191,Capa!$A:$AE,BH$5,0)="",0,VLOOKUP($N191,Capa!$A:$AE,BH$5,0)),0),IF(ISERROR(1/VLOOKUP($N191,Capa!$A:$AE,BH$5,0)),0,1/VLOOKUP($N191,Capa!$A:$AE,BH$5,0))))</f>
        <v/>
      </c>
      <c r="BI191" s="118" t="str">
        <f>IF(BI$6="","",IF(BI$3="Maior",IFERROR(IF(VLOOKUP($N191,Capa!$A:$AE,BI$5,0)="",0,VLOOKUP($N191,Capa!$A:$AE,BI$5,0)),0),IF(ISERROR(1/VLOOKUP($N191,Capa!$A:$AE,BI$5,0)),0,1/VLOOKUP($N191,Capa!$A:$AE,BI$5,0))))</f>
        <v/>
      </c>
      <c r="BJ191" s="118" t="str">
        <f>IF(BJ$6="","",IF(BJ$3="Maior",IFERROR(IF(VLOOKUP($N191,Capa!$A:$AE,BJ$5,0)="",0,VLOOKUP($N191,Capa!$A:$AE,BJ$5,0)),0),IF(ISERROR(1/VLOOKUP($N191,Capa!$A:$AE,BJ$5,0)),0,1/VLOOKUP($N191,Capa!$A:$AE,BJ$5,0))))</f>
        <v/>
      </c>
      <c r="BK191" s="118" t="str">
        <f>IF(BK$6="","",IF(BK$3="Maior",IFERROR(IF(VLOOKUP($N191,Capa!$A:$AE,BK$5,0)="",0,VLOOKUP($N191,Capa!$A:$AE,BK$5,0)),0),IF(ISERROR(1/VLOOKUP($N191,Capa!$A:$AE,BK$5,0)),0,1/VLOOKUP($N191,Capa!$A:$AE,BK$5,0))))</f>
        <v/>
      </c>
      <c r="BL191" s="118" t="str">
        <f>IF(BL$6="","",IF(BL$3="Maior",IFERROR(IF(VLOOKUP($N191,Capa!$A:$AE,BL$5,0)="",0,VLOOKUP($N191,Capa!$A:$AE,BL$5,0)),0),IF(ISERROR(1/VLOOKUP($N191,Capa!$A:$AE,BL$5,0)),0,1/VLOOKUP($N191,Capa!$A:$AE,BL$5,0))))</f>
        <v/>
      </c>
      <c r="BM191" s="118" t="str">
        <f>IF(BM$6="","",IF(BM$3="Maior",IFERROR(IF(VLOOKUP($N191,Capa!$A:$AE,BM$5,0)="",0,VLOOKUP($N191,Capa!$A:$AE,BM$5,0)),0),IF(ISERROR(1/VLOOKUP($N191,Capa!$A:$AE,BM$5,0)),0,1/VLOOKUP($N191,Capa!$A:$AE,BM$5,0))))</f>
        <v/>
      </c>
      <c r="BN191" s="118" t="str">
        <f>IF(BN$6="","",IF(BN$3="Maior",IFERROR(IF(VLOOKUP($N191,Capa!$A:$AE,BN$5,0)="",0,VLOOKUP($N191,Capa!$A:$AE,BN$5,0)),0),IF(ISERROR(1/VLOOKUP($N191,Capa!$A:$AE,BN$5,0)),0,1/VLOOKUP($N191,Capa!$A:$AE,BN$5,0))))</f>
        <v/>
      </c>
      <c r="BO191" s="92"/>
    </row>
    <row r="192">
      <c r="G192" s="11"/>
      <c r="H192" s="8">
        <v>186.0</v>
      </c>
      <c r="I192" s="110" t="str">
        <f t="shared" si="6"/>
        <v>AMAR3</v>
      </c>
      <c r="J192" s="111" t="str">
        <f>VLOOKUP(left(I192,4),Setor!A:D,3,0)&amp;" | "&amp;VLOOKUP(left(I192,4),Setor!A:D,4,0)</f>
        <v>Consumo Cíclico | Comércio</v>
      </c>
      <c r="K192" s="112">
        <f t="shared" si="7"/>
        <v>30045136.71</v>
      </c>
      <c r="L192" s="11"/>
      <c r="M192" s="11"/>
      <c r="N192" s="10" t="s">
        <v>238</v>
      </c>
      <c r="O192" s="113">
        <f t="shared" si="8"/>
        <v>1093.0432</v>
      </c>
      <c r="P192" s="114">
        <f>VLOOKUP(N192,'Dados StatusInvest'!A:Z,26,0)</f>
        <v>11116985.04</v>
      </c>
      <c r="Q192" s="115">
        <f t="shared" si="9"/>
        <v>432.0432</v>
      </c>
      <c r="R192" s="116">
        <f t="shared" ref="R192:AO192" si="195">IF(AQ192="","", RANK(AQ192,AQ$7:AQ$503,0))</f>
        <v>442</v>
      </c>
      <c r="S192" s="115">
        <f t="shared" si="195"/>
        <v>219</v>
      </c>
      <c r="T192" s="115" t="str">
        <f t="shared" si="195"/>
        <v/>
      </c>
      <c r="U192" s="115" t="str">
        <f t="shared" si="195"/>
        <v/>
      </c>
      <c r="V192" s="115" t="str">
        <f t="shared" si="195"/>
        <v/>
      </c>
      <c r="W192" s="115" t="str">
        <f t="shared" si="195"/>
        <v/>
      </c>
      <c r="X192" s="115" t="str">
        <f t="shared" si="195"/>
        <v/>
      </c>
      <c r="Y192" s="115" t="str">
        <f t="shared" si="195"/>
        <v/>
      </c>
      <c r="Z192" s="115" t="str">
        <f t="shared" si="195"/>
        <v/>
      </c>
      <c r="AA192" s="115" t="str">
        <f t="shared" si="195"/>
        <v/>
      </c>
      <c r="AB192" s="115" t="str">
        <f t="shared" si="195"/>
        <v/>
      </c>
      <c r="AC192" s="115" t="str">
        <f t="shared" si="195"/>
        <v/>
      </c>
      <c r="AD192" s="115" t="str">
        <f t="shared" si="195"/>
        <v/>
      </c>
      <c r="AE192" s="115" t="str">
        <f t="shared" si="195"/>
        <v/>
      </c>
      <c r="AF192" s="115" t="str">
        <f t="shared" si="195"/>
        <v/>
      </c>
      <c r="AG192" s="115" t="str">
        <f t="shared" si="195"/>
        <v/>
      </c>
      <c r="AH192" s="115" t="str">
        <f t="shared" si="195"/>
        <v/>
      </c>
      <c r="AI192" s="115" t="str">
        <f t="shared" si="195"/>
        <v/>
      </c>
      <c r="AJ192" s="115" t="str">
        <f t="shared" si="195"/>
        <v/>
      </c>
      <c r="AK192" s="115" t="str">
        <f t="shared" si="195"/>
        <v/>
      </c>
      <c r="AL192" s="115" t="str">
        <f t="shared" si="195"/>
        <v/>
      </c>
      <c r="AM192" s="115" t="str">
        <f t="shared" si="195"/>
        <v/>
      </c>
      <c r="AN192" s="115" t="str">
        <f t="shared" si="195"/>
        <v/>
      </c>
      <c r="AO192" s="115" t="str">
        <f t="shared" si="195"/>
        <v/>
      </c>
      <c r="AP192" s="117">
        <f>IF(AP$6="","",IF(AP$3="Maior",IFERROR(IF(VLOOKUP($N192,Capa!$A:$AE,AP$5,0)="",0,VLOOKUP($N192,Capa!$A:$AE,AP$5,0)),0),IF(ISERROR(1/VLOOKUP($N192,Capa!$A:$AE,AP$5,0)),0,1/VLOOKUP($N192,Capa!$A:$AE,AP$5,0))))</f>
        <v>-0.05152520942</v>
      </c>
      <c r="AQ192" s="118">
        <f>IF(AQ$6="","",IF(AQ$3="Maior",IFERROR(IF(VLOOKUP($N192,Capa!$A:$AE,AQ$5,0)="",0,VLOOKUP($N192,Capa!$A:$AE,AQ$5,0)),0),IF(ISERROR(1/VLOOKUP($N192,Capa!$A:$AE,AQ$5,0)),0,1/VLOOKUP($N192,Capa!$A:$AE,AQ$5,0))))</f>
        <v>-4.18</v>
      </c>
      <c r="AR192" s="118">
        <f>IF(AR$6="","",IF(AR$3="Maior",IFERROR(IF(VLOOKUP($N192,Capa!$A:$AE,AR$5,0)="",0,VLOOKUP($N192,Capa!$A:$AE,AR$5,0)),0),IF(ISERROR(1/VLOOKUP($N192,Capa!$A:$AE,AR$5,0)),0,1/VLOOKUP($N192,Capa!$A:$AE,AR$5,0))))</f>
        <v>0</v>
      </c>
      <c r="AS192" s="118" t="str">
        <f>IF(AS$6="","",IF(AS$3="Maior",IFERROR(IF(VLOOKUP($N192,Capa!$A:$AE,AS$5,0)="",0,VLOOKUP($N192,Capa!$A:$AE,AS$5,0)),0),IF(ISERROR(1/VLOOKUP($N192,Capa!$A:$AE,AS$5,0)),0,1/VLOOKUP($N192,Capa!$A:$AE,AS$5,0))))</f>
        <v/>
      </c>
      <c r="AT192" s="118" t="str">
        <f>IF(AT$6="","",IF(AT$3="Maior",IFERROR(IF(VLOOKUP($N192,Capa!$A:$AE,AT$5,0)="",0,VLOOKUP($N192,Capa!$A:$AE,AT$5,0)),0),IF(ISERROR(1/VLOOKUP($N192,Capa!$A:$AE,AT$5,0)),0,1/VLOOKUP($N192,Capa!$A:$AE,AT$5,0))))</f>
        <v/>
      </c>
      <c r="AU192" s="118" t="str">
        <f>IF(AU$6="","",IF(AU$3="Maior",IFERROR(IF(VLOOKUP($N192,Capa!$A:$AE,AU$5,0)="",0,VLOOKUP($N192,Capa!$A:$AE,AU$5,0)),0),IF(ISERROR(1/VLOOKUP($N192,Capa!$A:$AE,AU$5,0)),0,1/VLOOKUP($N192,Capa!$A:$AE,AU$5,0))))</f>
        <v/>
      </c>
      <c r="AV192" s="118" t="str">
        <f>IF(AV$6="","",IF(AV$3="Maior",IFERROR(IF(VLOOKUP($N192,Capa!$A:$AE,AV$5,0)="",0,VLOOKUP($N192,Capa!$A:$AE,AV$5,0)),0),IF(ISERROR(1/VLOOKUP($N192,Capa!$A:$AE,AV$5,0)),0,1/VLOOKUP($N192,Capa!$A:$AE,AV$5,0))))</f>
        <v/>
      </c>
      <c r="AW192" s="118" t="str">
        <f>IF(AW$6="","",IF(AW$3="Maior",IFERROR(IF(VLOOKUP($N192,Capa!$A:$AE,AW$5,0)="",0,VLOOKUP($N192,Capa!$A:$AE,AW$5,0)),0),IF(ISERROR(1/VLOOKUP($N192,Capa!$A:$AE,AW$5,0)),0,1/VLOOKUP($N192,Capa!$A:$AE,AW$5,0))))</f>
        <v/>
      </c>
      <c r="AX192" s="118" t="str">
        <f>IF(AX$6="","",IF(AX$3="Maior",IFERROR(IF(VLOOKUP($N192,Capa!$A:$AE,AX$5,0)="",0,VLOOKUP($N192,Capa!$A:$AE,AX$5,0)),0),IF(ISERROR(1/VLOOKUP($N192,Capa!$A:$AE,AX$5,0)),0,1/VLOOKUP($N192,Capa!$A:$AE,AX$5,0))))</f>
        <v/>
      </c>
      <c r="AY192" s="118" t="str">
        <f>IF(AY$6="","",IF(AY$3="Maior",IFERROR(IF(VLOOKUP($N192,Capa!$A:$AE,AY$5,0)="",0,VLOOKUP($N192,Capa!$A:$AE,AY$5,0)),0),IF(ISERROR(1/VLOOKUP($N192,Capa!$A:$AE,AY$5,0)),0,1/VLOOKUP($N192,Capa!$A:$AE,AY$5,0))))</f>
        <v/>
      </c>
      <c r="AZ192" s="118" t="str">
        <f>IF(AZ$6="","",IF(AZ$3="Maior",IFERROR(IF(VLOOKUP($N192,Capa!$A:$AE,AZ$5,0)="",0,VLOOKUP($N192,Capa!$A:$AE,AZ$5,0)),0),IF(ISERROR(1/VLOOKUP($N192,Capa!$A:$AE,AZ$5,0)),0,1/VLOOKUP($N192,Capa!$A:$AE,AZ$5,0))))</f>
        <v/>
      </c>
      <c r="BA192" s="118" t="str">
        <f>IF(BA$6="","",IF(BA$3="Maior",IFERROR(IF(VLOOKUP($N192,Capa!$A:$AE,BA$5,0)="",0,VLOOKUP($N192,Capa!$A:$AE,BA$5,0)),0),IF(ISERROR(1/VLOOKUP($N192,Capa!$A:$AE,BA$5,0)),0,1/VLOOKUP($N192,Capa!$A:$AE,BA$5,0))))</f>
        <v/>
      </c>
      <c r="BB192" s="118" t="str">
        <f>IF(BB$6="","",IF(BB$3="Maior",IFERROR(IF(VLOOKUP($N192,Capa!$A:$AE,BB$5,0)="",0,VLOOKUP($N192,Capa!$A:$AE,BB$5,0)),0),IF(ISERROR(1/VLOOKUP($N192,Capa!$A:$AE,BB$5,0)),0,1/VLOOKUP($N192,Capa!$A:$AE,BB$5,0))))</f>
        <v/>
      </c>
      <c r="BC192" s="118" t="str">
        <f>IF(BC$6="","",IF(BC$3="Maior",IFERROR(IF(VLOOKUP($N192,Capa!$A:$AE,BC$5,0)="",0,VLOOKUP($N192,Capa!$A:$AE,BC$5,0)),0),IF(ISERROR(1/VLOOKUP($N192,Capa!$A:$AE,BC$5,0)),0,1/VLOOKUP($N192,Capa!$A:$AE,BC$5,0))))</f>
        <v/>
      </c>
      <c r="BD192" s="118" t="str">
        <f>IF(BD$6="","",IF(BD$3="Maior",IFERROR(IF(VLOOKUP($N192,Capa!$A:$AE,BD$5,0)="",0,VLOOKUP($N192,Capa!$A:$AE,BD$5,0)),0),IF(ISERROR(1/VLOOKUP($N192,Capa!$A:$AE,BD$5,0)),0,1/VLOOKUP($N192,Capa!$A:$AE,BD$5,0))))</f>
        <v/>
      </c>
      <c r="BE192" s="118" t="str">
        <f>IF(BE$6="","",IF(BE$3="Maior",IFERROR(IF(VLOOKUP($N192,Capa!$A:$AE,BE$5,0)="",0,VLOOKUP($N192,Capa!$A:$AE,BE$5,0)),0),IF(ISERROR(1/VLOOKUP($N192,Capa!$A:$AE,BE$5,0)),0,1/VLOOKUP($N192,Capa!$A:$AE,BE$5,0))))</f>
        <v/>
      </c>
      <c r="BF192" s="118" t="str">
        <f>IF(BF$6="","",IF(BF$3="Maior",IFERROR(IF(VLOOKUP($N192,Capa!$A:$AE,BF$5,0)="",0,VLOOKUP($N192,Capa!$A:$AE,BF$5,0)),0),IF(ISERROR(1/VLOOKUP($N192,Capa!$A:$AE,BF$5,0)),0,1/VLOOKUP($N192,Capa!$A:$AE,BF$5,0))))</f>
        <v/>
      </c>
      <c r="BG192" s="118" t="str">
        <f>IF(BG$6="","",IF(BG$3="Maior",IFERROR(IF(VLOOKUP($N192,Capa!$A:$AE,BG$5,0)="",0,VLOOKUP($N192,Capa!$A:$AE,BG$5,0)),0),IF(ISERROR(1/VLOOKUP($N192,Capa!$A:$AE,BG$5,0)),0,1/VLOOKUP($N192,Capa!$A:$AE,BG$5,0))))</f>
        <v/>
      </c>
      <c r="BH192" s="118" t="str">
        <f>IF(BH$6="","",IF(BH$3="Maior",IFERROR(IF(VLOOKUP($N192,Capa!$A:$AE,BH$5,0)="",0,VLOOKUP($N192,Capa!$A:$AE,BH$5,0)),0),IF(ISERROR(1/VLOOKUP($N192,Capa!$A:$AE,BH$5,0)),0,1/VLOOKUP($N192,Capa!$A:$AE,BH$5,0))))</f>
        <v/>
      </c>
      <c r="BI192" s="118" t="str">
        <f>IF(BI$6="","",IF(BI$3="Maior",IFERROR(IF(VLOOKUP($N192,Capa!$A:$AE,BI$5,0)="",0,VLOOKUP($N192,Capa!$A:$AE,BI$5,0)),0),IF(ISERROR(1/VLOOKUP($N192,Capa!$A:$AE,BI$5,0)),0,1/VLOOKUP($N192,Capa!$A:$AE,BI$5,0))))</f>
        <v/>
      </c>
      <c r="BJ192" s="118" t="str">
        <f>IF(BJ$6="","",IF(BJ$3="Maior",IFERROR(IF(VLOOKUP($N192,Capa!$A:$AE,BJ$5,0)="",0,VLOOKUP($N192,Capa!$A:$AE,BJ$5,0)),0),IF(ISERROR(1/VLOOKUP($N192,Capa!$A:$AE,BJ$5,0)),0,1/VLOOKUP($N192,Capa!$A:$AE,BJ$5,0))))</f>
        <v/>
      </c>
      <c r="BK192" s="118" t="str">
        <f>IF(BK$6="","",IF(BK$3="Maior",IFERROR(IF(VLOOKUP($N192,Capa!$A:$AE,BK$5,0)="",0,VLOOKUP($N192,Capa!$A:$AE,BK$5,0)),0),IF(ISERROR(1/VLOOKUP($N192,Capa!$A:$AE,BK$5,0)),0,1/VLOOKUP($N192,Capa!$A:$AE,BK$5,0))))</f>
        <v/>
      </c>
      <c r="BL192" s="118" t="str">
        <f>IF(BL$6="","",IF(BL$3="Maior",IFERROR(IF(VLOOKUP($N192,Capa!$A:$AE,BL$5,0)="",0,VLOOKUP($N192,Capa!$A:$AE,BL$5,0)),0),IF(ISERROR(1/VLOOKUP($N192,Capa!$A:$AE,BL$5,0)),0,1/VLOOKUP($N192,Capa!$A:$AE,BL$5,0))))</f>
        <v/>
      </c>
      <c r="BM192" s="118" t="str">
        <f>IF(BM$6="","",IF(BM$3="Maior",IFERROR(IF(VLOOKUP($N192,Capa!$A:$AE,BM$5,0)="",0,VLOOKUP($N192,Capa!$A:$AE,BM$5,0)),0),IF(ISERROR(1/VLOOKUP($N192,Capa!$A:$AE,BM$5,0)),0,1/VLOOKUP($N192,Capa!$A:$AE,BM$5,0))))</f>
        <v/>
      </c>
      <c r="BN192" s="118" t="str">
        <f>IF(BN$6="","",IF(BN$3="Maior",IFERROR(IF(VLOOKUP($N192,Capa!$A:$AE,BN$5,0)="",0,VLOOKUP($N192,Capa!$A:$AE,BN$5,0)),0),IF(ISERROR(1/VLOOKUP($N192,Capa!$A:$AE,BN$5,0)),0,1/VLOOKUP($N192,Capa!$A:$AE,BN$5,0))))</f>
        <v/>
      </c>
      <c r="BO192" s="92"/>
    </row>
    <row r="193">
      <c r="G193" s="11"/>
      <c r="H193" s="8">
        <v>187.0</v>
      </c>
      <c r="I193" s="110" t="str">
        <f t="shared" si="6"/>
        <v>ONCO3</v>
      </c>
      <c r="J193" s="111" t="str">
        <f>VLOOKUP(left(I193,4),Setor!A:D,3,0)&amp;" | "&amp;VLOOKUP(left(I193,4),Setor!A:D,4,0)</f>
        <v>#N/A</v>
      </c>
      <c r="K193" s="112">
        <f t="shared" si="7"/>
        <v>16860190.88</v>
      </c>
      <c r="L193" s="11"/>
      <c r="M193" s="11"/>
      <c r="N193" s="10" t="s">
        <v>239</v>
      </c>
      <c r="O193" s="113">
        <f t="shared" si="8"/>
        <v>753.0306</v>
      </c>
      <c r="P193" s="114">
        <f>VLOOKUP(N193,'Dados StatusInvest'!A:Z,26,0)</f>
        <v>11164113.42</v>
      </c>
      <c r="Q193" s="115">
        <f t="shared" si="9"/>
        <v>306.0306</v>
      </c>
      <c r="R193" s="116">
        <f t="shared" ref="R193:AO193" si="196">IF(AQ193="","", RANK(AQ193,AQ$7:AQ$503,0))</f>
        <v>350</v>
      </c>
      <c r="S193" s="115">
        <f t="shared" si="196"/>
        <v>97</v>
      </c>
      <c r="T193" s="115" t="str">
        <f t="shared" si="196"/>
        <v/>
      </c>
      <c r="U193" s="115" t="str">
        <f t="shared" si="196"/>
        <v/>
      </c>
      <c r="V193" s="115" t="str">
        <f t="shared" si="196"/>
        <v/>
      </c>
      <c r="W193" s="115" t="str">
        <f t="shared" si="196"/>
        <v/>
      </c>
      <c r="X193" s="115" t="str">
        <f t="shared" si="196"/>
        <v/>
      </c>
      <c r="Y193" s="115" t="str">
        <f t="shared" si="196"/>
        <v/>
      </c>
      <c r="Z193" s="115" t="str">
        <f t="shared" si="196"/>
        <v/>
      </c>
      <c r="AA193" s="115" t="str">
        <f t="shared" si="196"/>
        <v/>
      </c>
      <c r="AB193" s="115" t="str">
        <f t="shared" si="196"/>
        <v/>
      </c>
      <c r="AC193" s="115" t="str">
        <f t="shared" si="196"/>
        <v/>
      </c>
      <c r="AD193" s="115" t="str">
        <f t="shared" si="196"/>
        <v/>
      </c>
      <c r="AE193" s="115" t="str">
        <f t="shared" si="196"/>
        <v/>
      </c>
      <c r="AF193" s="115" t="str">
        <f t="shared" si="196"/>
        <v/>
      </c>
      <c r="AG193" s="115" t="str">
        <f t="shared" si="196"/>
        <v/>
      </c>
      <c r="AH193" s="115" t="str">
        <f t="shared" si="196"/>
        <v/>
      </c>
      <c r="AI193" s="115" t="str">
        <f t="shared" si="196"/>
        <v/>
      </c>
      <c r="AJ193" s="115" t="str">
        <f t="shared" si="196"/>
        <v/>
      </c>
      <c r="AK193" s="115" t="str">
        <f t="shared" si="196"/>
        <v/>
      </c>
      <c r="AL193" s="115" t="str">
        <f t="shared" si="196"/>
        <v/>
      </c>
      <c r="AM193" s="115" t="str">
        <f t="shared" si="196"/>
        <v/>
      </c>
      <c r="AN193" s="115" t="str">
        <f t="shared" si="196"/>
        <v/>
      </c>
      <c r="AO193" s="115" t="str">
        <f t="shared" si="196"/>
        <v/>
      </c>
      <c r="AP193" s="117">
        <f>IF(AP$6="","",IF(AP$3="Maior",IFERROR(IF(VLOOKUP($N193,Capa!$A:$AE,AP$5,0)="",0,VLOOKUP($N193,Capa!$A:$AE,AP$5,0)),0),IF(ISERROR(1/VLOOKUP($N193,Capa!$A:$AE,AP$5,0)),0,1/VLOOKUP($N193,Capa!$A:$AE,AP$5,0))))</f>
        <v>0.05146852164</v>
      </c>
      <c r="AQ193" s="118">
        <f>IF(AQ$6="","",IF(AQ$3="Maior",IFERROR(IF(VLOOKUP($N193,Capa!$A:$AE,AQ$5,0)="",0,VLOOKUP($N193,Capa!$A:$AE,AQ$5,0)),0),IF(ISERROR(1/VLOOKUP($N193,Capa!$A:$AE,AQ$5,0)),0,1/VLOOKUP($N193,Capa!$A:$AE,AQ$5,0))))</f>
        <v>2.3</v>
      </c>
      <c r="AR193" s="118">
        <f>IF(AR$6="","",IF(AR$3="Maior",IFERROR(IF(VLOOKUP($N193,Capa!$A:$AE,AR$5,0)="",0,VLOOKUP($N193,Capa!$A:$AE,AR$5,0)),0),IF(ISERROR(1/VLOOKUP($N193,Capa!$A:$AE,AR$5,0)),0,1/VLOOKUP($N193,Capa!$A:$AE,AR$5,0))))</f>
        <v>25.82</v>
      </c>
      <c r="AS193" s="118" t="str">
        <f>IF(AS$6="","",IF(AS$3="Maior",IFERROR(IF(VLOOKUP($N193,Capa!$A:$AE,AS$5,0)="",0,VLOOKUP($N193,Capa!$A:$AE,AS$5,0)),0),IF(ISERROR(1/VLOOKUP($N193,Capa!$A:$AE,AS$5,0)),0,1/VLOOKUP($N193,Capa!$A:$AE,AS$5,0))))</f>
        <v/>
      </c>
      <c r="AT193" s="118" t="str">
        <f>IF(AT$6="","",IF(AT$3="Maior",IFERROR(IF(VLOOKUP($N193,Capa!$A:$AE,AT$5,0)="",0,VLOOKUP($N193,Capa!$A:$AE,AT$5,0)),0),IF(ISERROR(1/VLOOKUP($N193,Capa!$A:$AE,AT$5,0)),0,1/VLOOKUP($N193,Capa!$A:$AE,AT$5,0))))</f>
        <v/>
      </c>
      <c r="AU193" s="118" t="str">
        <f>IF(AU$6="","",IF(AU$3="Maior",IFERROR(IF(VLOOKUP($N193,Capa!$A:$AE,AU$5,0)="",0,VLOOKUP($N193,Capa!$A:$AE,AU$5,0)),0),IF(ISERROR(1/VLOOKUP($N193,Capa!$A:$AE,AU$5,0)),0,1/VLOOKUP($N193,Capa!$A:$AE,AU$5,0))))</f>
        <v/>
      </c>
      <c r="AV193" s="118" t="str">
        <f>IF(AV$6="","",IF(AV$3="Maior",IFERROR(IF(VLOOKUP($N193,Capa!$A:$AE,AV$5,0)="",0,VLOOKUP($N193,Capa!$A:$AE,AV$5,0)),0),IF(ISERROR(1/VLOOKUP($N193,Capa!$A:$AE,AV$5,0)),0,1/VLOOKUP($N193,Capa!$A:$AE,AV$5,0))))</f>
        <v/>
      </c>
      <c r="AW193" s="118" t="str">
        <f>IF(AW$6="","",IF(AW$3="Maior",IFERROR(IF(VLOOKUP($N193,Capa!$A:$AE,AW$5,0)="",0,VLOOKUP($N193,Capa!$A:$AE,AW$5,0)),0),IF(ISERROR(1/VLOOKUP($N193,Capa!$A:$AE,AW$5,0)),0,1/VLOOKUP($N193,Capa!$A:$AE,AW$5,0))))</f>
        <v/>
      </c>
      <c r="AX193" s="118" t="str">
        <f>IF(AX$6="","",IF(AX$3="Maior",IFERROR(IF(VLOOKUP($N193,Capa!$A:$AE,AX$5,0)="",0,VLOOKUP($N193,Capa!$A:$AE,AX$5,0)),0),IF(ISERROR(1/VLOOKUP($N193,Capa!$A:$AE,AX$5,0)),0,1/VLOOKUP($N193,Capa!$A:$AE,AX$5,0))))</f>
        <v/>
      </c>
      <c r="AY193" s="118" t="str">
        <f>IF(AY$6="","",IF(AY$3="Maior",IFERROR(IF(VLOOKUP($N193,Capa!$A:$AE,AY$5,0)="",0,VLOOKUP($N193,Capa!$A:$AE,AY$5,0)),0),IF(ISERROR(1/VLOOKUP($N193,Capa!$A:$AE,AY$5,0)),0,1/VLOOKUP($N193,Capa!$A:$AE,AY$5,0))))</f>
        <v/>
      </c>
      <c r="AZ193" s="118" t="str">
        <f>IF(AZ$6="","",IF(AZ$3="Maior",IFERROR(IF(VLOOKUP($N193,Capa!$A:$AE,AZ$5,0)="",0,VLOOKUP($N193,Capa!$A:$AE,AZ$5,0)),0),IF(ISERROR(1/VLOOKUP($N193,Capa!$A:$AE,AZ$5,0)),0,1/VLOOKUP($N193,Capa!$A:$AE,AZ$5,0))))</f>
        <v/>
      </c>
      <c r="BA193" s="118" t="str">
        <f>IF(BA$6="","",IF(BA$3="Maior",IFERROR(IF(VLOOKUP($N193,Capa!$A:$AE,BA$5,0)="",0,VLOOKUP($N193,Capa!$A:$AE,BA$5,0)),0),IF(ISERROR(1/VLOOKUP($N193,Capa!$A:$AE,BA$5,0)),0,1/VLOOKUP($N193,Capa!$A:$AE,BA$5,0))))</f>
        <v/>
      </c>
      <c r="BB193" s="118" t="str">
        <f>IF(BB$6="","",IF(BB$3="Maior",IFERROR(IF(VLOOKUP($N193,Capa!$A:$AE,BB$5,0)="",0,VLOOKUP($N193,Capa!$A:$AE,BB$5,0)),0),IF(ISERROR(1/VLOOKUP($N193,Capa!$A:$AE,BB$5,0)),0,1/VLOOKUP($N193,Capa!$A:$AE,BB$5,0))))</f>
        <v/>
      </c>
      <c r="BC193" s="118" t="str">
        <f>IF(BC$6="","",IF(BC$3="Maior",IFERROR(IF(VLOOKUP($N193,Capa!$A:$AE,BC$5,0)="",0,VLOOKUP($N193,Capa!$A:$AE,BC$5,0)),0),IF(ISERROR(1/VLOOKUP($N193,Capa!$A:$AE,BC$5,0)),0,1/VLOOKUP($N193,Capa!$A:$AE,BC$5,0))))</f>
        <v/>
      </c>
      <c r="BD193" s="118" t="str">
        <f>IF(BD$6="","",IF(BD$3="Maior",IFERROR(IF(VLOOKUP($N193,Capa!$A:$AE,BD$5,0)="",0,VLOOKUP($N193,Capa!$A:$AE,BD$5,0)),0),IF(ISERROR(1/VLOOKUP($N193,Capa!$A:$AE,BD$5,0)),0,1/VLOOKUP($N193,Capa!$A:$AE,BD$5,0))))</f>
        <v/>
      </c>
      <c r="BE193" s="118" t="str">
        <f>IF(BE$6="","",IF(BE$3="Maior",IFERROR(IF(VLOOKUP($N193,Capa!$A:$AE,BE$5,0)="",0,VLOOKUP($N193,Capa!$A:$AE,BE$5,0)),0),IF(ISERROR(1/VLOOKUP($N193,Capa!$A:$AE,BE$5,0)),0,1/VLOOKUP($N193,Capa!$A:$AE,BE$5,0))))</f>
        <v/>
      </c>
      <c r="BF193" s="118" t="str">
        <f>IF(BF$6="","",IF(BF$3="Maior",IFERROR(IF(VLOOKUP($N193,Capa!$A:$AE,BF$5,0)="",0,VLOOKUP($N193,Capa!$A:$AE,BF$5,0)),0),IF(ISERROR(1/VLOOKUP($N193,Capa!$A:$AE,BF$5,0)),0,1/VLOOKUP($N193,Capa!$A:$AE,BF$5,0))))</f>
        <v/>
      </c>
      <c r="BG193" s="118" t="str">
        <f>IF(BG$6="","",IF(BG$3="Maior",IFERROR(IF(VLOOKUP($N193,Capa!$A:$AE,BG$5,0)="",0,VLOOKUP($N193,Capa!$A:$AE,BG$5,0)),0),IF(ISERROR(1/VLOOKUP($N193,Capa!$A:$AE,BG$5,0)),0,1/VLOOKUP($N193,Capa!$A:$AE,BG$5,0))))</f>
        <v/>
      </c>
      <c r="BH193" s="118" t="str">
        <f>IF(BH$6="","",IF(BH$3="Maior",IFERROR(IF(VLOOKUP($N193,Capa!$A:$AE,BH$5,0)="",0,VLOOKUP($N193,Capa!$A:$AE,BH$5,0)),0),IF(ISERROR(1/VLOOKUP($N193,Capa!$A:$AE,BH$5,0)),0,1/VLOOKUP($N193,Capa!$A:$AE,BH$5,0))))</f>
        <v/>
      </c>
      <c r="BI193" s="118" t="str">
        <f>IF(BI$6="","",IF(BI$3="Maior",IFERROR(IF(VLOOKUP($N193,Capa!$A:$AE,BI$5,0)="",0,VLOOKUP($N193,Capa!$A:$AE,BI$5,0)),0),IF(ISERROR(1/VLOOKUP($N193,Capa!$A:$AE,BI$5,0)),0,1/VLOOKUP($N193,Capa!$A:$AE,BI$5,0))))</f>
        <v/>
      </c>
      <c r="BJ193" s="118" t="str">
        <f>IF(BJ$6="","",IF(BJ$3="Maior",IFERROR(IF(VLOOKUP($N193,Capa!$A:$AE,BJ$5,0)="",0,VLOOKUP($N193,Capa!$A:$AE,BJ$5,0)),0),IF(ISERROR(1/VLOOKUP($N193,Capa!$A:$AE,BJ$5,0)),0,1/VLOOKUP($N193,Capa!$A:$AE,BJ$5,0))))</f>
        <v/>
      </c>
      <c r="BK193" s="118" t="str">
        <f>IF(BK$6="","",IF(BK$3="Maior",IFERROR(IF(VLOOKUP($N193,Capa!$A:$AE,BK$5,0)="",0,VLOOKUP($N193,Capa!$A:$AE,BK$5,0)),0),IF(ISERROR(1/VLOOKUP($N193,Capa!$A:$AE,BK$5,0)),0,1/VLOOKUP($N193,Capa!$A:$AE,BK$5,0))))</f>
        <v/>
      </c>
      <c r="BL193" s="118" t="str">
        <f>IF(BL$6="","",IF(BL$3="Maior",IFERROR(IF(VLOOKUP($N193,Capa!$A:$AE,BL$5,0)="",0,VLOOKUP($N193,Capa!$A:$AE,BL$5,0)),0),IF(ISERROR(1/VLOOKUP($N193,Capa!$A:$AE,BL$5,0)),0,1/VLOOKUP($N193,Capa!$A:$AE,BL$5,0))))</f>
        <v/>
      </c>
      <c r="BM193" s="118" t="str">
        <f>IF(BM$6="","",IF(BM$3="Maior",IFERROR(IF(VLOOKUP($N193,Capa!$A:$AE,BM$5,0)="",0,VLOOKUP($N193,Capa!$A:$AE,BM$5,0)),0),IF(ISERROR(1/VLOOKUP($N193,Capa!$A:$AE,BM$5,0)),0,1/VLOOKUP($N193,Capa!$A:$AE,BM$5,0))))</f>
        <v/>
      </c>
      <c r="BN193" s="118" t="str">
        <f>IF(BN$6="","",IF(BN$3="Maior",IFERROR(IF(VLOOKUP($N193,Capa!$A:$AE,BN$5,0)="",0,VLOOKUP($N193,Capa!$A:$AE,BN$5,0)),0),IF(ISERROR(1/VLOOKUP($N193,Capa!$A:$AE,BN$5,0)),0,1/VLOOKUP($N193,Capa!$A:$AE,BN$5,0))))</f>
        <v/>
      </c>
      <c r="BO193" s="92"/>
    </row>
    <row r="194">
      <c r="G194" s="11"/>
      <c r="H194" s="8">
        <v>188.0</v>
      </c>
      <c r="I194" s="110" t="str">
        <f t="shared" si="6"/>
        <v>SMFT3</v>
      </c>
      <c r="J194" s="111" t="str">
        <f>VLOOKUP(left(I194,4),Setor!A:D,3,0)&amp;" | "&amp;VLOOKUP(left(I194,4),Setor!A:D,4,0)</f>
        <v>Consumo Cíclico | Viagens e Lazer</v>
      </c>
      <c r="K194" s="112">
        <f t="shared" si="7"/>
        <v>22897749.17</v>
      </c>
      <c r="L194" s="11"/>
      <c r="M194" s="11"/>
      <c r="N194" s="10" t="s">
        <v>240</v>
      </c>
      <c r="O194" s="113">
        <f t="shared" si="8"/>
        <v>342.0053</v>
      </c>
      <c r="P194" s="114">
        <f>VLOOKUP(N194,'Dados StatusInvest'!A:Z,26,0)</f>
        <v>11596233.96</v>
      </c>
      <c r="Q194" s="115">
        <f t="shared" si="9"/>
        <v>53.0053</v>
      </c>
      <c r="R194" s="116">
        <f t="shared" ref="R194:AO194" si="197">IF(AQ194="","", RANK(AQ194,AQ$7:AQ$503,0))</f>
        <v>70</v>
      </c>
      <c r="S194" s="115">
        <f t="shared" si="197"/>
        <v>219</v>
      </c>
      <c r="T194" s="115" t="str">
        <f t="shared" si="197"/>
        <v/>
      </c>
      <c r="U194" s="115" t="str">
        <f t="shared" si="197"/>
        <v/>
      </c>
      <c r="V194" s="115" t="str">
        <f t="shared" si="197"/>
        <v/>
      </c>
      <c r="W194" s="115" t="str">
        <f t="shared" si="197"/>
        <v/>
      </c>
      <c r="X194" s="115" t="str">
        <f t="shared" si="197"/>
        <v/>
      </c>
      <c r="Y194" s="115" t="str">
        <f t="shared" si="197"/>
        <v/>
      </c>
      <c r="Z194" s="115" t="str">
        <f t="shared" si="197"/>
        <v/>
      </c>
      <c r="AA194" s="115" t="str">
        <f t="shared" si="197"/>
        <v/>
      </c>
      <c r="AB194" s="115" t="str">
        <f t="shared" si="197"/>
        <v/>
      </c>
      <c r="AC194" s="115" t="str">
        <f t="shared" si="197"/>
        <v/>
      </c>
      <c r="AD194" s="115" t="str">
        <f t="shared" si="197"/>
        <v/>
      </c>
      <c r="AE194" s="115" t="str">
        <f t="shared" si="197"/>
        <v/>
      </c>
      <c r="AF194" s="115" t="str">
        <f t="shared" si="197"/>
        <v/>
      </c>
      <c r="AG194" s="115" t="str">
        <f t="shared" si="197"/>
        <v/>
      </c>
      <c r="AH194" s="115" t="str">
        <f t="shared" si="197"/>
        <v/>
      </c>
      <c r="AI194" s="115" t="str">
        <f t="shared" si="197"/>
        <v/>
      </c>
      <c r="AJ194" s="115" t="str">
        <f t="shared" si="197"/>
        <v/>
      </c>
      <c r="AK194" s="115" t="str">
        <f t="shared" si="197"/>
        <v/>
      </c>
      <c r="AL194" s="115" t="str">
        <f t="shared" si="197"/>
        <v/>
      </c>
      <c r="AM194" s="115" t="str">
        <f t="shared" si="197"/>
        <v/>
      </c>
      <c r="AN194" s="115" t="str">
        <f t="shared" si="197"/>
        <v/>
      </c>
      <c r="AO194" s="115" t="str">
        <f t="shared" si="197"/>
        <v/>
      </c>
      <c r="AP194" s="117">
        <f>IF(AP$6="","",IF(AP$3="Maior",IFERROR(IF(VLOOKUP($N194,Capa!$A:$AE,AP$5,0)="",0,VLOOKUP($N194,Capa!$A:$AE,AP$5,0)),0),IF(ISERROR(1/VLOOKUP($N194,Capa!$A:$AE,AP$5,0)),0,1/VLOOKUP($N194,Capa!$A:$AE,AP$5,0))))</f>
        <v>0.2407669469</v>
      </c>
      <c r="AQ194" s="118">
        <f>IF(AQ$6="","",IF(AQ$3="Maior",IFERROR(IF(VLOOKUP($N194,Capa!$A:$AE,AQ$5,0)="",0,VLOOKUP($N194,Capa!$A:$AE,AQ$5,0)),0),IF(ISERROR(1/VLOOKUP($N194,Capa!$A:$AE,AQ$5,0)),0,1/VLOOKUP($N194,Capa!$A:$AE,AQ$5,0))))</f>
        <v>21.45</v>
      </c>
      <c r="AR194" s="118">
        <f>IF(AR$6="","",IF(AR$3="Maior",IFERROR(IF(VLOOKUP($N194,Capa!$A:$AE,AR$5,0)="",0,VLOOKUP($N194,Capa!$A:$AE,AR$5,0)),0),IF(ISERROR(1/VLOOKUP($N194,Capa!$A:$AE,AR$5,0)),0,1/VLOOKUP($N194,Capa!$A:$AE,AR$5,0))))</f>
        <v>0</v>
      </c>
      <c r="AS194" s="118" t="str">
        <f>IF(AS$6="","",IF(AS$3="Maior",IFERROR(IF(VLOOKUP($N194,Capa!$A:$AE,AS$5,0)="",0,VLOOKUP($N194,Capa!$A:$AE,AS$5,0)),0),IF(ISERROR(1/VLOOKUP($N194,Capa!$A:$AE,AS$5,0)),0,1/VLOOKUP($N194,Capa!$A:$AE,AS$5,0))))</f>
        <v/>
      </c>
      <c r="AT194" s="118" t="str">
        <f>IF(AT$6="","",IF(AT$3="Maior",IFERROR(IF(VLOOKUP($N194,Capa!$A:$AE,AT$5,0)="",0,VLOOKUP($N194,Capa!$A:$AE,AT$5,0)),0),IF(ISERROR(1/VLOOKUP($N194,Capa!$A:$AE,AT$5,0)),0,1/VLOOKUP($N194,Capa!$A:$AE,AT$5,0))))</f>
        <v/>
      </c>
      <c r="AU194" s="118" t="str">
        <f>IF(AU$6="","",IF(AU$3="Maior",IFERROR(IF(VLOOKUP($N194,Capa!$A:$AE,AU$5,0)="",0,VLOOKUP($N194,Capa!$A:$AE,AU$5,0)),0),IF(ISERROR(1/VLOOKUP($N194,Capa!$A:$AE,AU$5,0)),0,1/VLOOKUP($N194,Capa!$A:$AE,AU$5,0))))</f>
        <v/>
      </c>
      <c r="AV194" s="118" t="str">
        <f>IF(AV$6="","",IF(AV$3="Maior",IFERROR(IF(VLOOKUP($N194,Capa!$A:$AE,AV$5,0)="",0,VLOOKUP($N194,Capa!$A:$AE,AV$5,0)),0),IF(ISERROR(1/VLOOKUP($N194,Capa!$A:$AE,AV$5,0)),0,1/VLOOKUP($N194,Capa!$A:$AE,AV$5,0))))</f>
        <v/>
      </c>
      <c r="AW194" s="118" t="str">
        <f>IF(AW$6="","",IF(AW$3="Maior",IFERROR(IF(VLOOKUP($N194,Capa!$A:$AE,AW$5,0)="",0,VLOOKUP($N194,Capa!$A:$AE,AW$5,0)),0),IF(ISERROR(1/VLOOKUP($N194,Capa!$A:$AE,AW$5,0)),0,1/VLOOKUP($N194,Capa!$A:$AE,AW$5,0))))</f>
        <v/>
      </c>
      <c r="AX194" s="118" t="str">
        <f>IF(AX$6="","",IF(AX$3="Maior",IFERROR(IF(VLOOKUP($N194,Capa!$A:$AE,AX$5,0)="",0,VLOOKUP($N194,Capa!$A:$AE,AX$5,0)),0),IF(ISERROR(1/VLOOKUP($N194,Capa!$A:$AE,AX$5,0)),0,1/VLOOKUP($N194,Capa!$A:$AE,AX$5,0))))</f>
        <v/>
      </c>
      <c r="AY194" s="118" t="str">
        <f>IF(AY$6="","",IF(AY$3="Maior",IFERROR(IF(VLOOKUP($N194,Capa!$A:$AE,AY$5,0)="",0,VLOOKUP($N194,Capa!$A:$AE,AY$5,0)),0),IF(ISERROR(1/VLOOKUP($N194,Capa!$A:$AE,AY$5,0)),0,1/VLOOKUP($N194,Capa!$A:$AE,AY$5,0))))</f>
        <v/>
      </c>
      <c r="AZ194" s="118" t="str">
        <f>IF(AZ$6="","",IF(AZ$3="Maior",IFERROR(IF(VLOOKUP($N194,Capa!$A:$AE,AZ$5,0)="",0,VLOOKUP($N194,Capa!$A:$AE,AZ$5,0)),0),IF(ISERROR(1/VLOOKUP($N194,Capa!$A:$AE,AZ$5,0)),0,1/VLOOKUP($N194,Capa!$A:$AE,AZ$5,0))))</f>
        <v/>
      </c>
      <c r="BA194" s="118" t="str">
        <f>IF(BA$6="","",IF(BA$3="Maior",IFERROR(IF(VLOOKUP($N194,Capa!$A:$AE,BA$5,0)="",0,VLOOKUP($N194,Capa!$A:$AE,BA$5,0)),0),IF(ISERROR(1/VLOOKUP($N194,Capa!$A:$AE,BA$5,0)),0,1/VLOOKUP($N194,Capa!$A:$AE,BA$5,0))))</f>
        <v/>
      </c>
      <c r="BB194" s="118" t="str">
        <f>IF(BB$6="","",IF(BB$3="Maior",IFERROR(IF(VLOOKUP($N194,Capa!$A:$AE,BB$5,0)="",0,VLOOKUP($N194,Capa!$A:$AE,BB$5,0)),0),IF(ISERROR(1/VLOOKUP($N194,Capa!$A:$AE,BB$5,0)),0,1/VLOOKUP($N194,Capa!$A:$AE,BB$5,0))))</f>
        <v/>
      </c>
      <c r="BC194" s="118" t="str">
        <f>IF(BC$6="","",IF(BC$3="Maior",IFERROR(IF(VLOOKUP($N194,Capa!$A:$AE,BC$5,0)="",0,VLOOKUP($N194,Capa!$A:$AE,BC$5,0)),0),IF(ISERROR(1/VLOOKUP($N194,Capa!$A:$AE,BC$5,0)),0,1/VLOOKUP($N194,Capa!$A:$AE,BC$5,0))))</f>
        <v/>
      </c>
      <c r="BD194" s="118" t="str">
        <f>IF(BD$6="","",IF(BD$3="Maior",IFERROR(IF(VLOOKUP($N194,Capa!$A:$AE,BD$5,0)="",0,VLOOKUP($N194,Capa!$A:$AE,BD$5,0)),0),IF(ISERROR(1/VLOOKUP($N194,Capa!$A:$AE,BD$5,0)),0,1/VLOOKUP($N194,Capa!$A:$AE,BD$5,0))))</f>
        <v/>
      </c>
      <c r="BE194" s="118" t="str">
        <f>IF(BE$6="","",IF(BE$3="Maior",IFERROR(IF(VLOOKUP($N194,Capa!$A:$AE,BE$5,0)="",0,VLOOKUP($N194,Capa!$A:$AE,BE$5,0)),0),IF(ISERROR(1/VLOOKUP($N194,Capa!$A:$AE,BE$5,0)),0,1/VLOOKUP($N194,Capa!$A:$AE,BE$5,0))))</f>
        <v/>
      </c>
      <c r="BF194" s="118" t="str">
        <f>IF(BF$6="","",IF(BF$3="Maior",IFERROR(IF(VLOOKUP($N194,Capa!$A:$AE,BF$5,0)="",0,VLOOKUP($N194,Capa!$A:$AE,BF$5,0)),0),IF(ISERROR(1/VLOOKUP($N194,Capa!$A:$AE,BF$5,0)),0,1/VLOOKUP($N194,Capa!$A:$AE,BF$5,0))))</f>
        <v/>
      </c>
      <c r="BG194" s="118" t="str">
        <f>IF(BG$6="","",IF(BG$3="Maior",IFERROR(IF(VLOOKUP($N194,Capa!$A:$AE,BG$5,0)="",0,VLOOKUP($N194,Capa!$A:$AE,BG$5,0)),0),IF(ISERROR(1/VLOOKUP($N194,Capa!$A:$AE,BG$5,0)),0,1/VLOOKUP($N194,Capa!$A:$AE,BG$5,0))))</f>
        <v/>
      </c>
      <c r="BH194" s="118" t="str">
        <f>IF(BH$6="","",IF(BH$3="Maior",IFERROR(IF(VLOOKUP($N194,Capa!$A:$AE,BH$5,0)="",0,VLOOKUP($N194,Capa!$A:$AE,BH$5,0)),0),IF(ISERROR(1/VLOOKUP($N194,Capa!$A:$AE,BH$5,0)),0,1/VLOOKUP($N194,Capa!$A:$AE,BH$5,0))))</f>
        <v/>
      </c>
      <c r="BI194" s="118" t="str">
        <f>IF(BI$6="","",IF(BI$3="Maior",IFERROR(IF(VLOOKUP($N194,Capa!$A:$AE,BI$5,0)="",0,VLOOKUP($N194,Capa!$A:$AE,BI$5,0)),0),IF(ISERROR(1/VLOOKUP($N194,Capa!$A:$AE,BI$5,0)),0,1/VLOOKUP($N194,Capa!$A:$AE,BI$5,0))))</f>
        <v/>
      </c>
      <c r="BJ194" s="118" t="str">
        <f>IF(BJ$6="","",IF(BJ$3="Maior",IFERROR(IF(VLOOKUP($N194,Capa!$A:$AE,BJ$5,0)="",0,VLOOKUP($N194,Capa!$A:$AE,BJ$5,0)),0),IF(ISERROR(1/VLOOKUP($N194,Capa!$A:$AE,BJ$5,0)),0,1/VLOOKUP($N194,Capa!$A:$AE,BJ$5,0))))</f>
        <v/>
      </c>
      <c r="BK194" s="118" t="str">
        <f>IF(BK$6="","",IF(BK$3="Maior",IFERROR(IF(VLOOKUP($N194,Capa!$A:$AE,BK$5,0)="",0,VLOOKUP($N194,Capa!$A:$AE,BK$5,0)),0),IF(ISERROR(1/VLOOKUP($N194,Capa!$A:$AE,BK$5,0)),0,1/VLOOKUP($N194,Capa!$A:$AE,BK$5,0))))</f>
        <v/>
      </c>
      <c r="BL194" s="118" t="str">
        <f>IF(BL$6="","",IF(BL$3="Maior",IFERROR(IF(VLOOKUP($N194,Capa!$A:$AE,BL$5,0)="",0,VLOOKUP($N194,Capa!$A:$AE,BL$5,0)),0),IF(ISERROR(1/VLOOKUP($N194,Capa!$A:$AE,BL$5,0)),0,1/VLOOKUP($N194,Capa!$A:$AE,BL$5,0))))</f>
        <v/>
      </c>
      <c r="BM194" s="118" t="str">
        <f>IF(BM$6="","",IF(BM$3="Maior",IFERROR(IF(VLOOKUP($N194,Capa!$A:$AE,BM$5,0)="",0,VLOOKUP($N194,Capa!$A:$AE,BM$5,0)),0),IF(ISERROR(1/VLOOKUP($N194,Capa!$A:$AE,BM$5,0)),0,1/VLOOKUP($N194,Capa!$A:$AE,BM$5,0))))</f>
        <v/>
      </c>
      <c r="BN194" s="118" t="str">
        <f>IF(BN$6="","",IF(BN$3="Maior",IFERROR(IF(VLOOKUP($N194,Capa!$A:$AE,BN$5,0)="",0,VLOOKUP($N194,Capa!$A:$AE,BN$5,0)),0),IF(ISERROR(1/VLOOKUP($N194,Capa!$A:$AE,BN$5,0)),0,1/VLOOKUP($N194,Capa!$A:$AE,BN$5,0))))</f>
        <v/>
      </c>
      <c r="BO194" s="92"/>
    </row>
    <row r="195">
      <c r="G195" s="11"/>
      <c r="H195" s="8">
        <v>189.0</v>
      </c>
      <c r="I195" s="110" t="str">
        <f t="shared" si="6"/>
        <v>YDUQ3</v>
      </c>
      <c r="J195" s="111" t="str">
        <f>VLOOKUP(left(I195,4),Setor!A:D,3,0)&amp;" | "&amp;VLOOKUP(left(I195,4),Setor!A:D,4,0)</f>
        <v>Consumo Cíclico | Diversos</v>
      </c>
      <c r="K195" s="112">
        <f t="shared" si="7"/>
        <v>58460596.33</v>
      </c>
      <c r="L195" s="11"/>
      <c r="M195" s="11"/>
      <c r="N195" s="10" t="s">
        <v>241</v>
      </c>
      <c r="O195" s="113">
        <f t="shared" si="8"/>
        <v>960.0179</v>
      </c>
      <c r="P195" s="114">
        <f>VLOOKUP(N195,'Dados StatusInvest'!A:Z,26,0)</f>
        <v>16358945.33</v>
      </c>
      <c r="Q195" s="115">
        <f t="shared" si="9"/>
        <v>179.0179</v>
      </c>
      <c r="R195" s="116">
        <f t="shared" ref="R195:AO195" si="198">IF(AQ195="","", RANK(AQ195,AQ$7:AQ$503,0))</f>
        <v>301</v>
      </c>
      <c r="S195" s="115">
        <f t="shared" si="198"/>
        <v>480</v>
      </c>
      <c r="T195" s="115" t="str">
        <f t="shared" si="198"/>
        <v/>
      </c>
      <c r="U195" s="115" t="str">
        <f t="shared" si="198"/>
        <v/>
      </c>
      <c r="V195" s="115" t="str">
        <f t="shared" si="198"/>
        <v/>
      </c>
      <c r="W195" s="115" t="str">
        <f t="shared" si="198"/>
        <v/>
      </c>
      <c r="X195" s="115" t="str">
        <f t="shared" si="198"/>
        <v/>
      </c>
      <c r="Y195" s="115" t="str">
        <f t="shared" si="198"/>
        <v/>
      </c>
      <c r="Z195" s="115" t="str">
        <f t="shared" si="198"/>
        <v/>
      </c>
      <c r="AA195" s="115" t="str">
        <f t="shared" si="198"/>
        <v/>
      </c>
      <c r="AB195" s="115" t="str">
        <f t="shared" si="198"/>
        <v/>
      </c>
      <c r="AC195" s="115" t="str">
        <f t="shared" si="198"/>
        <v/>
      </c>
      <c r="AD195" s="115" t="str">
        <f t="shared" si="198"/>
        <v/>
      </c>
      <c r="AE195" s="115" t="str">
        <f t="shared" si="198"/>
        <v/>
      </c>
      <c r="AF195" s="115" t="str">
        <f t="shared" si="198"/>
        <v/>
      </c>
      <c r="AG195" s="115" t="str">
        <f t="shared" si="198"/>
        <v/>
      </c>
      <c r="AH195" s="115" t="str">
        <f t="shared" si="198"/>
        <v/>
      </c>
      <c r="AI195" s="115" t="str">
        <f t="shared" si="198"/>
        <v/>
      </c>
      <c r="AJ195" s="115" t="str">
        <f t="shared" si="198"/>
        <v/>
      </c>
      <c r="AK195" s="115" t="str">
        <f t="shared" si="198"/>
        <v/>
      </c>
      <c r="AL195" s="115" t="str">
        <f t="shared" si="198"/>
        <v/>
      </c>
      <c r="AM195" s="115" t="str">
        <f t="shared" si="198"/>
        <v/>
      </c>
      <c r="AN195" s="115" t="str">
        <f t="shared" si="198"/>
        <v/>
      </c>
      <c r="AO195" s="115" t="str">
        <f t="shared" si="198"/>
        <v/>
      </c>
      <c r="AP195" s="117">
        <f>IF(AP$6="","",IF(AP$3="Maior",IFERROR(IF(VLOOKUP($N195,Capa!$A:$AE,AP$5,0)="",0,VLOOKUP($N195,Capa!$A:$AE,AP$5,0)),0),IF(ISERROR(1/VLOOKUP($N195,Capa!$A:$AE,AP$5,0)),0,1/VLOOKUP($N195,Capa!$A:$AE,AP$5,0))))</f>
        <v>0.1173693131</v>
      </c>
      <c r="AQ195" s="118">
        <f>IF(AQ$6="","",IF(AQ$3="Maior",IFERROR(IF(VLOOKUP($N195,Capa!$A:$AE,AQ$5,0)="",0,VLOOKUP($N195,Capa!$A:$AE,AQ$5,0)),0),IF(ISERROR(1/VLOOKUP($N195,Capa!$A:$AE,AQ$5,0)),0,1/VLOOKUP($N195,Capa!$A:$AE,AQ$5,0))))</f>
        <v>4.88</v>
      </c>
      <c r="AR195" s="118">
        <f>IF(AR$6="","",IF(AR$3="Maior",IFERROR(IF(VLOOKUP($N195,Capa!$A:$AE,AR$5,0)="",0,VLOOKUP($N195,Capa!$A:$AE,AR$5,0)),0),IF(ISERROR(1/VLOOKUP($N195,Capa!$A:$AE,AR$5,0)),0,1/VLOOKUP($N195,Capa!$A:$AE,AR$5,0))))</f>
        <v>-14.42</v>
      </c>
      <c r="AS195" s="118" t="str">
        <f>IF(AS$6="","",IF(AS$3="Maior",IFERROR(IF(VLOOKUP($N195,Capa!$A:$AE,AS$5,0)="",0,VLOOKUP($N195,Capa!$A:$AE,AS$5,0)),0),IF(ISERROR(1/VLOOKUP($N195,Capa!$A:$AE,AS$5,0)),0,1/VLOOKUP($N195,Capa!$A:$AE,AS$5,0))))</f>
        <v/>
      </c>
      <c r="AT195" s="118" t="str">
        <f>IF(AT$6="","",IF(AT$3="Maior",IFERROR(IF(VLOOKUP($N195,Capa!$A:$AE,AT$5,0)="",0,VLOOKUP($N195,Capa!$A:$AE,AT$5,0)),0),IF(ISERROR(1/VLOOKUP($N195,Capa!$A:$AE,AT$5,0)),0,1/VLOOKUP($N195,Capa!$A:$AE,AT$5,0))))</f>
        <v/>
      </c>
      <c r="AU195" s="118" t="str">
        <f>IF(AU$6="","",IF(AU$3="Maior",IFERROR(IF(VLOOKUP($N195,Capa!$A:$AE,AU$5,0)="",0,VLOOKUP($N195,Capa!$A:$AE,AU$5,0)),0),IF(ISERROR(1/VLOOKUP($N195,Capa!$A:$AE,AU$5,0)),0,1/VLOOKUP($N195,Capa!$A:$AE,AU$5,0))))</f>
        <v/>
      </c>
      <c r="AV195" s="118" t="str">
        <f>IF(AV$6="","",IF(AV$3="Maior",IFERROR(IF(VLOOKUP($N195,Capa!$A:$AE,AV$5,0)="",0,VLOOKUP($N195,Capa!$A:$AE,AV$5,0)),0),IF(ISERROR(1/VLOOKUP($N195,Capa!$A:$AE,AV$5,0)),0,1/VLOOKUP($N195,Capa!$A:$AE,AV$5,0))))</f>
        <v/>
      </c>
      <c r="AW195" s="118" t="str">
        <f>IF(AW$6="","",IF(AW$3="Maior",IFERROR(IF(VLOOKUP($N195,Capa!$A:$AE,AW$5,0)="",0,VLOOKUP($N195,Capa!$A:$AE,AW$5,0)),0),IF(ISERROR(1/VLOOKUP($N195,Capa!$A:$AE,AW$5,0)),0,1/VLOOKUP($N195,Capa!$A:$AE,AW$5,0))))</f>
        <v/>
      </c>
      <c r="AX195" s="118" t="str">
        <f>IF(AX$6="","",IF(AX$3="Maior",IFERROR(IF(VLOOKUP($N195,Capa!$A:$AE,AX$5,0)="",0,VLOOKUP($N195,Capa!$A:$AE,AX$5,0)),0),IF(ISERROR(1/VLOOKUP($N195,Capa!$A:$AE,AX$5,0)),0,1/VLOOKUP($N195,Capa!$A:$AE,AX$5,0))))</f>
        <v/>
      </c>
      <c r="AY195" s="118" t="str">
        <f>IF(AY$6="","",IF(AY$3="Maior",IFERROR(IF(VLOOKUP($N195,Capa!$A:$AE,AY$5,0)="",0,VLOOKUP($N195,Capa!$A:$AE,AY$5,0)),0),IF(ISERROR(1/VLOOKUP($N195,Capa!$A:$AE,AY$5,0)),0,1/VLOOKUP($N195,Capa!$A:$AE,AY$5,0))))</f>
        <v/>
      </c>
      <c r="AZ195" s="118" t="str">
        <f>IF(AZ$6="","",IF(AZ$3="Maior",IFERROR(IF(VLOOKUP($N195,Capa!$A:$AE,AZ$5,0)="",0,VLOOKUP($N195,Capa!$A:$AE,AZ$5,0)),0),IF(ISERROR(1/VLOOKUP($N195,Capa!$A:$AE,AZ$5,0)),0,1/VLOOKUP($N195,Capa!$A:$AE,AZ$5,0))))</f>
        <v/>
      </c>
      <c r="BA195" s="118" t="str">
        <f>IF(BA$6="","",IF(BA$3="Maior",IFERROR(IF(VLOOKUP($N195,Capa!$A:$AE,BA$5,0)="",0,VLOOKUP($N195,Capa!$A:$AE,BA$5,0)),0),IF(ISERROR(1/VLOOKUP($N195,Capa!$A:$AE,BA$5,0)),0,1/VLOOKUP($N195,Capa!$A:$AE,BA$5,0))))</f>
        <v/>
      </c>
      <c r="BB195" s="118" t="str">
        <f>IF(BB$6="","",IF(BB$3="Maior",IFERROR(IF(VLOOKUP($N195,Capa!$A:$AE,BB$5,0)="",0,VLOOKUP($N195,Capa!$A:$AE,BB$5,0)),0),IF(ISERROR(1/VLOOKUP($N195,Capa!$A:$AE,BB$5,0)),0,1/VLOOKUP($N195,Capa!$A:$AE,BB$5,0))))</f>
        <v/>
      </c>
      <c r="BC195" s="118" t="str">
        <f>IF(BC$6="","",IF(BC$3="Maior",IFERROR(IF(VLOOKUP($N195,Capa!$A:$AE,BC$5,0)="",0,VLOOKUP($N195,Capa!$A:$AE,BC$5,0)),0),IF(ISERROR(1/VLOOKUP($N195,Capa!$A:$AE,BC$5,0)),0,1/VLOOKUP($N195,Capa!$A:$AE,BC$5,0))))</f>
        <v/>
      </c>
      <c r="BD195" s="118" t="str">
        <f>IF(BD$6="","",IF(BD$3="Maior",IFERROR(IF(VLOOKUP($N195,Capa!$A:$AE,BD$5,0)="",0,VLOOKUP($N195,Capa!$A:$AE,BD$5,0)),0),IF(ISERROR(1/VLOOKUP($N195,Capa!$A:$AE,BD$5,0)),0,1/VLOOKUP($N195,Capa!$A:$AE,BD$5,0))))</f>
        <v/>
      </c>
      <c r="BE195" s="118" t="str">
        <f>IF(BE$6="","",IF(BE$3="Maior",IFERROR(IF(VLOOKUP($N195,Capa!$A:$AE,BE$5,0)="",0,VLOOKUP($N195,Capa!$A:$AE,BE$5,0)),0),IF(ISERROR(1/VLOOKUP($N195,Capa!$A:$AE,BE$5,0)),0,1/VLOOKUP($N195,Capa!$A:$AE,BE$5,0))))</f>
        <v/>
      </c>
      <c r="BF195" s="118" t="str">
        <f>IF(BF$6="","",IF(BF$3="Maior",IFERROR(IF(VLOOKUP($N195,Capa!$A:$AE,BF$5,0)="",0,VLOOKUP($N195,Capa!$A:$AE,BF$5,0)),0),IF(ISERROR(1/VLOOKUP($N195,Capa!$A:$AE,BF$5,0)),0,1/VLOOKUP($N195,Capa!$A:$AE,BF$5,0))))</f>
        <v/>
      </c>
      <c r="BG195" s="118" t="str">
        <f>IF(BG$6="","",IF(BG$3="Maior",IFERROR(IF(VLOOKUP($N195,Capa!$A:$AE,BG$5,0)="",0,VLOOKUP($N195,Capa!$A:$AE,BG$5,0)),0),IF(ISERROR(1/VLOOKUP($N195,Capa!$A:$AE,BG$5,0)),0,1/VLOOKUP($N195,Capa!$A:$AE,BG$5,0))))</f>
        <v/>
      </c>
      <c r="BH195" s="118" t="str">
        <f>IF(BH$6="","",IF(BH$3="Maior",IFERROR(IF(VLOOKUP($N195,Capa!$A:$AE,BH$5,0)="",0,VLOOKUP($N195,Capa!$A:$AE,BH$5,0)),0),IF(ISERROR(1/VLOOKUP($N195,Capa!$A:$AE,BH$5,0)),0,1/VLOOKUP($N195,Capa!$A:$AE,BH$5,0))))</f>
        <v/>
      </c>
      <c r="BI195" s="118" t="str">
        <f>IF(BI$6="","",IF(BI$3="Maior",IFERROR(IF(VLOOKUP($N195,Capa!$A:$AE,BI$5,0)="",0,VLOOKUP($N195,Capa!$A:$AE,BI$5,0)),0),IF(ISERROR(1/VLOOKUP($N195,Capa!$A:$AE,BI$5,0)),0,1/VLOOKUP($N195,Capa!$A:$AE,BI$5,0))))</f>
        <v/>
      </c>
      <c r="BJ195" s="118" t="str">
        <f>IF(BJ$6="","",IF(BJ$3="Maior",IFERROR(IF(VLOOKUP($N195,Capa!$A:$AE,BJ$5,0)="",0,VLOOKUP($N195,Capa!$A:$AE,BJ$5,0)),0),IF(ISERROR(1/VLOOKUP($N195,Capa!$A:$AE,BJ$5,0)),0,1/VLOOKUP($N195,Capa!$A:$AE,BJ$5,0))))</f>
        <v/>
      </c>
      <c r="BK195" s="118" t="str">
        <f>IF(BK$6="","",IF(BK$3="Maior",IFERROR(IF(VLOOKUP($N195,Capa!$A:$AE,BK$5,0)="",0,VLOOKUP($N195,Capa!$A:$AE,BK$5,0)),0),IF(ISERROR(1/VLOOKUP($N195,Capa!$A:$AE,BK$5,0)),0,1/VLOOKUP($N195,Capa!$A:$AE,BK$5,0))))</f>
        <v/>
      </c>
      <c r="BL195" s="118" t="str">
        <f>IF(BL$6="","",IF(BL$3="Maior",IFERROR(IF(VLOOKUP($N195,Capa!$A:$AE,BL$5,0)="",0,VLOOKUP($N195,Capa!$A:$AE,BL$5,0)),0),IF(ISERROR(1/VLOOKUP($N195,Capa!$A:$AE,BL$5,0)),0,1/VLOOKUP($N195,Capa!$A:$AE,BL$5,0))))</f>
        <v/>
      </c>
      <c r="BM195" s="118" t="str">
        <f>IF(BM$6="","",IF(BM$3="Maior",IFERROR(IF(VLOOKUP($N195,Capa!$A:$AE,BM$5,0)="",0,VLOOKUP($N195,Capa!$A:$AE,BM$5,0)),0),IF(ISERROR(1/VLOOKUP($N195,Capa!$A:$AE,BM$5,0)),0,1/VLOOKUP($N195,Capa!$A:$AE,BM$5,0))))</f>
        <v/>
      </c>
      <c r="BN195" s="118" t="str">
        <f>IF(BN$6="","",IF(BN$3="Maior",IFERROR(IF(VLOOKUP($N195,Capa!$A:$AE,BN$5,0)="",0,VLOOKUP($N195,Capa!$A:$AE,BN$5,0)),0),IF(ISERROR(1/VLOOKUP($N195,Capa!$A:$AE,BN$5,0)),0,1/VLOOKUP($N195,Capa!$A:$AE,BN$5,0))))</f>
        <v/>
      </c>
      <c r="BO195" s="92"/>
    </row>
    <row r="196">
      <c r="G196" s="11"/>
      <c r="H196" s="8">
        <v>190.0</v>
      </c>
      <c r="I196" s="110" t="str">
        <f t="shared" si="6"/>
        <v>OIBR3</v>
      </c>
      <c r="J196" s="111" t="str">
        <f>VLOOKUP(left(I196,4),Setor!A:D,3,0)&amp;" | "&amp;VLOOKUP(left(I196,4),Setor!A:D,4,0)</f>
        <v>Comunicações | Telecomunicações</v>
      </c>
      <c r="K196" s="112">
        <f t="shared" si="7"/>
        <v>65659213.58</v>
      </c>
      <c r="L196" s="11"/>
      <c r="M196" s="11"/>
      <c r="N196" s="10" t="s">
        <v>242</v>
      </c>
      <c r="O196" s="113">
        <f t="shared" si="8"/>
        <v>274.014</v>
      </c>
      <c r="P196" s="114">
        <f>VLOOKUP(N196,'Dados StatusInvest'!A:Z,26,0)</f>
        <v>11052346.08</v>
      </c>
      <c r="Q196" s="115">
        <f t="shared" si="9"/>
        <v>140.014</v>
      </c>
      <c r="R196" s="116">
        <f t="shared" ref="R196:AO196" si="199">IF(AQ196="","", RANK(AQ196,AQ$7:AQ$503,0))</f>
        <v>133</v>
      </c>
      <c r="S196" s="115">
        <f t="shared" si="199"/>
        <v>1</v>
      </c>
      <c r="T196" s="115" t="str">
        <f t="shared" si="199"/>
        <v/>
      </c>
      <c r="U196" s="115" t="str">
        <f t="shared" si="199"/>
        <v/>
      </c>
      <c r="V196" s="115" t="str">
        <f t="shared" si="199"/>
        <v/>
      </c>
      <c r="W196" s="115" t="str">
        <f t="shared" si="199"/>
        <v/>
      </c>
      <c r="X196" s="115" t="str">
        <f t="shared" si="199"/>
        <v/>
      </c>
      <c r="Y196" s="115" t="str">
        <f t="shared" si="199"/>
        <v/>
      </c>
      <c r="Z196" s="115" t="str">
        <f t="shared" si="199"/>
        <v/>
      </c>
      <c r="AA196" s="115" t="str">
        <f t="shared" si="199"/>
        <v/>
      </c>
      <c r="AB196" s="115" t="str">
        <f t="shared" si="199"/>
        <v/>
      </c>
      <c r="AC196" s="115" t="str">
        <f t="shared" si="199"/>
        <v/>
      </c>
      <c r="AD196" s="115" t="str">
        <f t="shared" si="199"/>
        <v/>
      </c>
      <c r="AE196" s="115" t="str">
        <f t="shared" si="199"/>
        <v/>
      </c>
      <c r="AF196" s="115" t="str">
        <f t="shared" si="199"/>
        <v/>
      </c>
      <c r="AG196" s="115" t="str">
        <f t="shared" si="199"/>
        <v/>
      </c>
      <c r="AH196" s="115" t="str">
        <f t="shared" si="199"/>
        <v/>
      </c>
      <c r="AI196" s="115" t="str">
        <f t="shared" si="199"/>
        <v/>
      </c>
      <c r="AJ196" s="115" t="str">
        <f t="shared" si="199"/>
        <v/>
      </c>
      <c r="AK196" s="115" t="str">
        <f t="shared" si="199"/>
        <v/>
      </c>
      <c r="AL196" s="115" t="str">
        <f t="shared" si="199"/>
        <v/>
      </c>
      <c r="AM196" s="115" t="str">
        <f t="shared" si="199"/>
        <v/>
      </c>
      <c r="AN196" s="115" t="str">
        <f t="shared" si="199"/>
        <v/>
      </c>
      <c r="AO196" s="115" t="str">
        <f t="shared" si="199"/>
        <v/>
      </c>
      <c r="AP196" s="117">
        <f>IF(AP$6="","",IF(AP$3="Maior",IFERROR(IF(VLOOKUP($N196,Capa!$A:$AE,AP$5,0)="",0,VLOOKUP($N196,Capa!$A:$AE,AP$5,0)),0),IF(ISERROR(1/VLOOKUP($N196,Capa!$A:$AE,AP$5,0)),0,1/VLOOKUP($N196,Capa!$A:$AE,AP$5,0))))</f>
        <v>0.1415304187</v>
      </c>
      <c r="AQ196" s="118">
        <f>IF(AQ$6="","",IF(AQ$3="Maior",IFERROR(IF(VLOOKUP($N196,Capa!$A:$AE,AQ$5,0)="",0,VLOOKUP($N196,Capa!$A:$AE,AQ$5,0)),0),IF(ISERROR(1/VLOOKUP($N196,Capa!$A:$AE,AQ$5,0)),0,1/VLOOKUP($N196,Capa!$A:$AE,AQ$5,0))))</f>
        <v>15.01</v>
      </c>
      <c r="AR196" s="118">
        <f>IF(AR$6="","",IF(AR$3="Maior",IFERROR(IF(VLOOKUP($N196,Capa!$A:$AE,AR$5,0)="",0,VLOOKUP($N196,Capa!$A:$AE,AR$5,0)),0),IF(ISERROR(1/VLOOKUP($N196,Capa!$A:$AE,AR$5,0)),0,1/VLOOKUP($N196,Capa!$A:$AE,AR$5,0))))</f>
        <v>226.57</v>
      </c>
      <c r="AS196" s="118" t="str">
        <f>IF(AS$6="","",IF(AS$3="Maior",IFERROR(IF(VLOOKUP($N196,Capa!$A:$AE,AS$5,0)="",0,VLOOKUP($N196,Capa!$A:$AE,AS$5,0)),0),IF(ISERROR(1/VLOOKUP($N196,Capa!$A:$AE,AS$5,0)),0,1/VLOOKUP($N196,Capa!$A:$AE,AS$5,0))))</f>
        <v/>
      </c>
      <c r="AT196" s="118" t="str">
        <f>IF(AT$6="","",IF(AT$3="Maior",IFERROR(IF(VLOOKUP($N196,Capa!$A:$AE,AT$5,0)="",0,VLOOKUP($N196,Capa!$A:$AE,AT$5,0)),0),IF(ISERROR(1/VLOOKUP($N196,Capa!$A:$AE,AT$5,0)),0,1/VLOOKUP($N196,Capa!$A:$AE,AT$5,0))))</f>
        <v/>
      </c>
      <c r="AU196" s="118" t="str">
        <f>IF(AU$6="","",IF(AU$3="Maior",IFERROR(IF(VLOOKUP($N196,Capa!$A:$AE,AU$5,0)="",0,VLOOKUP($N196,Capa!$A:$AE,AU$5,0)),0),IF(ISERROR(1/VLOOKUP($N196,Capa!$A:$AE,AU$5,0)),0,1/VLOOKUP($N196,Capa!$A:$AE,AU$5,0))))</f>
        <v/>
      </c>
      <c r="AV196" s="118" t="str">
        <f>IF(AV$6="","",IF(AV$3="Maior",IFERROR(IF(VLOOKUP($N196,Capa!$A:$AE,AV$5,0)="",0,VLOOKUP($N196,Capa!$A:$AE,AV$5,0)),0),IF(ISERROR(1/VLOOKUP($N196,Capa!$A:$AE,AV$5,0)),0,1/VLOOKUP($N196,Capa!$A:$AE,AV$5,0))))</f>
        <v/>
      </c>
      <c r="AW196" s="118" t="str">
        <f>IF(AW$6="","",IF(AW$3="Maior",IFERROR(IF(VLOOKUP($N196,Capa!$A:$AE,AW$5,0)="",0,VLOOKUP($N196,Capa!$A:$AE,AW$5,0)),0),IF(ISERROR(1/VLOOKUP($N196,Capa!$A:$AE,AW$5,0)),0,1/VLOOKUP($N196,Capa!$A:$AE,AW$5,0))))</f>
        <v/>
      </c>
      <c r="AX196" s="118" t="str">
        <f>IF(AX$6="","",IF(AX$3="Maior",IFERROR(IF(VLOOKUP($N196,Capa!$A:$AE,AX$5,0)="",0,VLOOKUP($N196,Capa!$A:$AE,AX$5,0)),0),IF(ISERROR(1/VLOOKUP($N196,Capa!$A:$AE,AX$5,0)),0,1/VLOOKUP($N196,Capa!$A:$AE,AX$5,0))))</f>
        <v/>
      </c>
      <c r="AY196" s="118" t="str">
        <f>IF(AY$6="","",IF(AY$3="Maior",IFERROR(IF(VLOOKUP($N196,Capa!$A:$AE,AY$5,0)="",0,VLOOKUP($N196,Capa!$A:$AE,AY$5,0)),0),IF(ISERROR(1/VLOOKUP($N196,Capa!$A:$AE,AY$5,0)),0,1/VLOOKUP($N196,Capa!$A:$AE,AY$5,0))))</f>
        <v/>
      </c>
      <c r="AZ196" s="118" t="str">
        <f>IF(AZ$6="","",IF(AZ$3="Maior",IFERROR(IF(VLOOKUP($N196,Capa!$A:$AE,AZ$5,0)="",0,VLOOKUP($N196,Capa!$A:$AE,AZ$5,0)),0),IF(ISERROR(1/VLOOKUP($N196,Capa!$A:$AE,AZ$5,0)),0,1/VLOOKUP($N196,Capa!$A:$AE,AZ$5,0))))</f>
        <v/>
      </c>
      <c r="BA196" s="118" t="str">
        <f>IF(BA$6="","",IF(BA$3="Maior",IFERROR(IF(VLOOKUP($N196,Capa!$A:$AE,BA$5,0)="",0,VLOOKUP($N196,Capa!$A:$AE,BA$5,0)),0),IF(ISERROR(1/VLOOKUP($N196,Capa!$A:$AE,BA$5,0)),0,1/VLOOKUP($N196,Capa!$A:$AE,BA$5,0))))</f>
        <v/>
      </c>
      <c r="BB196" s="118" t="str">
        <f>IF(BB$6="","",IF(BB$3="Maior",IFERROR(IF(VLOOKUP($N196,Capa!$A:$AE,BB$5,0)="",0,VLOOKUP($N196,Capa!$A:$AE,BB$5,0)),0),IF(ISERROR(1/VLOOKUP($N196,Capa!$A:$AE,BB$5,0)),0,1/VLOOKUP($N196,Capa!$A:$AE,BB$5,0))))</f>
        <v/>
      </c>
      <c r="BC196" s="118" t="str">
        <f>IF(BC$6="","",IF(BC$3="Maior",IFERROR(IF(VLOOKUP($N196,Capa!$A:$AE,BC$5,0)="",0,VLOOKUP($N196,Capa!$A:$AE,BC$5,0)),0),IF(ISERROR(1/VLOOKUP($N196,Capa!$A:$AE,BC$5,0)),0,1/VLOOKUP($N196,Capa!$A:$AE,BC$5,0))))</f>
        <v/>
      </c>
      <c r="BD196" s="118" t="str">
        <f>IF(BD$6="","",IF(BD$3="Maior",IFERROR(IF(VLOOKUP($N196,Capa!$A:$AE,BD$5,0)="",0,VLOOKUP($N196,Capa!$A:$AE,BD$5,0)),0),IF(ISERROR(1/VLOOKUP($N196,Capa!$A:$AE,BD$5,0)),0,1/VLOOKUP($N196,Capa!$A:$AE,BD$5,0))))</f>
        <v/>
      </c>
      <c r="BE196" s="118" t="str">
        <f>IF(BE$6="","",IF(BE$3="Maior",IFERROR(IF(VLOOKUP($N196,Capa!$A:$AE,BE$5,0)="",0,VLOOKUP($N196,Capa!$A:$AE,BE$5,0)),0),IF(ISERROR(1/VLOOKUP($N196,Capa!$A:$AE,BE$5,0)),0,1/VLOOKUP($N196,Capa!$A:$AE,BE$5,0))))</f>
        <v/>
      </c>
      <c r="BF196" s="118" t="str">
        <f>IF(BF$6="","",IF(BF$3="Maior",IFERROR(IF(VLOOKUP($N196,Capa!$A:$AE,BF$5,0)="",0,VLOOKUP($N196,Capa!$A:$AE,BF$5,0)),0),IF(ISERROR(1/VLOOKUP($N196,Capa!$A:$AE,BF$5,0)),0,1/VLOOKUP($N196,Capa!$A:$AE,BF$5,0))))</f>
        <v/>
      </c>
      <c r="BG196" s="118" t="str">
        <f>IF(BG$6="","",IF(BG$3="Maior",IFERROR(IF(VLOOKUP($N196,Capa!$A:$AE,BG$5,0)="",0,VLOOKUP($N196,Capa!$A:$AE,BG$5,0)),0),IF(ISERROR(1/VLOOKUP($N196,Capa!$A:$AE,BG$5,0)),0,1/VLOOKUP($N196,Capa!$A:$AE,BG$5,0))))</f>
        <v/>
      </c>
      <c r="BH196" s="118" t="str">
        <f>IF(BH$6="","",IF(BH$3="Maior",IFERROR(IF(VLOOKUP($N196,Capa!$A:$AE,BH$5,0)="",0,VLOOKUP($N196,Capa!$A:$AE,BH$5,0)),0),IF(ISERROR(1/VLOOKUP($N196,Capa!$A:$AE,BH$5,0)),0,1/VLOOKUP($N196,Capa!$A:$AE,BH$5,0))))</f>
        <v/>
      </c>
      <c r="BI196" s="118" t="str">
        <f>IF(BI$6="","",IF(BI$3="Maior",IFERROR(IF(VLOOKUP($N196,Capa!$A:$AE,BI$5,0)="",0,VLOOKUP($N196,Capa!$A:$AE,BI$5,0)),0),IF(ISERROR(1/VLOOKUP($N196,Capa!$A:$AE,BI$5,0)),0,1/VLOOKUP($N196,Capa!$A:$AE,BI$5,0))))</f>
        <v/>
      </c>
      <c r="BJ196" s="118" t="str">
        <f>IF(BJ$6="","",IF(BJ$3="Maior",IFERROR(IF(VLOOKUP($N196,Capa!$A:$AE,BJ$5,0)="",0,VLOOKUP($N196,Capa!$A:$AE,BJ$5,0)),0),IF(ISERROR(1/VLOOKUP($N196,Capa!$A:$AE,BJ$5,0)),0,1/VLOOKUP($N196,Capa!$A:$AE,BJ$5,0))))</f>
        <v/>
      </c>
      <c r="BK196" s="118" t="str">
        <f>IF(BK$6="","",IF(BK$3="Maior",IFERROR(IF(VLOOKUP($N196,Capa!$A:$AE,BK$5,0)="",0,VLOOKUP($N196,Capa!$A:$AE,BK$5,0)),0),IF(ISERROR(1/VLOOKUP($N196,Capa!$A:$AE,BK$5,0)),0,1/VLOOKUP($N196,Capa!$A:$AE,BK$5,0))))</f>
        <v/>
      </c>
      <c r="BL196" s="118" t="str">
        <f>IF(BL$6="","",IF(BL$3="Maior",IFERROR(IF(VLOOKUP($N196,Capa!$A:$AE,BL$5,0)="",0,VLOOKUP($N196,Capa!$A:$AE,BL$5,0)),0),IF(ISERROR(1/VLOOKUP($N196,Capa!$A:$AE,BL$5,0)),0,1/VLOOKUP($N196,Capa!$A:$AE,BL$5,0))))</f>
        <v/>
      </c>
      <c r="BM196" s="118" t="str">
        <f>IF(BM$6="","",IF(BM$3="Maior",IFERROR(IF(VLOOKUP($N196,Capa!$A:$AE,BM$5,0)="",0,VLOOKUP($N196,Capa!$A:$AE,BM$5,0)),0),IF(ISERROR(1/VLOOKUP($N196,Capa!$A:$AE,BM$5,0)),0,1/VLOOKUP($N196,Capa!$A:$AE,BM$5,0))))</f>
        <v/>
      </c>
      <c r="BN196" s="118" t="str">
        <f>IF(BN$6="","",IF(BN$3="Maior",IFERROR(IF(VLOOKUP($N196,Capa!$A:$AE,BN$5,0)="",0,VLOOKUP($N196,Capa!$A:$AE,BN$5,0)),0),IF(ISERROR(1/VLOOKUP($N196,Capa!$A:$AE,BN$5,0)),0,1/VLOOKUP($N196,Capa!$A:$AE,BN$5,0))))</f>
        <v/>
      </c>
      <c r="BO196" s="92"/>
    </row>
    <row r="197">
      <c r="G197" s="11"/>
      <c r="H197" s="8">
        <v>191.0</v>
      </c>
      <c r="I197" s="110" t="str">
        <f t="shared" si="6"/>
        <v>UNIP3</v>
      </c>
      <c r="J197" s="111" t="str">
        <f>VLOOKUP(left(I197,4),Setor!A:D,3,0)&amp;" | "&amp;VLOOKUP(left(I197,4),Setor!A:D,4,0)</f>
        <v>Materiais Básicos | Químicos</v>
      </c>
      <c r="K197" s="112">
        <f t="shared" si="7"/>
        <v>2199858.92</v>
      </c>
      <c r="L197" s="11"/>
      <c r="M197" s="11"/>
      <c r="N197" s="10" t="s">
        <v>243</v>
      </c>
      <c r="O197" s="113">
        <f t="shared" si="8"/>
        <v>698.0312</v>
      </c>
      <c r="P197" s="114">
        <f>VLOOKUP(N197,'Dados StatusInvest'!A:Z,26,0)</f>
        <v>10959564.08</v>
      </c>
      <c r="Q197" s="115">
        <f t="shared" si="9"/>
        <v>312.0312</v>
      </c>
      <c r="R197" s="116">
        <f t="shared" ref="R197:AO197" si="200">IF(AQ197="","", RANK(AQ197,AQ$7:AQ$503,0))</f>
        <v>167</v>
      </c>
      <c r="S197" s="115">
        <f t="shared" si="200"/>
        <v>219</v>
      </c>
      <c r="T197" s="115" t="str">
        <f t="shared" si="200"/>
        <v/>
      </c>
      <c r="U197" s="115" t="str">
        <f t="shared" si="200"/>
        <v/>
      </c>
      <c r="V197" s="115" t="str">
        <f t="shared" si="200"/>
        <v/>
      </c>
      <c r="W197" s="115" t="str">
        <f t="shared" si="200"/>
        <v/>
      </c>
      <c r="X197" s="115" t="str">
        <f t="shared" si="200"/>
        <v/>
      </c>
      <c r="Y197" s="115" t="str">
        <f t="shared" si="200"/>
        <v/>
      </c>
      <c r="Z197" s="115" t="str">
        <f t="shared" si="200"/>
        <v/>
      </c>
      <c r="AA197" s="115" t="str">
        <f t="shared" si="200"/>
        <v/>
      </c>
      <c r="AB197" s="115" t="str">
        <f t="shared" si="200"/>
        <v/>
      </c>
      <c r="AC197" s="115" t="str">
        <f t="shared" si="200"/>
        <v/>
      </c>
      <c r="AD197" s="115" t="str">
        <f t="shared" si="200"/>
        <v/>
      </c>
      <c r="AE197" s="115" t="str">
        <f t="shared" si="200"/>
        <v/>
      </c>
      <c r="AF197" s="115" t="str">
        <f t="shared" si="200"/>
        <v/>
      </c>
      <c r="AG197" s="115" t="str">
        <f t="shared" si="200"/>
        <v/>
      </c>
      <c r="AH197" s="115" t="str">
        <f t="shared" si="200"/>
        <v/>
      </c>
      <c r="AI197" s="115" t="str">
        <f t="shared" si="200"/>
        <v/>
      </c>
      <c r="AJ197" s="115" t="str">
        <f t="shared" si="200"/>
        <v/>
      </c>
      <c r="AK197" s="115" t="str">
        <f t="shared" si="200"/>
        <v/>
      </c>
      <c r="AL197" s="115" t="str">
        <f t="shared" si="200"/>
        <v/>
      </c>
      <c r="AM197" s="115" t="str">
        <f t="shared" si="200"/>
        <v/>
      </c>
      <c r="AN197" s="115" t="str">
        <f t="shared" si="200"/>
        <v/>
      </c>
      <c r="AO197" s="115" t="str">
        <f t="shared" si="200"/>
        <v/>
      </c>
      <c r="AP197" s="117">
        <f>IF(AP$6="","",IF(AP$3="Maior",IFERROR(IF(VLOOKUP($N197,Capa!$A:$AE,AP$5,0)="",0,VLOOKUP($N197,Capa!$A:$AE,AP$5,0)),0),IF(ISERROR(1/VLOOKUP($N197,Capa!$A:$AE,AP$5,0)),0,1/VLOOKUP($N197,Capa!$A:$AE,AP$5,0))))</f>
        <v>0.04852104545</v>
      </c>
      <c r="AQ197" s="118">
        <f>IF(AQ$6="","",IF(AQ$3="Maior",IFERROR(IF(VLOOKUP($N197,Capa!$A:$AE,AQ$5,0)="",0,VLOOKUP($N197,Capa!$A:$AE,AQ$5,0)),0),IF(ISERROR(1/VLOOKUP($N197,Capa!$A:$AE,AQ$5,0)),0,1/VLOOKUP($N197,Capa!$A:$AE,AQ$5,0))))</f>
        <v>13.2</v>
      </c>
      <c r="AR197" s="118">
        <f>IF(AR$6="","",IF(AR$3="Maior",IFERROR(IF(VLOOKUP($N197,Capa!$A:$AE,AR$5,0)="",0,VLOOKUP($N197,Capa!$A:$AE,AR$5,0)),0),IF(ISERROR(1/VLOOKUP($N197,Capa!$A:$AE,AR$5,0)),0,1/VLOOKUP($N197,Capa!$A:$AE,AR$5,0))))</f>
        <v>0</v>
      </c>
      <c r="AS197" s="118" t="str">
        <f>IF(AS$6="","",IF(AS$3="Maior",IFERROR(IF(VLOOKUP($N197,Capa!$A:$AE,AS$5,0)="",0,VLOOKUP($N197,Capa!$A:$AE,AS$5,0)),0),IF(ISERROR(1/VLOOKUP($N197,Capa!$A:$AE,AS$5,0)),0,1/VLOOKUP($N197,Capa!$A:$AE,AS$5,0))))</f>
        <v/>
      </c>
      <c r="AT197" s="118" t="str">
        <f>IF(AT$6="","",IF(AT$3="Maior",IFERROR(IF(VLOOKUP($N197,Capa!$A:$AE,AT$5,0)="",0,VLOOKUP($N197,Capa!$A:$AE,AT$5,0)),0),IF(ISERROR(1/VLOOKUP($N197,Capa!$A:$AE,AT$5,0)),0,1/VLOOKUP($N197,Capa!$A:$AE,AT$5,0))))</f>
        <v/>
      </c>
      <c r="AU197" s="118" t="str">
        <f>IF(AU$6="","",IF(AU$3="Maior",IFERROR(IF(VLOOKUP($N197,Capa!$A:$AE,AU$5,0)="",0,VLOOKUP($N197,Capa!$A:$AE,AU$5,0)),0),IF(ISERROR(1/VLOOKUP($N197,Capa!$A:$AE,AU$5,0)),0,1/VLOOKUP($N197,Capa!$A:$AE,AU$5,0))))</f>
        <v/>
      </c>
      <c r="AV197" s="118" t="str">
        <f>IF(AV$6="","",IF(AV$3="Maior",IFERROR(IF(VLOOKUP($N197,Capa!$A:$AE,AV$5,0)="",0,VLOOKUP($N197,Capa!$A:$AE,AV$5,0)),0),IF(ISERROR(1/VLOOKUP($N197,Capa!$A:$AE,AV$5,0)),0,1/VLOOKUP($N197,Capa!$A:$AE,AV$5,0))))</f>
        <v/>
      </c>
      <c r="AW197" s="118" t="str">
        <f>IF(AW$6="","",IF(AW$3="Maior",IFERROR(IF(VLOOKUP($N197,Capa!$A:$AE,AW$5,0)="",0,VLOOKUP($N197,Capa!$A:$AE,AW$5,0)),0),IF(ISERROR(1/VLOOKUP($N197,Capa!$A:$AE,AW$5,0)),0,1/VLOOKUP($N197,Capa!$A:$AE,AW$5,0))))</f>
        <v/>
      </c>
      <c r="AX197" s="118" t="str">
        <f>IF(AX$6="","",IF(AX$3="Maior",IFERROR(IF(VLOOKUP($N197,Capa!$A:$AE,AX$5,0)="",0,VLOOKUP($N197,Capa!$A:$AE,AX$5,0)),0),IF(ISERROR(1/VLOOKUP($N197,Capa!$A:$AE,AX$5,0)),0,1/VLOOKUP($N197,Capa!$A:$AE,AX$5,0))))</f>
        <v/>
      </c>
      <c r="AY197" s="118" t="str">
        <f>IF(AY$6="","",IF(AY$3="Maior",IFERROR(IF(VLOOKUP($N197,Capa!$A:$AE,AY$5,0)="",0,VLOOKUP($N197,Capa!$A:$AE,AY$5,0)),0),IF(ISERROR(1/VLOOKUP($N197,Capa!$A:$AE,AY$5,0)),0,1/VLOOKUP($N197,Capa!$A:$AE,AY$5,0))))</f>
        <v/>
      </c>
      <c r="AZ197" s="118" t="str">
        <f>IF(AZ$6="","",IF(AZ$3="Maior",IFERROR(IF(VLOOKUP($N197,Capa!$A:$AE,AZ$5,0)="",0,VLOOKUP($N197,Capa!$A:$AE,AZ$5,0)),0),IF(ISERROR(1/VLOOKUP($N197,Capa!$A:$AE,AZ$5,0)),0,1/VLOOKUP($N197,Capa!$A:$AE,AZ$5,0))))</f>
        <v/>
      </c>
      <c r="BA197" s="118" t="str">
        <f>IF(BA$6="","",IF(BA$3="Maior",IFERROR(IF(VLOOKUP($N197,Capa!$A:$AE,BA$5,0)="",0,VLOOKUP($N197,Capa!$A:$AE,BA$5,0)),0),IF(ISERROR(1/VLOOKUP($N197,Capa!$A:$AE,BA$5,0)),0,1/VLOOKUP($N197,Capa!$A:$AE,BA$5,0))))</f>
        <v/>
      </c>
      <c r="BB197" s="118" t="str">
        <f>IF(BB$6="","",IF(BB$3="Maior",IFERROR(IF(VLOOKUP($N197,Capa!$A:$AE,BB$5,0)="",0,VLOOKUP($N197,Capa!$A:$AE,BB$5,0)),0),IF(ISERROR(1/VLOOKUP($N197,Capa!$A:$AE,BB$5,0)),0,1/VLOOKUP($N197,Capa!$A:$AE,BB$5,0))))</f>
        <v/>
      </c>
      <c r="BC197" s="118" t="str">
        <f>IF(BC$6="","",IF(BC$3="Maior",IFERROR(IF(VLOOKUP($N197,Capa!$A:$AE,BC$5,0)="",0,VLOOKUP($N197,Capa!$A:$AE,BC$5,0)),0),IF(ISERROR(1/VLOOKUP($N197,Capa!$A:$AE,BC$5,0)),0,1/VLOOKUP($N197,Capa!$A:$AE,BC$5,0))))</f>
        <v/>
      </c>
      <c r="BD197" s="118" t="str">
        <f>IF(BD$6="","",IF(BD$3="Maior",IFERROR(IF(VLOOKUP($N197,Capa!$A:$AE,BD$5,0)="",0,VLOOKUP($N197,Capa!$A:$AE,BD$5,0)),0),IF(ISERROR(1/VLOOKUP($N197,Capa!$A:$AE,BD$5,0)),0,1/VLOOKUP($N197,Capa!$A:$AE,BD$5,0))))</f>
        <v/>
      </c>
      <c r="BE197" s="118" t="str">
        <f>IF(BE$6="","",IF(BE$3="Maior",IFERROR(IF(VLOOKUP($N197,Capa!$A:$AE,BE$5,0)="",0,VLOOKUP($N197,Capa!$A:$AE,BE$5,0)),0),IF(ISERROR(1/VLOOKUP($N197,Capa!$A:$AE,BE$5,0)),0,1/VLOOKUP($N197,Capa!$A:$AE,BE$5,0))))</f>
        <v/>
      </c>
      <c r="BF197" s="118" t="str">
        <f>IF(BF$6="","",IF(BF$3="Maior",IFERROR(IF(VLOOKUP($N197,Capa!$A:$AE,BF$5,0)="",0,VLOOKUP($N197,Capa!$A:$AE,BF$5,0)),0),IF(ISERROR(1/VLOOKUP($N197,Capa!$A:$AE,BF$5,0)),0,1/VLOOKUP($N197,Capa!$A:$AE,BF$5,0))))</f>
        <v/>
      </c>
      <c r="BG197" s="118" t="str">
        <f>IF(BG$6="","",IF(BG$3="Maior",IFERROR(IF(VLOOKUP($N197,Capa!$A:$AE,BG$5,0)="",0,VLOOKUP($N197,Capa!$A:$AE,BG$5,0)),0),IF(ISERROR(1/VLOOKUP($N197,Capa!$A:$AE,BG$5,0)),0,1/VLOOKUP($N197,Capa!$A:$AE,BG$5,0))))</f>
        <v/>
      </c>
      <c r="BH197" s="118" t="str">
        <f>IF(BH$6="","",IF(BH$3="Maior",IFERROR(IF(VLOOKUP($N197,Capa!$A:$AE,BH$5,0)="",0,VLOOKUP($N197,Capa!$A:$AE,BH$5,0)),0),IF(ISERROR(1/VLOOKUP($N197,Capa!$A:$AE,BH$5,0)),0,1/VLOOKUP($N197,Capa!$A:$AE,BH$5,0))))</f>
        <v/>
      </c>
      <c r="BI197" s="118" t="str">
        <f>IF(BI$6="","",IF(BI$3="Maior",IFERROR(IF(VLOOKUP($N197,Capa!$A:$AE,BI$5,0)="",0,VLOOKUP($N197,Capa!$A:$AE,BI$5,0)),0),IF(ISERROR(1/VLOOKUP($N197,Capa!$A:$AE,BI$5,0)),0,1/VLOOKUP($N197,Capa!$A:$AE,BI$5,0))))</f>
        <v/>
      </c>
      <c r="BJ197" s="118" t="str">
        <f>IF(BJ$6="","",IF(BJ$3="Maior",IFERROR(IF(VLOOKUP($N197,Capa!$A:$AE,BJ$5,0)="",0,VLOOKUP($N197,Capa!$A:$AE,BJ$5,0)),0),IF(ISERROR(1/VLOOKUP($N197,Capa!$A:$AE,BJ$5,0)),0,1/VLOOKUP($N197,Capa!$A:$AE,BJ$5,0))))</f>
        <v/>
      </c>
      <c r="BK197" s="118" t="str">
        <f>IF(BK$6="","",IF(BK$3="Maior",IFERROR(IF(VLOOKUP($N197,Capa!$A:$AE,BK$5,0)="",0,VLOOKUP($N197,Capa!$A:$AE,BK$5,0)),0),IF(ISERROR(1/VLOOKUP($N197,Capa!$A:$AE,BK$5,0)),0,1/VLOOKUP($N197,Capa!$A:$AE,BK$5,0))))</f>
        <v/>
      </c>
      <c r="BL197" s="118" t="str">
        <f>IF(BL$6="","",IF(BL$3="Maior",IFERROR(IF(VLOOKUP($N197,Capa!$A:$AE,BL$5,0)="",0,VLOOKUP($N197,Capa!$A:$AE,BL$5,0)),0),IF(ISERROR(1/VLOOKUP($N197,Capa!$A:$AE,BL$5,0)),0,1/VLOOKUP($N197,Capa!$A:$AE,BL$5,0))))</f>
        <v/>
      </c>
      <c r="BM197" s="118" t="str">
        <f>IF(BM$6="","",IF(BM$3="Maior",IFERROR(IF(VLOOKUP($N197,Capa!$A:$AE,BM$5,0)="",0,VLOOKUP($N197,Capa!$A:$AE,BM$5,0)),0),IF(ISERROR(1/VLOOKUP($N197,Capa!$A:$AE,BM$5,0)),0,1/VLOOKUP($N197,Capa!$A:$AE,BM$5,0))))</f>
        <v/>
      </c>
      <c r="BN197" s="118" t="str">
        <f>IF(BN$6="","",IF(BN$3="Maior",IFERROR(IF(VLOOKUP($N197,Capa!$A:$AE,BN$5,0)="",0,VLOOKUP($N197,Capa!$A:$AE,BN$5,0)),0),IF(ISERROR(1/VLOOKUP($N197,Capa!$A:$AE,BN$5,0)),0,1/VLOOKUP($N197,Capa!$A:$AE,BN$5,0))))</f>
        <v/>
      </c>
      <c r="BO197" s="92"/>
    </row>
    <row r="198">
      <c r="G198" s="11"/>
      <c r="H198" s="8">
        <v>192.0</v>
      </c>
      <c r="I198" s="110" t="str">
        <f t="shared" si="6"/>
        <v>BKBR3</v>
      </c>
      <c r="J198" s="111" t="str">
        <f>VLOOKUP(left(I198,4),Setor!A:D,3,0)&amp;" | "&amp;VLOOKUP(left(I198,4),Setor!A:D,4,0)</f>
        <v>Consumo Cíclico | Hoteis e Restaurantes</v>
      </c>
      <c r="K198" s="112">
        <f t="shared" si="7"/>
        <v>25903438.63</v>
      </c>
      <c r="L198" s="11"/>
      <c r="M198" s="11"/>
      <c r="N198" s="10" t="s">
        <v>244</v>
      </c>
      <c r="O198" s="113">
        <f t="shared" si="8"/>
        <v>1037.039</v>
      </c>
      <c r="P198" s="114">
        <f>VLOOKUP(N198,'Dados StatusInvest'!A:Z,26,0)</f>
        <v>12377541.75</v>
      </c>
      <c r="Q198" s="115">
        <f t="shared" si="9"/>
        <v>390.039</v>
      </c>
      <c r="R198" s="116">
        <f t="shared" ref="R198:AO198" si="201">IF(AQ198="","", RANK(AQ198,AQ$7:AQ$503,0))</f>
        <v>428</v>
      </c>
      <c r="S198" s="115">
        <f t="shared" si="201"/>
        <v>219</v>
      </c>
      <c r="T198" s="115" t="str">
        <f t="shared" si="201"/>
        <v/>
      </c>
      <c r="U198" s="115" t="str">
        <f t="shared" si="201"/>
        <v/>
      </c>
      <c r="V198" s="115" t="str">
        <f t="shared" si="201"/>
        <v/>
      </c>
      <c r="W198" s="115" t="str">
        <f t="shared" si="201"/>
        <v/>
      </c>
      <c r="X198" s="115" t="str">
        <f t="shared" si="201"/>
        <v/>
      </c>
      <c r="Y198" s="115" t="str">
        <f t="shared" si="201"/>
        <v/>
      </c>
      <c r="Z198" s="115" t="str">
        <f t="shared" si="201"/>
        <v/>
      </c>
      <c r="AA198" s="115" t="str">
        <f t="shared" si="201"/>
        <v/>
      </c>
      <c r="AB198" s="115" t="str">
        <f t="shared" si="201"/>
        <v/>
      </c>
      <c r="AC198" s="115" t="str">
        <f t="shared" si="201"/>
        <v/>
      </c>
      <c r="AD198" s="115" t="str">
        <f t="shared" si="201"/>
        <v/>
      </c>
      <c r="AE198" s="115" t="str">
        <f t="shared" si="201"/>
        <v/>
      </c>
      <c r="AF198" s="115" t="str">
        <f t="shared" si="201"/>
        <v/>
      </c>
      <c r="AG198" s="115" t="str">
        <f t="shared" si="201"/>
        <v/>
      </c>
      <c r="AH198" s="115" t="str">
        <f t="shared" si="201"/>
        <v/>
      </c>
      <c r="AI198" s="115" t="str">
        <f t="shared" si="201"/>
        <v/>
      </c>
      <c r="AJ198" s="115" t="str">
        <f t="shared" si="201"/>
        <v/>
      </c>
      <c r="AK198" s="115" t="str">
        <f t="shared" si="201"/>
        <v/>
      </c>
      <c r="AL198" s="115" t="str">
        <f t="shared" si="201"/>
        <v/>
      </c>
      <c r="AM198" s="115" t="str">
        <f t="shared" si="201"/>
        <v/>
      </c>
      <c r="AN198" s="115" t="str">
        <f t="shared" si="201"/>
        <v/>
      </c>
      <c r="AO198" s="115" t="str">
        <f t="shared" si="201"/>
        <v/>
      </c>
      <c r="AP198" s="117">
        <f>IF(AP$6="","",IF(AP$3="Maior",IFERROR(IF(VLOOKUP($N198,Capa!$A:$AE,AP$5,0)="",0,VLOOKUP($N198,Capa!$A:$AE,AP$5,0)),0),IF(ISERROR(1/VLOOKUP($N198,Capa!$A:$AE,AP$5,0)),0,1/VLOOKUP($N198,Capa!$A:$AE,AP$5,0))))</f>
        <v>0.01090561146</v>
      </c>
      <c r="AQ198" s="118">
        <f>IF(AQ$6="","",IF(AQ$3="Maior",IFERROR(IF(VLOOKUP($N198,Capa!$A:$AE,AQ$5,0)="",0,VLOOKUP($N198,Capa!$A:$AE,AQ$5,0)),0),IF(ISERROR(1/VLOOKUP($N198,Capa!$A:$AE,AQ$5,0)),0,1/VLOOKUP($N198,Capa!$A:$AE,AQ$5,0))))</f>
        <v>-0.16</v>
      </c>
      <c r="AR198" s="118">
        <f>IF(AR$6="","",IF(AR$3="Maior",IFERROR(IF(VLOOKUP($N198,Capa!$A:$AE,AR$5,0)="",0,VLOOKUP($N198,Capa!$A:$AE,AR$5,0)),0),IF(ISERROR(1/VLOOKUP($N198,Capa!$A:$AE,AR$5,0)),0,1/VLOOKUP($N198,Capa!$A:$AE,AR$5,0))))</f>
        <v>0</v>
      </c>
      <c r="AS198" s="118" t="str">
        <f>IF(AS$6="","",IF(AS$3="Maior",IFERROR(IF(VLOOKUP($N198,Capa!$A:$AE,AS$5,0)="",0,VLOOKUP($N198,Capa!$A:$AE,AS$5,0)),0),IF(ISERROR(1/VLOOKUP($N198,Capa!$A:$AE,AS$5,0)),0,1/VLOOKUP($N198,Capa!$A:$AE,AS$5,0))))</f>
        <v/>
      </c>
      <c r="AT198" s="118" t="str">
        <f>IF(AT$6="","",IF(AT$3="Maior",IFERROR(IF(VLOOKUP($N198,Capa!$A:$AE,AT$5,0)="",0,VLOOKUP($N198,Capa!$A:$AE,AT$5,0)),0),IF(ISERROR(1/VLOOKUP($N198,Capa!$A:$AE,AT$5,0)),0,1/VLOOKUP($N198,Capa!$A:$AE,AT$5,0))))</f>
        <v/>
      </c>
      <c r="AU198" s="118" t="str">
        <f>IF(AU$6="","",IF(AU$3="Maior",IFERROR(IF(VLOOKUP($N198,Capa!$A:$AE,AU$5,0)="",0,VLOOKUP($N198,Capa!$A:$AE,AU$5,0)),0),IF(ISERROR(1/VLOOKUP($N198,Capa!$A:$AE,AU$5,0)),0,1/VLOOKUP($N198,Capa!$A:$AE,AU$5,0))))</f>
        <v/>
      </c>
      <c r="AV198" s="118" t="str">
        <f>IF(AV$6="","",IF(AV$3="Maior",IFERROR(IF(VLOOKUP($N198,Capa!$A:$AE,AV$5,0)="",0,VLOOKUP($N198,Capa!$A:$AE,AV$5,0)),0),IF(ISERROR(1/VLOOKUP($N198,Capa!$A:$AE,AV$5,0)),0,1/VLOOKUP($N198,Capa!$A:$AE,AV$5,0))))</f>
        <v/>
      </c>
      <c r="AW198" s="118" t="str">
        <f>IF(AW$6="","",IF(AW$3="Maior",IFERROR(IF(VLOOKUP($N198,Capa!$A:$AE,AW$5,0)="",0,VLOOKUP($N198,Capa!$A:$AE,AW$5,0)),0),IF(ISERROR(1/VLOOKUP($N198,Capa!$A:$AE,AW$5,0)),0,1/VLOOKUP($N198,Capa!$A:$AE,AW$5,0))))</f>
        <v/>
      </c>
      <c r="AX198" s="118" t="str">
        <f>IF(AX$6="","",IF(AX$3="Maior",IFERROR(IF(VLOOKUP($N198,Capa!$A:$AE,AX$5,0)="",0,VLOOKUP($N198,Capa!$A:$AE,AX$5,0)),0),IF(ISERROR(1/VLOOKUP($N198,Capa!$A:$AE,AX$5,0)),0,1/VLOOKUP($N198,Capa!$A:$AE,AX$5,0))))</f>
        <v/>
      </c>
      <c r="AY198" s="118" t="str">
        <f>IF(AY$6="","",IF(AY$3="Maior",IFERROR(IF(VLOOKUP($N198,Capa!$A:$AE,AY$5,0)="",0,VLOOKUP($N198,Capa!$A:$AE,AY$5,0)),0),IF(ISERROR(1/VLOOKUP($N198,Capa!$A:$AE,AY$5,0)),0,1/VLOOKUP($N198,Capa!$A:$AE,AY$5,0))))</f>
        <v/>
      </c>
      <c r="AZ198" s="118" t="str">
        <f>IF(AZ$6="","",IF(AZ$3="Maior",IFERROR(IF(VLOOKUP($N198,Capa!$A:$AE,AZ$5,0)="",0,VLOOKUP($N198,Capa!$A:$AE,AZ$5,0)),0),IF(ISERROR(1/VLOOKUP($N198,Capa!$A:$AE,AZ$5,0)),0,1/VLOOKUP($N198,Capa!$A:$AE,AZ$5,0))))</f>
        <v/>
      </c>
      <c r="BA198" s="118" t="str">
        <f>IF(BA$6="","",IF(BA$3="Maior",IFERROR(IF(VLOOKUP($N198,Capa!$A:$AE,BA$5,0)="",0,VLOOKUP($N198,Capa!$A:$AE,BA$5,0)),0),IF(ISERROR(1/VLOOKUP($N198,Capa!$A:$AE,BA$5,0)),0,1/VLOOKUP($N198,Capa!$A:$AE,BA$5,0))))</f>
        <v/>
      </c>
      <c r="BB198" s="118" t="str">
        <f>IF(BB$6="","",IF(BB$3="Maior",IFERROR(IF(VLOOKUP($N198,Capa!$A:$AE,BB$5,0)="",0,VLOOKUP($N198,Capa!$A:$AE,BB$5,0)),0),IF(ISERROR(1/VLOOKUP($N198,Capa!$A:$AE,BB$5,0)),0,1/VLOOKUP($N198,Capa!$A:$AE,BB$5,0))))</f>
        <v/>
      </c>
      <c r="BC198" s="118" t="str">
        <f>IF(BC$6="","",IF(BC$3="Maior",IFERROR(IF(VLOOKUP($N198,Capa!$A:$AE,BC$5,0)="",0,VLOOKUP($N198,Capa!$A:$AE,BC$5,0)),0),IF(ISERROR(1/VLOOKUP($N198,Capa!$A:$AE,BC$5,0)),0,1/VLOOKUP($N198,Capa!$A:$AE,BC$5,0))))</f>
        <v/>
      </c>
      <c r="BD198" s="118" t="str">
        <f>IF(BD$6="","",IF(BD$3="Maior",IFERROR(IF(VLOOKUP($N198,Capa!$A:$AE,BD$5,0)="",0,VLOOKUP($N198,Capa!$A:$AE,BD$5,0)),0),IF(ISERROR(1/VLOOKUP($N198,Capa!$A:$AE,BD$5,0)),0,1/VLOOKUP($N198,Capa!$A:$AE,BD$5,0))))</f>
        <v/>
      </c>
      <c r="BE198" s="118" t="str">
        <f>IF(BE$6="","",IF(BE$3="Maior",IFERROR(IF(VLOOKUP($N198,Capa!$A:$AE,BE$5,0)="",0,VLOOKUP($N198,Capa!$A:$AE,BE$5,0)),0),IF(ISERROR(1/VLOOKUP($N198,Capa!$A:$AE,BE$5,0)),0,1/VLOOKUP($N198,Capa!$A:$AE,BE$5,0))))</f>
        <v/>
      </c>
      <c r="BF198" s="118" t="str">
        <f>IF(BF$6="","",IF(BF$3="Maior",IFERROR(IF(VLOOKUP($N198,Capa!$A:$AE,BF$5,0)="",0,VLOOKUP($N198,Capa!$A:$AE,BF$5,0)),0),IF(ISERROR(1/VLOOKUP($N198,Capa!$A:$AE,BF$5,0)),0,1/VLOOKUP($N198,Capa!$A:$AE,BF$5,0))))</f>
        <v/>
      </c>
      <c r="BG198" s="118" t="str">
        <f>IF(BG$6="","",IF(BG$3="Maior",IFERROR(IF(VLOOKUP($N198,Capa!$A:$AE,BG$5,0)="",0,VLOOKUP($N198,Capa!$A:$AE,BG$5,0)),0),IF(ISERROR(1/VLOOKUP($N198,Capa!$A:$AE,BG$5,0)),0,1/VLOOKUP($N198,Capa!$A:$AE,BG$5,0))))</f>
        <v/>
      </c>
      <c r="BH198" s="118" t="str">
        <f>IF(BH$6="","",IF(BH$3="Maior",IFERROR(IF(VLOOKUP($N198,Capa!$A:$AE,BH$5,0)="",0,VLOOKUP($N198,Capa!$A:$AE,BH$5,0)),0),IF(ISERROR(1/VLOOKUP($N198,Capa!$A:$AE,BH$5,0)),0,1/VLOOKUP($N198,Capa!$A:$AE,BH$5,0))))</f>
        <v/>
      </c>
      <c r="BI198" s="118" t="str">
        <f>IF(BI$6="","",IF(BI$3="Maior",IFERROR(IF(VLOOKUP($N198,Capa!$A:$AE,BI$5,0)="",0,VLOOKUP($N198,Capa!$A:$AE,BI$5,0)),0),IF(ISERROR(1/VLOOKUP($N198,Capa!$A:$AE,BI$5,0)),0,1/VLOOKUP($N198,Capa!$A:$AE,BI$5,0))))</f>
        <v/>
      </c>
      <c r="BJ198" s="118" t="str">
        <f>IF(BJ$6="","",IF(BJ$3="Maior",IFERROR(IF(VLOOKUP($N198,Capa!$A:$AE,BJ$5,0)="",0,VLOOKUP($N198,Capa!$A:$AE,BJ$5,0)),0),IF(ISERROR(1/VLOOKUP($N198,Capa!$A:$AE,BJ$5,0)),0,1/VLOOKUP($N198,Capa!$A:$AE,BJ$5,0))))</f>
        <v/>
      </c>
      <c r="BK198" s="118" t="str">
        <f>IF(BK$6="","",IF(BK$3="Maior",IFERROR(IF(VLOOKUP($N198,Capa!$A:$AE,BK$5,0)="",0,VLOOKUP($N198,Capa!$A:$AE,BK$5,0)),0),IF(ISERROR(1/VLOOKUP($N198,Capa!$A:$AE,BK$5,0)),0,1/VLOOKUP($N198,Capa!$A:$AE,BK$5,0))))</f>
        <v/>
      </c>
      <c r="BL198" s="118" t="str">
        <f>IF(BL$6="","",IF(BL$3="Maior",IFERROR(IF(VLOOKUP($N198,Capa!$A:$AE,BL$5,0)="",0,VLOOKUP($N198,Capa!$A:$AE,BL$5,0)),0),IF(ISERROR(1/VLOOKUP($N198,Capa!$A:$AE,BL$5,0)),0,1/VLOOKUP($N198,Capa!$A:$AE,BL$5,0))))</f>
        <v/>
      </c>
      <c r="BM198" s="118" t="str">
        <f>IF(BM$6="","",IF(BM$3="Maior",IFERROR(IF(VLOOKUP($N198,Capa!$A:$AE,BM$5,0)="",0,VLOOKUP($N198,Capa!$A:$AE,BM$5,0)),0),IF(ISERROR(1/VLOOKUP($N198,Capa!$A:$AE,BM$5,0)),0,1/VLOOKUP($N198,Capa!$A:$AE,BM$5,0))))</f>
        <v/>
      </c>
      <c r="BN198" s="118" t="str">
        <f>IF(BN$6="","",IF(BN$3="Maior",IFERROR(IF(VLOOKUP($N198,Capa!$A:$AE,BN$5,0)="",0,VLOOKUP($N198,Capa!$A:$AE,BN$5,0)),0),IF(ISERROR(1/VLOOKUP($N198,Capa!$A:$AE,BN$5,0)),0,1/VLOOKUP($N198,Capa!$A:$AE,BN$5,0))))</f>
        <v/>
      </c>
      <c r="BO198" s="92"/>
    </row>
    <row r="199">
      <c r="G199" s="11"/>
      <c r="H199" s="11"/>
      <c r="I199" s="8"/>
      <c r="J199" s="132"/>
      <c r="K199" s="11"/>
      <c r="L199" s="11"/>
      <c r="M199" s="11"/>
      <c r="N199" s="10" t="s">
        <v>245</v>
      </c>
      <c r="O199" s="113">
        <f t="shared" si="8"/>
        <v>808.0317</v>
      </c>
      <c r="P199" s="114">
        <f>VLOOKUP(N199,'Dados StatusInvest'!A:Z,26,0)</f>
        <v>14692803.21</v>
      </c>
      <c r="Q199" s="115">
        <f t="shared" si="9"/>
        <v>317.0317</v>
      </c>
      <c r="R199" s="116">
        <f t="shared" ref="R199:AO199" si="202">IF(AQ199="","", RANK(AQ199,AQ$7:AQ$503,0))</f>
        <v>272</v>
      </c>
      <c r="S199" s="115">
        <f t="shared" si="202"/>
        <v>219</v>
      </c>
      <c r="T199" s="115" t="str">
        <f t="shared" si="202"/>
        <v/>
      </c>
      <c r="U199" s="115" t="str">
        <f t="shared" si="202"/>
        <v/>
      </c>
      <c r="V199" s="115" t="str">
        <f t="shared" si="202"/>
        <v/>
      </c>
      <c r="W199" s="115" t="str">
        <f t="shared" si="202"/>
        <v/>
      </c>
      <c r="X199" s="115" t="str">
        <f t="shared" si="202"/>
        <v/>
      </c>
      <c r="Y199" s="115" t="str">
        <f t="shared" si="202"/>
        <v/>
      </c>
      <c r="Z199" s="115" t="str">
        <f t="shared" si="202"/>
        <v/>
      </c>
      <c r="AA199" s="115" t="str">
        <f t="shared" si="202"/>
        <v/>
      </c>
      <c r="AB199" s="115" t="str">
        <f t="shared" si="202"/>
        <v/>
      </c>
      <c r="AC199" s="115" t="str">
        <f t="shared" si="202"/>
        <v/>
      </c>
      <c r="AD199" s="115" t="str">
        <f t="shared" si="202"/>
        <v/>
      </c>
      <c r="AE199" s="115" t="str">
        <f t="shared" si="202"/>
        <v/>
      </c>
      <c r="AF199" s="115" t="str">
        <f t="shared" si="202"/>
        <v/>
      </c>
      <c r="AG199" s="115" t="str">
        <f t="shared" si="202"/>
        <v/>
      </c>
      <c r="AH199" s="115" t="str">
        <f t="shared" si="202"/>
        <v/>
      </c>
      <c r="AI199" s="115" t="str">
        <f t="shared" si="202"/>
        <v/>
      </c>
      <c r="AJ199" s="115" t="str">
        <f t="shared" si="202"/>
        <v/>
      </c>
      <c r="AK199" s="115" t="str">
        <f t="shared" si="202"/>
        <v/>
      </c>
      <c r="AL199" s="115" t="str">
        <f t="shared" si="202"/>
        <v/>
      </c>
      <c r="AM199" s="115" t="str">
        <f t="shared" si="202"/>
        <v/>
      </c>
      <c r="AN199" s="115" t="str">
        <f t="shared" si="202"/>
        <v/>
      </c>
      <c r="AO199" s="115" t="str">
        <f t="shared" si="202"/>
        <v/>
      </c>
      <c r="AP199" s="117">
        <f>IF(AP$6="","",IF(AP$3="Maior",IFERROR(IF(VLOOKUP($N199,Capa!$A:$AE,AP$5,0)="",0,VLOOKUP($N199,Capa!$A:$AE,AP$5,0)),0),IF(ISERROR(1/VLOOKUP($N199,Capa!$A:$AE,AP$5,0)),0,1/VLOOKUP($N199,Capa!$A:$AE,AP$5,0))))</f>
        <v>0.04670081136</v>
      </c>
      <c r="AQ199" s="118">
        <f>IF(AQ$6="","",IF(AQ$3="Maior",IFERROR(IF(VLOOKUP($N199,Capa!$A:$AE,AQ$5,0)="",0,VLOOKUP($N199,Capa!$A:$AE,AQ$5,0)),0),IF(ISERROR(1/VLOOKUP($N199,Capa!$A:$AE,AQ$5,0)),0,1/VLOOKUP($N199,Capa!$A:$AE,AQ$5,0))))</f>
        <v>6.79</v>
      </c>
      <c r="AR199" s="118">
        <f>IF(AR$6="","",IF(AR$3="Maior",IFERROR(IF(VLOOKUP($N199,Capa!$A:$AE,AR$5,0)="",0,VLOOKUP($N199,Capa!$A:$AE,AR$5,0)),0),IF(ISERROR(1/VLOOKUP($N199,Capa!$A:$AE,AR$5,0)),0,1/VLOOKUP($N199,Capa!$A:$AE,AR$5,0))))</f>
        <v>0</v>
      </c>
      <c r="AS199" s="118" t="str">
        <f>IF(AS$6="","",IF(AS$3="Maior",IFERROR(IF(VLOOKUP($N199,Capa!$A:$AE,AS$5,0)="",0,VLOOKUP($N199,Capa!$A:$AE,AS$5,0)),0),IF(ISERROR(1/VLOOKUP($N199,Capa!$A:$AE,AS$5,0)),0,1/VLOOKUP($N199,Capa!$A:$AE,AS$5,0))))</f>
        <v/>
      </c>
      <c r="AT199" s="118" t="str">
        <f>IF(AT$6="","",IF(AT$3="Maior",IFERROR(IF(VLOOKUP($N199,Capa!$A:$AE,AT$5,0)="",0,VLOOKUP($N199,Capa!$A:$AE,AT$5,0)),0),IF(ISERROR(1/VLOOKUP($N199,Capa!$A:$AE,AT$5,0)),0,1/VLOOKUP($N199,Capa!$A:$AE,AT$5,0))))</f>
        <v/>
      </c>
      <c r="AU199" s="118" t="str">
        <f>IF(AU$6="","",IF(AU$3="Maior",IFERROR(IF(VLOOKUP($N199,Capa!$A:$AE,AU$5,0)="",0,VLOOKUP($N199,Capa!$A:$AE,AU$5,0)),0),IF(ISERROR(1/VLOOKUP($N199,Capa!$A:$AE,AU$5,0)),0,1/VLOOKUP($N199,Capa!$A:$AE,AU$5,0))))</f>
        <v/>
      </c>
      <c r="AV199" s="118" t="str">
        <f>IF(AV$6="","",IF(AV$3="Maior",IFERROR(IF(VLOOKUP($N199,Capa!$A:$AE,AV$5,0)="",0,VLOOKUP($N199,Capa!$A:$AE,AV$5,0)),0),IF(ISERROR(1/VLOOKUP($N199,Capa!$A:$AE,AV$5,0)),0,1/VLOOKUP($N199,Capa!$A:$AE,AV$5,0))))</f>
        <v/>
      </c>
      <c r="AW199" s="118" t="str">
        <f>IF(AW$6="","",IF(AW$3="Maior",IFERROR(IF(VLOOKUP($N199,Capa!$A:$AE,AW$5,0)="",0,VLOOKUP($N199,Capa!$A:$AE,AW$5,0)),0),IF(ISERROR(1/VLOOKUP($N199,Capa!$A:$AE,AW$5,0)),0,1/VLOOKUP($N199,Capa!$A:$AE,AW$5,0))))</f>
        <v/>
      </c>
      <c r="AX199" s="118" t="str">
        <f>IF(AX$6="","",IF(AX$3="Maior",IFERROR(IF(VLOOKUP($N199,Capa!$A:$AE,AX$5,0)="",0,VLOOKUP($N199,Capa!$A:$AE,AX$5,0)),0),IF(ISERROR(1/VLOOKUP($N199,Capa!$A:$AE,AX$5,0)),0,1/VLOOKUP($N199,Capa!$A:$AE,AX$5,0))))</f>
        <v/>
      </c>
      <c r="AY199" s="118" t="str">
        <f>IF(AY$6="","",IF(AY$3="Maior",IFERROR(IF(VLOOKUP($N199,Capa!$A:$AE,AY$5,0)="",0,VLOOKUP($N199,Capa!$A:$AE,AY$5,0)),0),IF(ISERROR(1/VLOOKUP($N199,Capa!$A:$AE,AY$5,0)),0,1/VLOOKUP($N199,Capa!$A:$AE,AY$5,0))))</f>
        <v/>
      </c>
      <c r="AZ199" s="118" t="str">
        <f>IF(AZ$6="","",IF(AZ$3="Maior",IFERROR(IF(VLOOKUP($N199,Capa!$A:$AE,AZ$5,0)="",0,VLOOKUP($N199,Capa!$A:$AE,AZ$5,0)),0),IF(ISERROR(1/VLOOKUP($N199,Capa!$A:$AE,AZ$5,0)),0,1/VLOOKUP($N199,Capa!$A:$AE,AZ$5,0))))</f>
        <v/>
      </c>
      <c r="BA199" s="118" t="str">
        <f>IF(BA$6="","",IF(BA$3="Maior",IFERROR(IF(VLOOKUP($N199,Capa!$A:$AE,BA$5,0)="",0,VLOOKUP($N199,Capa!$A:$AE,BA$5,0)),0),IF(ISERROR(1/VLOOKUP($N199,Capa!$A:$AE,BA$5,0)),0,1/VLOOKUP($N199,Capa!$A:$AE,BA$5,0))))</f>
        <v/>
      </c>
      <c r="BB199" s="118" t="str">
        <f>IF(BB$6="","",IF(BB$3="Maior",IFERROR(IF(VLOOKUP($N199,Capa!$A:$AE,BB$5,0)="",0,VLOOKUP($N199,Capa!$A:$AE,BB$5,0)),0),IF(ISERROR(1/VLOOKUP($N199,Capa!$A:$AE,BB$5,0)),0,1/VLOOKUP($N199,Capa!$A:$AE,BB$5,0))))</f>
        <v/>
      </c>
      <c r="BC199" s="118" t="str">
        <f>IF(BC$6="","",IF(BC$3="Maior",IFERROR(IF(VLOOKUP($N199,Capa!$A:$AE,BC$5,0)="",0,VLOOKUP($N199,Capa!$A:$AE,BC$5,0)),0),IF(ISERROR(1/VLOOKUP($N199,Capa!$A:$AE,BC$5,0)),0,1/VLOOKUP($N199,Capa!$A:$AE,BC$5,0))))</f>
        <v/>
      </c>
      <c r="BD199" s="118" t="str">
        <f>IF(BD$6="","",IF(BD$3="Maior",IFERROR(IF(VLOOKUP($N199,Capa!$A:$AE,BD$5,0)="",0,VLOOKUP($N199,Capa!$A:$AE,BD$5,0)),0),IF(ISERROR(1/VLOOKUP($N199,Capa!$A:$AE,BD$5,0)),0,1/VLOOKUP($N199,Capa!$A:$AE,BD$5,0))))</f>
        <v/>
      </c>
      <c r="BE199" s="118" t="str">
        <f>IF(BE$6="","",IF(BE$3="Maior",IFERROR(IF(VLOOKUP($N199,Capa!$A:$AE,BE$5,0)="",0,VLOOKUP($N199,Capa!$A:$AE,BE$5,0)),0),IF(ISERROR(1/VLOOKUP($N199,Capa!$A:$AE,BE$5,0)),0,1/VLOOKUP($N199,Capa!$A:$AE,BE$5,0))))</f>
        <v/>
      </c>
      <c r="BF199" s="118" t="str">
        <f>IF(BF$6="","",IF(BF$3="Maior",IFERROR(IF(VLOOKUP($N199,Capa!$A:$AE,BF$5,0)="",0,VLOOKUP($N199,Capa!$A:$AE,BF$5,0)),0),IF(ISERROR(1/VLOOKUP($N199,Capa!$A:$AE,BF$5,0)),0,1/VLOOKUP($N199,Capa!$A:$AE,BF$5,0))))</f>
        <v/>
      </c>
      <c r="BG199" s="118" t="str">
        <f>IF(BG$6="","",IF(BG$3="Maior",IFERROR(IF(VLOOKUP($N199,Capa!$A:$AE,BG$5,0)="",0,VLOOKUP($N199,Capa!$A:$AE,BG$5,0)),0),IF(ISERROR(1/VLOOKUP($N199,Capa!$A:$AE,BG$5,0)),0,1/VLOOKUP($N199,Capa!$A:$AE,BG$5,0))))</f>
        <v/>
      </c>
      <c r="BH199" s="118" t="str">
        <f>IF(BH$6="","",IF(BH$3="Maior",IFERROR(IF(VLOOKUP($N199,Capa!$A:$AE,BH$5,0)="",0,VLOOKUP($N199,Capa!$A:$AE,BH$5,0)),0),IF(ISERROR(1/VLOOKUP($N199,Capa!$A:$AE,BH$5,0)),0,1/VLOOKUP($N199,Capa!$A:$AE,BH$5,0))))</f>
        <v/>
      </c>
      <c r="BI199" s="118" t="str">
        <f>IF(BI$6="","",IF(BI$3="Maior",IFERROR(IF(VLOOKUP($N199,Capa!$A:$AE,BI$5,0)="",0,VLOOKUP($N199,Capa!$A:$AE,BI$5,0)),0),IF(ISERROR(1/VLOOKUP($N199,Capa!$A:$AE,BI$5,0)),0,1/VLOOKUP($N199,Capa!$A:$AE,BI$5,0))))</f>
        <v/>
      </c>
      <c r="BJ199" s="118" t="str">
        <f>IF(BJ$6="","",IF(BJ$3="Maior",IFERROR(IF(VLOOKUP($N199,Capa!$A:$AE,BJ$5,0)="",0,VLOOKUP($N199,Capa!$A:$AE,BJ$5,0)),0),IF(ISERROR(1/VLOOKUP($N199,Capa!$A:$AE,BJ$5,0)),0,1/VLOOKUP($N199,Capa!$A:$AE,BJ$5,0))))</f>
        <v/>
      </c>
      <c r="BK199" s="118" t="str">
        <f>IF(BK$6="","",IF(BK$3="Maior",IFERROR(IF(VLOOKUP($N199,Capa!$A:$AE,BK$5,0)="",0,VLOOKUP($N199,Capa!$A:$AE,BK$5,0)),0),IF(ISERROR(1/VLOOKUP($N199,Capa!$A:$AE,BK$5,0)),0,1/VLOOKUP($N199,Capa!$A:$AE,BK$5,0))))</f>
        <v/>
      </c>
      <c r="BL199" s="118" t="str">
        <f>IF(BL$6="","",IF(BL$3="Maior",IFERROR(IF(VLOOKUP($N199,Capa!$A:$AE,BL$5,0)="",0,VLOOKUP($N199,Capa!$A:$AE,BL$5,0)),0),IF(ISERROR(1/VLOOKUP($N199,Capa!$A:$AE,BL$5,0)),0,1/VLOOKUP($N199,Capa!$A:$AE,BL$5,0))))</f>
        <v/>
      </c>
      <c r="BM199" s="118" t="str">
        <f>IF(BM$6="","",IF(BM$3="Maior",IFERROR(IF(VLOOKUP($N199,Capa!$A:$AE,BM$5,0)="",0,VLOOKUP($N199,Capa!$A:$AE,BM$5,0)),0),IF(ISERROR(1/VLOOKUP($N199,Capa!$A:$AE,BM$5,0)),0,1/VLOOKUP($N199,Capa!$A:$AE,BM$5,0))))</f>
        <v/>
      </c>
      <c r="BN199" s="118" t="str">
        <f>IF(BN$6="","",IF(BN$3="Maior",IFERROR(IF(VLOOKUP($N199,Capa!$A:$AE,BN$5,0)="",0,VLOOKUP($N199,Capa!$A:$AE,BN$5,0)),0),IF(ISERROR(1/VLOOKUP($N199,Capa!$A:$AE,BN$5,0)),0,1/VLOOKUP($N199,Capa!$A:$AE,BN$5,0))))</f>
        <v/>
      </c>
      <c r="BO199" s="92"/>
    </row>
    <row r="200">
      <c r="G200" s="11"/>
      <c r="H200" s="11"/>
      <c r="I200" s="8"/>
      <c r="J200" s="132"/>
      <c r="K200" s="11"/>
      <c r="L200" s="11"/>
      <c r="M200" s="11"/>
      <c r="N200" s="10" t="s">
        <v>246</v>
      </c>
      <c r="O200" s="113">
        <f t="shared" si="8"/>
        <v>1349.0169</v>
      </c>
      <c r="P200" s="114">
        <f>VLOOKUP(N200,'Dados StatusInvest'!A:Z,26,0)</f>
        <v>9977698.67</v>
      </c>
      <c r="Q200" s="115">
        <f t="shared" si="9"/>
        <v>169.0169</v>
      </c>
      <c r="R200" s="116">
        <f t="shared" ref="R200:AO200" si="203">IF(AQ200="","", RANK(AQ200,AQ$7:AQ$503,0))</f>
        <v>56</v>
      </c>
      <c r="S200" s="115">
        <f t="shared" si="203"/>
        <v>124</v>
      </c>
      <c r="T200" s="115" t="str">
        <f t="shared" si="203"/>
        <v/>
      </c>
      <c r="U200" s="115" t="str">
        <f t="shared" si="203"/>
        <v/>
      </c>
      <c r="V200" s="115" t="str">
        <f t="shared" si="203"/>
        <v/>
      </c>
      <c r="W200" s="115" t="str">
        <f t="shared" si="203"/>
        <v/>
      </c>
      <c r="X200" s="115" t="str">
        <f t="shared" si="203"/>
        <v/>
      </c>
      <c r="Y200" s="115" t="str">
        <f t="shared" si="203"/>
        <v/>
      </c>
      <c r="Z200" s="115" t="str">
        <f t="shared" si="203"/>
        <v/>
      </c>
      <c r="AA200" s="115" t="str">
        <f t="shared" si="203"/>
        <v/>
      </c>
      <c r="AB200" s="115" t="str">
        <f t="shared" si="203"/>
        <v/>
      </c>
      <c r="AC200" s="115" t="str">
        <f t="shared" si="203"/>
        <v/>
      </c>
      <c r="AD200" s="115" t="str">
        <f t="shared" si="203"/>
        <v/>
      </c>
      <c r="AE200" s="115" t="str">
        <f t="shared" si="203"/>
        <v/>
      </c>
      <c r="AF200" s="115" t="str">
        <f t="shared" si="203"/>
        <v/>
      </c>
      <c r="AG200" s="115" t="str">
        <f t="shared" si="203"/>
        <v/>
      </c>
      <c r="AH200" s="115" t="str">
        <f t="shared" si="203"/>
        <v/>
      </c>
      <c r="AI200" s="115" t="str">
        <f t="shared" si="203"/>
        <v/>
      </c>
      <c r="AJ200" s="115" t="str">
        <f t="shared" si="203"/>
        <v/>
      </c>
      <c r="AK200" s="115" t="str">
        <f t="shared" si="203"/>
        <v/>
      </c>
      <c r="AL200" s="115" t="str">
        <f t="shared" si="203"/>
        <v/>
      </c>
      <c r="AM200" s="115" t="str">
        <f t="shared" si="203"/>
        <v/>
      </c>
      <c r="AN200" s="115" t="str">
        <f t="shared" si="203"/>
        <v/>
      </c>
      <c r="AO200" s="115" t="str">
        <f t="shared" si="203"/>
        <v/>
      </c>
      <c r="AP200" s="117">
        <f>IF(AP$6="","",IF(AP$3="Maior",IFERROR(IF(VLOOKUP($N200,Capa!$A:$AE,AP$5,0)="",0,VLOOKUP($N200,Capa!$A:$AE,AP$5,0)),0),IF(ISERROR(1/VLOOKUP($N200,Capa!$A:$AE,AP$5,0)),0,1/VLOOKUP($N200,Capa!$A:$AE,AP$5,0))))</f>
        <v>0.1233617598</v>
      </c>
      <c r="AQ200" s="118">
        <f>IF(AQ$6="","",IF(AQ$3="Maior",IFERROR(IF(VLOOKUP($N200,Capa!$A:$AE,AQ$5,0)="",0,VLOOKUP($N200,Capa!$A:$AE,AQ$5,0)),0),IF(ISERROR(1/VLOOKUP($N200,Capa!$A:$AE,AQ$5,0)),0,1/VLOOKUP($N200,Capa!$A:$AE,AQ$5,0))))</f>
        <v>24.97</v>
      </c>
      <c r="AR200" s="118">
        <f>IF(AR$6="","",IF(AR$3="Maior",IFERROR(IF(VLOOKUP($N200,Capa!$A:$AE,AR$5,0)="",0,VLOOKUP($N200,Capa!$A:$AE,AR$5,0)),0),IF(ISERROR(1/VLOOKUP($N200,Capa!$A:$AE,AR$5,0)),0,1/VLOOKUP($N200,Capa!$A:$AE,AR$5,0))))</f>
        <v>21.91</v>
      </c>
      <c r="AS200" s="118" t="str">
        <f>IF(AS$6="","",IF(AS$3="Maior",IFERROR(IF(VLOOKUP($N200,Capa!$A:$AE,AS$5,0)="",0,VLOOKUP($N200,Capa!$A:$AE,AS$5,0)),0),IF(ISERROR(1/VLOOKUP($N200,Capa!$A:$AE,AS$5,0)),0,1/VLOOKUP($N200,Capa!$A:$AE,AS$5,0))))</f>
        <v/>
      </c>
      <c r="AT200" s="118" t="str">
        <f>IF(AT$6="","",IF(AT$3="Maior",IFERROR(IF(VLOOKUP($N200,Capa!$A:$AE,AT$5,0)="",0,VLOOKUP($N200,Capa!$A:$AE,AT$5,0)),0),IF(ISERROR(1/VLOOKUP($N200,Capa!$A:$AE,AT$5,0)),0,1/VLOOKUP($N200,Capa!$A:$AE,AT$5,0))))</f>
        <v/>
      </c>
      <c r="AU200" s="118" t="str">
        <f>IF(AU$6="","",IF(AU$3="Maior",IFERROR(IF(VLOOKUP($N200,Capa!$A:$AE,AU$5,0)="",0,VLOOKUP($N200,Capa!$A:$AE,AU$5,0)),0),IF(ISERROR(1/VLOOKUP($N200,Capa!$A:$AE,AU$5,0)),0,1/VLOOKUP($N200,Capa!$A:$AE,AU$5,0))))</f>
        <v/>
      </c>
      <c r="AV200" s="118" t="str">
        <f>IF(AV$6="","",IF(AV$3="Maior",IFERROR(IF(VLOOKUP($N200,Capa!$A:$AE,AV$5,0)="",0,VLOOKUP($N200,Capa!$A:$AE,AV$5,0)),0),IF(ISERROR(1/VLOOKUP($N200,Capa!$A:$AE,AV$5,0)),0,1/VLOOKUP($N200,Capa!$A:$AE,AV$5,0))))</f>
        <v/>
      </c>
      <c r="AW200" s="118" t="str">
        <f>IF(AW$6="","",IF(AW$3="Maior",IFERROR(IF(VLOOKUP($N200,Capa!$A:$AE,AW$5,0)="",0,VLOOKUP($N200,Capa!$A:$AE,AW$5,0)),0),IF(ISERROR(1/VLOOKUP($N200,Capa!$A:$AE,AW$5,0)),0,1/VLOOKUP($N200,Capa!$A:$AE,AW$5,0))))</f>
        <v/>
      </c>
      <c r="AX200" s="118" t="str">
        <f>IF(AX$6="","",IF(AX$3="Maior",IFERROR(IF(VLOOKUP($N200,Capa!$A:$AE,AX$5,0)="",0,VLOOKUP($N200,Capa!$A:$AE,AX$5,0)),0),IF(ISERROR(1/VLOOKUP($N200,Capa!$A:$AE,AX$5,0)),0,1/VLOOKUP($N200,Capa!$A:$AE,AX$5,0))))</f>
        <v/>
      </c>
      <c r="AY200" s="118" t="str">
        <f>IF(AY$6="","",IF(AY$3="Maior",IFERROR(IF(VLOOKUP($N200,Capa!$A:$AE,AY$5,0)="",0,VLOOKUP($N200,Capa!$A:$AE,AY$5,0)),0),IF(ISERROR(1/VLOOKUP($N200,Capa!$A:$AE,AY$5,0)),0,1/VLOOKUP($N200,Capa!$A:$AE,AY$5,0))))</f>
        <v/>
      </c>
      <c r="AZ200" s="118" t="str">
        <f>IF(AZ$6="","",IF(AZ$3="Maior",IFERROR(IF(VLOOKUP($N200,Capa!$A:$AE,AZ$5,0)="",0,VLOOKUP($N200,Capa!$A:$AE,AZ$5,0)),0),IF(ISERROR(1/VLOOKUP($N200,Capa!$A:$AE,AZ$5,0)),0,1/VLOOKUP($N200,Capa!$A:$AE,AZ$5,0))))</f>
        <v/>
      </c>
      <c r="BA200" s="118" t="str">
        <f>IF(BA$6="","",IF(BA$3="Maior",IFERROR(IF(VLOOKUP($N200,Capa!$A:$AE,BA$5,0)="",0,VLOOKUP($N200,Capa!$A:$AE,BA$5,0)),0),IF(ISERROR(1/VLOOKUP($N200,Capa!$A:$AE,BA$5,0)),0,1/VLOOKUP($N200,Capa!$A:$AE,BA$5,0))))</f>
        <v/>
      </c>
      <c r="BB200" s="118" t="str">
        <f>IF(BB$6="","",IF(BB$3="Maior",IFERROR(IF(VLOOKUP($N200,Capa!$A:$AE,BB$5,0)="",0,VLOOKUP($N200,Capa!$A:$AE,BB$5,0)),0),IF(ISERROR(1/VLOOKUP($N200,Capa!$A:$AE,BB$5,0)),0,1/VLOOKUP($N200,Capa!$A:$AE,BB$5,0))))</f>
        <v/>
      </c>
      <c r="BC200" s="118" t="str">
        <f>IF(BC$6="","",IF(BC$3="Maior",IFERROR(IF(VLOOKUP($N200,Capa!$A:$AE,BC$5,0)="",0,VLOOKUP($N200,Capa!$A:$AE,BC$5,0)),0),IF(ISERROR(1/VLOOKUP($N200,Capa!$A:$AE,BC$5,0)),0,1/VLOOKUP($N200,Capa!$A:$AE,BC$5,0))))</f>
        <v/>
      </c>
      <c r="BD200" s="118" t="str">
        <f>IF(BD$6="","",IF(BD$3="Maior",IFERROR(IF(VLOOKUP($N200,Capa!$A:$AE,BD$5,0)="",0,VLOOKUP($N200,Capa!$A:$AE,BD$5,0)),0),IF(ISERROR(1/VLOOKUP($N200,Capa!$A:$AE,BD$5,0)),0,1/VLOOKUP($N200,Capa!$A:$AE,BD$5,0))))</f>
        <v/>
      </c>
      <c r="BE200" s="118" t="str">
        <f>IF(BE$6="","",IF(BE$3="Maior",IFERROR(IF(VLOOKUP($N200,Capa!$A:$AE,BE$5,0)="",0,VLOOKUP($N200,Capa!$A:$AE,BE$5,0)),0),IF(ISERROR(1/VLOOKUP($N200,Capa!$A:$AE,BE$5,0)),0,1/VLOOKUP($N200,Capa!$A:$AE,BE$5,0))))</f>
        <v/>
      </c>
      <c r="BF200" s="118" t="str">
        <f>IF(BF$6="","",IF(BF$3="Maior",IFERROR(IF(VLOOKUP($N200,Capa!$A:$AE,BF$5,0)="",0,VLOOKUP($N200,Capa!$A:$AE,BF$5,0)),0),IF(ISERROR(1/VLOOKUP($N200,Capa!$A:$AE,BF$5,0)),0,1/VLOOKUP($N200,Capa!$A:$AE,BF$5,0))))</f>
        <v/>
      </c>
      <c r="BG200" s="118" t="str">
        <f>IF(BG$6="","",IF(BG$3="Maior",IFERROR(IF(VLOOKUP($N200,Capa!$A:$AE,BG$5,0)="",0,VLOOKUP($N200,Capa!$A:$AE,BG$5,0)),0),IF(ISERROR(1/VLOOKUP($N200,Capa!$A:$AE,BG$5,0)),0,1/VLOOKUP($N200,Capa!$A:$AE,BG$5,0))))</f>
        <v/>
      </c>
      <c r="BH200" s="118" t="str">
        <f>IF(BH$6="","",IF(BH$3="Maior",IFERROR(IF(VLOOKUP($N200,Capa!$A:$AE,BH$5,0)="",0,VLOOKUP($N200,Capa!$A:$AE,BH$5,0)),0),IF(ISERROR(1/VLOOKUP($N200,Capa!$A:$AE,BH$5,0)),0,1/VLOOKUP($N200,Capa!$A:$AE,BH$5,0))))</f>
        <v/>
      </c>
      <c r="BI200" s="118" t="str">
        <f>IF(BI$6="","",IF(BI$3="Maior",IFERROR(IF(VLOOKUP($N200,Capa!$A:$AE,BI$5,0)="",0,VLOOKUP($N200,Capa!$A:$AE,BI$5,0)),0),IF(ISERROR(1/VLOOKUP($N200,Capa!$A:$AE,BI$5,0)),0,1/VLOOKUP($N200,Capa!$A:$AE,BI$5,0))))</f>
        <v/>
      </c>
      <c r="BJ200" s="118" t="str">
        <f>IF(BJ$6="","",IF(BJ$3="Maior",IFERROR(IF(VLOOKUP($N200,Capa!$A:$AE,BJ$5,0)="",0,VLOOKUP($N200,Capa!$A:$AE,BJ$5,0)),0),IF(ISERROR(1/VLOOKUP($N200,Capa!$A:$AE,BJ$5,0)),0,1/VLOOKUP($N200,Capa!$A:$AE,BJ$5,0))))</f>
        <v/>
      </c>
      <c r="BK200" s="118" t="str">
        <f>IF(BK$6="","",IF(BK$3="Maior",IFERROR(IF(VLOOKUP($N200,Capa!$A:$AE,BK$5,0)="",0,VLOOKUP($N200,Capa!$A:$AE,BK$5,0)),0),IF(ISERROR(1/VLOOKUP($N200,Capa!$A:$AE,BK$5,0)),0,1/VLOOKUP($N200,Capa!$A:$AE,BK$5,0))))</f>
        <v/>
      </c>
      <c r="BL200" s="118" t="str">
        <f>IF(BL$6="","",IF(BL$3="Maior",IFERROR(IF(VLOOKUP($N200,Capa!$A:$AE,BL$5,0)="",0,VLOOKUP($N200,Capa!$A:$AE,BL$5,0)),0),IF(ISERROR(1/VLOOKUP($N200,Capa!$A:$AE,BL$5,0)),0,1/VLOOKUP($N200,Capa!$A:$AE,BL$5,0))))</f>
        <v/>
      </c>
      <c r="BM200" s="118" t="str">
        <f>IF(BM$6="","",IF(BM$3="Maior",IFERROR(IF(VLOOKUP($N200,Capa!$A:$AE,BM$5,0)="",0,VLOOKUP($N200,Capa!$A:$AE,BM$5,0)),0),IF(ISERROR(1/VLOOKUP($N200,Capa!$A:$AE,BM$5,0)),0,1/VLOOKUP($N200,Capa!$A:$AE,BM$5,0))))</f>
        <v/>
      </c>
      <c r="BN200" s="118" t="str">
        <f>IF(BN$6="","",IF(BN$3="Maior",IFERROR(IF(VLOOKUP($N200,Capa!$A:$AE,BN$5,0)="",0,VLOOKUP($N200,Capa!$A:$AE,BN$5,0)),0),IF(ISERROR(1/VLOOKUP($N200,Capa!$A:$AE,BN$5,0)),0,1/VLOOKUP($N200,Capa!$A:$AE,BN$5,0))))</f>
        <v/>
      </c>
      <c r="BO200" s="92"/>
    </row>
    <row r="201">
      <c r="G201" s="11"/>
      <c r="H201" s="11"/>
      <c r="I201" s="8"/>
      <c r="J201" s="132"/>
      <c r="K201" s="11"/>
      <c r="L201" s="11"/>
      <c r="M201" s="11"/>
      <c r="N201" s="10" t="s">
        <v>247</v>
      </c>
      <c r="O201" s="113">
        <f t="shared" si="8"/>
        <v>2107.0321</v>
      </c>
      <c r="P201" s="114">
        <f>VLOOKUP(N201,'Dados StatusInvest'!A:Z,26,0)</f>
        <v>9579874</v>
      </c>
      <c r="Q201" s="115">
        <f t="shared" si="9"/>
        <v>321.0321</v>
      </c>
      <c r="R201" s="116">
        <f t="shared" ref="R201:AO201" si="204">IF(AQ201="","", RANK(AQ201,AQ$7:AQ$503,0))</f>
        <v>313</v>
      </c>
      <c r="S201" s="115">
        <f t="shared" si="204"/>
        <v>473</v>
      </c>
      <c r="T201" s="115" t="str">
        <f t="shared" si="204"/>
        <v/>
      </c>
      <c r="U201" s="115" t="str">
        <f t="shared" si="204"/>
        <v/>
      </c>
      <c r="V201" s="115" t="str">
        <f t="shared" si="204"/>
        <v/>
      </c>
      <c r="W201" s="115" t="str">
        <f t="shared" si="204"/>
        <v/>
      </c>
      <c r="X201" s="115" t="str">
        <f t="shared" si="204"/>
        <v/>
      </c>
      <c r="Y201" s="115" t="str">
        <f t="shared" si="204"/>
        <v/>
      </c>
      <c r="Z201" s="115" t="str">
        <f t="shared" si="204"/>
        <v/>
      </c>
      <c r="AA201" s="115" t="str">
        <f t="shared" si="204"/>
        <v/>
      </c>
      <c r="AB201" s="115" t="str">
        <f t="shared" si="204"/>
        <v/>
      </c>
      <c r="AC201" s="115" t="str">
        <f t="shared" si="204"/>
        <v/>
      </c>
      <c r="AD201" s="115" t="str">
        <f t="shared" si="204"/>
        <v/>
      </c>
      <c r="AE201" s="115" t="str">
        <f t="shared" si="204"/>
        <v/>
      </c>
      <c r="AF201" s="115" t="str">
        <f t="shared" si="204"/>
        <v/>
      </c>
      <c r="AG201" s="115" t="str">
        <f t="shared" si="204"/>
        <v/>
      </c>
      <c r="AH201" s="115" t="str">
        <f t="shared" si="204"/>
        <v/>
      </c>
      <c r="AI201" s="115" t="str">
        <f t="shared" si="204"/>
        <v/>
      </c>
      <c r="AJ201" s="115" t="str">
        <f t="shared" si="204"/>
        <v/>
      </c>
      <c r="AK201" s="115" t="str">
        <f t="shared" si="204"/>
        <v/>
      </c>
      <c r="AL201" s="115" t="str">
        <f t="shared" si="204"/>
        <v/>
      </c>
      <c r="AM201" s="115" t="str">
        <f t="shared" si="204"/>
        <v/>
      </c>
      <c r="AN201" s="115" t="str">
        <f t="shared" si="204"/>
        <v/>
      </c>
      <c r="AO201" s="115" t="str">
        <f t="shared" si="204"/>
        <v/>
      </c>
      <c r="AP201" s="117">
        <f>IF(AP$6="","",IF(AP$3="Maior",IFERROR(IF(VLOOKUP($N201,Capa!$A:$AE,AP$5,0)="",0,VLOOKUP($N201,Capa!$A:$AE,AP$5,0)),0),IF(ISERROR(1/VLOOKUP($N201,Capa!$A:$AE,AP$5,0)),0,1/VLOOKUP($N201,Capa!$A:$AE,AP$5,0))))</f>
        <v>0.04591027648</v>
      </c>
      <c r="AQ201" s="118">
        <f>IF(AQ$6="","",IF(AQ$3="Maior",IFERROR(IF(VLOOKUP($N201,Capa!$A:$AE,AQ$5,0)="",0,VLOOKUP($N201,Capa!$A:$AE,AQ$5,0)),0),IF(ISERROR(1/VLOOKUP($N201,Capa!$A:$AE,AQ$5,0)),0,1/VLOOKUP($N201,Capa!$A:$AE,AQ$5,0))))</f>
        <v>3.99</v>
      </c>
      <c r="AR201" s="118">
        <f>IF(AR$6="","",IF(AR$3="Maior",IFERROR(IF(VLOOKUP($N201,Capa!$A:$AE,AR$5,0)="",0,VLOOKUP($N201,Capa!$A:$AE,AR$5,0)),0),IF(ISERROR(1/VLOOKUP($N201,Capa!$A:$AE,AR$5,0)),0,1/VLOOKUP($N201,Capa!$A:$AE,AR$5,0))))</f>
        <v>-5.94</v>
      </c>
      <c r="AS201" s="118" t="str">
        <f>IF(AS$6="","",IF(AS$3="Maior",IFERROR(IF(VLOOKUP($N201,Capa!$A:$AE,AS$5,0)="",0,VLOOKUP($N201,Capa!$A:$AE,AS$5,0)),0),IF(ISERROR(1/VLOOKUP($N201,Capa!$A:$AE,AS$5,0)),0,1/VLOOKUP($N201,Capa!$A:$AE,AS$5,0))))</f>
        <v/>
      </c>
      <c r="AT201" s="118" t="str">
        <f>IF(AT$6="","",IF(AT$3="Maior",IFERROR(IF(VLOOKUP($N201,Capa!$A:$AE,AT$5,0)="",0,VLOOKUP($N201,Capa!$A:$AE,AT$5,0)),0),IF(ISERROR(1/VLOOKUP($N201,Capa!$A:$AE,AT$5,0)),0,1/VLOOKUP($N201,Capa!$A:$AE,AT$5,0))))</f>
        <v/>
      </c>
      <c r="AU201" s="118" t="str">
        <f>IF(AU$6="","",IF(AU$3="Maior",IFERROR(IF(VLOOKUP($N201,Capa!$A:$AE,AU$5,0)="",0,VLOOKUP($N201,Capa!$A:$AE,AU$5,0)),0),IF(ISERROR(1/VLOOKUP($N201,Capa!$A:$AE,AU$5,0)),0,1/VLOOKUP($N201,Capa!$A:$AE,AU$5,0))))</f>
        <v/>
      </c>
      <c r="AV201" s="118" t="str">
        <f>IF(AV$6="","",IF(AV$3="Maior",IFERROR(IF(VLOOKUP($N201,Capa!$A:$AE,AV$5,0)="",0,VLOOKUP($N201,Capa!$A:$AE,AV$5,0)),0),IF(ISERROR(1/VLOOKUP($N201,Capa!$A:$AE,AV$5,0)),0,1/VLOOKUP($N201,Capa!$A:$AE,AV$5,0))))</f>
        <v/>
      </c>
      <c r="AW201" s="118" t="str">
        <f>IF(AW$6="","",IF(AW$3="Maior",IFERROR(IF(VLOOKUP($N201,Capa!$A:$AE,AW$5,0)="",0,VLOOKUP($N201,Capa!$A:$AE,AW$5,0)),0),IF(ISERROR(1/VLOOKUP($N201,Capa!$A:$AE,AW$5,0)),0,1/VLOOKUP($N201,Capa!$A:$AE,AW$5,0))))</f>
        <v/>
      </c>
      <c r="AX201" s="118" t="str">
        <f>IF(AX$6="","",IF(AX$3="Maior",IFERROR(IF(VLOOKUP($N201,Capa!$A:$AE,AX$5,0)="",0,VLOOKUP($N201,Capa!$A:$AE,AX$5,0)),0),IF(ISERROR(1/VLOOKUP($N201,Capa!$A:$AE,AX$5,0)),0,1/VLOOKUP($N201,Capa!$A:$AE,AX$5,0))))</f>
        <v/>
      </c>
      <c r="AY201" s="118" t="str">
        <f>IF(AY$6="","",IF(AY$3="Maior",IFERROR(IF(VLOOKUP($N201,Capa!$A:$AE,AY$5,0)="",0,VLOOKUP($N201,Capa!$A:$AE,AY$5,0)),0),IF(ISERROR(1/VLOOKUP($N201,Capa!$A:$AE,AY$5,0)),0,1/VLOOKUP($N201,Capa!$A:$AE,AY$5,0))))</f>
        <v/>
      </c>
      <c r="AZ201" s="118" t="str">
        <f>IF(AZ$6="","",IF(AZ$3="Maior",IFERROR(IF(VLOOKUP($N201,Capa!$A:$AE,AZ$5,0)="",0,VLOOKUP($N201,Capa!$A:$AE,AZ$5,0)),0),IF(ISERROR(1/VLOOKUP($N201,Capa!$A:$AE,AZ$5,0)),0,1/VLOOKUP($N201,Capa!$A:$AE,AZ$5,0))))</f>
        <v/>
      </c>
      <c r="BA201" s="118" t="str">
        <f>IF(BA$6="","",IF(BA$3="Maior",IFERROR(IF(VLOOKUP($N201,Capa!$A:$AE,BA$5,0)="",0,VLOOKUP($N201,Capa!$A:$AE,BA$5,0)),0),IF(ISERROR(1/VLOOKUP($N201,Capa!$A:$AE,BA$5,0)),0,1/VLOOKUP($N201,Capa!$A:$AE,BA$5,0))))</f>
        <v/>
      </c>
      <c r="BB201" s="118" t="str">
        <f>IF(BB$6="","",IF(BB$3="Maior",IFERROR(IF(VLOOKUP($N201,Capa!$A:$AE,BB$5,0)="",0,VLOOKUP($N201,Capa!$A:$AE,BB$5,0)),0),IF(ISERROR(1/VLOOKUP($N201,Capa!$A:$AE,BB$5,0)),0,1/VLOOKUP($N201,Capa!$A:$AE,BB$5,0))))</f>
        <v/>
      </c>
      <c r="BC201" s="118" t="str">
        <f>IF(BC$6="","",IF(BC$3="Maior",IFERROR(IF(VLOOKUP($N201,Capa!$A:$AE,BC$5,0)="",0,VLOOKUP($N201,Capa!$A:$AE,BC$5,0)),0),IF(ISERROR(1/VLOOKUP($N201,Capa!$A:$AE,BC$5,0)),0,1/VLOOKUP($N201,Capa!$A:$AE,BC$5,0))))</f>
        <v/>
      </c>
      <c r="BD201" s="118" t="str">
        <f>IF(BD$6="","",IF(BD$3="Maior",IFERROR(IF(VLOOKUP($N201,Capa!$A:$AE,BD$5,0)="",0,VLOOKUP($N201,Capa!$A:$AE,BD$5,0)),0),IF(ISERROR(1/VLOOKUP($N201,Capa!$A:$AE,BD$5,0)),0,1/VLOOKUP($N201,Capa!$A:$AE,BD$5,0))))</f>
        <v/>
      </c>
      <c r="BE201" s="118" t="str">
        <f>IF(BE$6="","",IF(BE$3="Maior",IFERROR(IF(VLOOKUP($N201,Capa!$A:$AE,BE$5,0)="",0,VLOOKUP($N201,Capa!$A:$AE,BE$5,0)),0),IF(ISERROR(1/VLOOKUP($N201,Capa!$A:$AE,BE$5,0)),0,1/VLOOKUP($N201,Capa!$A:$AE,BE$5,0))))</f>
        <v/>
      </c>
      <c r="BF201" s="118" t="str">
        <f>IF(BF$6="","",IF(BF$3="Maior",IFERROR(IF(VLOOKUP($N201,Capa!$A:$AE,BF$5,0)="",0,VLOOKUP($N201,Capa!$A:$AE,BF$5,0)),0),IF(ISERROR(1/VLOOKUP($N201,Capa!$A:$AE,BF$5,0)),0,1/VLOOKUP($N201,Capa!$A:$AE,BF$5,0))))</f>
        <v/>
      </c>
      <c r="BG201" s="118" t="str">
        <f>IF(BG$6="","",IF(BG$3="Maior",IFERROR(IF(VLOOKUP($N201,Capa!$A:$AE,BG$5,0)="",0,VLOOKUP($N201,Capa!$A:$AE,BG$5,0)),0),IF(ISERROR(1/VLOOKUP($N201,Capa!$A:$AE,BG$5,0)),0,1/VLOOKUP($N201,Capa!$A:$AE,BG$5,0))))</f>
        <v/>
      </c>
      <c r="BH201" s="118" t="str">
        <f>IF(BH$6="","",IF(BH$3="Maior",IFERROR(IF(VLOOKUP($N201,Capa!$A:$AE,BH$5,0)="",0,VLOOKUP($N201,Capa!$A:$AE,BH$5,0)),0),IF(ISERROR(1/VLOOKUP($N201,Capa!$A:$AE,BH$5,0)),0,1/VLOOKUP($N201,Capa!$A:$AE,BH$5,0))))</f>
        <v/>
      </c>
      <c r="BI201" s="118" t="str">
        <f>IF(BI$6="","",IF(BI$3="Maior",IFERROR(IF(VLOOKUP($N201,Capa!$A:$AE,BI$5,0)="",0,VLOOKUP($N201,Capa!$A:$AE,BI$5,0)),0),IF(ISERROR(1/VLOOKUP($N201,Capa!$A:$AE,BI$5,0)),0,1/VLOOKUP($N201,Capa!$A:$AE,BI$5,0))))</f>
        <v/>
      </c>
      <c r="BJ201" s="118" t="str">
        <f>IF(BJ$6="","",IF(BJ$3="Maior",IFERROR(IF(VLOOKUP($N201,Capa!$A:$AE,BJ$5,0)="",0,VLOOKUP($N201,Capa!$A:$AE,BJ$5,0)),0),IF(ISERROR(1/VLOOKUP($N201,Capa!$A:$AE,BJ$5,0)),0,1/VLOOKUP($N201,Capa!$A:$AE,BJ$5,0))))</f>
        <v/>
      </c>
      <c r="BK201" s="118" t="str">
        <f>IF(BK$6="","",IF(BK$3="Maior",IFERROR(IF(VLOOKUP($N201,Capa!$A:$AE,BK$5,0)="",0,VLOOKUP($N201,Capa!$A:$AE,BK$5,0)),0),IF(ISERROR(1/VLOOKUP($N201,Capa!$A:$AE,BK$5,0)),0,1/VLOOKUP($N201,Capa!$A:$AE,BK$5,0))))</f>
        <v/>
      </c>
      <c r="BL201" s="118" t="str">
        <f>IF(BL$6="","",IF(BL$3="Maior",IFERROR(IF(VLOOKUP($N201,Capa!$A:$AE,BL$5,0)="",0,VLOOKUP($N201,Capa!$A:$AE,BL$5,0)),0),IF(ISERROR(1/VLOOKUP($N201,Capa!$A:$AE,BL$5,0)),0,1/VLOOKUP($N201,Capa!$A:$AE,BL$5,0))))</f>
        <v/>
      </c>
      <c r="BM201" s="118" t="str">
        <f>IF(BM$6="","",IF(BM$3="Maior",IFERROR(IF(VLOOKUP($N201,Capa!$A:$AE,BM$5,0)="",0,VLOOKUP($N201,Capa!$A:$AE,BM$5,0)),0),IF(ISERROR(1/VLOOKUP($N201,Capa!$A:$AE,BM$5,0)),0,1/VLOOKUP($N201,Capa!$A:$AE,BM$5,0))))</f>
        <v/>
      </c>
      <c r="BN201" s="118" t="str">
        <f>IF(BN$6="","",IF(BN$3="Maior",IFERROR(IF(VLOOKUP($N201,Capa!$A:$AE,BN$5,0)="",0,VLOOKUP($N201,Capa!$A:$AE,BN$5,0)),0),IF(ISERROR(1/VLOOKUP($N201,Capa!$A:$AE,BN$5,0)),0,1/VLOOKUP($N201,Capa!$A:$AE,BN$5,0))))</f>
        <v/>
      </c>
      <c r="BO201" s="92"/>
    </row>
    <row r="202">
      <c r="G202" s="11"/>
      <c r="H202" s="11"/>
      <c r="I202" s="8"/>
      <c r="J202" s="132"/>
      <c r="K202" s="11"/>
      <c r="L202" s="11"/>
      <c r="M202" s="11"/>
      <c r="N202" s="10" t="s">
        <v>248</v>
      </c>
      <c r="O202" s="113">
        <f t="shared" si="8"/>
        <v>2054.0402</v>
      </c>
      <c r="P202" s="114">
        <f>VLOOKUP(N202,'Dados StatusInvest'!A:Z,26,0)</f>
        <v>8366700.96</v>
      </c>
      <c r="Q202" s="115">
        <f t="shared" si="9"/>
        <v>402.0402</v>
      </c>
      <c r="R202" s="116">
        <f t="shared" ref="R202:AO202" si="205">IF(AQ202="","", RANK(AQ202,AQ$7:AQ$503,0))</f>
        <v>433</v>
      </c>
      <c r="S202" s="115">
        <f t="shared" si="205"/>
        <v>219</v>
      </c>
      <c r="T202" s="115" t="str">
        <f t="shared" si="205"/>
        <v/>
      </c>
      <c r="U202" s="115" t="str">
        <f t="shared" si="205"/>
        <v/>
      </c>
      <c r="V202" s="115" t="str">
        <f t="shared" si="205"/>
        <v/>
      </c>
      <c r="W202" s="115" t="str">
        <f t="shared" si="205"/>
        <v/>
      </c>
      <c r="X202" s="115" t="str">
        <f t="shared" si="205"/>
        <v/>
      </c>
      <c r="Y202" s="115" t="str">
        <f t="shared" si="205"/>
        <v/>
      </c>
      <c r="Z202" s="115" t="str">
        <f t="shared" si="205"/>
        <v/>
      </c>
      <c r="AA202" s="115" t="str">
        <f t="shared" si="205"/>
        <v/>
      </c>
      <c r="AB202" s="115" t="str">
        <f t="shared" si="205"/>
        <v/>
      </c>
      <c r="AC202" s="115" t="str">
        <f t="shared" si="205"/>
        <v/>
      </c>
      <c r="AD202" s="115" t="str">
        <f t="shared" si="205"/>
        <v/>
      </c>
      <c r="AE202" s="115" t="str">
        <f t="shared" si="205"/>
        <v/>
      </c>
      <c r="AF202" s="115" t="str">
        <f t="shared" si="205"/>
        <v/>
      </c>
      <c r="AG202" s="115" t="str">
        <f t="shared" si="205"/>
        <v/>
      </c>
      <c r="AH202" s="115" t="str">
        <f t="shared" si="205"/>
        <v/>
      </c>
      <c r="AI202" s="115" t="str">
        <f t="shared" si="205"/>
        <v/>
      </c>
      <c r="AJ202" s="115" t="str">
        <f t="shared" si="205"/>
        <v/>
      </c>
      <c r="AK202" s="115" t="str">
        <f t="shared" si="205"/>
        <v/>
      </c>
      <c r="AL202" s="115" t="str">
        <f t="shared" si="205"/>
        <v/>
      </c>
      <c r="AM202" s="115" t="str">
        <f t="shared" si="205"/>
        <v/>
      </c>
      <c r="AN202" s="115" t="str">
        <f t="shared" si="205"/>
        <v/>
      </c>
      <c r="AO202" s="115" t="str">
        <f t="shared" si="205"/>
        <v/>
      </c>
      <c r="AP202" s="117">
        <f>IF(AP$6="","",IF(AP$3="Maior",IFERROR(IF(VLOOKUP($N202,Capa!$A:$AE,AP$5,0)="",0,VLOOKUP($N202,Capa!$A:$AE,AP$5,0)),0),IF(ISERROR(1/VLOOKUP($N202,Capa!$A:$AE,AP$5,0)),0,1/VLOOKUP($N202,Capa!$A:$AE,AP$5,0))))</f>
        <v>0.003819274136</v>
      </c>
      <c r="AQ202" s="118">
        <f>IF(AQ$6="","",IF(AQ$3="Maior",IFERROR(IF(VLOOKUP($N202,Capa!$A:$AE,AQ$5,0)="",0,VLOOKUP($N202,Capa!$A:$AE,AQ$5,0)),0),IF(ISERROR(1/VLOOKUP($N202,Capa!$A:$AE,AQ$5,0)),0,1/VLOOKUP($N202,Capa!$A:$AE,AQ$5,0))))</f>
        <v>-0.74</v>
      </c>
      <c r="AR202" s="118">
        <f>IF(AR$6="","",IF(AR$3="Maior",IFERROR(IF(VLOOKUP($N202,Capa!$A:$AE,AR$5,0)="",0,VLOOKUP($N202,Capa!$A:$AE,AR$5,0)),0),IF(ISERROR(1/VLOOKUP($N202,Capa!$A:$AE,AR$5,0)),0,1/VLOOKUP($N202,Capa!$A:$AE,AR$5,0))))</f>
        <v>0</v>
      </c>
      <c r="AS202" s="118" t="str">
        <f>IF(AS$6="","",IF(AS$3="Maior",IFERROR(IF(VLOOKUP($N202,Capa!$A:$AE,AS$5,0)="",0,VLOOKUP($N202,Capa!$A:$AE,AS$5,0)),0),IF(ISERROR(1/VLOOKUP($N202,Capa!$A:$AE,AS$5,0)),0,1/VLOOKUP($N202,Capa!$A:$AE,AS$5,0))))</f>
        <v/>
      </c>
      <c r="AT202" s="118" t="str">
        <f>IF(AT$6="","",IF(AT$3="Maior",IFERROR(IF(VLOOKUP($N202,Capa!$A:$AE,AT$5,0)="",0,VLOOKUP($N202,Capa!$A:$AE,AT$5,0)),0),IF(ISERROR(1/VLOOKUP($N202,Capa!$A:$AE,AT$5,0)),0,1/VLOOKUP($N202,Capa!$A:$AE,AT$5,0))))</f>
        <v/>
      </c>
      <c r="AU202" s="118" t="str">
        <f>IF(AU$6="","",IF(AU$3="Maior",IFERROR(IF(VLOOKUP($N202,Capa!$A:$AE,AU$5,0)="",0,VLOOKUP($N202,Capa!$A:$AE,AU$5,0)),0),IF(ISERROR(1/VLOOKUP($N202,Capa!$A:$AE,AU$5,0)),0,1/VLOOKUP($N202,Capa!$A:$AE,AU$5,0))))</f>
        <v/>
      </c>
      <c r="AV202" s="118" t="str">
        <f>IF(AV$6="","",IF(AV$3="Maior",IFERROR(IF(VLOOKUP($N202,Capa!$A:$AE,AV$5,0)="",0,VLOOKUP($N202,Capa!$A:$AE,AV$5,0)),0),IF(ISERROR(1/VLOOKUP($N202,Capa!$A:$AE,AV$5,0)),0,1/VLOOKUP($N202,Capa!$A:$AE,AV$5,0))))</f>
        <v/>
      </c>
      <c r="AW202" s="118" t="str">
        <f>IF(AW$6="","",IF(AW$3="Maior",IFERROR(IF(VLOOKUP($N202,Capa!$A:$AE,AW$5,0)="",0,VLOOKUP($N202,Capa!$A:$AE,AW$5,0)),0),IF(ISERROR(1/VLOOKUP($N202,Capa!$A:$AE,AW$5,0)),0,1/VLOOKUP($N202,Capa!$A:$AE,AW$5,0))))</f>
        <v/>
      </c>
      <c r="AX202" s="118" t="str">
        <f>IF(AX$6="","",IF(AX$3="Maior",IFERROR(IF(VLOOKUP($N202,Capa!$A:$AE,AX$5,0)="",0,VLOOKUP($N202,Capa!$A:$AE,AX$5,0)),0),IF(ISERROR(1/VLOOKUP($N202,Capa!$A:$AE,AX$5,0)),0,1/VLOOKUP($N202,Capa!$A:$AE,AX$5,0))))</f>
        <v/>
      </c>
      <c r="AY202" s="118" t="str">
        <f>IF(AY$6="","",IF(AY$3="Maior",IFERROR(IF(VLOOKUP($N202,Capa!$A:$AE,AY$5,0)="",0,VLOOKUP($N202,Capa!$A:$AE,AY$5,0)),0),IF(ISERROR(1/VLOOKUP($N202,Capa!$A:$AE,AY$5,0)),0,1/VLOOKUP($N202,Capa!$A:$AE,AY$5,0))))</f>
        <v/>
      </c>
      <c r="AZ202" s="118" t="str">
        <f>IF(AZ$6="","",IF(AZ$3="Maior",IFERROR(IF(VLOOKUP($N202,Capa!$A:$AE,AZ$5,0)="",0,VLOOKUP($N202,Capa!$A:$AE,AZ$5,0)),0),IF(ISERROR(1/VLOOKUP($N202,Capa!$A:$AE,AZ$5,0)),0,1/VLOOKUP($N202,Capa!$A:$AE,AZ$5,0))))</f>
        <v/>
      </c>
      <c r="BA202" s="118" t="str">
        <f>IF(BA$6="","",IF(BA$3="Maior",IFERROR(IF(VLOOKUP($N202,Capa!$A:$AE,BA$5,0)="",0,VLOOKUP($N202,Capa!$A:$AE,BA$5,0)),0),IF(ISERROR(1/VLOOKUP($N202,Capa!$A:$AE,BA$5,0)),0,1/VLOOKUP($N202,Capa!$A:$AE,BA$5,0))))</f>
        <v/>
      </c>
      <c r="BB202" s="118" t="str">
        <f>IF(BB$6="","",IF(BB$3="Maior",IFERROR(IF(VLOOKUP($N202,Capa!$A:$AE,BB$5,0)="",0,VLOOKUP($N202,Capa!$A:$AE,BB$5,0)),0),IF(ISERROR(1/VLOOKUP($N202,Capa!$A:$AE,BB$5,0)),0,1/VLOOKUP($N202,Capa!$A:$AE,BB$5,0))))</f>
        <v/>
      </c>
      <c r="BC202" s="118" t="str">
        <f>IF(BC$6="","",IF(BC$3="Maior",IFERROR(IF(VLOOKUP($N202,Capa!$A:$AE,BC$5,0)="",0,VLOOKUP($N202,Capa!$A:$AE,BC$5,0)),0),IF(ISERROR(1/VLOOKUP($N202,Capa!$A:$AE,BC$5,0)),0,1/VLOOKUP($N202,Capa!$A:$AE,BC$5,0))))</f>
        <v/>
      </c>
      <c r="BD202" s="118" t="str">
        <f>IF(BD$6="","",IF(BD$3="Maior",IFERROR(IF(VLOOKUP($N202,Capa!$A:$AE,BD$5,0)="",0,VLOOKUP($N202,Capa!$A:$AE,BD$5,0)),0),IF(ISERROR(1/VLOOKUP($N202,Capa!$A:$AE,BD$5,0)),0,1/VLOOKUP($N202,Capa!$A:$AE,BD$5,0))))</f>
        <v/>
      </c>
      <c r="BE202" s="118" t="str">
        <f>IF(BE$6="","",IF(BE$3="Maior",IFERROR(IF(VLOOKUP($N202,Capa!$A:$AE,BE$5,0)="",0,VLOOKUP($N202,Capa!$A:$AE,BE$5,0)),0),IF(ISERROR(1/VLOOKUP($N202,Capa!$A:$AE,BE$5,0)),0,1/VLOOKUP($N202,Capa!$A:$AE,BE$5,0))))</f>
        <v/>
      </c>
      <c r="BF202" s="118" t="str">
        <f>IF(BF$6="","",IF(BF$3="Maior",IFERROR(IF(VLOOKUP($N202,Capa!$A:$AE,BF$5,0)="",0,VLOOKUP($N202,Capa!$A:$AE,BF$5,0)),0),IF(ISERROR(1/VLOOKUP($N202,Capa!$A:$AE,BF$5,0)),0,1/VLOOKUP($N202,Capa!$A:$AE,BF$5,0))))</f>
        <v/>
      </c>
      <c r="BG202" s="118" t="str">
        <f>IF(BG$6="","",IF(BG$3="Maior",IFERROR(IF(VLOOKUP($N202,Capa!$A:$AE,BG$5,0)="",0,VLOOKUP($N202,Capa!$A:$AE,BG$5,0)),0),IF(ISERROR(1/VLOOKUP($N202,Capa!$A:$AE,BG$5,0)),0,1/VLOOKUP($N202,Capa!$A:$AE,BG$5,0))))</f>
        <v/>
      </c>
      <c r="BH202" s="118" t="str">
        <f>IF(BH$6="","",IF(BH$3="Maior",IFERROR(IF(VLOOKUP($N202,Capa!$A:$AE,BH$5,0)="",0,VLOOKUP($N202,Capa!$A:$AE,BH$5,0)),0),IF(ISERROR(1/VLOOKUP($N202,Capa!$A:$AE,BH$5,0)),0,1/VLOOKUP($N202,Capa!$A:$AE,BH$5,0))))</f>
        <v/>
      </c>
      <c r="BI202" s="118" t="str">
        <f>IF(BI$6="","",IF(BI$3="Maior",IFERROR(IF(VLOOKUP($N202,Capa!$A:$AE,BI$5,0)="",0,VLOOKUP($N202,Capa!$A:$AE,BI$5,0)),0),IF(ISERROR(1/VLOOKUP($N202,Capa!$A:$AE,BI$5,0)),0,1/VLOOKUP($N202,Capa!$A:$AE,BI$5,0))))</f>
        <v/>
      </c>
      <c r="BJ202" s="118" t="str">
        <f>IF(BJ$6="","",IF(BJ$3="Maior",IFERROR(IF(VLOOKUP($N202,Capa!$A:$AE,BJ$5,0)="",0,VLOOKUP($N202,Capa!$A:$AE,BJ$5,0)),0),IF(ISERROR(1/VLOOKUP($N202,Capa!$A:$AE,BJ$5,0)),0,1/VLOOKUP($N202,Capa!$A:$AE,BJ$5,0))))</f>
        <v/>
      </c>
      <c r="BK202" s="118" t="str">
        <f>IF(BK$6="","",IF(BK$3="Maior",IFERROR(IF(VLOOKUP($N202,Capa!$A:$AE,BK$5,0)="",0,VLOOKUP($N202,Capa!$A:$AE,BK$5,0)),0),IF(ISERROR(1/VLOOKUP($N202,Capa!$A:$AE,BK$5,0)),0,1/VLOOKUP($N202,Capa!$A:$AE,BK$5,0))))</f>
        <v/>
      </c>
      <c r="BL202" s="118" t="str">
        <f>IF(BL$6="","",IF(BL$3="Maior",IFERROR(IF(VLOOKUP($N202,Capa!$A:$AE,BL$5,0)="",0,VLOOKUP($N202,Capa!$A:$AE,BL$5,0)),0),IF(ISERROR(1/VLOOKUP($N202,Capa!$A:$AE,BL$5,0)),0,1/VLOOKUP($N202,Capa!$A:$AE,BL$5,0))))</f>
        <v/>
      </c>
      <c r="BM202" s="118" t="str">
        <f>IF(BM$6="","",IF(BM$3="Maior",IFERROR(IF(VLOOKUP($N202,Capa!$A:$AE,BM$5,0)="",0,VLOOKUP($N202,Capa!$A:$AE,BM$5,0)),0),IF(ISERROR(1/VLOOKUP($N202,Capa!$A:$AE,BM$5,0)),0,1/VLOOKUP($N202,Capa!$A:$AE,BM$5,0))))</f>
        <v/>
      </c>
      <c r="BN202" s="118" t="str">
        <f>IF(BN$6="","",IF(BN$3="Maior",IFERROR(IF(VLOOKUP($N202,Capa!$A:$AE,BN$5,0)="",0,VLOOKUP($N202,Capa!$A:$AE,BN$5,0)),0),IF(ISERROR(1/VLOOKUP($N202,Capa!$A:$AE,BN$5,0)),0,1/VLOOKUP($N202,Capa!$A:$AE,BN$5,0))))</f>
        <v/>
      </c>
      <c r="BO202" s="92"/>
    </row>
    <row r="203">
      <c r="G203" s="11"/>
      <c r="H203" s="11"/>
      <c r="I203" s="8"/>
      <c r="J203" s="132"/>
      <c r="K203" s="11"/>
      <c r="L203" s="11"/>
      <c r="M203" s="11"/>
      <c r="N203" s="10" t="s">
        <v>249</v>
      </c>
      <c r="O203" s="113">
        <f t="shared" si="8"/>
        <v>291.0043</v>
      </c>
      <c r="P203" s="114">
        <f>VLOOKUP(N203,'Dados StatusInvest'!A:Z,26,0)</f>
        <v>17111829.33</v>
      </c>
      <c r="Q203" s="115">
        <f t="shared" si="9"/>
        <v>43.0043</v>
      </c>
      <c r="R203" s="116">
        <f t="shared" ref="R203:AO203" si="206">IF(AQ203="","", RANK(AQ203,AQ$7:AQ$503,0))</f>
        <v>29</v>
      </c>
      <c r="S203" s="115">
        <f t="shared" si="206"/>
        <v>219</v>
      </c>
      <c r="T203" s="115" t="str">
        <f t="shared" si="206"/>
        <v/>
      </c>
      <c r="U203" s="115" t="str">
        <f t="shared" si="206"/>
        <v/>
      </c>
      <c r="V203" s="115" t="str">
        <f t="shared" si="206"/>
        <v/>
      </c>
      <c r="W203" s="115" t="str">
        <f t="shared" si="206"/>
        <v/>
      </c>
      <c r="X203" s="115" t="str">
        <f t="shared" si="206"/>
        <v/>
      </c>
      <c r="Y203" s="115" t="str">
        <f t="shared" si="206"/>
        <v/>
      </c>
      <c r="Z203" s="115" t="str">
        <f t="shared" si="206"/>
        <v/>
      </c>
      <c r="AA203" s="115" t="str">
        <f t="shared" si="206"/>
        <v/>
      </c>
      <c r="AB203" s="115" t="str">
        <f t="shared" si="206"/>
        <v/>
      </c>
      <c r="AC203" s="115" t="str">
        <f t="shared" si="206"/>
        <v/>
      </c>
      <c r="AD203" s="115" t="str">
        <f t="shared" si="206"/>
        <v/>
      </c>
      <c r="AE203" s="115" t="str">
        <f t="shared" si="206"/>
        <v/>
      </c>
      <c r="AF203" s="115" t="str">
        <f t="shared" si="206"/>
        <v/>
      </c>
      <c r="AG203" s="115" t="str">
        <f t="shared" si="206"/>
        <v/>
      </c>
      <c r="AH203" s="115" t="str">
        <f t="shared" si="206"/>
        <v/>
      </c>
      <c r="AI203" s="115" t="str">
        <f t="shared" si="206"/>
        <v/>
      </c>
      <c r="AJ203" s="115" t="str">
        <f t="shared" si="206"/>
        <v/>
      </c>
      <c r="AK203" s="115" t="str">
        <f t="shared" si="206"/>
        <v/>
      </c>
      <c r="AL203" s="115" t="str">
        <f t="shared" si="206"/>
        <v/>
      </c>
      <c r="AM203" s="115" t="str">
        <f t="shared" si="206"/>
        <v/>
      </c>
      <c r="AN203" s="115" t="str">
        <f t="shared" si="206"/>
        <v/>
      </c>
      <c r="AO203" s="115" t="str">
        <f t="shared" si="206"/>
        <v/>
      </c>
      <c r="AP203" s="117">
        <f>IF(AP$6="","",IF(AP$3="Maior",IFERROR(IF(VLOOKUP($N203,Capa!$A:$AE,AP$5,0)="",0,VLOOKUP($N203,Capa!$A:$AE,AP$5,0)),0),IF(ISERROR(1/VLOOKUP($N203,Capa!$A:$AE,AP$5,0)),0,1/VLOOKUP($N203,Capa!$A:$AE,AP$5,0))))</f>
        <v>0.2644997027</v>
      </c>
      <c r="AQ203" s="118">
        <f>IF(AQ$6="","",IF(AQ$3="Maior",IFERROR(IF(VLOOKUP($N203,Capa!$A:$AE,AQ$5,0)="",0,VLOOKUP($N203,Capa!$A:$AE,AQ$5,0)),0),IF(ISERROR(1/VLOOKUP($N203,Capa!$A:$AE,AQ$5,0)),0,1/VLOOKUP($N203,Capa!$A:$AE,AQ$5,0))))</f>
        <v>37.65</v>
      </c>
      <c r="AR203" s="118">
        <f>IF(AR$6="","",IF(AR$3="Maior",IFERROR(IF(VLOOKUP($N203,Capa!$A:$AE,AR$5,0)="",0,VLOOKUP($N203,Capa!$A:$AE,AR$5,0)),0),IF(ISERROR(1/VLOOKUP($N203,Capa!$A:$AE,AR$5,0)),0,1/VLOOKUP($N203,Capa!$A:$AE,AR$5,0))))</f>
        <v>0</v>
      </c>
      <c r="AS203" s="118" t="str">
        <f>IF(AS$6="","",IF(AS$3="Maior",IFERROR(IF(VLOOKUP($N203,Capa!$A:$AE,AS$5,0)="",0,VLOOKUP($N203,Capa!$A:$AE,AS$5,0)),0),IF(ISERROR(1/VLOOKUP($N203,Capa!$A:$AE,AS$5,0)),0,1/VLOOKUP($N203,Capa!$A:$AE,AS$5,0))))</f>
        <v/>
      </c>
      <c r="AT203" s="118" t="str">
        <f>IF(AT$6="","",IF(AT$3="Maior",IFERROR(IF(VLOOKUP($N203,Capa!$A:$AE,AT$5,0)="",0,VLOOKUP($N203,Capa!$A:$AE,AT$5,0)),0),IF(ISERROR(1/VLOOKUP($N203,Capa!$A:$AE,AT$5,0)),0,1/VLOOKUP($N203,Capa!$A:$AE,AT$5,0))))</f>
        <v/>
      </c>
      <c r="AU203" s="118" t="str">
        <f>IF(AU$6="","",IF(AU$3="Maior",IFERROR(IF(VLOOKUP($N203,Capa!$A:$AE,AU$5,0)="",0,VLOOKUP($N203,Capa!$A:$AE,AU$5,0)),0),IF(ISERROR(1/VLOOKUP($N203,Capa!$A:$AE,AU$5,0)),0,1/VLOOKUP($N203,Capa!$A:$AE,AU$5,0))))</f>
        <v/>
      </c>
      <c r="AV203" s="118" t="str">
        <f>IF(AV$6="","",IF(AV$3="Maior",IFERROR(IF(VLOOKUP($N203,Capa!$A:$AE,AV$5,0)="",0,VLOOKUP($N203,Capa!$A:$AE,AV$5,0)),0),IF(ISERROR(1/VLOOKUP($N203,Capa!$A:$AE,AV$5,0)),0,1/VLOOKUP($N203,Capa!$A:$AE,AV$5,0))))</f>
        <v/>
      </c>
      <c r="AW203" s="118" t="str">
        <f>IF(AW$6="","",IF(AW$3="Maior",IFERROR(IF(VLOOKUP($N203,Capa!$A:$AE,AW$5,0)="",0,VLOOKUP($N203,Capa!$A:$AE,AW$5,0)),0),IF(ISERROR(1/VLOOKUP($N203,Capa!$A:$AE,AW$5,0)),0,1/VLOOKUP($N203,Capa!$A:$AE,AW$5,0))))</f>
        <v/>
      </c>
      <c r="AX203" s="118" t="str">
        <f>IF(AX$6="","",IF(AX$3="Maior",IFERROR(IF(VLOOKUP($N203,Capa!$A:$AE,AX$5,0)="",0,VLOOKUP($N203,Capa!$A:$AE,AX$5,0)),0),IF(ISERROR(1/VLOOKUP($N203,Capa!$A:$AE,AX$5,0)),0,1/VLOOKUP($N203,Capa!$A:$AE,AX$5,0))))</f>
        <v/>
      </c>
      <c r="AY203" s="118" t="str">
        <f>IF(AY$6="","",IF(AY$3="Maior",IFERROR(IF(VLOOKUP($N203,Capa!$A:$AE,AY$5,0)="",0,VLOOKUP($N203,Capa!$A:$AE,AY$5,0)),0),IF(ISERROR(1/VLOOKUP($N203,Capa!$A:$AE,AY$5,0)),0,1/VLOOKUP($N203,Capa!$A:$AE,AY$5,0))))</f>
        <v/>
      </c>
      <c r="AZ203" s="118" t="str">
        <f>IF(AZ$6="","",IF(AZ$3="Maior",IFERROR(IF(VLOOKUP($N203,Capa!$A:$AE,AZ$5,0)="",0,VLOOKUP($N203,Capa!$A:$AE,AZ$5,0)),0),IF(ISERROR(1/VLOOKUP($N203,Capa!$A:$AE,AZ$5,0)),0,1/VLOOKUP($N203,Capa!$A:$AE,AZ$5,0))))</f>
        <v/>
      </c>
      <c r="BA203" s="118" t="str">
        <f>IF(BA$6="","",IF(BA$3="Maior",IFERROR(IF(VLOOKUP($N203,Capa!$A:$AE,BA$5,0)="",0,VLOOKUP($N203,Capa!$A:$AE,BA$5,0)),0),IF(ISERROR(1/VLOOKUP($N203,Capa!$A:$AE,BA$5,0)),0,1/VLOOKUP($N203,Capa!$A:$AE,BA$5,0))))</f>
        <v/>
      </c>
      <c r="BB203" s="118" t="str">
        <f>IF(BB$6="","",IF(BB$3="Maior",IFERROR(IF(VLOOKUP($N203,Capa!$A:$AE,BB$5,0)="",0,VLOOKUP($N203,Capa!$A:$AE,BB$5,0)),0),IF(ISERROR(1/VLOOKUP($N203,Capa!$A:$AE,BB$5,0)),0,1/VLOOKUP($N203,Capa!$A:$AE,BB$5,0))))</f>
        <v/>
      </c>
      <c r="BC203" s="118" t="str">
        <f>IF(BC$6="","",IF(BC$3="Maior",IFERROR(IF(VLOOKUP($N203,Capa!$A:$AE,BC$5,0)="",0,VLOOKUP($N203,Capa!$A:$AE,BC$5,0)),0),IF(ISERROR(1/VLOOKUP($N203,Capa!$A:$AE,BC$5,0)),0,1/VLOOKUP($N203,Capa!$A:$AE,BC$5,0))))</f>
        <v/>
      </c>
      <c r="BD203" s="118" t="str">
        <f>IF(BD$6="","",IF(BD$3="Maior",IFERROR(IF(VLOOKUP($N203,Capa!$A:$AE,BD$5,0)="",0,VLOOKUP($N203,Capa!$A:$AE,BD$5,0)),0),IF(ISERROR(1/VLOOKUP($N203,Capa!$A:$AE,BD$5,0)),0,1/VLOOKUP($N203,Capa!$A:$AE,BD$5,0))))</f>
        <v/>
      </c>
      <c r="BE203" s="118" t="str">
        <f>IF(BE$6="","",IF(BE$3="Maior",IFERROR(IF(VLOOKUP($N203,Capa!$A:$AE,BE$5,0)="",0,VLOOKUP($N203,Capa!$A:$AE,BE$5,0)),0),IF(ISERROR(1/VLOOKUP($N203,Capa!$A:$AE,BE$5,0)),0,1/VLOOKUP($N203,Capa!$A:$AE,BE$5,0))))</f>
        <v/>
      </c>
      <c r="BF203" s="118" t="str">
        <f>IF(BF$6="","",IF(BF$3="Maior",IFERROR(IF(VLOOKUP($N203,Capa!$A:$AE,BF$5,0)="",0,VLOOKUP($N203,Capa!$A:$AE,BF$5,0)),0),IF(ISERROR(1/VLOOKUP($N203,Capa!$A:$AE,BF$5,0)),0,1/VLOOKUP($N203,Capa!$A:$AE,BF$5,0))))</f>
        <v/>
      </c>
      <c r="BG203" s="118" t="str">
        <f>IF(BG$6="","",IF(BG$3="Maior",IFERROR(IF(VLOOKUP($N203,Capa!$A:$AE,BG$5,0)="",0,VLOOKUP($N203,Capa!$A:$AE,BG$5,0)),0),IF(ISERROR(1/VLOOKUP($N203,Capa!$A:$AE,BG$5,0)),0,1/VLOOKUP($N203,Capa!$A:$AE,BG$5,0))))</f>
        <v/>
      </c>
      <c r="BH203" s="118" t="str">
        <f>IF(BH$6="","",IF(BH$3="Maior",IFERROR(IF(VLOOKUP($N203,Capa!$A:$AE,BH$5,0)="",0,VLOOKUP($N203,Capa!$A:$AE,BH$5,0)),0),IF(ISERROR(1/VLOOKUP($N203,Capa!$A:$AE,BH$5,0)),0,1/VLOOKUP($N203,Capa!$A:$AE,BH$5,0))))</f>
        <v/>
      </c>
      <c r="BI203" s="118" t="str">
        <f>IF(BI$6="","",IF(BI$3="Maior",IFERROR(IF(VLOOKUP($N203,Capa!$A:$AE,BI$5,0)="",0,VLOOKUP($N203,Capa!$A:$AE,BI$5,0)),0),IF(ISERROR(1/VLOOKUP($N203,Capa!$A:$AE,BI$5,0)),0,1/VLOOKUP($N203,Capa!$A:$AE,BI$5,0))))</f>
        <v/>
      </c>
      <c r="BJ203" s="118" t="str">
        <f>IF(BJ$6="","",IF(BJ$3="Maior",IFERROR(IF(VLOOKUP($N203,Capa!$A:$AE,BJ$5,0)="",0,VLOOKUP($N203,Capa!$A:$AE,BJ$5,0)),0),IF(ISERROR(1/VLOOKUP($N203,Capa!$A:$AE,BJ$5,0)),0,1/VLOOKUP($N203,Capa!$A:$AE,BJ$5,0))))</f>
        <v/>
      </c>
      <c r="BK203" s="118" t="str">
        <f>IF(BK$6="","",IF(BK$3="Maior",IFERROR(IF(VLOOKUP($N203,Capa!$A:$AE,BK$5,0)="",0,VLOOKUP($N203,Capa!$A:$AE,BK$5,0)),0),IF(ISERROR(1/VLOOKUP($N203,Capa!$A:$AE,BK$5,0)),0,1/VLOOKUP($N203,Capa!$A:$AE,BK$5,0))))</f>
        <v/>
      </c>
      <c r="BL203" s="118" t="str">
        <f>IF(BL$6="","",IF(BL$3="Maior",IFERROR(IF(VLOOKUP($N203,Capa!$A:$AE,BL$5,0)="",0,VLOOKUP($N203,Capa!$A:$AE,BL$5,0)),0),IF(ISERROR(1/VLOOKUP($N203,Capa!$A:$AE,BL$5,0)),0,1/VLOOKUP($N203,Capa!$A:$AE,BL$5,0))))</f>
        <v/>
      </c>
      <c r="BM203" s="118" t="str">
        <f>IF(BM$6="","",IF(BM$3="Maior",IFERROR(IF(VLOOKUP($N203,Capa!$A:$AE,BM$5,0)="",0,VLOOKUP($N203,Capa!$A:$AE,BM$5,0)),0),IF(ISERROR(1/VLOOKUP($N203,Capa!$A:$AE,BM$5,0)),0,1/VLOOKUP($N203,Capa!$A:$AE,BM$5,0))))</f>
        <v/>
      </c>
      <c r="BN203" s="118" t="str">
        <f>IF(BN$6="","",IF(BN$3="Maior",IFERROR(IF(VLOOKUP($N203,Capa!$A:$AE,BN$5,0)="",0,VLOOKUP($N203,Capa!$A:$AE,BN$5,0)),0),IF(ISERROR(1/VLOOKUP($N203,Capa!$A:$AE,BN$5,0)),0,1/VLOOKUP($N203,Capa!$A:$AE,BN$5,0))))</f>
        <v/>
      </c>
      <c r="BO203" s="92"/>
    </row>
    <row r="204">
      <c r="G204" s="11"/>
      <c r="H204" s="11"/>
      <c r="I204" s="8"/>
      <c r="J204" s="132"/>
      <c r="K204" s="11"/>
      <c r="L204" s="11"/>
      <c r="M204" s="11"/>
      <c r="N204" s="10" t="s">
        <v>250</v>
      </c>
      <c r="O204" s="113">
        <f t="shared" si="8"/>
        <v>659.0241</v>
      </c>
      <c r="P204" s="114">
        <f>VLOOKUP(N204,'Dados StatusInvest'!A:Z,26,0)</f>
        <v>13004360.33</v>
      </c>
      <c r="Q204" s="115">
        <f t="shared" si="9"/>
        <v>241.0241</v>
      </c>
      <c r="R204" s="116">
        <f t="shared" ref="R204:AO204" si="207">IF(AQ204="","", RANK(AQ204,AQ$7:AQ$503,0))</f>
        <v>275</v>
      </c>
      <c r="S204" s="115">
        <f t="shared" si="207"/>
        <v>143</v>
      </c>
      <c r="T204" s="115" t="str">
        <f t="shared" si="207"/>
        <v/>
      </c>
      <c r="U204" s="115" t="str">
        <f t="shared" si="207"/>
        <v/>
      </c>
      <c r="V204" s="115" t="str">
        <f t="shared" si="207"/>
        <v/>
      </c>
      <c r="W204" s="115" t="str">
        <f t="shared" si="207"/>
        <v/>
      </c>
      <c r="X204" s="115" t="str">
        <f t="shared" si="207"/>
        <v/>
      </c>
      <c r="Y204" s="115" t="str">
        <f t="shared" si="207"/>
        <v/>
      </c>
      <c r="Z204" s="115" t="str">
        <f t="shared" si="207"/>
        <v/>
      </c>
      <c r="AA204" s="115" t="str">
        <f t="shared" si="207"/>
        <v/>
      </c>
      <c r="AB204" s="115" t="str">
        <f t="shared" si="207"/>
        <v/>
      </c>
      <c r="AC204" s="115" t="str">
        <f t="shared" si="207"/>
        <v/>
      </c>
      <c r="AD204" s="115" t="str">
        <f t="shared" si="207"/>
        <v/>
      </c>
      <c r="AE204" s="115" t="str">
        <f t="shared" si="207"/>
        <v/>
      </c>
      <c r="AF204" s="115" t="str">
        <f t="shared" si="207"/>
        <v/>
      </c>
      <c r="AG204" s="115" t="str">
        <f t="shared" si="207"/>
        <v/>
      </c>
      <c r="AH204" s="115" t="str">
        <f t="shared" si="207"/>
        <v/>
      </c>
      <c r="AI204" s="115" t="str">
        <f t="shared" si="207"/>
        <v/>
      </c>
      <c r="AJ204" s="115" t="str">
        <f t="shared" si="207"/>
        <v/>
      </c>
      <c r="AK204" s="115" t="str">
        <f t="shared" si="207"/>
        <v/>
      </c>
      <c r="AL204" s="115" t="str">
        <f t="shared" si="207"/>
        <v/>
      </c>
      <c r="AM204" s="115" t="str">
        <f t="shared" si="207"/>
        <v/>
      </c>
      <c r="AN204" s="115" t="str">
        <f t="shared" si="207"/>
        <v/>
      </c>
      <c r="AO204" s="115" t="str">
        <f t="shared" si="207"/>
        <v/>
      </c>
      <c r="AP204" s="117">
        <f>IF(AP$6="","",IF(AP$3="Maior",IFERROR(IF(VLOOKUP($N204,Capa!$A:$AE,AP$5,0)="",0,VLOOKUP($N204,Capa!$A:$AE,AP$5,0)),0),IF(ISERROR(1/VLOOKUP($N204,Capa!$A:$AE,AP$5,0)),0,1/VLOOKUP($N204,Capa!$A:$AE,AP$5,0))))</f>
        <v>0.08376378612</v>
      </c>
      <c r="AQ204" s="118">
        <f>IF(AQ$6="","",IF(AQ$3="Maior",IFERROR(IF(VLOOKUP($N204,Capa!$A:$AE,AQ$5,0)="",0,VLOOKUP($N204,Capa!$A:$AE,AQ$5,0)),0),IF(ISERROR(1/VLOOKUP($N204,Capa!$A:$AE,AQ$5,0)),0,1/VLOOKUP($N204,Capa!$A:$AE,AQ$5,0))))</f>
        <v>6.37</v>
      </c>
      <c r="AR204" s="118">
        <f>IF(AR$6="","",IF(AR$3="Maior",IFERROR(IF(VLOOKUP($N204,Capa!$A:$AE,AR$5,0)="",0,VLOOKUP($N204,Capa!$A:$AE,AR$5,0)),0),IF(ISERROR(1/VLOOKUP($N204,Capa!$A:$AE,AR$5,0)),0,1/VLOOKUP($N204,Capa!$A:$AE,AR$5,0))))</f>
        <v>17.13</v>
      </c>
      <c r="AS204" s="118" t="str">
        <f>IF(AS$6="","",IF(AS$3="Maior",IFERROR(IF(VLOOKUP($N204,Capa!$A:$AE,AS$5,0)="",0,VLOOKUP($N204,Capa!$A:$AE,AS$5,0)),0),IF(ISERROR(1/VLOOKUP($N204,Capa!$A:$AE,AS$5,0)),0,1/VLOOKUP($N204,Capa!$A:$AE,AS$5,0))))</f>
        <v/>
      </c>
      <c r="AT204" s="118" t="str">
        <f>IF(AT$6="","",IF(AT$3="Maior",IFERROR(IF(VLOOKUP($N204,Capa!$A:$AE,AT$5,0)="",0,VLOOKUP($N204,Capa!$A:$AE,AT$5,0)),0),IF(ISERROR(1/VLOOKUP($N204,Capa!$A:$AE,AT$5,0)),0,1/VLOOKUP($N204,Capa!$A:$AE,AT$5,0))))</f>
        <v/>
      </c>
      <c r="AU204" s="118" t="str">
        <f>IF(AU$6="","",IF(AU$3="Maior",IFERROR(IF(VLOOKUP($N204,Capa!$A:$AE,AU$5,0)="",0,VLOOKUP($N204,Capa!$A:$AE,AU$5,0)),0),IF(ISERROR(1/VLOOKUP($N204,Capa!$A:$AE,AU$5,0)),0,1/VLOOKUP($N204,Capa!$A:$AE,AU$5,0))))</f>
        <v/>
      </c>
      <c r="AV204" s="118" t="str">
        <f>IF(AV$6="","",IF(AV$3="Maior",IFERROR(IF(VLOOKUP($N204,Capa!$A:$AE,AV$5,0)="",0,VLOOKUP($N204,Capa!$A:$AE,AV$5,0)),0),IF(ISERROR(1/VLOOKUP($N204,Capa!$A:$AE,AV$5,0)),0,1/VLOOKUP($N204,Capa!$A:$AE,AV$5,0))))</f>
        <v/>
      </c>
      <c r="AW204" s="118" t="str">
        <f>IF(AW$6="","",IF(AW$3="Maior",IFERROR(IF(VLOOKUP($N204,Capa!$A:$AE,AW$5,0)="",0,VLOOKUP($N204,Capa!$A:$AE,AW$5,0)),0),IF(ISERROR(1/VLOOKUP($N204,Capa!$A:$AE,AW$5,0)),0,1/VLOOKUP($N204,Capa!$A:$AE,AW$5,0))))</f>
        <v/>
      </c>
      <c r="AX204" s="118" t="str">
        <f>IF(AX$6="","",IF(AX$3="Maior",IFERROR(IF(VLOOKUP($N204,Capa!$A:$AE,AX$5,0)="",0,VLOOKUP($N204,Capa!$A:$AE,AX$5,0)),0),IF(ISERROR(1/VLOOKUP($N204,Capa!$A:$AE,AX$5,0)),0,1/VLOOKUP($N204,Capa!$A:$AE,AX$5,0))))</f>
        <v/>
      </c>
      <c r="AY204" s="118" t="str">
        <f>IF(AY$6="","",IF(AY$3="Maior",IFERROR(IF(VLOOKUP($N204,Capa!$A:$AE,AY$5,0)="",0,VLOOKUP($N204,Capa!$A:$AE,AY$5,0)),0),IF(ISERROR(1/VLOOKUP($N204,Capa!$A:$AE,AY$5,0)),0,1/VLOOKUP($N204,Capa!$A:$AE,AY$5,0))))</f>
        <v/>
      </c>
      <c r="AZ204" s="118" t="str">
        <f>IF(AZ$6="","",IF(AZ$3="Maior",IFERROR(IF(VLOOKUP($N204,Capa!$A:$AE,AZ$5,0)="",0,VLOOKUP($N204,Capa!$A:$AE,AZ$5,0)),0),IF(ISERROR(1/VLOOKUP($N204,Capa!$A:$AE,AZ$5,0)),0,1/VLOOKUP($N204,Capa!$A:$AE,AZ$5,0))))</f>
        <v/>
      </c>
      <c r="BA204" s="118" t="str">
        <f>IF(BA$6="","",IF(BA$3="Maior",IFERROR(IF(VLOOKUP($N204,Capa!$A:$AE,BA$5,0)="",0,VLOOKUP($N204,Capa!$A:$AE,BA$5,0)),0),IF(ISERROR(1/VLOOKUP($N204,Capa!$A:$AE,BA$5,0)),0,1/VLOOKUP($N204,Capa!$A:$AE,BA$5,0))))</f>
        <v/>
      </c>
      <c r="BB204" s="118" t="str">
        <f>IF(BB$6="","",IF(BB$3="Maior",IFERROR(IF(VLOOKUP($N204,Capa!$A:$AE,BB$5,0)="",0,VLOOKUP($N204,Capa!$A:$AE,BB$5,0)),0),IF(ISERROR(1/VLOOKUP($N204,Capa!$A:$AE,BB$5,0)),0,1/VLOOKUP($N204,Capa!$A:$AE,BB$5,0))))</f>
        <v/>
      </c>
      <c r="BC204" s="118" t="str">
        <f>IF(BC$6="","",IF(BC$3="Maior",IFERROR(IF(VLOOKUP($N204,Capa!$A:$AE,BC$5,0)="",0,VLOOKUP($N204,Capa!$A:$AE,BC$5,0)),0),IF(ISERROR(1/VLOOKUP($N204,Capa!$A:$AE,BC$5,0)),0,1/VLOOKUP($N204,Capa!$A:$AE,BC$5,0))))</f>
        <v/>
      </c>
      <c r="BD204" s="118" t="str">
        <f>IF(BD$6="","",IF(BD$3="Maior",IFERROR(IF(VLOOKUP($N204,Capa!$A:$AE,BD$5,0)="",0,VLOOKUP($N204,Capa!$A:$AE,BD$5,0)),0),IF(ISERROR(1/VLOOKUP($N204,Capa!$A:$AE,BD$5,0)),0,1/VLOOKUP($N204,Capa!$A:$AE,BD$5,0))))</f>
        <v/>
      </c>
      <c r="BE204" s="118" t="str">
        <f>IF(BE$6="","",IF(BE$3="Maior",IFERROR(IF(VLOOKUP($N204,Capa!$A:$AE,BE$5,0)="",0,VLOOKUP($N204,Capa!$A:$AE,BE$5,0)),0),IF(ISERROR(1/VLOOKUP($N204,Capa!$A:$AE,BE$5,0)),0,1/VLOOKUP($N204,Capa!$A:$AE,BE$5,0))))</f>
        <v/>
      </c>
      <c r="BF204" s="118" t="str">
        <f>IF(BF$6="","",IF(BF$3="Maior",IFERROR(IF(VLOOKUP($N204,Capa!$A:$AE,BF$5,0)="",0,VLOOKUP($N204,Capa!$A:$AE,BF$5,0)),0),IF(ISERROR(1/VLOOKUP($N204,Capa!$A:$AE,BF$5,0)),0,1/VLOOKUP($N204,Capa!$A:$AE,BF$5,0))))</f>
        <v/>
      </c>
      <c r="BG204" s="118" t="str">
        <f>IF(BG$6="","",IF(BG$3="Maior",IFERROR(IF(VLOOKUP($N204,Capa!$A:$AE,BG$5,0)="",0,VLOOKUP($N204,Capa!$A:$AE,BG$5,0)),0),IF(ISERROR(1/VLOOKUP($N204,Capa!$A:$AE,BG$5,0)),0,1/VLOOKUP($N204,Capa!$A:$AE,BG$5,0))))</f>
        <v/>
      </c>
      <c r="BH204" s="118" t="str">
        <f>IF(BH$6="","",IF(BH$3="Maior",IFERROR(IF(VLOOKUP($N204,Capa!$A:$AE,BH$5,0)="",0,VLOOKUP($N204,Capa!$A:$AE,BH$5,0)),0),IF(ISERROR(1/VLOOKUP($N204,Capa!$A:$AE,BH$5,0)),0,1/VLOOKUP($N204,Capa!$A:$AE,BH$5,0))))</f>
        <v/>
      </c>
      <c r="BI204" s="118" t="str">
        <f>IF(BI$6="","",IF(BI$3="Maior",IFERROR(IF(VLOOKUP($N204,Capa!$A:$AE,BI$5,0)="",0,VLOOKUP($N204,Capa!$A:$AE,BI$5,0)),0),IF(ISERROR(1/VLOOKUP($N204,Capa!$A:$AE,BI$5,0)),0,1/VLOOKUP($N204,Capa!$A:$AE,BI$5,0))))</f>
        <v/>
      </c>
      <c r="BJ204" s="118" t="str">
        <f>IF(BJ$6="","",IF(BJ$3="Maior",IFERROR(IF(VLOOKUP($N204,Capa!$A:$AE,BJ$5,0)="",0,VLOOKUP($N204,Capa!$A:$AE,BJ$5,0)),0),IF(ISERROR(1/VLOOKUP($N204,Capa!$A:$AE,BJ$5,0)),0,1/VLOOKUP($N204,Capa!$A:$AE,BJ$5,0))))</f>
        <v/>
      </c>
      <c r="BK204" s="118" t="str">
        <f>IF(BK$6="","",IF(BK$3="Maior",IFERROR(IF(VLOOKUP($N204,Capa!$A:$AE,BK$5,0)="",0,VLOOKUP($N204,Capa!$A:$AE,BK$5,0)),0),IF(ISERROR(1/VLOOKUP($N204,Capa!$A:$AE,BK$5,0)),0,1/VLOOKUP($N204,Capa!$A:$AE,BK$5,0))))</f>
        <v/>
      </c>
      <c r="BL204" s="118" t="str">
        <f>IF(BL$6="","",IF(BL$3="Maior",IFERROR(IF(VLOOKUP($N204,Capa!$A:$AE,BL$5,0)="",0,VLOOKUP($N204,Capa!$A:$AE,BL$5,0)),0),IF(ISERROR(1/VLOOKUP($N204,Capa!$A:$AE,BL$5,0)),0,1/VLOOKUP($N204,Capa!$A:$AE,BL$5,0))))</f>
        <v/>
      </c>
      <c r="BM204" s="118" t="str">
        <f>IF(BM$6="","",IF(BM$3="Maior",IFERROR(IF(VLOOKUP($N204,Capa!$A:$AE,BM$5,0)="",0,VLOOKUP($N204,Capa!$A:$AE,BM$5,0)),0),IF(ISERROR(1/VLOOKUP($N204,Capa!$A:$AE,BM$5,0)),0,1/VLOOKUP($N204,Capa!$A:$AE,BM$5,0))))</f>
        <v/>
      </c>
      <c r="BN204" s="118" t="str">
        <f>IF(BN$6="","",IF(BN$3="Maior",IFERROR(IF(VLOOKUP($N204,Capa!$A:$AE,BN$5,0)="",0,VLOOKUP($N204,Capa!$A:$AE,BN$5,0)),0),IF(ISERROR(1/VLOOKUP($N204,Capa!$A:$AE,BN$5,0)),0,1/VLOOKUP($N204,Capa!$A:$AE,BN$5,0))))</f>
        <v/>
      </c>
      <c r="BO204" s="92"/>
    </row>
    <row r="205">
      <c r="G205" s="11"/>
      <c r="H205" s="11"/>
      <c r="I205" s="8"/>
      <c r="J205" s="132"/>
      <c r="K205" s="11"/>
      <c r="L205" s="11"/>
      <c r="M205" s="11"/>
      <c r="N205" s="10" t="s">
        <v>251</v>
      </c>
      <c r="O205" s="113">
        <f t="shared" si="8"/>
        <v>1760.0118</v>
      </c>
      <c r="P205" s="114">
        <f>VLOOKUP(N205,'Dados StatusInvest'!A:Z,26,0)</f>
        <v>8941506.46</v>
      </c>
      <c r="Q205" s="115">
        <f t="shared" si="9"/>
        <v>118.0118</v>
      </c>
      <c r="R205" s="116">
        <f t="shared" ref="R205:AO205" si="208">IF(AQ205="","", RANK(AQ205,AQ$7:AQ$503,0))</f>
        <v>176</v>
      </c>
      <c r="S205" s="115">
        <f t="shared" si="208"/>
        <v>466</v>
      </c>
      <c r="T205" s="115" t="str">
        <f t="shared" si="208"/>
        <v/>
      </c>
      <c r="U205" s="115" t="str">
        <f t="shared" si="208"/>
        <v/>
      </c>
      <c r="V205" s="115" t="str">
        <f t="shared" si="208"/>
        <v/>
      </c>
      <c r="W205" s="115" t="str">
        <f t="shared" si="208"/>
        <v/>
      </c>
      <c r="X205" s="115" t="str">
        <f t="shared" si="208"/>
        <v/>
      </c>
      <c r="Y205" s="115" t="str">
        <f t="shared" si="208"/>
        <v/>
      </c>
      <c r="Z205" s="115" t="str">
        <f t="shared" si="208"/>
        <v/>
      </c>
      <c r="AA205" s="115" t="str">
        <f t="shared" si="208"/>
        <v/>
      </c>
      <c r="AB205" s="115" t="str">
        <f t="shared" si="208"/>
        <v/>
      </c>
      <c r="AC205" s="115" t="str">
        <f t="shared" si="208"/>
        <v/>
      </c>
      <c r="AD205" s="115" t="str">
        <f t="shared" si="208"/>
        <v/>
      </c>
      <c r="AE205" s="115" t="str">
        <f t="shared" si="208"/>
        <v/>
      </c>
      <c r="AF205" s="115" t="str">
        <f t="shared" si="208"/>
        <v/>
      </c>
      <c r="AG205" s="115" t="str">
        <f t="shared" si="208"/>
        <v/>
      </c>
      <c r="AH205" s="115" t="str">
        <f t="shared" si="208"/>
        <v/>
      </c>
      <c r="AI205" s="115" t="str">
        <f t="shared" si="208"/>
        <v/>
      </c>
      <c r="AJ205" s="115" t="str">
        <f t="shared" si="208"/>
        <v/>
      </c>
      <c r="AK205" s="115" t="str">
        <f t="shared" si="208"/>
        <v/>
      </c>
      <c r="AL205" s="115" t="str">
        <f t="shared" si="208"/>
        <v/>
      </c>
      <c r="AM205" s="115" t="str">
        <f t="shared" si="208"/>
        <v/>
      </c>
      <c r="AN205" s="115" t="str">
        <f t="shared" si="208"/>
        <v/>
      </c>
      <c r="AO205" s="115" t="str">
        <f t="shared" si="208"/>
        <v/>
      </c>
      <c r="AP205" s="117">
        <f>IF(AP$6="","",IF(AP$3="Maior",IFERROR(IF(VLOOKUP($N205,Capa!$A:$AE,AP$5,0)="",0,VLOOKUP($N205,Capa!$A:$AE,AP$5,0)),0),IF(ISERROR(1/VLOOKUP($N205,Capa!$A:$AE,AP$5,0)),0,1/VLOOKUP($N205,Capa!$A:$AE,AP$5,0))))</f>
        <v>0.1615128274</v>
      </c>
      <c r="AQ205" s="118">
        <f>IF(AQ$6="","",IF(AQ$3="Maior",IFERROR(IF(VLOOKUP($N205,Capa!$A:$AE,AQ$5,0)="",0,VLOOKUP($N205,Capa!$A:$AE,AQ$5,0)),0),IF(ISERROR(1/VLOOKUP($N205,Capa!$A:$AE,AQ$5,0)),0,1/VLOOKUP($N205,Capa!$A:$AE,AQ$5,0))))</f>
        <v>12.61</v>
      </c>
      <c r="AR205" s="118">
        <f>IF(AR$6="","",IF(AR$3="Maior",IFERROR(IF(VLOOKUP($N205,Capa!$A:$AE,AR$5,0)="",0,VLOOKUP($N205,Capa!$A:$AE,AR$5,0)),0),IF(ISERROR(1/VLOOKUP($N205,Capa!$A:$AE,AR$5,0)),0,1/VLOOKUP($N205,Capa!$A:$AE,AR$5,0))))</f>
        <v>-1.5</v>
      </c>
      <c r="AS205" s="118" t="str">
        <f>IF(AS$6="","",IF(AS$3="Maior",IFERROR(IF(VLOOKUP($N205,Capa!$A:$AE,AS$5,0)="",0,VLOOKUP($N205,Capa!$A:$AE,AS$5,0)),0),IF(ISERROR(1/VLOOKUP($N205,Capa!$A:$AE,AS$5,0)),0,1/VLOOKUP($N205,Capa!$A:$AE,AS$5,0))))</f>
        <v/>
      </c>
      <c r="AT205" s="118" t="str">
        <f>IF(AT$6="","",IF(AT$3="Maior",IFERROR(IF(VLOOKUP($N205,Capa!$A:$AE,AT$5,0)="",0,VLOOKUP($N205,Capa!$A:$AE,AT$5,0)),0),IF(ISERROR(1/VLOOKUP($N205,Capa!$A:$AE,AT$5,0)),0,1/VLOOKUP($N205,Capa!$A:$AE,AT$5,0))))</f>
        <v/>
      </c>
      <c r="AU205" s="118" t="str">
        <f>IF(AU$6="","",IF(AU$3="Maior",IFERROR(IF(VLOOKUP($N205,Capa!$A:$AE,AU$5,0)="",0,VLOOKUP($N205,Capa!$A:$AE,AU$5,0)),0),IF(ISERROR(1/VLOOKUP($N205,Capa!$A:$AE,AU$5,0)),0,1/VLOOKUP($N205,Capa!$A:$AE,AU$5,0))))</f>
        <v/>
      </c>
      <c r="AV205" s="118" t="str">
        <f>IF(AV$6="","",IF(AV$3="Maior",IFERROR(IF(VLOOKUP($N205,Capa!$A:$AE,AV$5,0)="",0,VLOOKUP($N205,Capa!$A:$AE,AV$5,0)),0),IF(ISERROR(1/VLOOKUP($N205,Capa!$A:$AE,AV$5,0)),0,1/VLOOKUP($N205,Capa!$A:$AE,AV$5,0))))</f>
        <v/>
      </c>
      <c r="AW205" s="118" t="str">
        <f>IF(AW$6="","",IF(AW$3="Maior",IFERROR(IF(VLOOKUP($N205,Capa!$A:$AE,AW$5,0)="",0,VLOOKUP($N205,Capa!$A:$AE,AW$5,0)),0),IF(ISERROR(1/VLOOKUP($N205,Capa!$A:$AE,AW$5,0)),0,1/VLOOKUP($N205,Capa!$A:$AE,AW$5,0))))</f>
        <v/>
      </c>
      <c r="AX205" s="118" t="str">
        <f>IF(AX$6="","",IF(AX$3="Maior",IFERROR(IF(VLOOKUP($N205,Capa!$A:$AE,AX$5,0)="",0,VLOOKUP($N205,Capa!$A:$AE,AX$5,0)),0),IF(ISERROR(1/VLOOKUP($N205,Capa!$A:$AE,AX$5,0)),0,1/VLOOKUP($N205,Capa!$A:$AE,AX$5,0))))</f>
        <v/>
      </c>
      <c r="AY205" s="118" t="str">
        <f>IF(AY$6="","",IF(AY$3="Maior",IFERROR(IF(VLOOKUP($N205,Capa!$A:$AE,AY$5,0)="",0,VLOOKUP($N205,Capa!$A:$AE,AY$5,0)),0),IF(ISERROR(1/VLOOKUP($N205,Capa!$A:$AE,AY$5,0)),0,1/VLOOKUP($N205,Capa!$A:$AE,AY$5,0))))</f>
        <v/>
      </c>
      <c r="AZ205" s="118" t="str">
        <f>IF(AZ$6="","",IF(AZ$3="Maior",IFERROR(IF(VLOOKUP($N205,Capa!$A:$AE,AZ$5,0)="",0,VLOOKUP($N205,Capa!$A:$AE,AZ$5,0)),0),IF(ISERROR(1/VLOOKUP($N205,Capa!$A:$AE,AZ$5,0)),0,1/VLOOKUP($N205,Capa!$A:$AE,AZ$5,0))))</f>
        <v/>
      </c>
      <c r="BA205" s="118" t="str">
        <f>IF(BA$6="","",IF(BA$3="Maior",IFERROR(IF(VLOOKUP($N205,Capa!$A:$AE,BA$5,0)="",0,VLOOKUP($N205,Capa!$A:$AE,BA$5,0)),0),IF(ISERROR(1/VLOOKUP($N205,Capa!$A:$AE,BA$5,0)),0,1/VLOOKUP($N205,Capa!$A:$AE,BA$5,0))))</f>
        <v/>
      </c>
      <c r="BB205" s="118" t="str">
        <f>IF(BB$6="","",IF(BB$3="Maior",IFERROR(IF(VLOOKUP($N205,Capa!$A:$AE,BB$5,0)="",0,VLOOKUP($N205,Capa!$A:$AE,BB$5,0)),0),IF(ISERROR(1/VLOOKUP($N205,Capa!$A:$AE,BB$5,0)),0,1/VLOOKUP($N205,Capa!$A:$AE,BB$5,0))))</f>
        <v/>
      </c>
      <c r="BC205" s="118" t="str">
        <f>IF(BC$6="","",IF(BC$3="Maior",IFERROR(IF(VLOOKUP($N205,Capa!$A:$AE,BC$5,0)="",0,VLOOKUP($N205,Capa!$A:$AE,BC$5,0)),0),IF(ISERROR(1/VLOOKUP($N205,Capa!$A:$AE,BC$5,0)),0,1/VLOOKUP($N205,Capa!$A:$AE,BC$5,0))))</f>
        <v/>
      </c>
      <c r="BD205" s="118" t="str">
        <f>IF(BD$6="","",IF(BD$3="Maior",IFERROR(IF(VLOOKUP($N205,Capa!$A:$AE,BD$5,0)="",0,VLOOKUP($N205,Capa!$A:$AE,BD$5,0)),0),IF(ISERROR(1/VLOOKUP($N205,Capa!$A:$AE,BD$5,0)),0,1/VLOOKUP($N205,Capa!$A:$AE,BD$5,0))))</f>
        <v/>
      </c>
      <c r="BE205" s="118" t="str">
        <f>IF(BE$6="","",IF(BE$3="Maior",IFERROR(IF(VLOOKUP($N205,Capa!$A:$AE,BE$5,0)="",0,VLOOKUP($N205,Capa!$A:$AE,BE$5,0)),0),IF(ISERROR(1/VLOOKUP($N205,Capa!$A:$AE,BE$5,0)),0,1/VLOOKUP($N205,Capa!$A:$AE,BE$5,0))))</f>
        <v/>
      </c>
      <c r="BF205" s="118" t="str">
        <f>IF(BF$6="","",IF(BF$3="Maior",IFERROR(IF(VLOOKUP($N205,Capa!$A:$AE,BF$5,0)="",0,VLOOKUP($N205,Capa!$A:$AE,BF$5,0)),0),IF(ISERROR(1/VLOOKUP($N205,Capa!$A:$AE,BF$5,0)),0,1/VLOOKUP($N205,Capa!$A:$AE,BF$5,0))))</f>
        <v/>
      </c>
      <c r="BG205" s="118" t="str">
        <f>IF(BG$6="","",IF(BG$3="Maior",IFERROR(IF(VLOOKUP($N205,Capa!$A:$AE,BG$5,0)="",0,VLOOKUP($N205,Capa!$A:$AE,BG$5,0)),0),IF(ISERROR(1/VLOOKUP($N205,Capa!$A:$AE,BG$5,0)),0,1/VLOOKUP($N205,Capa!$A:$AE,BG$5,0))))</f>
        <v/>
      </c>
      <c r="BH205" s="118" t="str">
        <f>IF(BH$6="","",IF(BH$3="Maior",IFERROR(IF(VLOOKUP($N205,Capa!$A:$AE,BH$5,0)="",0,VLOOKUP($N205,Capa!$A:$AE,BH$5,0)),0),IF(ISERROR(1/VLOOKUP($N205,Capa!$A:$AE,BH$5,0)),0,1/VLOOKUP($N205,Capa!$A:$AE,BH$5,0))))</f>
        <v/>
      </c>
      <c r="BI205" s="118" t="str">
        <f>IF(BI$6="","",IF(BI$3="Maior",IFERROR(IF(VLOOKUP($N205,Capa!$A:$AE,BI$5,0)="",0,VLOOKUP($N205,Capa!$A:$AE,BI$5,0)),0),IF(ISERROR(1/VLOOKUP($N205,Capa!$A:$AE,BI$5,0)),0,1/VLOOKUP($N205,Capa!$A:$AE,BI$5,0))))</f>
        <v/>
      </c>
      <c r="BJ205" s="118" t="str">
        <f>IF(BJ$6="","",IF(BJ$3="Maior",IFERROR(IF(VLOOKUP($N205,Capa!$A:$AE,BJ$5,0)="",0,VLOOKUP($N205,Capa!$A:$AE,BJ$5,0)),0),IF(ISERROR(1/VLOOKUP($N205,Capa!$A:$AE,BJ$5,0)),0,1/VLOOKUP($N205,Capa!$A:$AE,BJ$5,0))))</f>
        <v/>
      </c>
      <c r="BK205" s="118" t="str">
        <f>IF(BK$6="","",IF(BK$3="Maior",IFERROR(IF(VLOOKUP($N205,Capa!$A:$AE,BK$5,0)="",0,VLOOKUP($N205,Capa!$A:$AE,BK$5,0)),0),IF(ISERROR(1/VLOOKUP($N205,Capa!$A:$AE,BK$5,0)),0,1/VLOOKUP($N205,Capa!$A:$AE,BK$5,0))))</f>
        <v/>
      </c>
      <c r="BL205" s="118" t="str">
        <f>IF(BL$6="","",IF(BL$3="Maior",IFERROR(IF(VLOOKUP($N205,Capa!$A:$AE,BL$5,0)="",0,VLOOKUP($N205,Capa!$A:$AE,BL$5,0)),0),IF(ISERROR(1/VLOOKUP($N205,Capa!$A:$AE,BL$5,0)),0,1/VLOOKUP($N205,Capa!$A:$AE,BL$5,0))))</f>
        <v/>
      </c>
      <c r="BM205" s="118" t="str">
        <f>IF(BM$6="","",IF(BM$3="Maior",IFERROR(IF(VLOOKUP($N205,Capa!$A:$AE,BM$5,0)="",0,VLOOKUP($N205,Capa!$A:$AE,BM$5,0)),0),IF(ISERROR(1/VLOOKUP($N205,Capa!$A:$AE,BM$5,0)),0,1/VLOOKUP($N205,Capa!$A:$AE,BM$5,0))))</f>
        <v/>
      </c>
      <c r="BN205" s="118" t="str">
        <f>IF(BN$6="","",IF(BN$3="Maior",IFERROR(IF(VLOOKUP($N205,Capa!$A:$AE,BN$5,0)="",0,VLOOKUP($N205,Capa!$A:$AE,BN$5,0)),0),IF(ISERROR(1/VLOOKUP($N205,Capa!$A:$AE,BN$5,0)),0,1/VLOOKUP($N205,Capa!$A:$AE,BN$5,0))))</f>
        <v/>
      </c>
      <c r="BO205" s="92"/>
    </row>
    <row r="206">
      <c r="G206" s="11"/>
      <c r="H206" s="11"/>
      <c r="I206" s="8"/>
      <c r="J206" s="132"/>
      <c r="K206" s="11"/>
      <c r="L206" s="11"/>
      <c r="M206" s="11"/>
      <c r="N206" s="10" t="s">
        <v>252</v>
      </c>
      <c r="O206" s="113">
        <f t="shared" si="8"/>
        <v>1847.0323</v>
      </c>
      <c r="P206" s="114">
        <f>VLOOKUP(N206,'Dados StatusInvest'!A:Z,26,0)</f>
        <v>9106304.92</v>
      </c>
      <c r="Q206" s="115">
        <f t="shared" si="9"/>
        <v>323.0323</v>
      </c>
      <c r="R206" s="116">
        <f t="shared" ref="R206:AO206" si="209">IF(AQ206="","", RANK(AQ206,AQ$7:AQ$503,0))</f>
        <v>305</v>
      </c>
      <c r="S206" s="115">
        <f t="shared" si="209"/>
        <v>219</v>
      </c>
      <c r="T206" s="115" t="str">
        <f t="shared" si="209"/>
        <v/>
      </c>
      <c r="U206" s="115" t="str">
        <f t="shared" si="209"/>
        <v/>
      </c>
      <c r="V206" s="115" t="str">
        <f t="shared" si="209"/>
        <v/>
      </c>
      <c r="W206" s="115" t="str">
        <f t="shared" si="209"/>
        <v/>
      </c>
      <c r="X206" s="115" t="str">
        <f t="shared" si="209"/>
        <v/>
      </c>
      <c r="Y206" s="115" t="str">
        <f t="shared" si="209"/>
        <v/>
      </c>
      <c r="Z206" s="115" t="str">
        <f t="shared" si="209"/>
        <v/>
      </c>
      <c r="AA206" s="115" t="str">
        <f t="shared" si="209"/>
        <v/>
      </c>
      <c r="AB206" s="115" t="str">
        <f t="shared" si="209"/>
        <v/>
      </c>
      <c r="AC206" s="115" t="str">
        <f t="shared" si="209"/>
        <v/>
      </c>
      <c r="AD206" s="115" t="str">
        <f t="shared" si="209"/>
        <v/>
      </c>
      <c r="AE206" s="115" t="str">
        <f t="shared" si="209"/>
        <v/>
      </c>
      <c r="AF206" s="115" t="str">
        <f t="shared" si="209"/>
        <v/>
      </c>
      <c r="AG206" s="115" t="str">
        <f t="shared" si="209"/>
        <v/>
      </c>
      <c r="AH206" s="115" t="str">
        <f t="shared" si="209"/>
        <v/>
      </c>
      <c r="AI206" s="115" t="str">
        <f t="shared" si="209"/>
        <v/>
      </c>
      <c r="AJ206" s="115" t="str">
        <f t="shared" si="209"/>
        <v/>
      </c>
      <c r="AK206" s="115" t="str">
        <f t="shared" si="209"/>
        <v/>
      </c>
      <c r="AL206" s="115" t="str">
        <f t="shared" si="209"/>
        <v/>
      </c>
      <c r="AM206" s="115" t="str">
        <f t="shared" si="209"/>
        <v/>
      </c>
      <c r="AN206" s="115" t="str">
        <f t="shared" si="209"/>
        <v/>
      </c>
      <c r="AO206" s="115" t="str">
        <f t="shared" si="209"/>
        <v/>
      </c>
      <c r="AP206" s="117">
        <f>IF(AP$6="","",IF(AP$3="Maior",IFERROR(IF(VLOOKUP($N206,Capa!$A:$AE,AP$5,0)="",0,VLOOKUP($N206,Capa!$A:$AE,AP$5,0)),0),IF(ISERROR(1/VLOOKUP($N206,Capa!$A:$AE,AP$5,0)),0,1/VLOOKUP($N206,Capa!$A:$AE,AP$5,0))))</f>
        <v>0.04275430036</v>
      </c>
      <c r="AQ206" s="118">
        <f>IF(AQ$6="","",IF(AQ$3="Maior",IFERROR(IF(VLOOKUP($N206,Capa!$A:$AE,AQ$5,0)="",0,VLOOKUP($N206,Capa!$A:$AE,AQ$5,0)),0),IF(ISERROR(1/VLOOKUP($N206,Capa!$A:$AE,AQ$5,0)),0,1/VLOOKUP($N206,Capa!$A:$AE,AQ$5,0))))</f>
        <v>4.7</v>
      </c>
      <c r="AR206" s="118">
        <f>IF(AR$6="","",IF(AR$3="Maior",IFERROR(IF(VLOOKUP($N206,Capa!$A:$AE,AR$5,0)="",0,VLOOKUP($N206,Capa!$A:$AE,AR$5,0)),0),IF(ISERROR(1/VLOOKUP($N206,Capa!$A:$AE,AR$5,0)),0,1/VLOOKUP($N206,Capa!$A:$AE,AR$5,0))))</f>
        <v>0</v>
      </c>
      <c r="AS206" s="118" t="str">
        <f>IF(AS$6="","",IF(AS$3="Maior",IFERROR(IF(VLOOKUP($N206,Capa!$A:$AE,AS$5,0)="",0,VLOOKUP($N206,Capa!$A:$AE,AS$5,0)),0),IF(ISERROR(1/VLOOKUP($N206,Capa!$A:$AE,AS$5,0)),0,1/VLOOKUP($N206,Capa!$A:$AE,AS$5,0))))</f>
        <v/>
      </c>
      <c r="AT206" s="118" t="str">
        <f>IF(AT$6="","",IF(AT$3="Maior",IFERROR(IF(VLOOKUP($N206,Capa!$A:$AE,AT$5,0)="",0,VLOOKUP($N206,Capa!$A:$AE,AT$5,0)),0),IF(ISERROR(1/VLOOKUP($N206,Capa!$A:$AE,AT$5,0)),0,1/VLOOKUP($N206,Capa!$A:$AE,AT$5,0))))</f>
        <v/>
      </c>
      <c r="AU206" s="118" t="str">
        <f>IF(AU$6="","",IF(AU$3="Maior",IFERROR(IF(VLOOKUP($N206,Capa!$A:$AE,AU$5,0)="",0,VLOOKUP($N206,Capa!$A:$AE,AU$5,0)),0),IF(ISERROR(1/VLOOKUP($N206,Capa!$A:$AE,AU$5,0)),0,1/VLOOKUP($N206,Capa!$A:$AE,AU$5,0))))</f>
        <v/>
      </c>
      <c r="AV206" s="118" t="str">
        <f>IF(AV$6="","",IF(AV$3="Maior",IFERROR(IF(VLOOKUP($N206,Capa!$A:$AE,AV$5,0)="",0,VLOOKUP($N206,Capa!$A:$AE,AV$5,0)),0),IF(ISERROR(1/VLOOKUP($N206,Capa!$A:$AE,AV$5,0)),0,1/VLOOKUP($N206,Capa!$A:$AE,AV$5,0))))</f>
        <v/>
      </c>
      <c r="AW206" s="118" t="str">
        <f>IF(AW$6="","",IF(AW$3="Maior",IFERROR(IF(VLOOKUP($N206,Capa!$A:$AE,AW$5,0)="",0,VLOOKUP($N206,Capa!$A:$AE,AW$5,0)),0),IF(ISERROR(1/VLOOKUP($N206,Capa!$A:$AE,AW$5,0)),0,1/VLOOKUP($N206,Capa!$A:$AE,AW$5,0))))</f>
        <v/>
      </c>
      <c r="AX206" s="118" t="str">
        <f>IF(AX$6="","",IF(AX$3="Maior",IFERROR(IF(VLOOKUP($N206,Capa!$A:$AE,AX$5,0)="",0,VLOOKUP($N206,Capa!$A:$AE,AX$5,0)),0),IF(ISERROR(1/VLOOKUP($N206,Capa!$A:$AE,AX$5,0)),0,1/VLOOKUP($N206,Capa!$A:$AE,AX$5,0))))</f>
        <v/>
      </c>
      <c r="AY206" s="118" t="str">
        <f>IF(AY$6="","",IF(AY$3="Maior",IFERROR(IF(VLOOKUP($N206,Capa!$A:$AE,AY$5,0)="",0,VLOOKUP($N206,Capa!$A:$AE,AY$5,0)),0),IF(ISERROR(1/VLOOKUP($N206,Capa!$A:$AE,AY$5,0)),0,1/VLOOKUP($N206,Capa!$A:$AE,AY$5,0))))</f>
        <v/>
      </c>
      <c r="AZ206" s="118" t="str">
        <f>IF(AZ$6="","",IF(AZ$3="Maior",IFERROR(IF(VLOOKUP($N206,Capa!$A:$AE,AZ$5,0)="",0,VLOOKUP($N206,Capa!$A:$AE,AZ$5,0)),0),IF(ISERROR(1/VLOOKUP($N206,Capa!$A:$AE,AZ$5,0)),0,1/VLOOKUP($N206,Capa!$A:$AE,AZ$5,0))))</f>
        <v/>
      </c>
      <c r="BA206" s="118" t="str">
        <f>IF(BA$6="","",IF(BA$3="Maior",IFERROR(IF(VLOOKUP($N206,Capa!$A:$AE,BA$5,0)="",0,VLOOKUP($N206,Capa!$A:$AE,BA$5,0)),0),IF(ISERROR(1/VLOOKUP($N206,Capa!$A:$AE,BA$5,0)),0,1/VLOOKUP($N206,Capa!$A:$AE,BA$5,0))))</f>
        <v/>
      </c>
      <c r="BB206" s="118" t="str">
        <f>IF(BB$6="","",IF(BB$3="Maior",IFERROR(IF(VLOOKUP($N206,Capa!$A:$AE,BB$5,0)="",0,VLOOKUP($N206,Capa!$A:$AE,BB$5,0)),0),IF(ISERROR(1/VLOOKUP($N206,Capa!$A:$AE,BB$5,0)),0,1/VLOOKUP($N206,Capa!$A:$AE,BB$5,0))))</f>
        <v/>
      </c>
      <c r="BC206" s="118" t="str">
        <f>IF(BC$6="","",IF(BC$3="Maior",IFERROR(IF(VLOOKUP($N206,Capa!$A:$AE,BC$5,0)="",0,VLOOKUP($N206,Capa!$A:$AE,BC$5,0)),0),IF(ISERROR(1/VLOOKUP($N206,Capa!$A:$AE,BC$5,0)),0,1/VLOOKUP($N206,Capa!$A:$AE,BC$5,0))))</f>
        <v/>
      </c>
      <c r="BD206" s="118" t="str">
        <f>IF(BD$6="","",IF(BD$3="Maior",IFERROR(IF(VLOOKUP($N206,Capa!$A:$AE,BD$5,0)="",0,VLOOKUP($N206,Capa!$A:$AE,BD$5,0)),0),IF(ISERROR(1/VLOOKUP($N206,Capa!$A:$AE,BD$5,0)),0,1/VLOOKUP($N206,Capa!$A:$AE,BD$5,0))))</f>
        <v/>
      </c>
      <c r="BE206" s="118" t="str">
        <f>IF(BE$6="","",IF(BE$3="Maior",IFERROR(IF(VLOOKUP($N206,Capa!$A:$AE,BE$5,0)="",0,VLOOKUP($N206,Capa!$A:$AE,BE$5,0)),0),IF(ISERROR(1/VLOOKUP($N206,Capa!$A:$AE,BE$5,0)),0,1/VLOOKUP($N206,Capa!$A:$AE,BE$5,0))))</f>
        <v/>
      </c>
      <c r="BF206" s="118" t="str">
        <f>IF(BF$6="","",IF(BF$3="Maior",IFERROR(IF(VLOOKUP($N206,Capa!$A:$AE,BF$5,0)="",0,VLOOKUP($N206,Capa!$A:$AE,BF$5,0)),0),IF(ISERROR(1/VLOOKUP($N206,Capa!$A:$AE,BF$5,0)),0,1/VLOOKUP($N206,Capa!$A:$AE,BF$5,0))))</f>
        <v/>
      </c>
      <c r="BG206" s="118" t="str">
        <f>IF(BG$6="","",IF(BG$3="Maior",IFERROR(IF(VLOOKUP($N206,Capa!$A:$AE,BG$5,0)="",0,VLOOKUP($N206,Capa!$A:$AE,BG$5,0)),0),IF(ISERROR(1/VLOOKUP($N206,Capa!$A:$AE,BG$5,0)),0,1/VLOOKUP($N206,Capa!$A:$AE,BG$5,0))))</f>
        <v/>
      </c>
      <c r="BH206" s="118" t="str">
        <f>IF(BH$6="","",IF(BH$3="Maior",IFERROR(IF(VLOOKUP($N206,Capa!$A:$AE,BH$5,0)="",0,VLOOKUP($N206,Capa!$A:$AE,BH$5,0)),0),IF(ISERROR(1/VLOOKUP($N206,Capa!$A:$AE,BH$5,0)),0,1/VLOOKUP($N206,Capa!$A:$AE,BH$5,0))))</f>
        <v/>
      </c>
      <c r="BI206" s="118" t="str">
        <f>IF(BI$6="","",IF(BI$3="Maior",IFERROR(IF(VLOOKUP($N206,Capa!$A:$AE,BI$5,0)="",0,VLOOKUP($N206,Capa!$A:$AE,BI$5,0)),0),IF(ISERROR(1/VLOOKUP($N206,Capa!$A:$AE,BI$5,0)),0,1/VLOOKUP($N206,Capa!$A:$AE,BI$5,0))))</f>
        <v/>
      </c>
      <c r="BJ206" s="118" t="str">
        <f>IF(BJ$6="","",IF(BJ$3="Maior",IFERROR(IF(VLOOKUP($N206,Capa!$A:$AE,BJ$5,0)="",0,VLOOKUP($N206,Capa!$A:$AE,BJ$5,0)),0),IF(ISERROR(1/VLOOKUP($N206,Capa!$A:$AE,BJ$5,0)),0,1/VLOOKUP($N206,Capa!$A:$AE,BJ$5,0))))</f>
        <v/>
      </c>
      <c r="BK206" s="118" t="str">
        <f>IF(BK$6="","",IF(BK$3="Maior",IFERROR(IF(VLOOKUP($N206,Capa!$A:$AE,BK$5,0)="",0,VLOOKUP($N206,Capa!$A:$AE,BK$5,0)),0),IF(ISERROR(1/VLOOKUP($N206,Capa!$A:$AE,BK$5,0)),0,1/VLOOKUP($N206,Capa!$A:$AE,BK$5,0))))</f>
        <v/>
      </c>
      <c r="BL206" s="118" t="str">
        <f>IF(BL$6="","",IF(BL$3="Maior",IFERROR(IF(VLOOKUP($N206,Capa!$A:$AE,BL$5,0)="",0,VLOOKUP($N206,Capa!$A:$AE,BL$5,0)),0),IF(ISERROR(1/VLOOKUP($N206,Capa!$A:$AE,BL$5,0)),0,1/VLOOKUP($N206,Capa!$A:$AE,BL$5,0))))</f>
        <v/>
      </c>
      <c r="BM206" s="118" t="str">
        <f>IF(BM$6="","",IF(BM$3="Maior",IFERROR(IF(VLOOKUP($N206,Capa!$A:$AE,BM$5,0)="",0,VLOOKUP($N206,Capa!$A:$AE,BM$5,0)),0),IF(ISERROR(1/VLOOKUP($N206,Capa!$A:$AE,BM$5,0)),0,1/VLOOKUP($N206,Capa!$A:$AE,BM$5,0))))</f>
        <v/>
      </c>
      <c r="BN206" s="118" t="str">
        <f>IF(BN$6="","",IF(BN$3="Maior",IFERROR(IF(VLOOKUP($N206,Capa!$A:$AE,BN$5,0)="",0,VLOOKUP($N206,Capa!$A:$AE,BN$5,0)),0),IF(ISERROR(1/VLOOKUP($N206,Capa!$A:$AE,BN$5,0)),0,1/VLOOKUP($N206,Capa!$A:$AE,BN$5,0))))</f>
        <v/>
      </c>
      <c r="BO206" s="92"/>
    </row>
    <row r="207">
      <c r="G207" s="11"/>
      <c r="H207" s="11"/>
      <c r="I207" s="8"/>
      <c r="J207" s="132"/>
      <c r="K207" s="11"/>
      <c r="L207" s="11"/>
      <c r="M207" s="11"/>
      <c r="N207" s="10" t="s">
        <v>253</v>
      </c>
      <c r="O207" s="113">
        <f t="shared" si="8"/>
        <v>452.022</v>
      </c>
      <c r="P207" s="114">
        <f>VLOOKUP(N207,'Dados StatusInvest'!A:Z,26,0)</f>
        <v>10375612.92</v>
      </c>
      <c r="Q207" s="115">
        <f t="shared" si="9"/>
        <v>220.022</v>
      </c>
      <c r="R207" s="116">
        <f t="shared" ref="R207:AO207" si="210">IF(AQ207="","", RANK(AQ207,AQ$7:AQ$503,0))</f>
        <v>201</v>
      </c>
      <c r="S207" s="115">
        <f t="shared" si="210"/>
        <v>31</v>
      </c>
      <c r="T207" s="115" t="str">
        <f t="shared" si="210"/>
        <v/>
      </c>
      <c r="U207" s="115" t="str">
        <f t="shared" si="210"/>
        <v/>
      </c>
      <c r="V207" s="115" t="str">
        <f t="shared" si="210"/>
        <v/>
      </c>
      <c r="W207" s="115" t="str">
        <f t="shared" si="210"/>
        <v/>
      </c>
      <c r="X207" s="115" t="str">
        <f t="shared" si="210"/>
        <v/>
      </c>
      <c r="Y207" s="115" t="str">
        <f t="shared" si="210"/>
        <v/>
      </c>
      <c r="Z207" s="115" t="str">
        <f t="shared" si="210"/>
        <v/>
      </c>
      <c r="AA207" s="115" t="str">
        <f t="shared" si="210"/>
        <v/>
      </c>
      <c r="AB207" s="115" t="str">
        <f t="shared" si="210"/>
        <v/>
      </c>
      <c r="AC207" s="115" t="str">
        <f t="shared" si="210"/>
        <v/>
      </c>
      <c r="AD207" s="115" t="str">
        <f t="shared" si="210"/>
        <v/>
      </c>
      <c r="AE207" s="115" t="str">
        <f t="shared" si="210"/>
        <v/>
      </c>
      <c r="AF207" s="115" t="str">
        <f t="shared" si="210"/>
        <v/>
      </c>
      <c r="AG207" s="115" t="str">
        <f t="shared" si="210"/>
        <v/>
      </c>
      <c r="AH207" s="115" t="str">
        <f t="shared" si="210"/>
        <v/>
      </c>
      <c r="AI207" s="115" t="str">
        <f t="shared" si="210"/>
        <v/>
      </c>
      <c r="AJ207" s="115" t="str">
        <f t="shared" si="210"/>
        <v/>
      </c>
      <c r="AK207" s="115" t="str">
        <f t="shared" si="210"/>
        <v/>
      </c>
      <c r="AL207" s="115" t="str">
        <f t="shared" si="210"/>
        <v/>
      </c>
      <c r="AM207" s="115" t="str">
        <f t="shared" si="210"/>
        <v/>
      </c>
      <c r="AN207" s="115" t="str">
        <f t="shared" si="210"/>
        <v/>
      </c>
      <c r="AO207" s="115" t="str">
        <f t="shared" si="210"/>
        <v/>
      </c>
      <c r="AP207" s="117">
        <f>IF(AP$6="","",IF(AP$3="Maior",IFERROR(IF(VLOOKUP($N207,Capa!$A:$AE,AP$5,0)="",0,VLOOKUP($N207,Capa!$A:$AE,AP$5,0)),0),IF(ISERROR(1/VLOOKUP($N207,Capa!$A:$AE,AP$5,0)),0,1/VLOOKUP($N207,Capa!$A:$AE,AP$5,0))))</f>
        <v>0.09544289316</v>
      </c>
      <c r="AQ207" s="118">
        <f>IF(AQ$6="","",IF(AQ$3="Maior",IFERROR(IF(VLOOKUP($N207,Capa!$A:$AE,AQ$5,0)="",0,VLOOKUP($N207,Capa!$A:$AE,AQ$5,0)),0),IF(ISERROR(1/VLOOKUP($N207,Capa!$A:$AE,AQ$5,0)),0,1/VLOOKUP($N207,Capa!$A:$AE,AQ$5,0))))</f>
        <v>11.17</v>
      </c>
      <c r="AR207" s="118">
        <f>IF(AR$6="","",IF(AR$3="Maior",IFERROR(IF(VLOOKUP($N207,Capa!$A:$AE,AR$5,0)="",0,VLOOKUP($N207,Capa!$A:$AE,AR$5,0)),0),IF(ISERROR(1/VLOOKUP($N207,Capa!$A:$AE,AR$5,0)),0,1/VLOOKUP($N207,Capa!$A:$AE,AR$5,0))))</f>
        <v>63.44</v>
      </c>
      <c r="AS207" s="118" t="str">
        <f>IF(AS$6="","",IF(AS$3="Maior",IFERROR(IF(VLOOKUP($N207,Capa!$A:$AE,AS$5,0)="",0,VLOOKUP($N207,Capa!$A:$AE,AS$5,0)),0),IF(ISERROR(1/VLOOKUP($N207,Capa!$A:$AE,AS$5,0)),0,1/VLOOKUP($N207,Capa!$A:$AE,AS$5,0))))</f>
        <v/>
      </c>
      <c r="AT207" s="118" t="str">
        <f>IF(AT$6="","",IF(AT$3="Maior",IFERROR(IF(VLOOKUP($N207,Capa!$A:$AE,AT$5,0)="",0,VLOOKUP($N207,Capa!$A:$AE,AT$5,0)),0),IF(ISERROR(1/VLOOKUP($N207,Capa!$A:$AE,AT$5,0)),0,1/VLOOKUP($N207,Capa!$A:$AE,AT$5,0))))</f>
        <v/>
      </c>
      <c r="AU207" s="118" t="str">
        <f>IF(AU$6="","",IF(AU$3="Maior",IFERROR(IF(VLOOKUP($N207,Capa!$A:$AE,AU$5,0)="",0,VLOOKUP($N207,Capa!$A:$AE,AU$5,0)),0),IF(ISERROR(1/VLOOKUP($N207,Capa!$A:$AE,AU$5,0)),0,1/VLOOKUP($N207,Capa!$A:$AE,AU$5,0))))</f>
        <v/>
      </c>
      <c r="AV207" s="118" t="str">
        <f>IF(AV$6="","",IF(AV$3="Maior",IFERROR(IF(VLOOKUP($N207,Capa!$A:$AE,AV$5,0)="",0,VLOOKUP($N207,Capa!$A:$AE,AV$5,0)),0),IF(ISERROR(1/VLOOKUP($N207,Capa!$A:$AE,AV$5,0)),0,1/VLOOKUP($N207,Capa!$A:$AE,AV$5,0))))</f>
        <v/>
      </c>
      <c r="AW207" s="118" t="str">
        <f>IF(AW$6="","",IF(AW$3="Maior",IFERROR(IF(VLOOKUP($N207,Capa!$A:$AE,AW$5,0)="",0,VLOOKUP($N207,Capa!$A:$AE,AW$5,0)),0),IF(ISERROR(1/VLOOKUP($N207,Capa!$A:$AE,AW$5,0)),0,1/VLOOKUP($N207,Capa!$A:$AE,AW$5,0))))</f>
        <v/>
      </c>
      <c r="AX207" s="118" t="str">
        <f>IF(AX$6="","",IF(AX$3="Maior",IFERROR(IF(VLOOKUP($N207,Capa!$A:$AE,AX$5,0)="",0,VLOOKUP($N207,Capa!$A:$AE,AX$5,0)),0),IF(ISERROR(1/VLOOKUP($N207,Capa!$A:$AE,AX$5,0)),0,1/VLOOKUP($N207,Capa!$A:$AE,AX$5,0))))</f>
        <v/>
      </c>
      <c r="AY207" s="118" t="str">
        <f>IF(AY$6="","",IF(AY$3="Maior",IFERROR(IF(VLOOKUP($N207,Capa!$A:$AE,AY$5,0)="",0,VLOOKUP($N207,Capa!$A:$AE,AY$5,0)),0),IF(ISERROR(1/VLOOKUP($N207,Capa!$A:$AE,AY$5,0)),0,1/VLOOKUP($N207,Capa!$A:$AE,AY$5,0))))</f>
        <v/>
      </c>
      <c r="AZ207" s="118" t="str">
        <f>IF(AZ$6="","",IF(AZ$3="Maior",IFERROR(IF(VLOOKUP($N207,Capa!$A:$AE,AZ$5,0)="",0,VLOOKUP($N207,Capa!$A:$AE,AZ$5,0)),0),IF(ISERROR(1/VLOOKUP($N207,Capa!$A:$AE,AZ$5,0)),0,1/VLOOKUP($N207,Capa!$A:$AE,AZ$5,0))))</f>
        <v/>
      </c>
      <c r="BA207" s="118" t="str">
        <f>IF(BA$6="","",IF(BA$3="Maior",IFERROR(IF(VLOOKUP($N207,Capa!$A:$AE,BA$5,0)="",0,VLOOKUP($N207,Capa!$A:$AE,BA$5,0)),0),IF(ISERROR(1/VLOOKUP($N207,Capa!$A:$AE,BA$5,0)),0,1/VLOOKUP($N207,Capa!$A:$AE,BA$5,0))))</f>
        <v/>
      </c>
      <c r="BB207" s="118" t="str">
        <f>IF(BB$6="","",IF(BB$3="Maior",IFERROR(IF(VLOOKUP($N207,Capa!$A:$AE,BB$5,0)="",0,VLOOKUP($N207,Capa!$A:$AE,BB$5,0)),0),IF(ISERROR(1/VLOOKUP($N207,Capa!$A:$AE,BB$5,0)),0,1/VLOOKUP($N207,Capa!$A:$AE,BB$5,0))))</f>
        <v/>
      </c>
      <c r="BC207" s="118" t="str">
        <f>IF(BC$6="","",IF(BC$3="Maior",IFERROR(IF(VLOOKUP($N207,Capa!$A:$AE,BC$5,0)="",0,VLOOKUP($N207,Capa!$A:$AE,BC$5,0)),0),IF(ISERROR(1/VLOOKUP($N207,Capa!$A:$AE,BC$5,0)),0,1/VLOOKUP($N207,Capa!$A:$AE,BC$5,0))))</f>
        <v/>
      </c>
      <c r="BD207" s="118" t="str">
        <f>IF(BD$6="","",IF(BD$3="Maior",IFERROR(IF(VLOOKUP($N207,Capa!$A:$AE,BD$5,0)="",0,VLOOKUP($N207,Capa!$A:$AE,BD$5,0)),0),IF(ISERROR(1/VLOOKUP($N207,Capa!$A:$AE,BD$5,0)),0,1/VLOOKUP($N207,Capa!$A:$AE,BD$5,0))))</f>
        <v/>
      </c>
      <c r="BE207" s="118" t="str">
        <f>IF(BE$6="","",IF(BE$3="Maior",IFERROR(IF(VLOOKUP($N207,Capa!$A:$AE,BE$5,0)="",0,VLOOKUP($N207,Capa!$A:$AE,BE$5,0)),0),IF(ISERROR(1/VLOOKUP($N207,Capa!$A:$AE,BE$5,0)),0,1/VLOOKUP($N207,Capa!$A:$AE,BE$5,0))))</f>
        <v/>
      </c>
      <c r="BF207" s="118" t="str">
        <f>IF(BF$6="","",IF(BF$3="Maior",IFERROR(IF(VLOOKUP($N207,Capa!$A:$AE,BF$5,0)="",0,VLOOKUP($N207,Capa!$A:$AE,BF$5,0)),0),IF(ISERROR(1/VLOOKUP($N207,Capa!$A:$AE,BF$5,0)),0,1/VLOOKUP($N207,Capa!$A:$AE,BF$5,0))))</f>
        <v/>
      </c>
      <c r="BG207" s="118" t="str">
        <f>IF(BG$6="","",IF(BG$3="Maior",IFERROR(IF(VLOOKUP($N207,Capa!$A:$AE,BG$5,0)="",0,VLOOKUP($N207,Capa!$A:$AE,BG$5,0)),0),IF(ISERROR(1/VLOOKUP($N207,Capa!$A:$AE,BG$5,0)),0,1/VLOOKUP($N207,Capa!$A:$AE,BG$5,0))))</f>
        <v/>
      </c>
      <c r="BH207" s="118" t="str">
        <f>IF(BH$6="","",IF(BH$3="Maior",IFERROR(IF(VLOOKUP($N207,Capa!$A:$AE,BH$5,0)="",0,VLOOKUP($N207,Capa!$A:$AE,BH$5,0)),0),IF(ISERROR(1/VLOOKUP($N207,Capa!$A:$AE,BH$5,0)),0,1/VLOOKUP($N207,Capa!$A:$AE,BH$5,0))))</f>
        <v/>
      </c>
      <c r="BI207" s="118" t="str">
        <f>IF(BI$6="","",IF(BI$3="Maior",IFERROR(IF(VLOOKUP($N207,Capa!$A:$AE,BI$5,0)="",0,VLOOKUP($N207,Capa!$A:$AE,BI$5,0)),0),IF(ISERROR(1/VLOOKUP($N207,Capa!$A:$AE,BI$5,0)),0,1/VLOOKUP($N207,Capa!$A:$AE,BI$5,0))))</f>
        <v/>
      </c>
      <c r="BJ207" s="118" t="str">
        <f>IF(BJ$6="","",IF(BJ$3="Maior",IFERROR(IF(VLOOKUP($N207,Capa!$A:$AE,BJ$5,0)="",0,VLOOKUP($N207,Capa!$A:$AE,BJ$5,0)),0),IF(ISERROR(1/VLOOKUP($N207,Capa!$A:$AE,BJ$5,0)),0,1/VLOOKUP($N207,Capa!$A:$AE,BJ$5,0))))</f>
        <v/>
      </c>
      <c r="BK207" s="118" t="str">
        <f>IF(BK$6="","",IF(BK$3="Maior",IFERROR(IF(VLOOKUP($N207,Capa!$A:$AE,BK$5,0)="",0,VLOOKUP($N207,Capa!$A:$AE,BK$5,0)),0),IF(ISERROR(1/VLOOKUP($N207,Capa!$A:$AE,BK$5,0)),0,1/VLOOKUP($N207,Capa!$A:$AE,BK$5,0))))</f>
        <v/>
      </c>
      <c r="BL207" s="118" t="str">
        <f>IF(BL$6="","",IF(BL$3="Maior",IFERROR(IF(VLOOKUP($N207,Capa!$A:$AE,BL$5,0)="",0,VLOOKUP($N207,Capa!$A:$AE,BL$5,0)),0),IF(ISERROR(1/VLOOKUP($N207,Capa!$A:$AE,BL$5,0)),0,1/VLOOKUP($N207,Capa!$A:$AE,BL$5,0))))</f>
        <v/>
      </c>
      <c r="BM207" s="118" t="str">
        <f>IF(BM$6="","",IF(BM$3="Maior",IFERROR(IF(VLOOKUP($N207,Capa!$A:$AE,BM$5,0)="",0,VLOOKUP($N207,Capa!$A:$AE,BM$5,0)),0),IF(ISERROR(1/VLOOKUP($N207,Capa!$A:$AE,BM$5,0)),0,1/VLOOKUP($N207,Capa!$A:$AE,BM$5,0))))</f>
        <v/>
      </c>
      <c r="BN207" s="118" t="str">
        <f>IF(BN$6="","",IF(BN$3="Maior",IFERROR(IF(VLOOKUP($N207,Capa!$A:$AE,BN$5,0)="",0,VLOOKUP($N207,Capa!$A:$AE,BN$5,0)),0),IF(ISERROR(1/VLOOKUP($N207,Capa!$A:$AE,BN$5,0)),0,1/VLOOKUP($N207,Capa!$A:$AE,BN$5,0))))</f>
        <v/>
      </c>
      <c r="BO207" s="92"/>
    </row>
    <row r="208">
      <c r="G208" s="11"/>
      <c r="H208" s="11"/>
      <c r="I208" s="8"/>
      <c r="J208" s="132"/>
      <c r="K208" s="11"/>
      <c r="L208" s="11"/>
      <c r="M208" s="11"/>
      <c r="N208" s="10" t="s">
        <v>254</v>
      </c>
      <c r="O208" s="113">
        <f t="shared" si="8"/>
        <v>1844.0304</v>
      </c>
      <c r="P208" s="114">
        <f>VLOOKUP(N208,'Dados StatusInvest'!A:Z,26,0)</f>
        <v>7762342.08</v>
      </c>
      <c r="Q208" s="115">
        <f t="shared" si="9"/>
        <v>304.0304</v>
      </c>
      <c r="R208" s="116">
        <f t="shared" ref="R208:AO208" si="211">IF(AQ208="","", RANK(AQ208,AQ$7:AQ$503,0))</f>
        <v>321</v>
      </c>
      <c r="S208" s="115">
        <f t="shared" si="211"/>
        <v>219</v>
      </c>
      <c r="T208" s="115" t="str">
        <f t="shared" si="211"/>
        <v/>
      </c>
      <c r="U208" s="115" t="str">
        <f t="shared" si="211"/>
        <v/>
      </c>
      <c r="V208" s="115" t="str">
        <f t="shared" si="211"/>
        <v/>
      </c>
      <c r="W208" s="115" t="str">
        <f t="shared" si="211"/>
        <v/>
      </c>
      <c r="X208" s="115" t="str">
        <f t="shared" si="211"/>
        <v/>
      </c>
      <c r="Y208" s="115" t="str">
        <f t="shared" si="211"/>
        <v/>
      </c>
      <c r="Z208" s="115" t="str">
        <f t="shared" si="211"/>
        <v/>
      </c>
      <c r="AA208" s="115" t="str">
        <f t="shared" si="211"/>
        <v/>
      </c>
      <c r="AB208" s="115" t="str">
        <f t="shared" si="211"/>
        <v/>
      </c>
      <c r="AC208" s="115" t="str">
        <f t="shared" si="211"/>
        <v/>
      </c>
      <c r="AD208" s="115" t="str">
        <f t="shared" si="211"/>
        <v/>
      </c>
      <c r="AE208" s="115" t="str">
        <f t="shared" si="211"/>
        <v/>
      </c>
      <c r="AF208" s="115" t="str">
        <f t="shared" si="211"/>
        <v/>
      </c>
      <c r="AG208" s="115" t="str">
        <f t="shared" si="211"/>
        <v/>
      </c>
      <c r="AH208" s="115" t="str">
        <f t="shared" si="211"/>
        <v/>
      </c>
      <c r="AI208" s="115" t="str">
        <f t="shared" si="211"/>
        <v/>
      </c>
      <c r="AJ208" s="115" t="str">
        <f t="shared" si="211"/>
        <v/>
      </c>
      <c r="AK208" s="115" t="str">
        <f t="shared" si="211"/>
        <v/>
      </c>
      <c r="AL208" s="115" t="str">
        <f t="shared" si="211"/>
        <v/>
      </c>
      <c r="AM208" s="115" t="str">
        <f t="shared" si="211"/>
        <v/>
      </c>
      <c r="AN208" s="115" t="str">
        <f t="shared" si="211"/>
        <v/>
      </c>
      <c r="AO208" s="115" t="str">
        <f t="shared" si="211"/>
        <v/>
      </c>
      <c r="AP208" s="117">
        <f>IF(AP$6="","",IF(AP$3="Maior",IFERROR(IF(VLOOKUP($N208,Capa!$A:$AE,AP$5,0)="",0,VLOOKUP($N208,Capa!$A:$AE,AP$5,0)),0),IF(ISERROR(1/VLOOKUP($N208,Capa!$A:$AE,AP$5,0)),0,1/VLOOKUP($N208,Capa!$A:$AE,AP$5,0))))</f>
        <v>0.05257016361</v>
      </c>
      <c r="AQ208" s="118">
        <f>IF(AQ$6="","",IF(AQ$3="Maior",IFERROR(IF(VLOOKUP($N208,Capa!$A:$AE,AQ$5,0)="",0,VLOOKUP($N208,Capa!$A:$AE,AQ$5,0)),0),IF(ISERROR(1/VLOOKUP($N208,Capa!$A:$AE,AQ$5,0)),0,1/VLOOKUP($N208,Capa!$A:$AE,AQ$5,0))))</f>
        <v>3.47</v>
      </c>
      <c r="AR208" s="118">
        <f>IF(AR$6="","",IF(AR$3="Maior",IFERROR(IF(VLOOKUP($N208,Capa!$A:$AE,AR$5,0)="",0,VLOOKUP($N208,Capa!$A:$AE,AR$5,0)),0),IF(ISERROR(1/VLOOKUP($N208,Capa!$A:$AE,AR$5,0)),0,1/VLOOKUP($N208,Capa!$A:$AE,AR$5,0))))</f>
        <v>0</v>
      </c>
      <c r="AS208" s="118" t="str">
        <f>IF(AS$6="","",IF(AS$3="Maior",IFERROR(IF(VLOOKUP($N208,Capa!$A:$AE,AS$5,0)="",0,VLOOKUP($N208,Capa!$A:$AE,AS$5,0)),0),IF(ISERROR(1/VLOOKUP($N208,Capa!$A:$AE,AS$5,0)),0,1/VLOOKUP($N208,Capa!$A:$AE,AS$5,0))))</f>
        <v/>
      </c>
      <c r="AT208" s="118" t="str">
        <f>IF(AT$6="","",IF(AT$3="Maior",IFERROR(IF(VLOOKUP($N208,Capa!$A:$AE,AT$5,0)="",0,VLOOKUP($N208,Capa!$A:$AE,AT$5,0)),0),IF(ISERROR(1/VLOOKUP($N208,Capa!$A:$AE,AT$5,0)),0,1/VLOOKUP($N208,Capa!$A:$AE,AT$5,0))))</f>
        <v/>
      </c>
      <c r="AU208" s="118" t="str">
        <f>IF(AU$6="","",IF(AU$3="Maior",IFERROR(IF(VLOOKUP($N208,Capa!$A:$AE,AU$5,0)="",0,VLOOKUP($N208,Capa!$A:$AE,AU$5,0)),0),IF(ISERROR(1/VLOOKUP($N208,Capa!$A:$AE,AU$5,0)),0,1/VLOOKUP($N208,Capa!$A:$AE,AU$5,0))))</f>
        <v/>
      </c>
      <c r="AV208" s="118" t="str">
        <f>IF(AV$6="","",IF(AV$3="Maior",IFERROR(IF(VLOOKUP($N208,Capa!$A:$AE,AV$5,0)="",0,VLOOKUP($N208,Capa!$A:$AE,AV$5,0)),0),IF(ISERROR(1/VLOOKUP($N208,Capa!$A:$AE,AV$5,0)),0,1/VLOOKUP($N208,Capa!$A:$AE,AV$5,0))))</f>
        <v/>
      </c>
      <c r="AW208" s="118" t="str">
        <f>IF(AW$6="","",IF(AW$3="Maior",IFERROR(IF(VLOOKUP($N208,Capa!$A:$AE,AW$5,0)="",0,VLOOKUP($N208,Capa!$A:$AE,AW$5,0)),0),IF(ISERROR(1/VLOOKUP($N208,Capa!$A:$AE,AW$5,0)),0,1/VLOOKUP($N208,Capa!$A:$AE,AW$5,0))))</f>
        <v/>
      </c>
      <c r="AX208" s="118" t="str">
        <f>IF(AX$6="","",IF(AX$3="Maior",IFERROR(IF(VLOOKUP($N208,Capa!$A:$AE,AX$5,0)="",0,VLOOKUP($N208,Capa!$A:$AE,AX$5,0)),0),IF(ISERROR(1/VLOOKUP($N208,Capa!$A:$AE,AX$5,0)),0,1/VLOOKUP($N208,Capa!$A:$AE,AX$5,0))))</f>
        <v/>
      </c>
      <c r="AY208" s="118" t="str">
        <f>IF(AY$6="","",IF(AY$3="Maior",IFERROR(IF(VLOOKUP($N208,Capa!$A:$AE,AY$5,0)="",0,VLOOKUP($N208,Capa!$A:$AE,AY$5,0)),0),IF(ISERROR(1/VLOOKUP($N208,Capa!$A:$AE,AY$5,0)),0,1/VLOOKUP($N208,Capa!$A:$AE,AY$5,0))))</f>
        <v/>
      </c>
      <c r="AZ208" s="118" t="str">
        <f>IF(AZ$6="","",IF(AZ$3="Maior",IFERROR(IF(VLOOKUP($N208,Capa!$A:$AE,AZ$5,0)="",0,VLOOKUP($N208,Capa!$A:$AE,AZ$5,0)),0),IF(ISERROR(1/VLOOKUP($N208,Capa!$A:$AE,AZ$5,0)),0,1/VLOOKUP($N208,Capa!$A:$AE,AZ$5,0))))</f>
        <v/>
      </c>
      <c r="BA208" s="118" t="str">
        <f>IF(BA$6="","",IF(BA$3="Maior",IFERROR(IF(VLOOKUP($N208,Capa!$A:$AE,BA$5,0)="",0,VLOOKUP($N208,Capa!$A:$AE,BA$5,0)),0),IF(ISERROR(1/VLOOKUP($N208,Capa!$A:$AE,BA$5,0)),0,1/VLOOKUP($N208,Capa!$A:$AE,BA$5,0))))</f>
        <v/>
      </c>
      <c r="BB208" s="118" t="str">
        <f>IF(BB$6="","",IF(BB$3="Maior",IFERROR(IF(VLOOKUP($N208,Capa!$A:$AE,BB$5,0)="",0,VLOOKUP($N208,Capa!$A:$AE,BB$5,0)),0),IF(ISERROR(1/VLOOKUP($N208,Capa!$A:$AE,BB$5,0)),0,1/VLOOKUP($N208,Capa!$A:$AE,BB$5,0))))</f>
        <v/>
      </c>
      <c r="BC208" s="118" t="str">
        <f>IF(BC$6="","",IF(BC$3="Maior",IFERROR(IF(VLOOKUP($N208,Capa!$A:$AE,BC$5,0)="",0,VLOOKUP($N208,Capa!$A:$AE,BC$5,0)),0),IF(ISERROR(1/VLOOKUP($N208,Capa!$A:$AE,BC$5,0)),0,1/VLOOKUP($N208,Capa!$A:$AE,BC$5,0))))</f>
        <v/>
      </c>
      <c r="BD208" s="118" t="str">
        <f>IF(BD$6="","",IF(BD$3="Maior",IFERROR(IF(VLOOKUP($N208,Capa!$A:$AE,BD$5,0)="",0,VLOOKUP($N208,Capa!$A:$AE,BD$5,0)),0),IF(ISERROR(1/VLOOKUP($N208,Capa!$A:$AE,BD$5,0)),0,1/VLOOKUP($N208,Capa!$A:$AE,BD$5,0))))</f>
        <v/>
      </c>
      <c r="BE208" s="118" t="str">
        <f>IF(BE$6="","",IF(BE$3="Maior",IFERROR(IF(VLOOKUP($N208,Capa!$A:$AE,BE$5,0)="",0,VLOOKUP($N208,Capa!$A:$AE,BE$5,0)),0),IF(ISERROR(1/VLOOKUP($N208,Capa!$A:$AE,BE$5,0)),0,1/VLOOKUP($N208,Capa!$A:$AE,BE$5,0))))</f>
        <v/>
      </c>
      <c r="BF208" s="118" t="str">
        <f>IF(BF$6="","",IF(BF$3="Maior",IFERROR(IF(VLOOKUP($N208,Capa!$A:$AE,BF$5,0)="",0,VLOOKUP($N208,Capa!$A:$AE,BF$5,0)),0),IF(ISERROR(1/VLOOKUP($N208,Capa!$A:$AE,BF$5,0)),0,1/VLOOKUP($N208,Capa!$A:$AE,BF$5,0))))</f>
        <v/>
      </c>
      <c r="BG208" s="118" t="str">
        <f>IF(BG$6="","",IF(BG$3="Maior",IFERROR(IF(VLOOKUP($N208,Capa!$A:$AE,BG$5,0)="",0,VLOOKUP($N208,Capa!$A:$AE,BG$5,0)),0),IF(ISERROR(1/VLOOKUP($N208,Capa!$A:$AE,BG$5,0)),0,1/VLOOKUP($N208,Capa!$A:$AE,BG$5,0))))</f>
        <v/>
      </c>
      <c r="BH208" s="118" t="str">
        <f>IF(BH$6="","",IF(BH$3="Maior",IFERROR(IF(VLOOKUP($N208,Capa!$A:$AE,BH$5,0)="",0,VLOOKUP($N208,Capa!$A:$AE,BH$5,0)),0),IF(ISERROR(1/VLOOKUP($N208,Capa!$A:$AE,BH$5,0)),0,1/VLOOKUP($N208,Capa!$A:$AE,BH$5,0))))</f>
        <v/>
      </c>
      <c r="BI208" s="118" t="str">
        <f>IF(BI$6="","",IF(BI$3="Maior",IFERROR(IF(VLOOKUP($N208,Capa!$A:$AE,BI$5,0)="",0,VLOOKUP($N208,Capa!$A:$AE,BI$5,0)),0),IF(ISERROR(1/VLOOKUP($N208,Capa!$A:$AE,BI$5,0)),0,1/VLOOKUP($N208,Capa!$A:$AE,BI$5,0))))</f>
        <v/>
      </c>
      <c r="BJ208" s="118" t="str">
        <f>IF(BJ$6="","",IF(BJ$3="Maior",IFERROR(IF(VLOOKUP($N208,Capa!$A:$AE,BJ$5,0)="",0,VLOOKUP($N208,Capa!$A:$AE,BJ$5,0)),0),IF(ISERROR(1/VLOOKUP($N208,Capa!$A:$AE,BJ$5,0)),0,1/VLOOKUP($N208,Capa!$A:$AE,BJ$5,0))))</f>
        <v/>
      </c>
      <c r="BK208" s="118" t="str">
        <f>IF(BK$6="","",IF(BK$3="Maior",IFERROR(IF(VLOOKUP($N208,Capa!$A:$AE,BK$5,0)="",0,VLOOKUP($N208,Capa!$A:$AE,BK$5,0)),0),IF(ISERROR(1/VLOOKUP($N208,Capa!$A:$AE,BK$5,0)),0,1/VLOOKUP($N208,Capa!$A:$AE,BK$5,0))))</f>
        <v/>
      </c>
      <c r="BL208" s="118" t="str">
        <f>IF(BL$6="","",IF(BL$3="Maior",IFERROR(IF(VLOOKUP($N208,Capa!$A:$AE,BL$5,0)="",0,VLOOKUP($N208,Capa!$A:$AE,BL$5,0)),0),IF(ISERROR(1/VLOOKUP($N208,Capa!$A:$AE,BL$5,0)),0,1/VLOOKUP($N208,Capa!$A:$AE,BL$5,0))))</f>
        <v/>
      </c>
      <c r="BM208" s="118" t="str">
        <f>IF(BM$6="","",IF(BM$3="Maior",IFERROR(IF(VLOOKUP($N208,Capa!$A:$AE,BM$5,0)="",0,VLOOKUP($N208,Capa!$A:$AE,BM$5,0)),0),IF(ISERROR(1/VLOOKUP($N208,Capa!$A:$AE,BM$5,0)),0,1/VLOOKUP($N208,Capa!$A:$AE,BM$5,0))))</f>
        <v/>
      </c>
      <c r="BN208" s="118" t="str">
        <f>IF(BN$6="","",IF(BN$3="Maior",IFERROR(IF(VLOOKUP($N208,Capa!$A:$AE,BN$5,0)="",0,VLOOKUP($N208,Capa!$A:$AE,BN$5,0)),0),IF(ISERROR(1/VLOOKUP($N208,Capa!$A:$AE,BN$5,0)),0,1/VLOOKUP($N208,Capa!$A:$AE,BN$5,0))))</f>
        <v/>
      </c>
      <c r="BO208" s="92"/>
    </row>
    <row r="209">
      <c r="G209" s="11"/>
      <c r="H209" s="11"/>
      <c r="I209" s="8"/>
      <c r="J209" s="132"/>
      <c r="K209" s="11"/>
      <c r="L209" s="11"/>
      <c r="M209" s="11"/>
      <c r="N209" s="10" t="s">
        <v>255</v>
      </c>
      <c r="O209" s="113">
        <f t="shared" si="8"/>
        <v>1377.0157</v>
      </c>
      <c r="P209" s="114">
        <f>VLOOKUP(N209,'Dados StatusInvest'!A:Z,26,0)</f>
        <v>8129190.33</v>
      </c>
      <c r="Q209" s="115">
        <f t="shared" si="9"/>
        <v>157.0157</v>
      </c>
      <c r="R209" s="116">
        <f t="shared" ref="R209:AO209" si="212">IF(AQ209="","", RANK(AQ209,AQ$7:AQ$503,0))</f>
        <v>183</v>
      </c>
      <c r="S209" s="115">
        <f t="shared" si="212"/>
        <v>37</v>
      </c>
      <c r="T209" s="115" t="str">
        <f t="shared" si="212"/>
        <v/>
      </c>
      <c r="U209" s="115" t="str">
        <f t="shared" si="212"/>
        <v/>
      </c>
      <c r="V209" s="115" t="str">
        <f t="shared" si="212"/>
        <v/>
      </c>
      <c r="W209" s="115" t="str">
        <f t="shared" si="212"/>
        <v/>
      </c>
      <c r="X209" s="115" t="str">
        <f t="shared" si="212"/>
        <v/>
      </c>
      <c r="Y209" s="115" t="str">
        <f t="shared" si="212"/>
        <v/>
      </c>
      <c r="Z209" s="115" t="str">
        <f t="shared" si="212"/>
        <v/>
      </c>
      <c r="AA209" s="115" t="str">
        <f t="shared" si="212"/>
        <v/>
      </c>
      <c r="AB209" s="115" t="str">
        <f t="shared" si="212"/>
        <v/>
      </c>
      <c r="AC209" s="115" t="str">
        <f t="shared" si="212"/>
        <v/>
      </c>
      <c r="AD209" s="115" t="str">
        <f t="shared" si="212"/>
        <v/>
      </c>
      <c r="AE209" s="115" t="str">
        <f t="shared" si="212"/>
        <v/>
      </c>
      <c r="AF209" s="115" t="str">
        <f t="shared" si="212"/>
        <v/>
      </c>
      <c r="AG209" s="115" t="str">
        <f t="shared" si="212"/>
        <v/>
      </c>
      <c r="AH209" s="115" t="str">
        <f t="shared" si="212"/>
        <v/>
      </c>
      <c r="AI209" s="115" t="str">
        <f t="shared" si="212"/>
        <v/>
      </c>
      <c r="AJ209" s="115" t="str">
        <f t="shared" si="212"/>
        <v/>
      </c>
      <c r="AK209" s="115" t="str">
        <f t="shared" si="212"/>
        <v/>
      </c>
      <c r="AL209" s="115" t="str">
        <f t="shared" si="212"/>
        <v/>
      </c>
      <c r="AM209" s="115" t="str">
        <f t="shared" si="212"/>
        <v/>
      </c>
      <c r="AN209" s="115" t="str">
        <f t="shared" si="212"/>
        <v/>
      </c>
      <c r="AO209" s="115" t="str">
        <f t="shared" si="212"/>
        <v/>
      </c>
      <c r="AP209" s="117">
        <f>IF(AP$6="","",IF(AP$3="Maior",IFERROR(IF(VLOOKUP($N209,Capa!$A:$AE,AP$5,0)="",0,VLOOKUP($N209,Capa!$A:$AE,AP$5,0)),0),IF(ISERROR(1/VLOOKUP($N209,Capa!$A:$AE,AP$5,0)),0,1/VLOOKUP($N209,Capa!$A:$AE,AP$5,0))))</f>
        <v>0.1276485942</v>
      </c>
      <c r="AQ209" s="118">
        <f>IF(AQ$6="","",IF(AQ$3="Maior",IFERROR(IF(VLOOKUP($N209,Capa!$A:$AE,AQ$5,0)="",0,VLOOKUP($N209,Capa!$A:$AE,AQ$5,0)),0),IF(ISERROR(1/VLOOKUP($N209,Capa!$A:$AE,AQ$5,0)),0,1/VLOOKUP($N209,Capa!$A:$AE,AQ$5,0))))</f>
        <v>12.22</v>
      </c>
      <c r="AR209" s="118">
        <f>IF(AR$6="","",IF(AR$3="Maior",IFERROR(IF(VLOOKUP($N209,Capa!$A:$AE,AR$5,0)="",0,VLOOKUP($N209,Capa!$A:$AE,AR$5,0)),0),IF(ISERROR(1/VLOOKUP($N209,Capa!$A:$AE,AR$5,0)),0,1/VLOOKUP($N209,Capa!$A:$AE,AR$5,0))))</f>
        <v>59.7</v>
      </c>
      <c r="AS209" s="118" t="str">
        <f>IF(AS$6="","",IF(AS$3="Maior",IFERROR(IF(VLOOKUP($N209,Capa!$A:$AE,AS$5,0)="",0,VLOOKUP($N209,Capa!$A:$AE,AS$5,0)),0),IF(ISERROR(1/VLOOKUP($N209,Capa!$A:$AE,AS$5,0)),0,1/VLOOKUP($N209,Capa!$A:$AE,AS$5,0))))</f>
        <v/>
      </c>
      <c r="AT209" s="118" t="str">
        <f>IF(AT$6="","",IF(AT$3="Maior",IFERROR(IF(VLOOKUP($N209,Capa!$A:$AE,AT$5,0)="",0,VLOOKUP($N209,Capa!$A:$AE,AT$5,0)),0),IF(ISERROR(1/VLOOKUP($N209,Capa!$A:$AE,AT$5,0)),0,1/VLOOKUP($N209,Capa!$A:$AE,AT$5,0))))</f>
        <v/>
      </c>
      <c r="AU209" s="118" t="str">
        <f>IF(AU$6="","",IF(AU$3="Maior",IFERROR(IF(VLOOKUP($N209,Capa!$A:$AE,AU$5,0)="",0,VLOOKUP($N209,Capa!$A:$AE,AU$5,0)),0),IF(ISERROR(1/VLOOKUP($N209,Capa!$A:$AE,AU$5,0)),0,1/VLOOKUP($N209,Capa!$A:$AE,AU$5,0))))</f>
        <v/>
      </c>
      <c r="AV209" s="118" t="str">
        <f>IF(AV$6="","",IF(AV$3="Maior",IFERROR(IF(VLOOKUP($N209,Capa!$A:$AE,AV$5,0)="",0,VLOOKUP($N209,Capa!$A:$AE,AV$5,0)),0),IF(ISERROR(1/VLOOKUP($N209,Capa!$A:$AE,AV$5,0)),0,1/VLOOKUP($N209,Capa!$A:$AE,AV$5,0))))</f>
        <v/>
      </c>
      <c r="AW209" s="118" t="str">
        <f>IF(AW$6="","",IF(AW$3="Maior",IFERROR(IF(VLOOKUP($N209,Capa!$A:$AE,AW$5,0)="",0,VLOOKUP($N209,Capa!$A:$AE,AW$5,0)),0),IF(ISERROR(1/VLOOKUP($N209,Capa!$A:$AE,AW$5,0)),0,1/VLOOKUP($N209,Capa!$A:$AE,AW$5,0))))</f>
        <v/>
      </c>
      <c r="AX209" s="118" t="str">
        <f>IF(AX$6="","",IF(AX$3="Maior",IFERROR(IF(VLOOKUP($N209,Capa!$A:$AE,AX$5,0)="",0,VLOOKUP($N209,Capa!$A:$AE,AX$5,0)),0),IF(ISERROR(1/VLOOKUP($N209,Capa!$A:$AE,AX$5,0)),0,1/VLOOKUP($N209,Capa!$A:$AE,AX$5,0))))</f>
        <v/>
      </c>
      <c r="AY209" s="118" t="str">
        <f>IF(AY$6="","",IF(AY$3="Maior",IFERROR(IF(VLOOKUP($N209,Capa!$A:$AE,AY$5,0)="",0,VLOOKUP($N209,Capa!$A:$AE,AY$5,0)),0),IF(ISERROR(1/VLOOKUP($N209,Capa!$A:$AE,AY$5,0)),0,1/VLOOKUP($N209,Capa!$A:$AE,AY$5,0))))</f>
        <v/>
      </c>
      <c r="AZ209" s="118" t="str">
        <f>IF(AZ$6="","",IF(AZ$3="Maior",IFERROR(IF(VLOOKUP($N209,Capa!$A:$AE,AZ$5,0)="",0,VLOOKUP($N209,Capa!$A:$AE,AZ$5,0)),0),IF(ISERROR(1/VLOOKUP($N209,Capa!$A:$AE,AZ$5,0)),0,1/VLOOKUP($N209,Capa!$A:$AE,AZ$5,0))))</f>
        <v/>
      </c>
      <c r="BA209" s="118" t="str">
        <f>IF(BA$6="","",IF(BA$3="Maior",IFERROR(IF(VLOOKUP($N209,Capa!$A:$AE,BA$5,0)="",0,VLOOKUP($N209,Capa!$A:$AE,BA$5,0)),0),IF(ISERROR(1/VLOOKUP($N209,Capa!$A:$AE,BA$5,0)),0,1/VLOOKUP($N209,Capa!$A:$AE,BA$5,0))))</f>
        <v/>
      </c>
      <c r="BB209" s="118" t="str">
        <f>IF(BB$6="","",IF(BB$3="Maior",IFERROR(IF(VLOOKUP($N209,Capa!$A:$AE,BB$5,0)="",0,VLOOKUP($N209,Capa!$A:$AE,BB$5,0)),0),IF(ISERROR(1/VLOOKUP($N209,Capa!$A:$AE,BB$5,0)),0,1/VLOOKUP($N209,Capa!$A:$AE,BB$5,0))))</f>
        <v/>
      </c>
      <c r="BC209" s="118" t="str">
        <f>IF(BC$6="","",IF(BC$3="Maior",IFERROR(IF(VLOOKUP($N209,Capa!$A:$AE,BC$5,0)="",0,VLOOKUP($N209,Capa!$A:$AE,BC$5,0)),0),IF(ISERROR(1/VLOOKUP($N209,Capa!$A:$AE,BC$5,0)),0,1/VLOOKUP($N209,Capa!$A:$AE,BC$5,0))))</f>
        <v/>
      </c>
      <c r="BD209" s="118" t="str">
        <f>IF(BD$6="","",IF(BD$3="Maior",IFERROR(IF(VLOOKUP($N209,Capa!$A:$AE,BD$5,0)="",0,VLOOKUP($N209,Capa!$A:$AE,BD$5,0)),0),IF(ISERROR(1/VLOOKUP($N209,Capa!$A:$AE,BD$5,0)),0,1/VLOOKUP($N209,Capa!$A:$AE,BD$5,0))))</f>
        <v/>
      </c>
      <c r="BE209" s="118" t="str">
        <f>IF(BE$6="","",IF(BE$3="Maior",IFERROR(IF(VLOOKUP($N209,Capa!$A:$AE,BE$5,0)="",0,VLOOKUP($N209,Capa!$A:$AE,BE$5,0)),0),IF(ISERROR(1/VLOOKUP($N209,Capa!$A:$AE,BE$5,0)),0,1/VLOOKUP($N209,Capa!$A:$AE,BE$5,0))))</f>
        <v/>
      </c>
      <c r="BF209" s="118" t="str">
        <f>IF(BF$6="","",IF(BF$3="Maior",IFERROR(IF(VLOOKUP($N209,Capa!$A:$AE,BF$5,0)="",0,VLOOKUP($N209,Capa!$A:$AE,BF$5,0)),0),IF(ISERROR(1/VLOOKUP($N209,Capa!$A:$AE,BF$5,0)),0,1/VLOOKUP($N209,Capa!$A:$AE,BF$5,0))))</f>
        <v/>
      </c>
      <c r="BG209" s="118" t="str">
        <f>IF(BG$6="","",IF(BG$3="Maior",IFERROR(IF(VLOOKUP($N209,Capa!$A:$AE,BG$5,0)="",0,VLOOKUP($N209,Capa!$A:$AE,BG$5,0)),0),IF(ISERROR(1/VLOOKUP($N209,Capa!$A:$AE,BG$5,0)),0,1/VLOOKUP($N209,Capa!$A:$AE,BG$5,0))))</f>
        <v/>
      </c>
      <c r="BH209" s="118" t="str">
        <f>IF(BH$6="","",IF(BH$3="Maior",IFERROR(IF(VLOOKUP($N209,Capa!$A:$AE,BH$5,0)="",0,VLOOKUP($N209,Capa!$A:$AE,BH$5,0)),0),IF(ISERROR(1/VLOOKUP($N209,Capa!$A:$AE,BH$5,0)),0,1/VLOOKUP($N209,Capa!$A:$AE,BH$5,0))))</f>
        <v/>
      </c>
      <c r="BI209" s="118" t="str">
        <f>IF(BI$6="","",IF(BI$3="Maior",IFERROR(IF(VLOOKUP($N209,Capa!$A:$AE,BI$5,0)="",0,VLOOKUP($N209,Capa!$A:$AE,BI$5,0)),0),IF(ISERROR(1/VLOOKUP($N209,Capa!$A:$AE,BI$5,0)),0,1/VLOOKUP($N209,Capa!$A:$AE,BI$5,0))))</f>
        <v/>
      </c>
      <c r="BJ209" s="118" t="str">
        <f>IF(BJ$6="","",IF(BJ$3="Maior",IFERROR(IF(VLOOKUP($N209,Capa!$A:$AE,BJ$5,0)="",0,VLOOKUP($N209,Capa!$A:$AE,BJ$5,0)),0),IF(ISERROR(1/VLOOKUP($N209,Capa!$A:$AE,BJ$5,0)),0,1/VLOOKUP($N209,Capa!$A:$AE,BJ$5,0))))</f>
        <v/>
      </c>
      <c r="BK209" s="118" t="str">
        <f>IF(BK$6="","",IF(BK$3="Maior",IFERROR(IF(VLOOKUP($N209,Capa!$A:$AE,BK$5,0)="",0,VLOOKUP($N209,Capa!$A:$AE,BK$5,0)),0),IF(ISERROR(1/VLOOKUP($N209,Capa!$A:$AE,BK$5,0)),0,1/VLOOKUP($N209,Capa!$A:$AE,BK$5,0))))</f>
        <v/>
      </c>
      <c r="BL209" s="118" t="str">
        <f>IF(BL$6="","",IF(BL$3="Maior",IFERROR(IF(VLOOKUP($N209,Capa!$A:$AE,BL$5,0)="",0,VLOOKUP($N209,Capa!$A:$AE,BL$5,0)),0),IF(ISERROR(1/VLOOKUP($N209,Capa!$A:$AE,BL$5,0)),0,1/VLOOKUP($N209,Capa!$A:$AE,BL$5,0))))</f>
        <v/>
      </c>
      <c r="BM209" s="118" t="str">
        <f>IF(BM$6="","",IF(BM$3="Maior",IFERROR(IF(VLOOKUP($N209,Capa!$A:$AE,BM$5,0)="",0,VLOOKUP($N209,Capa!$A:$AE,BM$5,0)),0),IF(ISERROR(1/VLOOKUP($N209,Capa!$A:$AE,BM$5,0)),0,1/VLOOKUP($N209,Capa!$A:$AE,BM$5,0))))</f>
        <v/>
      </c>
      <c r="BN209" s="118" t="str">
        <f>IF(BN$6="","",IF(BN$3="Maior",IFERROR(IF(VLOOKUP($N209,Capa!$A:$AE,BN$5,0)="",0,VLOOKUP($N209,Capa!$A:$AE,BN$5,0)),0),IF(ISERROR(1/VLOOKUP($N209,Capa!$A:$AE,BN$5,0)),0,1/VLOOKUP($N209,Capa!$A:$AE,BN$5,0))))</f>
        <v/>
      </c>
      <c r="BO209" s="92"/>
    </row>
    <row r="210">
      <c r="G210" s="11"/>
      <c r="H210" s="11"/>
      <c r="I210" s="8"/>
      <c r="J210" s="132"/>
      <c r="K210" s="11"/>
      <c r="L210" s="11"/>
      <c r="M210" s="11"/>
      <c r="N210" s="10" t="s">
        <v>256</v>
      </c>
      <c r="O210" s="113">
        <f t="shared" si="8"/>
        <v>1821.0337</v>
      </c>
      <c r="P210" s="114">
        <f>VLOOKUP(N210,'Dados StatusInvest'!A:Z,26,0)</f>
        <v>9909248.58</v>
      </c>
      <c r="Q210" s="115">
        <f t="shared" si="9"/>
        <v>337.0337</v>
      </c>
      <c r="R210" s="116">
        <f t="shared" ref="R210:AO210" si="213">IF(AQ210="","", RANK(AQ210,AQ$7:AQ$503,0))</f>
        <v>265</v>
      </c>
      <c r="S210" s="115">
        <f t="shared" si="213"/>
        <v>219</v>
      </c>
      <c r="T210" s="115" t="str">
        <f t="shared" si="213"/>
        <v/>
      </c>
      <c r="U210" s="115" t="str">
        <f t="shared" si="213"/>
        <v/>
      </c>
      <c r="V210" s="115" t="str">
        <f t="shared" si="213"/>
        <v/>
      </c>
      <c r="W210" s="115" t="str">
        <f t="shared" si="213"/>
        <v/>
      </c>
      <c r="X210" s="115" t="str">
        <f t="shared" si="213"/>
        <v/>
      </c>
      <c r="Y210" s="115" t="str">
        <f t="shared" si="213"/>
        <v/>
      </c>
      <c r="Z210" s="115" t="str">
        <f t="shared" si="213"/>
        <v/>
      </c>
      <c r="AA210" s="115" t="str">
        <f t="shared" si="213"/>
        <v/>
      </c>
      <c r="AB210" s="115" t="str">
        <f t="shared" si="213"/>
        <v/>
      </c>
      <c r="AC210" s="115" t="str">
        <f t="shared" si="213"/>
        <v/>
      </c>
      <c r="AD210" s="115" t="str">
        <f t="shared" si="213"/>
        <v/>
      </c>
      <c r="AE210" s="115" t="str">
        <f t="shared" si="213"/>
        <v/>
      </c>
      <c r="AF210" s="115" t="str">
        <f t="shared" si="213"/>
        <v/>
      </c>
      <c r="AG210" s="115" t="str">
        <f t="shared" si="213"/>
        <v/>
      </c>
      <c r="AH210" s="115" t="str">
        <f t="shared" si="213"/>
        <v/>
      </c>
      <c r="AI210" s="115" t="str">
        <f t="shared" si="213"/>
        <v/>
      </c>
      <c r="AJ210" s="115" t="str">
        <f t="shared" si="213"/>
        <v/>
      </c>
      <c r="AK210" s="115" t="str">
        <f t="shared" si="213"/>
        <v/>
      </c>
      <c r="AL210" s="115" t="str">
        <f t="shared" si="213"/>
        <v/>
      </c>
      <c r="AM210" s="115" t="str">
        <f t="shared" si="213"/>
        <v/>
      </c>
      <c r="AN210" s="115" t="str">
        <f t="shared" si="213"/>
        <v/>
      </c>
      <c r="AO210" s="115" t="str">
        <f t="shared" si="213"/>
        <v/>
      </c>
      <c r="AP210" s="117">
        <f>IF(AP$6="","",IF(AP$3="Maior",IFERROR(IF(VLOOKUP($N210,Capa!$A:$AE,AP$5,0)="",0,VLOOKUP($N210,Capa!$A:$AE,AP$5,0)),0),IF(ISERROR(1/VLOOKUP($N210,Capa!$A:$AE,AP$5,0)),0,1/VLOOKUP($N210,Capa!$A:$AE,AP$5,0))))</f>
        <v>0.0382719712</v>
      </c>
      <c r="AQ210" s="118">
        <f>IF(AQ$6="","",IF(AQ$3="Maior",IFERROR(IF(VLOOKUP($N210,Capa!$A:$AE,AQ$5,0)="",0,VLOOKUP($N210,Capa!$A:$AE,AQ$5,0)),0),IF(ISERROR(1/VLOOKUP($N210,Capa!$A:$AE,AQ$5,0)),0,1/VLOOKUP($N210,Capa!$A:$AE,AQ$5,0))))</f>
        <v>7.22</v>
      </c>
      <c r="AR210" s="118">
        <f>IF(AR$6="","",IF(AR$3="Maior",IFERROR(IF(VLOOKUP($N210,Capa!$A:$AE,AR$5,0)="",0,VLOOKUP($N210,Capa!$A:$AE,AR$5,0)),0),IF(ISERROR(1/VLOOKUP($N210,Capa!$A:$AE,AR$5,0)),0,1/VLOOKUP($N210,Capa!$A:$AE,AR$5,0))))</f>
        <v>0</v>
      </c>
      <c r="AS210" s="118" t="str">
        <f>IF(AS$6="","",IF(AS$3="Maior",IFERROR(IF(VLOOKUP($N210,Capa!$A:$AE,AS$5,0)="",0,VLOOKUP($N210,Capa!$A:$AE,AS$5,0)),0),IF(ISERROR(1/VLOOKUP($N210,Capa!$A:$AE,AS$5,0)),0,1/VLOOKUP($N210,Capa!$A:$AE,AS$5,0))))</f>
        <v/>
      </c>
      <c r="AT210" s="118" t="str">
        <f>IF(AT$6="","",IF(AT$3="Maior",IFERROR(IF(VLOOKUP($N210,Capa!$A:$AE,AT$5,0)="",0,VLOOKUP($N210,Capa!$A:$AE,AT$5,0)),0),IF(ISERROR(1/VLOOKUP($N210,Capa!$A:$AE,AT$5,0)),0,1/VLOOKUP($N210,Capa!$A:$AE,AT$5,0))))</f>
        <v/>
      </c>
      <c r="AU210" s="118" t="str">
        <f>IF(AU$6="","",IF(AU$3="Maior",IFERROR(IF(VLOOKUP($N210,Capa!$A:$AE,AU$5,0)="",0,VLOOKUP($N210,Capa!$A:$AE,AU$5,0)),0),IF(ISERROR(1/VLOOKUP($N210,Capa!$A:$AE,AU$5,0)),0,1/VLOOKUP($N210,Capa!$A:$AE,AU$5,0))))</f>
        <v/>
      </c>
      <c r="AV210" s="118" t="str">
        <f>IF(AV$6="","",IF(AV$3="Maior",IFERROR(IF(VLOOKUP($N210,Capa!$A:$AE,AV$5,0)="",0,VLOOKUP($N210,Capa!$A:$AE,AV$5,0)),0),IF(ISERROR(1/VLOOKUP($N210,Capa!$A:$AE,AV$5,0)),0,1/VLOOKUP($N210,Capa!$A:$AE,AV$5,0))))</f>
        <v/>
      </c>
      <c r="AW210" s="118" t="str">
        <f>IF(AW$6="","",IF(AW$3="Maior",IFERROR(IF(VLOOKUP($N210,Capa!$A:$AE,AW$5,0)="",0,VLOOKUP($N210,Capa!$A:$AE,AW$5,0)),0),IF(ISERROR(1/VLOOKUP($N210,Capa!$A:$AE,AW$5,0)),0,1/VLOOKUP($N210,Capa!$A:$AE,AW$5,0))))</f>
        <v/>
      </c>
      <c r="AX210" s="118" t="str">
        <f>IF(AX$6="","",IF(AX$3="Maior",IFERROR(IF(VLOOKUP($N210,Capa!$A:$AE,AX$5,0)="",0,VLOOKUP($N210,Capa!$A:$AE,AX$5,0)),0),IF(ISERROR(1/VLOOKUP($N210,Capa!$A:$AE,AX$5,0)),0,1/VLOOKUP($N210,Capa!$A:$AE,AX$5,0))))</f>
        <v/>
      </c>
      <c r="AY210" s="118" t="str">
        <f>IF(AY$6="","",IF(AY$3="Maior",IFERROR(IF(VLOOKUP($N210,Capa!$A:$AE,AY$5,0)="",0,VLOOKUP($N210,Capa!$A:$AE,AY$5,0)),0),IF(ISERROR(1/VLOOKUP($N210,Capa!$A:$AE,AY$5,0)),0,1/VLOOKUP($N210,Capa!$A:$AE,AY$5,0))))</f>
        <v/>
      </c>
      <c r="AZ210" s="118" t="str">
        <f>IF(AZ$6="","",IF(AZ$3="Maior",IFERROR(IF(VLOOKUP($N210,Capa!$A:$AE,AZ$5,0)="",0,VLOOKUP($N210,Capa!$A:$AE,AZ$5,0)),0),IF(ISERROR(1/VLOOKUP($N210,Capa!$A:$AE,AZ$5,0)),0,1/VLOOKUP($N210,Capa!$A:$AE,AZ$5,0))))</f>
        <v/>
      </c>
      <c r="BA210" s="118" t="str">
        <f>IF(BA$6="","",IF(BA$3="Maior",IFERROR(IF(VLOOKUP($N210,Capa!$A:$AE,BA$5,0)="",0,VLOOKUP($N210,Capa!$A:$AE,BA$5,0)),0),IF(ISERROR(1/VLOOKUP($N210,Capa!$A:$AE,BA$5,0)),0,1/VLOOKUP($N210,Capa!$A:$AE,BA$5,0))))</f>
        <v/>
      </c>
      <c r="BB210" s="118" t="str">
        <f>IF(BB$6="","",IF(BB$3="Maior",IFERROR(IF(VLOOKUP($N210,Capa!$A:$AE,BB$5,0)="",0,VLOOKUP($N210,Capa!$A:$AE,BB$5,0)),0),IF(ISERROR(1/VLOOKUP($N210,Capa!$A:$AE,BB$5,0)),0,1/VLOOKUP($N210,Capa!$A:$AE,BB$5,0))))</f>
        <v/>
      </c>
      <c r="BC210" s="118" t="str">
        <f>IF(BC$6="","",IF(BC$3="Maior",IFERROR(IF(VLOOKUP($N210,Capa!$A:$AE,BC$5,0)="",0,VLOOKUP($N210,Capa!$A:$AE,BC$5,0)),0),IF(ISERROR(1/VLOOKUP($N210,Capa!$A:$AE,BC$5,0)),0,1/VLOOKUP($N210,Capa!$A:$AE,BC$5,0))))</f>
        <v/>
      </c>
      <c r="BD210" s="118" t="str">
        <f>IF(BD$6="","",IF(BD$3="Maior",IFERROR(IF(VLOOKUP($N210,Capa!$A:$AE,BD$5,0)="",0,VLOOKUP($N210,Capa!$A:$AE,BD$5,0)),0),IF(ISERROR(1/VLOOKUP($N210,Capa!$A:$AE,BD$5,0)),0,1/VLOOKUP($N210,Capa!$A:$AE,BD$5,0))))</f>
        <v/>
      </c>
      <c r="BE210" s="118" t="str">
        <f>IF(BE$6="","",IF(BE$3="Maior",IFERROR(IF(VLOOKUP($N210,Capa!$A:$AE,BE$5,0)="",0,VLOOKUP($N210,Capa!$A:$AE,BE$5,0)),0),IF(ISERROR(1/VLOOKUP($N210,Capa!$A:$AE,BE$5,0)),0,1/VLOOKUP($N210,Capa!$A:$AE,BE$5,0))))</f>
        <v/>
      </c>
      <c r="BF210" s="118" t="str">
        <f>IF(BF$6="","",IF(BF$3="Maior",IFERROR(IF(VLOOKUP($N210,Capa!$A:$AE,BF$5,0)="",0,VLOOKUP($N210,Capa!$A:$AE,BF$5,0)),0),IF(ISERROR(1/VLOOKUP($N210,Capa!$A:$AE,BF$5,0)),0,1/VLOOKUP($N210,Capa!$A:$AE,BF$5,0))))</f>
        <v/>
      </c>
      <c r="BG210" s="118" t="str">
        <f>IF(BG$6="","",IF(BG$3="Maior",IFERROR(IF(VLOOKUP($N210,Capa!$A:$AE,BG$5,0)="",0,VLOOKUP($N210,Capa!$A:$AE,BG$5,0)),0),IF(ISERROR(1/VLOOKUP($N210,Capa!$A:$AE,BG$5,0)),0,1/VLOOKUP($N210,Capa!$A:$AE,BG$5,0))))</f>
        <v/>
      </c>
      <c r="BH210" s="118" t="str">
        <f>IF(BH$6="","",IF(BH$3="Maior",IFERROR(IF(VLOOKUP($N210,Capa!$A:$AE,BH$5,0)="",0,VLOOKUP($N210,Capa!$A:$AE,BH$5,0)),0),IF(ISERROR(1/VLOOKUP($N210,Capa!$A:$AE,BH$5,0)),0,1/VLOOKUP($N210,Capa!$A:$AE,BH$5,0))))</f>
        <v/>
      </c>
      <c r="BI210" s="118" t="str">
        <f>IF(BI$6="","",IF(BI$3="Maior",IFERROR(IF(VLOOKUP($N210,Capa!$A:$AE,BI$5,0)="",0,VLOOKUP($N210,Capa!$A:$AE,BI$5,0)),0),IF(ISERROR(1/VLOOKUP($N210,Capa!$A:$AE,BI$5,0)),0,1/VLOOKUP($N210,Capa!$A:$AE,BI$5,0))))</f>
        <v/>
      </c>
      <c r="BJ210" s="118" t="str">
        <f>IF(BJ$6="","",IF(BJ$3="Maior",IFERROR(IF(VLOOKUP($N210,Capa!$A:$AE,BJ$5,0)="",0,VLOOKUP($N210,Capa!$A:$AE,BJ$5,0)),0),IF(ISERROR(1/VLOOKUP($N210,Capa!$A:$AE,BJ$5,0)),0,1/VLOOKUP($N210,Capa!$A:$AE,BJ$5,0))))</f>
        <v/>
      </c>
      <c r="BK210" s="118" t="str">
        <f>IF(BK$6="","",IF(BK$3="Maior",IFERROR(IF(VLOOKUP($N210,Capa!$A:$AE,BK$5,0)="",0,VLOOKUP($N210,Capa!$A:$AE,BK$5,0)),0),IF(ISERROR(1/VLOOKUP($N210,Capa!$A:$AE,BK$5,0)),0,1/VLOOKUP($N210,Capa!$A:$AE,BK$5,0))))</f>
        <v/>
      </c>
      <c r="BL210" s="118" t="str">
        <f>IF(BL$6="","",IF(BL$3="Maior",IFERROR(IF(VLOOKUP($N210,Capa!$A:$AE,BL$5,0)="",0,VLOOKUP($N210,Capa!$A:$AE,BL$5,0)),0),IF(ISERROR(1/VLOOKUP($N210,Capa!$A:$AE,BL$5,0)),0,1/VLOOKUP($N210,Capa!$A:$AE,BL$5,0))))</f>
        <v/>
      </c>
      <c r="BM210" s="118" t="str">
        <f>IF(BM$6="","",IF(BM$3="Maior",IFERROR(IF(VLOOKUP($N210,Capa!$A:$AE,BM$5,0)="",0,VLOOKUP($N210,Capa!$A:$AE,BM$5,0)),0),IF(ISERROR(1/VLOOKUP($N210,Capa!$A:$AE,BM$5,0)),0,1/VLOOKUP($N210,Capa!$A:$AE,BM$5,0))))</f>
        <v/>
      </c>
      <c r="BN210" s="118" t="str">
        <f>IF(BN$6="","",IF(BN$3="Maior",IFERROR(IF(VLOOKUP($N210,Capa!$A:$AE,BN$5,0)="",0,VLOOKUP($N210,Capa!$A:$AE,BN$5,0)),0),IF(ISERROR(1/VLOOKUP($N210,Capa!$A:$AE,BN$5,0)),0,1/VLOOKUP($N210,Capa!$A:$AE,BN$5,0))))</f>
        <v/>
      </c>
      <c r="BO210" s="92"/>
    </row>
    <row r="211">
      <c r="G211" s="11"/>
      <c r="H211" s="11"/>
      <c r="I211" s="8"/>
      <c r="J211" s="132"/>
      <c r="K211" s="11"/>
      <c r="L211" s="11"/>
      <c r="M211" s="11"/>
      <c r="N211" s="10" t="s">
        <v>257</v>
      </c>
      <c r="O211" s="113">
        <f t="shared" si="8"/>
        <v>1957.0373</v>
      </c>
      <c r="P211" s="114">
        <f>VLOOKUP(N211,'Dados StatusInvest'!A:Z,26,0)</f>
        <v>9659331.04</v>
      </c>
      <c r="Q211" s="115">
        <f t="shared" si="9"/>
        <v>373.0373</v>
      </c>
      <c r="R211" s="116">
        <f t="shared" ref="R211:AO211" si="214">IF(AQ211="","", RANK(AQ211,AQ$7:AQ$503,0))</f>
        <v>365</v>
      </c>
      <c r="S211" s="115">
        <f t="shared" si="214"/>
        <v>219</v>
      </c>
      <c r="T211" s="115" t="str">
        <f t="shared" si="214"/>
        <v/>
      </c>
      <c r="U211" s="115" t="str">
        <f t="shared" si="214"/>
        <v/>
      </c>
      <c r="V211" s="115" t="str">
        <f t="shared" si="214"/>
        <v/>
      </c>
      <c r="W211" s="115" t="str">
        <f t="shared" si="214"/>
        <v/>
      </c>
      <c r="X211" s="115" t="str">
        <f t="shared" si="214"/>
        <v/>
      </c>
      <c r="Y211" s="115" t="str">
        <f t="shared" si="214"/>
        <v/>
      </c>
      <c r="Z211" s="115" t="str">
        <f t="shared" si="214"/>
        <v/>
      </c>
      <c r="AA211" s="115" t="str">
        <f t="shared" si="214"/>
        <v/>
      </c>
      <c r="AB211" s="115" t="str">
        <f t="shared" si="214"/>
        <v/>
      </c>
      <c r="AC211" s="115" t="str">
        <f t="shared" si="214"/>
        <v/>
      </c>
      <c r="AD211" s="115" t="str">
        <f t="shared" si="214"/>
        <v/>
      </c>
      <c r="AE211" s="115" t="str">
        <f t="shared" si="214"/>
        <v/>
      </c>
      <c r="AF211" s="115" t="str">
        <f t="shared" si="214"/>
        <v/>
      </c>
      <c r="AG211" s="115" t="str">
        <f t="shared" si="214"/>
        <v/>
      </c>
      <c r="AH211" s="115" t="str">
        <f t="shared" si="214"/>
        <v/>
      </c>
      <c r="AI211" s="115" t="str">
        <f t="shared" si="214"/>
        <v/>
      </c>
      <c r="AJ211" s="115" t="str">
        <f t="shared" si="214"/>
        <v/>
      </c>
      <c r="AK211" s="115" t="str">
        <f t="shared" si="214"/>
        <v/>
      </c>
      <c r="AL211" s="115" t="str">
        <f t="shared" si="214"/>
        <v/>
      </c>
      <c r="AM211" s="115" t="str">
        <f t="shared" si="214"/>
        <v/>
      </c>
      <c r="AN211" s="115" t="str">
        <f t="shared" si="214"/>
        <v/>
      </c>
      <c r="AO211" s="115" t="str">
        <f t="shared" si="214"/>
        <v/>
      </c>
      <c r="AP211" s="117">
        <f>IF(AP$6="","",IF(AP$3="Maior",IFERROR(IF(VLOOKUP($N211,Capa!$A:$AE,AP$5,0)="",0,VLOOKUP($N211,Capa!$A:$AE,AP$5,0)),0),IF(ISERROR(1/VLOOKUP($N211,Capa!$A:$AE,AP$5,0)),0,1/VLOOKUP($N211,Capa!$A:$AE,AP$5,0))))</f>
        <v>0.0187970206</v>
      </c>
      <c r="AQ211" s="118">
        <f>IF(AQ$6="","",IF(AQ$3="Maior",IFERROR(IF(VLOOKUP($N211,Capa!$A:$AE,AQ$5,0)="",0,VLOOKUP($N211,Capa!$A:$AE,AQ$5,0)),0),IF(ISERROR(1/VLOOKUP($N211,Capa!$A:$AE,AQ$5,0)),0,1/VLOOKUP($N211,Capa!$A:$AE,AQ$5,0))))</f>
        <v>1.09</v>
      </c>
      <c r="AR211" s="118">
        <f>IF(AR$6="","",IF(AR$3="Maior",IFERROR(IF(VLOOKUP($N211,Capa!$A:$AE,AR$5,0)="",0,VLOOKUP($N211,Capa!$A:$AE,AR$5,0)),0),IF(ISERROR(1/VLOOKUP($N211,Capa!$A:$AE,AR$5,0)),0,1/VLOOKUP($N211,Capa!$A:$AE,AR$5,0))))</f>
        <v>0</v>
      </c>
      <c r="AS211" s="118" t="str">
        <f>IF(AS$6="","",IF(AS$3="Maior",IFERROR(IF(VLOOKUP($N211,Capa!$A:$AE,AS$5,0)="",0,VLOOKUP($N211,Capa!$A:$AE,AS$5,0)),0),IF(ISERROR(1/VLOOKUP($N211,Capa!$A:$AE,AS$5,0)),0,1/VLOOKUP($N211,Capa!$A:$AE,AS$5,0))))</f>
        <v/>
      </c>
      <c r="AT211" s="118" t="str">
        <f>IF(AT$6="","",IF(AT$3="Maior",IFERROR(IF(VLOOKUP($N211,Capa!$A:$AE,AT$5,0)="",0,VLOOKUP($N211,Capa!$A:$AE,AT$5,0)),0),IF(ISERROR(1/VLOOKUP($N211,Capa!$A:$AE,AT$5,0)),0,1/VLOOKUP($N211,Capa!$A:$AE,AT$5,0))))</f>
        <v/>
      </c>
      <c r="AU211" s="118" t="str">
        <f>IF(AU$6="","",IF(AU$3="Maior",IFERROR(IF(VLOOKUP($N211,Capa!$A:$AE,AU$5,0)="",0,VLOOKUP($N211,Capa!$A:$AE,AU$5,0)),0),IF(ISERROR(1/VLOOKUP($N211,Capa!$A:$AE,AU$5,0)),0,1/VLOOKUP($N211,Capa!$A:$AE,AU$5,0))))</f>
        <v/>
      </c>
      <c r="AV211" s="118" t="str">
        <f>IF(AV$6="","",IF(AV$3="Maior",IFERROR(IF(VLOOKUP($N211,Capa!$A:$AE,AV$5,0)="",0,VLOOKUP($N211,Capa!$A:$AE,AV$5,0)),0),IF(ISERROR(1/VLOOKUP($N211,Capa!$A:$AE,AV$5,0)),0,1/VLOOKUP($N211,Capa!$A:$AE,AV$5,0))))</f>
        <v/>
      </c>
      <c r="AW211" s="118" t="str">
        <f>IF(AW$6="","",IF(AW$3="Maior",IFERROR(IF(VLOOKUP($N211,Capa!$A:$AE,AW$5,0)="",0,VLOOKUP($N211,Capa!$A:$AE,AW$5,0)),0),IF(ISERROR(1/VLOOKUP($N211,Capa!$A:$AE,AW$5,0)),0,1/VLOOKUP($N211,Capa!$A:$AE,AW$5,0))))</f>
        <v/>
      </c>
      <c r="AX211" s="118" t="str">
        <f>IF(AX$6="","",IF(AX$3="Maior",IFERROR(IF(VLOOKUP($N211,Capa!$A:$AE,AX$5,0)="",0,VLOOKUP($N211,Capa!$A:$AE,AX$5,0)),0),IF(ISERROR(1/VLOOKUP($N211,Capa!$A:$AE,AX$5,0)),0,1/VLOOKUP($N211,Capa!$A:$AE,AX$5,0))))</f>
        <v/>
      </c>
      <c r="AY211" s="118" t="str">
        <f>IF(AY$6="","",IF(AY$3="Maior",IFERROR(IF(VLOOKUP($N211,Capa!$A:$AE,AY$5,0)="",0,VLOOKUP($N211,Capa!$A:$AE,AY$5,0)),0),IF(ISERROR(1/VLOOKUP($N211,Capa!$A:$AE,AY$5,0)),0,1/VLOOKUP($N211,Capa!$A:$AE,AY$5,0))))</f>
        <v/>
      </c>
      <c r="AZ211" s="118" t="str">
        <f>IF(AZ$6="","",IF(AZ$3="Maior",IFERROR(IF(VLOOKUP($N211,Capa!$A:$AE,AZ$5,0)="",0,VLOOKUP($N211,Capa!$A:$AE,AZ$5,0)),0),IF(ISERROR(1/VLOOKUP($N211,Capa!$A:$AE,AZ$5,0)),0,1/VLOOKUP($N211,Capa!$A:$AE,AZ$5,0))))</f>
        <v/>
      </c>
      <c r="BA211" s="118" t="str">
        <f>IF(BA$6="","",IF(BA$3="Maior",IFERROR(IF(VLOOKUP($N211,Capa!$A:$AE,BA$5,0)="",0,VLOOKUP($N211,Capa!$A:$AE,BA$5,0)),0),IF(ISERROR(1/VLOOKUP($N211,Capa!$A:$AE,BA$5,0)),0,1/VLOOKUP($N211,Capa!$A:$AE,BA$5,0))))</f>
        <v/>
      </c>
      <c r="BB211" s="118" t="str">
        <f>IF(BB$6="","",IF(BB$3="Maior",IFERROR(IF(VLOOKUP($N211,Capa!$A:$AE,BB$5,0)="",0,VLOOKUP($N211,Capa!$A:$AE,BB$5,0)),0),IF(ISERROR(1/VLOOKUP($N211,Capa!$A:$AE,BB$5,0)),0,1/VLOOKUP($N211,Capa!$A:$AE,BB$5,0))))</f>
        <v/>
      </c>
      <c r="BC211" s="118" t="str">
        <f>IF(BC$6="","",IF(BC$3="Maior",IFERROR(IF(VLOOKUP($N211,Capa!$A:$AE,BC$5,0)="",0,VLOOKUP($N211,Capa!$A:$AE,BC$5,0)),0),IF(ISERROR(1/VLOOKUP($N211,Capa!$A:$AE,BC$5,0)),0,1/VLOOKUP($N211,Capa!$A:$AE,BC$5,0))))</f>
        <v/>
      </c>
      <c r="BD211" s="118" t="str">
        <f>IF(BD$6="","",IF(BD$3="Maior",IFERROR(IF(VLOOKUP($N211,Capa!$A:$AE,BD$5,0)="",0,VLOOKUP($N211,Capa!$A:$AE,BD$5,0)),0),IF(ISERROR(1/VLOOKUP($N211,Capa!$A:$AE,BD$5,0)),0,1/VLOOKUP($N211,Capa!$A:$AE,BD$5,0))))</f>
        <v/>
      </c>
      <c r="BE211" s="118" t="str">
        <f>IF(BE$6="","",IF(BE$3="Maior",IFERROR(IF(VLOOKUP($N211,Capa!$A:$AE,BE$5,0)="",0,VLOOKUP($N211,Capa!$A:$AE,BE$5,0)),0),IF(ISERROR(1/VLOOKUP($N211,Capa!$A:$AE,BE$5,0)),0,1/VLOOKUP($N211,Capa!$A:$AE,BE$5,0))))</f>
        <v/>
      </c>
      <c r="BF211" s="118" t="str">
        <f>IF(BF$6="","",IF(BF$3="Maior",IFERROR(IF(VLOOKUP($N211,Capa!$A:$AE,BF$5,0)="",0,VLOOKUP($N211,Capa!$A:$AE,BF$5,0)),0),IF(ISERROR(1/VLOOKUP($N211,Capa!$A:$AE,BF$5,0)),0,1/VLOOKUP($N211,Capa!$A:$AE,BF$5,0))))</f>
        <v/>
      </c>
      <c r="BG211" s="118" t="str">
        <f>IF(BG$6="","",IF(BG$3="Maior",IFERROR(IF(VLOOKUP($N211,Capa!$A:$AE,BG$5,0)="",0,VLOOKUP($N211,Capa!$A:$AE,BG$5,0)),0),IF(ISERROR(1/VLOOKUP($N211,Capa!$A:$AE,BG$5,0)),0,1/VLOOKUP($N211,Capa!$A:$AE,BG$5,0))))</f>
        <v/>
      </c>
      <c r="BH211" s="118" t="str">
        <f>IF(BH$6="","",IF(BH$3="Maior",IFERROR(IF(VLOOKUP($N211,Capa!$A:$AE,BH$5,0)="",0,VLOOKUP($N211,Capa!$A:$AE,BH$5,0)),0),IF(ISERROR(1/VLOOKUP($N211,Capa!$A:$AE,BH$5,0)),0,1/VLOOKUP($N211,Capa!$A:$AE,BH$5,0))))</f>
        <v/>
      </c>
      <c r="BI211" s="118" t="str">
        <f>IF(BI$6="","",IF(BI$3="Maior",IFERROR(IF(VLOOKUP($N211,Capa!$A:$AE,BI$5,0)="",0,VLOOKUP($N211,Capa!$A:$AE,BI$5,0)),0),IF(ISERROR(1/VLOOKUP($N211,Capa!$A:$AE,BI$5,0)),0,1/VLOOKUP($N211,Capa!$A:$AE,BI$5,0))))</f>
        <v/>
      </c>
      <c r="BJ211" s="118" t="str">
        <f>IF(BJ$6="","",IF(BJ$3="Maior",IFERROR(IF(VLOOKUP($N211,Capa!$A:$AE,BJ$5,0)="",0,VLOOKUP($N211,Capa!$A:$AE,BJ$5,0)),0),IF(ISERROR(1/VLOOKUP($N211,Capa!$A:$AE,BJ$5,0)),0,1/VLOOKUP($N211,Capa!$A:$AE,BJ$5,0))))</f>
        <v/>
      </c>
      <c r="BK211" s="118" t="str">
        <f>IF(BK$6="","",IF(BK$3="Maior",IFERROR(IF(VLOOKUP($N211,Capa!$A:$AE,BK$5,0)="",0,VLOOKUP($N211,Capa!$A:$AE,BK$5,0)),0),IF(ISERROR(1/VLOOKUP($N211,Capa!$A:$AE,BK$5,0)),0,1/VLOOKUP($N211,Capa!$A:$AE,BK$5,0))))</f>
        <v/>
      </c>
      <c r="BL211" s="118" t="str">
        <f>IF(BL$6="","",IF(BL$3="Maior",IFERROR(IF(VLOOKUP($N211,Capa!$A:$AE,BL$5,0)="",0,VLOOKUP($N211,Capa!$A:$AE,BL$5,0)),0),IF(ISERROR(1/VLOOKUP($N211,Capa!$A:$AE,BL$5,0)),0,1/VLOOKUP($N211,Capa!$A:$AE,BL$5,0))))</f>
        <v/>
      </c>
      <c r="BM211" s="118" t="str">
        <f>IF(BM$6="","",IF(BM$3="Maior",IFERROR(IF(VLOOKUP($N211,Capa!$A:$AE,BM$5,0)="",0,VLOOKUP($N211,Capa!$A:$AE,BM$5,0)),0),IF(ISERROR(1/VLOOKUP($N211,Capa!$A:$AE,BM$5,0)),0,1/VLOOKUP($N211,Capa!$A:$AE,BM$5,0))))</f>
        <v/>
      </c>
      <c r="BN211" s="118" t="str">
        <f>IF(BN$6="","",IF(BN$3="Maior",IFERROR(IF(VLOOKUP($N211,Capa!$A:$AE,BN$5,0)="",0,VLOOKUP($N211,Capa!$A:$AE,BN$5,0)),0),IF(ISERROR(1/VLOOKUP($N211,Capa!$A:$AE,BN$5,0)),0,1/VLOOKUP($N211,Capa!$A:$AE,BN$5,0))))</f>
        <v/>
      </c>
      <c r="BO211" s="92"/>
    </row>
    <row r="212">
      <c r="G212" s="11"/>
      <c r="H212" s="11"/>
      <c r="I212" s="8"/>
      <c r="J212" s="132"/>
      <c r="K212" s="11"/>
      <c r="L212" s="11"/>
      <c r="M212" s="11"/>
      <c r="N212" s="10" t="s">
        <v>258</v>
      </c>
      <c r="O212" s="113">
        <f t="shared" si="8"/>
        <v>1698.029</v>
      </c>
      <c r="P212" s="114">
        <f>VLOOKUP(N212,'Dados StatusInvest'!A:Z,26,0)</f>
        <v>9048190.21</v>
      </c>
      <c r="Q212" s="115">
        <f t="shared" si="9"/>
        <v>290.029</v>
      </c>
      <c r="R212" s="116">
        <f t="shared" ref="R212:AO212" si="215">IF(AQ212="","", RANK(AQ212,AQ$7:AQ$503,0))</f>
        <v>189</v>
      </c>
      <c r="S212" s="115">
        <f t="shared" si="215"/>
        <v>219</v>
      </c>
      <c r="T212" s="115" t="str">
        <f t="shared" si="215"/>
        <v/>
      </c>
      <c r="U212" s="115" t="str">
        <f t="shared" si="215"/>
        <v/>
      </c>
      <c r="V212" s="115" t="str">
        <f t="shared" si="215"/>
        <v/>
      </c>
      <c r="W212" s="115" t="str">
        <f t="shared" si="215"/>
        <v/>
      </c>
      <c r="X212" s="115" t="str">
        <f t="shared" si="215"/>
        <v/>
      </c>
      <c r="Y212" s="115" t="str">
        <f t="shared" si="215"/>
        <v/>
      </c>
      <c r="Z212" s="115" t="str">
        <f t="shared" si="215"/>
        <v/>
      </c>
      <c r="AA212" s="115" t="str">
        <f t="shared" si="215"/>
        <v/>
      </c>
      <c r="AB212" s="115" t="str">
        <f t="shared" si="215"/>
        <v/>
      </c>
      <c r="AC212" s="115" t="str">
        <f t="shared" si="215"/>
        <v/>
      </c>
      <c r="AD212" s="115" t="str">
        <f t="shared" si="215"/>
        <v/>
      </c>
      <c r="AE212" s="115" t="str">
        <f t="shared" si="215"/>
        <v/>
      </c>
      <c r="AF212" s="115" t="str">
        <f t="shared" si="215"/>
        <v/>
      </c>
      <c r="AG212" s="115" t="str">
        <f t="shared" si="215"/>
        <v/>
      </c>
      <c r="AH212" s="115" t="str">
        <f t="shared" si="215"/>
        <v/>
      </c>
      <c r="AI212" s="115" t="str">
        <f t="shared" si="215"/>
        <v/>
      </c>
      <c r="AJ212" s="115" t="str">
        <f t="shared" si="215"/>
        <v/>
      </c>
      <c r="AK212" s="115" t="str">
        <f t="shared" si="215"/>
        <v/>
      </c>
      <c r="AL212" s="115" t="str">
        <f t="shared" si="215"/>
        <v/>
      </c>
      <c r="AM212" s="115" t="str">
        <f t="shared" si="215"/>
        <v/>
      </c>
      <c r="AN212" s="115" t="str">
        <f t="shared" si="215"/>
        <v/>
      </c>
      <c r="AO212" s="115" t="str">
        <f t="shared" si="215"/>
        <v/>
      </c>
      <c r="AP212" s="117">
        <f>IF(AP$6="","",IF(AP$3="Maior",IFERROR(IF(VLOOKUP($N212,Capa!$A:$AE,AP$5,0)="",0,VLOOKUP($N212,Capa!$A:$AE,AP$5,0)),0),IF(ISERROR(1/VLOOKUP($N212,Capa!$A:$AE,AP$5,0)),0,1/VLOOKUP($N212,Capa!$A:$AE,AP$5,0))))</f>
        <v>0.06143140925</v>
      </c>
      <c r="AQ212" s="118">
        <f>IF(AQ$6="","",IF(AQ$3="Maior",IFERROR(IF(VLOOKUP($N212,Capa!$A:$AE,AQ$5,0)="",0,VLOOKUP($N212,Capa!$A:$AE,AQ$5,0)),0),IF(ISERROR(1/VLOOKUP($N212,Capa!$A:$AE,AQ$5,0)),0,1/VLOOKUP($N212,Capa!$A:$AE,AQ$5,0))))</f>
        <v>11.59</v>
      </c>
      <c r="AR212" s="118">
        <f>IF(AR$6="","",IF(AR$3="Maior",IFERROR(IF(VLOOKUP($N212,Capa!$A:$AE,AR$5,0)="",0,VLOOKUP($N212,Capa!$A:$AE,AR$5,0)),0),IF(ISERROR(1/VLOOKUP($N212,Capa!$A:$AE,AR$5,0)),0,1/VLOOKUP($N212,Capa!$A:$AE,AR$5,0))))</f>
        <v>0</v>
      </c>
      <c r="AS212" s="118" t="str">
        <f>IF(AS$6="","",IF(AS$3="Maior",IFERROR(IF(VLOOKUP($N212,Capa!$A:$AE,AS$5,0)="",0,VLOOKUP($N212,Capa!$A:$AE,AS$5,0)),0),IF(ISERROR(1/VLOOKUP($N212,Capa!$A:$AE,AS$5,0)),0,1/VLOOKUP($N212,Capa!$A:$AE,AS$5,0))))</f>
        <v/>
      </c>
      <c r="AT212" s="118" t="str">
        <f>IF(AT$6="","",IF(AT$3="Maior",IFERROR(IF(VLOOKUP($N212,Capa!$A:$AE,AT$5,0)="",0,VLOOKUP($N212,Capa!$A:$AE,AT$5,0)),0),IF(ISERROR(1/VLOOKUP($N212,Capa!$A:$AE,AT$5,0)),0,1/VLOOKUP($N212,Capa!$A:$AE,AT$5,0))))</f>
        <v/>
      </c>
      <c r="AU212" s="118" t="str">
        <f>IF(AU$6="","",IF(AU$3="Maior",IFERROR(IF(VLOOKUP($N212,Capa!$A:$AE,AU$5,0)="",0,VLOOKUP($N212,Capa!$A:$AE,AU$5,0)),0),IF(ISERROR(1/VLOOKUP($N212,Capa!$A:$AE,AU$5,0)),0,1/VLOOKUP($N212,Capa!$A:$AE,AU$5,0))))</f>
        <v/>
      </c>
      <c r="AV212" s="118" t="str">
        <f>IF(AV$6="","",IF(AV$3="Maior",IFERROR(IF(VLOOKUP($N212,Capa!$A:$AE,AV$5,0)="",0,VLOOKUP($N212,Capa!$A:$AE,AV$5,0)),0),IF(ISERROR(1/VLOOKUP($N212,Capa!$A:$AE,AV$5,0)),0,1/VLOOKUP($N212,Capa!$A:$AE,AV$5,0))))</f>
        <v/>
      </c>
      <c r="AW212" s="118" t="str">
        <f>IF(AW$6="","",IF(AW$3="Maior",IFERROR(IF(VLOOKUP($N212,Capa!$A:$AE,AW$5,0)="",0,VLOOKUP($N212,Capa!$A:$AE,AW$5,0)),0),IF(ISERROR(1/VLOOKUP($N212,Capa!$A:$AE,AW$5,0)),0,1/VLOOKUP($N212,Capa!$A:$AE,AW$5,0))))</f>
        <v/>
      </c>
      <c r="AX212" s="118" t="str">
        <f>IF(AX$6="","",IF(AX$3="Maior",IFERROR(IF(VLOOKUP($N212,Capa!$A:$AE,AX$5,0)="",0,VLOOKUP($N212,Capa!$A:$AE,AX$5,0)),0),IF(ISERROR(1/VLOOKUP($N212,Capa!$A:$AE,AX$5,0)),0,1/VLOOKUP($N212,Capa!$A:$AE,AX$5,0))))</f>
        <v/>
      </c>
      <c r="AY212" s="118" t="str">
        <f>IF(AY$6="","",IF(AY$3="Maior",IFERROR(IF(VLOOKUP($N212,Capa!$A:$AE,AY$5,0)="",0,VLOOKUP($N212,Capa!$A:$AE,AY$5,0)),0),IF(ISERROR(1/VLOOKUP($N212,Capa!$A:$AE,AY$5,0)),0,1/VLOOKUP($N212,Capa!$A:$AE,AY$5,0))))</f>
        <v/>
      </c>
      <c r="AZ212" s="118" t="str">
        <f>IF(AZ$6="","",IF(AZ$3="Maior",IFERROR(IF(VLOOKUP($N212,Capa!$A:$AE,AZ$5,0)="",0,VLOOKUP($N212,Capa!$A:$AE,AZ$5,0)),0),IF(ISERROR(1/VLOOKUP($N212,Capa!$A:$AE,AZ$5,0)),0,1/VLOOKUP($N212,Capa!$A:$AE,AZ$5,0))))</f>
        <v/>
      </c>
      <c r="BA212" s="118" t="str">
        <f>IF(BA$6="","",IF(BA$3="Maior",IFERROR(IF(VLOOKUP($N212,Capa!$A:$AE,BA$5,0)="",0,VLOOKUP($N212,Capa!$A:$AE,BA$5,0)),0),IF(ISERROR(1/VLOOKUP($N212,Capa!$A:$AE,BA$5,0)),0,1/VLOOKUP($N212,Capa!$A:$AE,BA$5,0))))</f>
        <v/>
      </c>
      <c r="BB212" s="118" t="str">
        <f>IF(BB$6="","",IF(BB$3="Maior",IFERROR(IF(VLOOKUP($N212,Capa!$A:$AE,BB$5,0)="",0,VLOOKUP($N212,Capa!$A:$AE,BB$5,0)),0),IF(ISERROR(1/VLOOKUP($N212,Capa!$A:$AE,BB$5,0)),0,1/VLOOKUP($N212,Capa!$A:$AE,BB$5,0))))</f>
        <v/>
      </c>
      <c r="BC212" s="118" t="str">
        <f>IF(BC$6="","",IF(BC$3="Maior",IFERROR(IF(VLOOKUP($N212,Capa!$A:$AE,BC$5,0)="",0,VLOOKUP($N212,Capa!$A:$AE,BC$5,0)),0),IF(ISERROR(1/VLOOKUP($N212,Capa!$A:$AE,BC$5,0)),0,1/VLOOKUP($N212,Capa!$A:$AE,BC$5,0))))</f>
        <v/>
      </c>
      <c r="BD212" s="118" t="str">
        <f>IF(BD$6="","",IF(BD$3="Maior",IFERROR(IF(VLOOKUP($N212,Capa!$A:$AE,BD$5,0)="",0,VLOOKUP($N212,Capa!$A:$AE,BD$5,0)),0),IF(ISERROR(1/VLOOKUP($N212,Capa!$A:$AE,BD$5,0)),0,1/VLOOKUP($N212,Capa!$A:$AE,BD$5,0))))</f>
        <v/>
      </c>
      <c r="BE212" s="118" t="str">
        <f>IF(BE$6="","",IF(BE$3="Maior",IFERROR(IF(VLOOKUP($N212,Capa!$A:$AE,BE$5,0)="",0,VLOOKUP($N212,Capa!$A:$AE,BE$5,0)),0),IF(ISERROR(1/VLOOKUP($N212,Capa!$A:$AE,BE$5,0)),0,1/VLOOKUP($N212,Capa!$A:$AE,BE$5,0))))</f>
        <v/>
      </c>
      <c r="BF212" s="118" t="str">
        <f>IF(BF$6="","",IF(BF$3="Maior",IFERROR(IF(VLOOKUP($N212,Capa!$A:$AE,BF$5,0)="",0,VLOOKUP($N212,Capa!$A:$AE,BF$5,0)),0),IF(ISERROR(1/VLOOKUP($N212,Capa!$A:$AE,BF$5,0)),0,1/VLOOKUP($N212,Capa!$A:$AE,BF$5,0))))</f>
        <v/>
      </c>
      <c r="BG212" s="118" t="str">
        <f>IF(BG$6="","",IF(BG$3="Maior",IFERROR(IF(VLOOKUP($N212,Capa!$A:$AE,BG$5,0)="",0,VLOOKUP($N212,Capa!$A:$AE,BG$5,0)),0),IF(ISERROR(1/VLOOKUP($N212,Capa!$A:$AE,BG$5,0)),0,1/VLOOKUP($N212,Capa!$A:$AE,BG$5,0))))</f>
        <v/>
      </c>
      <c r="BH212" s="118" t="str">
        <f>IF(BH$6="","",IF(BH$3="Maior",IFERROR(IF(VLOOKUP($N212,Capa!$A:$AE,BH$5,0)="",0,VLOOKUP($N212,Capa!$A:$AE,BH$5,0)),0),IF(ISERROR(1/VLOOKUP($N212,Capa!$A:$AE,BH$5,0)),0,1/VLOOKUP($N212,Capa!$A:$AE,BH$5,0))))</f>
        <v/>
      </c>
      <c r="BI212" s="118" t="str">
        <f>IF(BI$6="","",IF(BI$3="Maior",IFERROR(IF(VLOOKUP($N212,Capa!$A:$AE,BI$5,0)="",0,VLOOKUP($N212,Capa!$A:$AE,BI$5,0)),0),IF(ISERROR(1/VLOOKUP($N212,Capa!$A:$AE,BI$5,0)),0,1/VLOOKUP($N212,Capa!$A:$AE,BI$5,0))))</f>
        <v/>
      </c>
      <c r="BJ212" s="118" t="str">
        <f>IF(BJ$6="","",IF(BJ$3="Maior",IFERROR(IF(VLOOKUP($N212,Capa!$A:$AE,BJ$5,0)="",0,VLOOKUP($N212,Capa!$A:$AE,BJ$5,0)),0),IF(ISERROR(1/VLOOKUP($N212,Capa!$A:$AE,BJ$5,0)),0,1/VLOOKUP($N212,Capa!$A:$AE,BJ$5,0))))</f>
        <v/>
      </c>
      <c r="BK212" s="118" t="str">
        <f>IF(BK$6="","",IF(BK$3="Maior",IFERROR(IF(VLOOKUP($N212,Capa!$A:$AE,BK$5,0)="",0,VLOOKUP($N212,Capa!$A:$AE,BK$5,0)),0),IF(ISERROR(1/VLOOKUP($N212,Capa!$A:$AE,BK$5,0)),0,1/VLOOKUP($N212,Capa!$A:$AE,BK$5,0))))</f>
        <v/>
      </c>
      <c r="BL212" s="118" t="str">
        <f>IF(BL$6="","",IF(BL$3="Maior",IFERROR(IF(VLOOKUP($N212,Capa!$A:$AE,BL$5,0)="",0,VLOOKUP($N212,Capa!$A:$AE,BL$5,0)),0),IF(ISERROR(1/VLOOKUP($N212,Capa!$A:$AE,BL$5,0)),0,1/VLOOKUP($N212,Capa!$A:$AE,BL$5,0))))</f>
        <v/>
      </c>
      <c r="BM212" s="118" t="str">
        <f>IF(BM$6="","",IF(BM$3="Maior",IFERROR(IF(VLOOKUP($N212,Capa!$A:$AE,BM$5,0)="",0,VLOOKUP($N212,Capa!$A:$AE,BM$5,0)),0),IF(ISERROR(1/VLOOKUP($N212,Capa!$A:$AE,BM$5,0)),0,1/VLOOKUP($N212,Capa!$A:$AE,BM$5,0))))</f>
        <v/>
      </c>
      <c r="BN212" s="118" t="str">
        <f>IF(BN$6="","",IF(BN$3="Maior",IFERROR(IF(VLOOKUP($N212,Capa!$A:$AE,BN$5,0)="",0,VLOOKUP($N212,Capa!$A:$AE,BN$5,0)),0),IF(ISERROR(1/VLOOKUP($N212,Capa!$A:$AE,BN$5,0)),0,1/VLOOKUP($N212,Capa!$A:$AE,BN$5,0))))</f>
        <v/>
      </c>
      <c r="BO212" s="92"/>
    </row>
    <row r="213">
      <c r="G213" s="11"/>
      <c r="H213" s="11"/>
      <c r="I213" s="8"/>
      <c r="J213" s="132"/>
      <c r="K213" s="11"/>
      <c r="L213" s="11"/>
      <c r="M213" s="11"/>
      <c r="N213" s="10" t="s">
        <v>259</v>
      </c>
      <c r="O213" s="113">
        <f t="shared" si="8"/>
        <v>1363.0096</v>
      </c>
      <c r="P213" s="114">
        <f>VLOOKUP(N213,'Dados StatusInvest'!A:Z,26,0)</f>
        <v>7360114.63</v>
      </c>
      <c r="Q213" s="115">
        <f t="shared" si="9"/>
        <v>96.0096</v>
      </c>
      <c r="R213" s="116">
        <f t="shared" ref="R213:AO213" si="216">IF(AQ213="","", RANK(AQ213,AQ$7:AQ$503,0))</f>
        <v>48</v>
      </c>
      <c r="S213" s="115">
        <f t="shared" si="216"/>
        <v>219</v>
      </c>
      <c r="T213" s="115" t="str">
        <f t="shared" si="216"/>
        <v/>
      </c>
      <c r="U213" s="115" t="str">
        <f t="shared" si="216"/>
        <v/>
      </c>
      <c r="V213" s="115" t="str">
        <f t="shared" si="216"/>
        <v/>
      </c>
      <c r="W213" s="115" t="str">
        <f t="shared" si="216"/>
        <v/>
      </c>
      <c r="X213" s="115" t="str">
        <f t="shared" si="216"/>
        <v/>
      </c>
      <c r="Y213" s="115" t="str">
        <f t="shared" si="216"/>
        <v/>
      </c>
      <c r="Z213" s="115" t="str">
        <f t="shared" si="216"/>
        <v/>
      </c>
      <c r="AA213" s="115" t="str">
        <f t="shared" si="216"/>
        <v/>
      </c>
      <c r="AB213" s="115" t="str">
        <f t="shared" si="216"/>
        <v/>
      </c>
      <c r="AC213" s="115" t="str">
        <f t="shared" si="216"/>
        <v/>
      </c>
      <c r="AD213" s="115" t="str">
        <f t="shared" si="216"/>
        <v/>
      </c>
      <c r="AE213" s="115" t="str">
        <f t="shared" si="216"/>
        <v/>
      </c>
      <c r="AF213" s="115" t="str">
        <f t="shared" si="216"/>
        <v/>
      </c>
      <c r="AG213" s="115" t="str">
        <f t="shared" si="216"/>
        <v/>
      </c>
      <c r="AH213" s="115" t="str">
        <f t="shared" si="216"/>
        <v/>
      </c>
      <c r="AI213" s="115" t="str">
        <f t="shared" si="216"/>
        <v/>
      </c>
      <c r="AJ213" s="115" t="str">
        <f t="shared" si="216"/>
        <v/>
      </c>
      <c r="AK213" s="115" t="str">
        <f t="shared" si="216"/>
        <v/>
      </c>
      <c r="AL213" s="115" t="str">
        <f t="shared" si="216"/>
        <v/>
      </c>
      <c r="AM213" s="115" t="str">
        <f t="shared" si="216"/>
        <v/>
      </c>
      <c r="AN213" s="115" t="str">
        <f t="shared" si="216"/>
        <v/>
      </c>
      <c r="AO213" s="115" t="str">
        <f t="shared" si="216"/>
        <v/>
      </c>
      <c r="AP213" s="117">
        <f>IF(AP$6="","",IF(AP$3="Maior",IFERROR(IF(VLOOKUP($N213,Capa!$A:$AE,AP$5,0)="",0,VLOOKUP($N213,Capa!$A:$AE,AP$5,0)),0),IF(ISERROR(1/VLOOKUP($N213,Capa!$A:$AE,AP$5,0)),0,1/VLOOKUP($N213,Capa!$A:$AE,AP$5,0))))</f>
        <v>0.195875608</v>
      </c>
      <c r="AQ213" s="118">
        <f>IF(AQ$6="","",IF(AQ$3="Maior",IFERROR(IF(VLOOKUP($N213,Capa!$A:$AE,AQ$5,0)="",0,VLOOKUP($N213,Capa!$A:$AE,AQ$5,0)),0),IF(ISERROR(1/VLOOKUP($N213,Capa!$A:$AE,AQ$5,0)),0,1/VLOOKUP($N213,Capa!$A:$AE,AQ$5,0))))</f>
        <v>27.16</v>
      </c>
      <c r="AR213" s="118">
        <f>IF(AR$6="","",IF(AR$3="Maior",IFERROR(IF(VLOOKUP($N213,Capa!$A:$AE,AR$5,0)="",0,VLOOKUP($N213,Capa!$A:$AE,AR$5,0)),0),IF(ISERROR(1/VLOOKUP($N213,Capa!$A:$AE,AR$5,0)),0,1/VLOOKUP($N213,Capa!$A:$AE,AR$5,0))))</f>
        <v>0</v>
      </c>
      <c r="AS213" s="118" t="str">
        <f>IF(AS$6="","",IF(AS$3="Maior",IFERROR(IF(VLOOKUP($N213,Capa!$A:$AE,AS$5,0)="",0,VLOOKUP($N213,Capa!$A:$AE,AS$5,0)),0),IF(ISERROR(1/VLOOKUP($N213,Capa!$A:$AE,AS$5,0)),0,1/VLOOKUP($N213,Capa!$A:$AE,AS$5,0))))</f>
        <v/>
      </c>
      <c r="AT213" s="118" t="str">
        <f>IF(AT$6="","",IF(AT$3="Maior",IFERROR(IF(VLOOKUP($N213,Capa!$A:$AE,AT$5,0)="",0,VLOOKUP($N213,Capa!$A:$AE,AT$5,0)),0),IF(ISERROR(1/VLOOKUP($N213,Capa!$A:$AE,AT$5,0)),0,1/VLOOKUP($N213,Capa!$A:$AE,AT$5,0))))</f>
        <v/>
      </c>
      <c r="AU213" s="118" t="str">
        <f>IF(AU$6="","",IF(AU$3="Maior",IFERROR(IF(VLOOKUP($N213,Capa!$A:$AE,AU$5,0)="",0,VLOOKUP($N213,Capa!$A:$AE,AU$5,0)),0),IF(ISERROR(1/VLOOKUP($N213,Capa!$A:$AE,AU$5,0)),0,1/VLOOKUP($N213,Capa!$A:$AE,AU$5,0))))</f>
        <v/>
      </c>
      <c r="AV213" s="118" t="str">
        <f>IF(AV$6="","",IF(AV$3="Maior",IFERROR(IF(VLOOKUP($N213,Capa!$A:$AE,AV$5,0)="",0,VLOOKUP($N213,Capa!$A:$AE,AV$5,0)),0),IF(ISERROR(1/VLOOKUP($N213,Capa!$A:$AE,AV$5,0)),0,1/VLOOKUP($N213,Capa!$A:$AE,AV$5,0))))</f>
        <v/>
      </c>
      <c r="AW213" s="118" t="str">
        <f>IF(AW$6="","",IF(AW$3="Maior",IFERROR(IF(VLOOKUP($N213,Capa!$A:$AE,AW$5,0)="",0,VLOOKUP($N213,Capa!$A:$AE,AW$5,0)),0),IF(ISERROR(1/VLOOKUP($N213,Capa!$A:$AE,AW$5,0)),0,1/VLOOKUP($N213,Capa!$A:$AE,AW$5,0))))</f>
        <v/>
      </c>
      <c r="AX213" s="118" t="str">
        <f>IF(AX$6="","",IF(AX$3="Maior",IFERROR(IF(VLOOKUP($N213,Capa!$A:$AE,AX$5,0)="",0,VLOOKUP($N213,Capa!$A:$AE,AX$5,0)),0),IF(ISERROR(1/VLOOKUP($N213,Capa!$A:$AE,AX$5,0)),0,1/VLOOKUP($N213,Capa!$A:$AE,AX$5,0))))</f>
        <v/>
      </c>
      <c r="AY213" s="118" t="str">
        <f>IF(AY$6="","",IF(AY$3="Maior",IFERROR(IF(VLOOKUP($N213,Capa!$A:$AE,AY$5,0)="",0,VLOOKUP($N213,Capa!$A:$AE,AY$5,0)),0),IF(ISERROR(1/VLOOKUP($N213,Capa!$A:$AE,AY$5,0)),0,1/VLOOKUP($N213,Capa!$A:$AE,AY$5,0))))</f>
        <v/>
      </c>
      <c r="AZ213" s="118" t="str">
        <f>IF(AZ$6="","",IF(AZ$3="Maior",IFERROR(IF(VLOOKUP($N213,Capa!$A:$AE,AZ$5,0)="",0,VLOOKUP($N213,Capa!$A:$AE,AZ$5,0)),0),IF(ISERROR(1/VLOOKUP($N213,Capa!$A:$AE,AZ$5,0)),0,1/VLOOKUP($N213,Capa!$A:$AE,AZ$5,0))))</f>
        <v/>
      </c>
      <c r="BA213" s="118" t="str">
        <f>IF(BA$6="","",IF(BA$3="Maior",IFERROR(IF(VLOOKUP($N213,Capa!$A:$AE,BA$5,0)="",0,VLOOKUP($N213,Capa!$A:$AE,BA$5,0)),0),IF(ISERROR(1/VLOOKUP($N213,Capa!$A:$AE,BA$5,0)),0,1/VLOOKUP($N213,Capa!$A:$AE,BA$5,0))))</f>
        <v/>
      </c>
      <c r="BB213" s="118" t="str">
        <f>IF(BB$6="","",IF(BB$3="Maior",IFERROR(IF(VLOOKUP($N213,Capa!$A:$AE,BB$5,0)="",0,VLOOKUP($N213,Capa!$A:$AE,BB$5,0)),0),IF(ISERROR(1/VLOOKUP($N213,Capa!$A:$AE,BB$5,0)),0,1/VLOOKUP($N213,Capa!$A:$AE,BB$5,0))))</f>
        <v/>
      </c>
      <c r="BC213" s="118" t="str">
        <f>IF(BC$6="","",IF(BC$3="Maior",IFERROR(IF(VLOOKUP($N213,Capa!$A:$AE,BC$5,0)="",0,VLOOKUP($N213,Capa!$A:$AE,BC$5,0)),0),IF(ISERROR(1/VLOOKUP($N213,Capa!$A:$AE,BC$5,0)),0,1/VLOOKUP($N213,Capa!$A:$AE,BC$5,0))))</f>
        <v/>
      </c>
      <c r="BD213" s="118" t="str">
        <f>IF(BD$6="","",IF(BD$3="Maior",IFERROR(IF(VLOOKUP($N213,Capa!$A:$AE,BD$5,0)="",0,VLOOKUP($N213,Capa!$A:$AE,BD$5,0)),0),IF(ISERROR(1/VLOOKUP($N213,Capa!$A:$AE,BD$5,0)),0,1/VLOOKUP($N213,Capa!$A:$AE,BD$5,0))))</f>
        <v/>
      </c>
      <c r="BE213" s="118" t="str">
        <f>IF(BE$6="","",IF(BE$3="Maior",IFERROR(IF(VLOOKUP($N213,Capa!$A:$AE,BE$5,0)="",0,VLOOKUP($N213,Capa!$A:$AE,BE$5,0)),0),IF(ISERROR(1/VLOOKUP($N213,Capa!$A:$AE,BE$5,0)),0,1/VLOOKUP($N213,Capa!$A:$AE,BE$5,0))))</f>
        <v/>
      </c>
      <c r="BF213" s="118" t="str">
        <f>IF(BF$6="","",IF(BF$3="Maior",IFERROR(IF(VLOOKUP($N213,Capa!$A:$AE,BF$5,0)="",0,VLOOKUP($N213,Capa!$A:$AE,BF$5,0)),0),IF(ISERROR(1/VLOOKUP($N213,Capa!$A:$AE,BF$5,0)),0,1/VLOOKUP($N213,Capa!$A:$AE,BF$5,0))))</f>
        <v/>
      </c>
      <c r="BG213" s="118" t="str">
        <f>IF(BG$6="","",IF(BG$3="Maior",IFERROR(IF(VLOOKUP($N213,Capa!$A:$AE,BG$5,0)="",0,VLOOKUP($N213,Capa!$A:$AE,BG$5,0)),0),IF(ISERROR(1/VLOOKUP($N213,Capa!$A:$AE,BG$5,0)),0,1/VLOOKUP($N213,Capa!$A:$AE,BG$5,0))))</f>
        <v/>
      </c>
      <c r="BH213" s="118" t="str">
        <f>IF(BH$6="","",IF(BH$3="Maior",IFERROR(IF(VLOOKUP($N213,Capa!$A:$AE,BH$5,0)="",0,VLOOKUP($N213,Capa!$A:$AE,BH$5,0)),0),IF(ISERROR(1/VLOOKUP($N213,Capa!$A:$AE,BH$5,0)),0,1/VLOOKUP($N213,Capa!$A:$AE,BH$5,0))))</f>
        <v/>
      </c>
      <c r="BI213" s="118" t="str">
        <f>IF(BI$6="","",IF(BI$3="Maior",IFERROR(IF(VLOOKUP($N213,Capa!$A:$AE,BI$5,0)="",0,VLOOKUP($N213,Capa!$A:$AE,BI$5,0)),0),IF(ISERROR(1/VLOOKUP($N213,Capa!$A:$AE,BI$5,0)),0,1/VLOOKUP($N213,Capa!$A:$AE,BI$5,0))))</f>
        <v/>
      </c>
      <c r="BJ213" s="118" t="str">
        <f>IF(BJ$6="","",IF(BJ$3="Maior",IFERROR(IF(VLOOKUP($N213,Capa!$A:$AE,BJ$5,0)="",0,VLOOKUP($N213,Capa!$A:$AE,BJ$5,0)),0),IF(ISERROR(1/VLOOKUP($N213,Capa!$A:$AE,BJ$5,0)),0,1/VLOOKUP($N213,Capa!$A:$AE,BJ$5,0))))</f>
        <v/>
      </c>
      <c r="BK213" s="118" t="str">
        <f>IF(BK$6="","",IF(BK$3="Maior",IFERROR(IF(VLOOKUP($N213,Capa!$A:$AE,BK$5,0)="",0,VLOOKUP($N213,Capa!$A:$AE,BK$5,0)),0),IF(ISERROR(1/VLOOKUP($N213,Capa!$A:$AE,BK$5,0)),0,1/VLOOKUP($N213,Capa!$A:$AE,BK$5,0))))</f>
        <v/>
      </c>
      <c r="BL213" s="118" t="str">
        <f>IF(BL$6="","",IF(BL$3="Maior",IFERROR(IF(VLOOKUP($N213,Capa!$A:$AE,BL$5,0)="",0,VLOOKUP($N213,Capa!$A:$AE,BL$5,0)),0),IF(ISERROR(1/VLOOKUP($N213,Capa!$A:$AE,BL$5,0)),0,1/VLOOKUP($N213,Capa!$A:$AE,BL$5,0))))</f>
        <v/>
      </c>
      <c r="BM213" s="118" t="str">
        <f>IF(BM$6="","",IF(BM$3="Maior",IFERROR(IF(VLOOKUP($N213,Capa!$A:$AE,BM$5,0)="",0,VLOOKUP($N213,Capa!$A:$AE,BM$5,0)),0),IF(ISERROR(1/VLOOKUP($N213,Capa!$A:$AE,BM$5,0)),0,1/VLOOKUP($N213,Capa!$A:$AE,BM$5,0))))</f>
        <v/>
      </c>
      <c r="BN213" s="118" t="str">
        <f>IF(BN$6="","",IF(BN$3="Maior",IFERROR(IF(VLOOKUP($N213,Capa!$A:$AE,BN$5,0)="",0,VLOOKUP($N213,Capa!$A:$AE,BN$5,0)),0),IF(ISERROR(1/VLOOKUP($N213,Capa!$A:$AE,BN$5,0)),0,1/VLOOKUP($N213,Capa!$A:$AE,BN$5,0))))</f>
        <v/>
      </c>
      <c r="BO213" s="92"/>
    </row>
    <row r="214">
      <c r="G214" s="11"/>
      <c r="H214" s="11"/>
      <c r="I214" s="8"/>
      <c r="J214" s="132"/>
      <c r="K214" s="11"/>
      <c r="L214" s="11"/>
      <c r="M214" s="11"/>
      <c r="N214" s="10" t="s">
        <v>260</v>
      </c>
      <c r="O214" s="113">
        <f t="shared" si="8"/>
        <v>1941.0347</v>
      </c>
      <c r="P214" s="114">
        <f>VLOOKUP(N214,'Dados StatusInvest'!A:Z,26,0)</f>
        <v>7590677.79</v>
      </c>
      <c r="Q214" s="115">
        <f t="shared" si="9"/>
        <v>347.0347</v>
      </c>
      <c r="R214" s="116">
        <f t="shared" ref="R214:AO214" si="217">IF(AQ214="","", RANK(AQ214,AQ$7:AQ$503,0))</f>
        <v>375</v>
      </c>
      <c r="S214" s="115">
        <f t="shared" si="217"/>
        <v>219</v>
      </c>
      <c r="T214" s="115" t="str">
        <f t="shared" si="217"/>
        <v/>
      </c>
      <c r="U214" s="115" t="str">
        <f t="shared" si="217"/>
        <v/>
      </c>
      <c r="V214" s="115" t="str">
        <f t="shared" si="217"/>
        <v/>
      </c>
      <c r="W214" s="115" t="str">
        <f t="shared" si="217"/>
        <v/>
      </c>
      <c r="X214" s="115" t="str">
        <f t="shared" si="217"/>
        <v/>
      </c>
      <c r="Y214" s="115" t="str">
        <f t="shared" si="217"/>
        <v/>
      </c>
      <c r="Z214" s="115" t="str">
        <f t="shared" si="217"/>
        <v/>
      </c>
      <c r="AA214" s="115" t="str">
        <f t="shared" si="217"/>
        <v/>
      </c>
      <c r="AB214" s="115" t="str">
        <f t="shared" si="217"/>
        <v/>
      </c>
      <c r="AC214" s="115" t="str">
        <f t="shared" si="217"/>
        <v/>
      </c>
      <c r="AD214" s="115" t="str">
        <f t="shared" si="217"/>
        <v/>
      </c>
      <c r="AE214" s="115" t="str">
        <f t="shared" si="217"/>
        <v/>
      </c>
      <c r="AF214" s="115" t="str">
        <f t="shared" si="217"/>
        <v/>
      </c>
      <c r="AG214" s="115" t="str">
        <f t="shared" si="217"/>
        <v/>
      </c>
      <c r="AH214" s="115" t="str">
        <f t="shared" si="217"/>
        <v/>
      </c>
      <c r="AI214" s="115" t="str">
        <f t="shared" si="217"/>
        <v/>
      </c>
      <c r="AJ214" s="115" t="str">
        <f t="shared" si="217"/>
        <v/>
      </c>
      <c r="AK214" s="115" t="str">
        <f t="shared" si="217"/>
        <v/>
      </c>
      <c r="AL214" s="115" t="str">
        <f t="shared" si="217"/>
        <v/>
      </c>
      <c r="AM214" s="115" t="str">
        <f t="shared" si="217"/>
        <v/>
      </c>
      <c r="AN214" s="115" t="str">
        <f t="shared" si="217"/>
        <v/>
      </c>
      <c r="AO214" s="115" t="str">
        <f t="shared" si="217"/>
        <v/>
      </c>
      <c r="AP214" s="117">
        <f>IF(AP$6="","",IF(AP$3="Maior",IFERROR(IF(VLOOKUP($N214,Capa!$A:$AE,AP$5,0)="",0,VLOOKUP($N214,Capa!$A:$AE,AP$5,0)),0),IF(ISERROR(1/VLOOKUP($N214,Capa!$A:$AE,AP$5,0)),0,1/VLOOKUP($N214,Capa!$A:$AE,AP$5,0))))</f>
        <v>0.03214021705</v>
      </c>
      <c r="AQ214" s="118">
        <f>IF(AQ$6="","",IF(AQ$3="Maior",IFERROR(IF(VLOOKUP($N214,Capa!$A:$AE,AQ$5,0)="",0,VLOOKUP($N214,Capa!$A:$AE,AQ$5,0)),0),IF(ISERROR(1/VLOOKUP($N214,Capa!$A:$AE,AQ$5,0)),0,1/VLOOKUP($N214,Capa!$A:$AE,AQ$5,0))))</f>
        <v>0</v>
      </c>
      <c r="AR214" s="118">
        <f>IF(AR$6="","",IF(AR$3="Maior",IFERROR(IF(VLOOKUP($N214,Capa!$A:$AE,AR$5,0)="",0,VLOOKUP($N214,Capa!$A:$AE,AR$5,0)),0),IF(ISERROR(1/VLOOKUP($N214,Capa!$A:$AE,AR$5,0)),0,1/VLOOKUP($N214,Capa!$A:$AE,AR$5,0))))</f>
        <v>0</v>
      </c>
      <c r="AS214" s="118" t="str">
        <f>IF(AS$6="","",IF(AS$3="Maior",IFERROR(IF(VLOOKUP($N214,Capa!$A:$AE,AS$5,0)="",0,VLOOKUP($N214,Capa!$A:$AE,AS$5,0)),0),IF(ISERROR(1/VLOOKUP($N214,Capa!$A:$AE,AS$5,0)),0,1/VLOOKUP($N214,Capa!$A:$AE,AS$5,0))))</f>
        <v/>
      </c>
      <c r="AT214" s="118" t="str">
        <f>IF(AT$6="","",IF(AT$3="Maior",IFERROR(IF(VLOOKUP($N214,Capa!$A:$AE,AT$5,0)="",0,VLOOKUP($N214,Capa!$A:$AE,AT$5,0)),0),IF(ISERROR(1/VLOOKUP($N214,Capa!$A:$AE,AT$5,0)),0,1/VLOOKUP($N214,Capa!$A:$AE,AT$5,0))))</f>
        <v/>
      </c>
      <c r="AU214" s="118" t="str">
        <f>IF(AU$6="","",IF(AU$3="Maior",IFERROR(IF(VLOOKUP($N214,Capa!$A:$AE,AU$5,0)="",0,VLOOKUP($N214,Capa!$A:$AE,AU$5,0)),0),IF(ISERROR(1/VLOOKUP($N214,Capa!$A:$AE,AU$5,0)),0,1/VLOOKUP($N214,Capa!$A:$AE,AU$5,0))))</f>
        <v/>
      </c>
      <c r="AV214" s="118" t="str">
        <f>IF(AV$6="","",IF(AV$3="Maior",IFERROR(IF(VLOOKUP($N214,Capa!$A:$AE,AV$5,0)="",0,VLOOKUP($N214,Capa!$A:$AE,AV$5,0)),0),IF(ISERROR(1/VLOOKUP($N214,Capa!$A:$AE,AV$5,0)),0,1/VLOOKUP($N214,Capa!$A:$AE,AV$5,0))))</f>
        <v/>
      </c>
      <c r="AW214" s="118" t="str">
        <f>IF(AW$6="","",IF(AW$3="Maior",IFERROR(IF(VLOOKUP($N214,Capa!$A:$AE,AW$5,0)="",0,VLOOKUP($N214,Capa!$A:$AE,AW$5,0)),0),IF(ISERROR(1/VLOOKUP($N214,Capa!$A:$AE,AW$5,0)),0,1/VLOOKUP($N214,Capa!$A:$AE,AW$5,0))))</f>
        <v/>
      </c>
      <c r="AX214" s="118" t="str">
        <f>IF(AX$6="","",IF(AX$3="Maior",IFERROR(IF(VLOOKUP($N214,Capa!$A:$AE,AX$5,0)="",0,VLOOKUP($N214,Capa!$A:$AE,AX$5,0)),0),IF(ISERROR(1/VLOOKUP($N214,Capa!$A:$AE,AX$5,0)),0,1/VLOOKUP($N214,Capa!$A:$AE,AX$5,0))))</f>
        <v/>
      </c>
      <c r="AY214" s="118" t="str">
        <f>IF(AY$6="","",IF(AY$3="Maior",IFERROR(IF(VLOOKUP($N214,Capa!$A:$AE,AY$5,0)="",0,VLOOKUP($N214,Capa!$A:$AE,AY$5,0)),0),IF(ISERROR(1/VLOOKUP($N214,Capa!$A:$AE,AY$5,0)),0,1/VLOOKUP($N214,Capa!$A:$AE,AY$5,0))))</f>
        <v/>
      </c>
      <c r="AZ214" s="118" t="str">
        <f>IF(AZ$6="","",IF(AZ$3="Maior",IFERROR(IF(VLOOKUP($N214,Capa!$A:$AE,AZ$5,0)="",0,VLOOKUP($N214,Capa!$A:$AE,AZ$5,0)),0),IF(ISERROR(1/VLOOKUP($N214,Capa!$A:$AE,AZ$5,0)),0,1/VLOOKUP($N214,Capa!$A:$AE,AZ$5,0))))</f>
        <v/>
      </c>
      <c r="BA214" s="118" t="str">
        <f>IF(BA$6="","",IF(BA$3="Maior",IFERROR(IF(VLOOKUP($N214,Capa!$A:$AE,BA$5,0)="",0,VLOOKUP($N214,Capa!$A:$AE,BA$5,0)),0),IF(ISERROR(1/VLOOKUP($N214,Capa!$A:$AE,BA$5,0)),0,1/VLOOKUP($N214,Capa!$A:$AE,BA$5,0))))</f>
        <v/>
      </c>
      <c r="BB214" s="118" t="str">
        <f>IF(BB$6="","",IF(BB$3="Maior",IFERROR(IF(VLOOKUP($N214,Capa!$A:$AE,BB$5,0)="",0,VLOOKUP($N214,Capa!$A:$AE,BB$5,0)),0),IF(ISERROR(1/VLOOKUP($N214,Capa!$A:$AE,BB$5,0)),0,1/VLOOKUP($N214,Capa!$A:$AE,BB$5,0))))</f>
        <v/>
      </c>
      <c r="BC214" s="118" t="str">
        <f>IF(BC$6="","",IF(BC$3="Maior",IFERROR(IF(VLOOKUP($N214,Capa!$A:$AE,BC$5,0)="",0,VLOOKUP($N214,Capa!$A:$AE,BC$5,0)),0),IF(ISERROR(1/VLOOKUP($N214,Capa!$A:$AE,BC$5,0)),0,1/VLOOKUP($N214,Capa!$A:$AE,BC$5,0))))</f>
        <v/>
      </c>
      <c r="BD214" s="118" t="str">
        <f>IF(BD$6="","",IF(BD$3="Maior",IFERROR(IF(VLOOKUP($N214,Capa!$A:$AE,BD$5,0)="",0,VLOOKUP($N214,Capa!$A:$AE,BD$5,0)),0),IF(ISERROR(1/VLOOKUP($N214,Capa!$A:$AE,BD$5,0)),0,1/VLOOKUP($N214,Capa!$A:$AE,BD$5,0))))</f>
        <v/>
      </c>
      <c r="BE214" s="118" t="str">
        <f>IF(BE$6="","",IF(BE$3="Maior",IFERROR(IF(VLOOKUP($N214,Capa!$A:$AE,BE$5,0)="",0,VLOOKUP($N214,Capa!$A:$AE,BE$5,0)),0),IF(ISERROR(1/VLOOKUP($N214,Capa!$A:$AE,BE$5,0)),0,1/VLOOKUP($N214,Capa!$A:$AE,BE$5,0))))</f>
        <v/>
      </c>
      <c r="BF214" s="118" t="str">
        <f>IF(BF$6="","",IF(BF$3="Maior",IFERROR(IF(VLOOKUP($N214,Capa!$A:$AE,BF$5,0)="",0,VLOOKUP($N214,Capa!$A:$AE,BF$5,0)),0),IF(ISERROR(1/VLOOKUP($N214,Capa!$A:$AE,BF$5,0)),0,1/VLOOKUP($N214,Capa!$A:$AE,BF$5,0))))</f>
        <v/>
      </c>
      <c r="BG214" s="118" t="str">
        <f>IF(BG$6="","",IF(BG$3="Maior",IFERROR(IF(VLOOKUP($N214,Capa!$A:$AE,BG$5,0)="",0,VLOOKUP($N214,Capa!$A:$AE,BG$5,0)),0),IF(ISERROR(1/VLOOKUP($N214,Capa!$A:$AE,BG$5,0)),0,1/VLOOKUP($N214,Capa!$A:$AE,BG$5,0))))</f>
        <v/>
      </c>
      <c r="BH214" s="118" t="str">
        <f>IF(BH$6="","",IF(BH$3="Maior",IFERROR(IF(VLOOKUP($N214,Capa!$A:$AE,BH$5,0)="",0,VLOOKUP($N214,Capa!$A:$AE,BH$5,0)),0),IF(ISERROR(1/VLOOKUP($N214,Capa!$A:$AE,BH$5,0)),0,1/VLOOKUP($N214,Capa!$A:$AE,BH$5,0))))</f>
        <v/>
      </c>
      <c r="BI214" s="118" t="str">
        <f>IF(BI$6="","",IF(BI$3="Maior",IFERROR(IF(VLOOKUP($N214,Capa!$A:$AE,BI$5,0)="",0,VLOOKUP($N214,Capa!$A:$AE,BI$5,0)),0),IF(ISERROR(1/VLOOKUP($N214,Capa!$A:$AE,BI$5,0)),0,1/VLOOKUP($N214,Capa!$A:$AE,BI$5,0))))</f>
        <v/>
      </c>
      <c r="BJ214" s="118" t="str">
        <f>IF(BJ$6="","",IF(BJ$3="Maior",IFERROR(IF(VLOOKUP($N214,Capa!$A:$AE,BJ$5,0)="",0,VLOOKUP($N214,Capa!$A:$AE,BJ$5,0)),0),IF(ISERROR(1/VLOOKUP($N214,Capa!$A:$AE,BJ$5,0)),0,1/VLOOKUP($N214,Capa!$A:$AE,BJ$5,0))))</f>
        <v/>
      </c>
      <c r="BK214" s="118" t="str">
        <f>IF(BK$6="","",IF(BK$3="Maior",IFERROR(IF(VLOOKUP($N214,Capa!$A:$AE,BK$5,0)="",0,VLOOKUP($N214,Capa!$A:$AE,BK$5,0)),0),IF(ISERROR(1/VLOOKUP($N214,Capa!$A:$AE,BK$5,0)),0,1/VLOOKUP($N214,Capa!$A:$AE,BK$5,0))))</f>
        <v/>
      </c>
      <c r="BL214" s="118" t="str">
        <f>IF(BL$6="","",IF(BL$3="Maior",IFERROR(IF(VLOOKUP($N214,Capa!$A:$AE,BL$5,0)="",0,VLOOKUP($N214,Capa!$A:$AE,BL$5,0)),0),IF(ISERROR(1/VLOOKUP($N214,Capa!$A:$AE,BL$5,0)),0,1/VLOOKUP($N214,Capa!$A:$AE,BL$5,0))))</f>
        <v/>
      </c>
      <c r="BM214" s="118" t="str">
        <f>IF(BM$6="","",IF(BM$3="Maior",IFERROR(IF(VLOOKUP($N214,Capa!$A:$AE,BM$5,0)="",0,VLOOKUP($N214,Capa!$A:$AE,BM$5,0)),0),IF(ISERROR(1/VLOOKUP($N214,Capa!$A:$AE,BM$5,0)),0,1/VLOOKUP($N214,Capa!$A:$AE,BM$5,0))))</f>
        <v/>
      </c>
      <c r="BN214" s="118" t="str">
        <f>IF(BN$6="","",IF(BN$3="Maior",IFERROR(IF(VLOOKUP($N214,Capa!$A:$AE,BN$5,0)="",0,VLOOKUP($N214,Capa!$A:$AE,BN$5,0)),0),IF(ISERROR(1/VLOOKUP($N214,Capa!$A:$AE,BN$5,0)),0,1/VLOOKUP($N214,Capa!$A:$AE,BN$5,0))))</f>
        <v/>
      </c>
      <c r="BO214" s="92"/>
    </row>
    <row r="215">
      <c r="G215" s="11"/>
      <c r="H215" s="11"/>
      <c r="I215" s="8"/>
      <c r="J215" s="132"/>
      <c r="K215" s="11"/>
      <c r="L215" s="11"/>
      <c r="M215" s="11"/>
      <c r="N215" s="10" t="s">
        <v>261</v>
      </c>
      <c r="O215" s="113">
        <f t="shared" si="8"/>
        <v>1292.0016</v>
      </c>
      <c r="P215" s="114">
        <f>VLOOKUP(N215,'Dados StatusInvest'!A:Z,26,0)</f>
        <v>8652559.92</v>
      </c>
      <c r="Q215" s="115">
        <f t="shared" si="9"/>
        <v>16.0016</v>
      </c>
      <c r="R215" s="116">
        <f t="shared" ref="R215:AO215" si="218">IF(AQ215="","", RANK(AQ215,AQ$7:AQ$503,0))</f>
        <v>57</v>
      </c>
      <c r="S215" s="115">
        <f t="shared" si="218"/>
        <v>219</v>
      </c>
      <c r="T215" s="115" t="str">
        <f t="shared" si="218"/>
        <v/>
      </c>
      <c r="U215" s="115" t="str">
        <f t="shared" si="218"/>
        <v/>
      </c>
      <c r="V215" s="115" t="str">
        <f t="shared" si="218"/>
        <v/>
      </c>
      <c r="W215" s="115" t="str">
        <f t="shared" si="218"/>
        <v/>
      </c>
      <c r="X215" s="115" t="str">
        <f t="shared" si="218"/>
        <v/>
      </c>
      <c r="Y215" s="115" t="str">
        <f t="shared" si="218"/>
        <v/>
      </c>
      <c r="Z215" s="115" t="str">
        <f t="shared" si="218"/>
        <v/>
      </c>
      <c r="AA215" s="115" t="str">
        <f t="shared" si="218"/>
        <v/>
      </c>
      <c r="AB215" s="115" t="str">
        <f t="shared" si="218"/>
        <v/>
      </c>
      <c r="AC215" s="115" t="str">
        <f t="shared" si="218"/>
        <v/>
      </c>
      <c r="AD215" s="115" t="str">
        <f t="shared" si="218"/>
        <v/>
      </c>
      <c r="AE215" s="115" t="str">
        <f t="shared" si="218"/>
        <v/>
      </c>
      <c r="AF215" s="115" t="str">
        <f t="shared" si="218"/>
        <v/>
      </c>
      <c r="AG215" s="115" t="str">
        <f t="shared" si="218"/>
        <v/>
      </c>
      <c r="AH215" s="115" t="str">
        <f t="shared" si="218"/>
        <v/>
      </c>
      <c r="AI215" s="115" t="str">
        <f t="shared" si="218"/>
        <v/>
      </c>
      <c r="AJ215" s="115" t="str">
        <f t="shared" si="218"/>
        <v/>
      </c>
      <c r="AK215" s="115" t="str">
        <f t="shared" si="218"/>
        <v/>
      </c>
      <c r="AL215" s="115" t="str">
        <f t="shared" si="218"/>
        <v/>
      </c>
      <c r="AM215" s="115" t="str">
        <f t="shared" si="218"/>
        <v/>
      </c>
      <c r="AN215" s="115" t="str">
        <f t="shared" si="218"/>
        <v/>
      </c>
      <c r="AO215" s="115" t="str">
        <f t="shared" si="218"/>
        <v/>
      </c>
      <c r="AP215" s="117">
        <f>IF(AP$6="","",IF(AP$3="Maior",IFERROR(IF(VLOOKUP($N215,Capa!$A:$AE,AP$5,0)="",0,VLOOKUP($N215,Capa!$A:$AE,AP$5,0)),0),IF(ISERROR(1/VLOOKUP($N215,Capa!$A:$AE,AP$5,0)),0,1/VLOOKUP($N215,Capa!$A:$AE,AP$5,0))))</f>
        <v>0.471904719</v>
      </c>
      <c r="AQ215" s="118">
        <f>IF(AQ$6="","",IF(AQ$3="Maior",IFERROR(IF(VLOOKUP($N215,Capa!$A:$AE,AQ$5,0)="",0,VLOOKUP($N215,Capa!$A:$AE,AQ$5,0)),0),IF(ISERROR(1/VLOOKUP($N215,Capa!$A:$AE,AQ$5,0)),0,1/VLOOKUP($N215,Capa!$A:$AE,AQ$5,0))))</f>
        <v>24.18</v>
      </c>
      <c r="AR215" s="118">
        <f>IF(AR$6="","",IF(AR$3="Maior",IFERROR(IF(VLOOKUP($N215,Capa!$A:$AE,AR$5,0)="",0,VLOOKUP($N215,Capa!$A:$AE,AR$5,0)),0),IF(ISERROR(1/VLOOKUP($N215,Capa!$A:$AE,AR$5,0)),0,1/VLOOKUP($N215,Capa!$A:$AE,AR$5,0))))</f>
        <v>0</v>
      </c>
      <c r="AS215" s="118" t="str">
        <f>IF(AS$6="","",IF(AS$3="Maior",IFERROR(IF(VLOOKUP($N215,Capa!$A:$AE,AS$5,0)="",0,VLOOKUP($N215,Capa!$A:$AE,AS$5,0)),0),IF(ISERROR(1/VLOOKUP($N215,Capa!$A:$AE,AS$5,0)),0,1/VLOOKUP($N215,Capa!$A:$AE,AS$5,0))))</f>
        <v/>
      </c>
      <c r="AT215" s="118" t="str">
        <f>IF(AT$6="","",IF(AT$3="Maior",IFERROR(IF(VLOOKUP($N215,Capa!$A:$AE,AT$5,0)="",0,VLOOKUP($N215,Capa!$A:$AE,AT$5,0)),0),IF(ISERROR(1/VLOOKUP($N215,Capa!$A:$AE,AT$5,0)),0,1/VLOOKUP($N215,Capa!$A:$AE,AT$5,0))))</f>
        <v/>
      </c>
      <c r="AU215" s="118" t="str">
        <f>IF(AU$6="","",IF(AU$3="Maior",IFERROR(IF(VLOOKUP($N215,Capa!$A:$AE,AU$5,0)="",0,VLOOKUP($N215,Capa!$A:$AE,AU$5,0)),0),IF(ISERROR(1/VLOOKUP($N215,Capa!$A:$AE,AU$5,0)),0,1/VLOOKUP($N215,Capa!$A:$AE,AU$5,0))))</f>
        <v/>
      </c>
      <c r="AV215" s="118" t="str">
        <f>IF(AV$6="","",IF(AV$3="Maior",IFERROR(IF(VLOOKUP($N215,Capa!$A:$AE,AV$5,0)="",0,VLOOKUP($N215,Capa!$A:$AE,AV$5,0)),0),IF(ISERROR(1/VLOOKUP($N215,Capa!$A:$AE,AV$5,0)),0,1/VLOOKUP($N215,Capa!$A:$AE,AV$5,0))))</f>
        <v/>
      </c>
      <c r="AW215" s="118" t="str">
        <f>IF(AW$6="","",IF(AW$3="Maior",IFERROR(IF(VLOOKUP($N215,Capa!$A:$AE,AW$5,0)="",0,VLOOKUP($N215,Capa!$A:$AE,AW$5,0)),0),IF(ISERROR(1/VLOOKUP($N215,Capa!$A:$AE,AW$5,0)),0,1/VLOOKUP($N215,Capa!$A:$AE,AW$5,0))))</f>
        <v/>
      </c>
      <c r="AX215" s="118" t="str">
        <f>IF(AX$6="","",IF(AX$3="Maior",IFERROR(IF(VLOOKUP($N215,Capa!$A:$AE,AX$5,0)="",0,VLOOKUP($N215,Capa!$A:$AE,AX$5,0)),0),IF(ISERROR(1/VLOOKUP($N215,Capa!$A:$AE,AX$5,0)),0,1/VLOOKUP($N215,Capa!$A:$AE,AX$5,0))))</f>
        <v/>
      </c>
      <c r="AY215" s="118" t="str">
        <f>IF(AY$6="","",IF(AY$3="Maior",IFERROR(IF(VLOOKUP($N215,Capa!$A:$AE,AY$5,0)="",0,VLOOKUP($N215,Capa!$A:$AE,AY$5,0)),0),IF(ISERROR(1/VLOOKUP($N215,Capa!$A:$AE,AY$5,0)),0,1/VLOOKUP($N215,Capa!$A:$AE,AY$5,0))))</f>
        <v/>
      </c>
      <c r="AZ215" s="118" t="str">
        <f>IF(AZ$6="","",IF(AZ$3="Maior",IFERROR(IF(VLOOKUP($N215,Capa!$A:$AE,AZ$5,0)="",0,VLOOKUP($N215,Capa!$A:$AE,AZ$5,0)),0),IF(ISERROR(1/VLOOKUP($N215,Capa!$A:$AE,AZ$5,0)),0,1/VLOOKUP($N215,Capa!$A:$AE,AZ$5,0))))</f>
        <v/>
      </c>
      <c r="BA215" s="118" t="str">
        <f>IF(BA$6="","",IF(BA$3="Maior",IFERROR(IF(VLOOKUP($N215,Capa!$A:$AE,BA$5,0)="",0,VLOOKUP($N215,Capa!$A:$AE,BA$5,0)),0),IF(ISERROR(1/VLOOKUP($N215,Capa!$A:$AE,BA$5,0)),0,1/VLOOKUP($N215,Capa!$A:$AE,BA$5,0))))</f>
        <v/>
      </c>
      <c r="BB215" s="118" t="str">
        <f>IF(BB$6="","",IF(BB$3="Maior",IFERROR(IF(VLOOKUP($N215,Capa!$A:$AE,BB$5,0)="",0,VLOOKUP($N215,Capa!$A:$AE,BB$5,0)),0),IF(ISERROR(1/VLOOKUP($N215,Capa!$A:$AE,BB$5,0)),0,1/VLOOKUP($N215,Capa!$A:$AE,BB$5,0))))</f>
        <v/>
      </c>
      <c r="BC215" s="118" t="str">
        <f>IF(BC$6="","",IF(BC$3="Maior",IFERROR(IF(VLOOKUP($N215,Capa!$A:$AE,BC$5,0)="",0,VLOOKUP($N215,Capa!$A:$AE,BC$5,0)),0),IF(ISERROR(1/VLOOKUP($N215,Capa!$A:$AE,BC$5,0)),0,1/VLOOKUP($N215,Capa!$A:$AE,BC$5,0))))</f>
        <v/>
      </c>
      <c r="BD215" s="118" t="str">
        <f>IF(BD$6="","",IF(BD$3="Maior",IFERROR(IF(VLOOKUP($N215,Capa!$A:$AE,BD$5,0)="",0,VLOOKUP($N215,Capa!$A:$AE,BD$5,0)),0),IF(ISERROR(1/VLOOKUP($N215,Capa!$A:$AE,BD$5,0)),0,1/VLOOKUP($N215,Capa!$A:$AE,BD$5,0))))</f>
        <v/>
      </c>
      <c r="BE215" s="118" t="str">
        <f>IF(BE$6="","",IF(BE$3="Maior",IFERROR(IF(VLOOKUP($N215,Capa!$A:$AE,BE$5,0)="",0,VLOOKUP($N215,Capa!$A:$AE,BE$5,0)),0),IF(ISERROR(1/VLOOKUP($N215,Capa!$A:$AE,BE$5,0)),0,1/VLOOKUP($N215,Capa!$A:$AE,BE$5,0))))</f>
        <v/>
      </c>
      <c r="BF215" s="118" t="str">
        <f>IF(BF$6="","",IF(BF$3="Maior",IFERROR(IF(VLOOKUP($N215,Capa!$A:$AE,BF$5,0)="",0,VLOOKUP($N215,Capa!$A:$AE,BF$5,0)),0),IF(ISERROR(1/VLOOKUP($N215,Capa!$A:$AE,BF$5,0)),0,1/VLOOKUP($N215,Capa!$A:$AE,BF$5,0))))</f>
        <v/>
      </c>
      <c r="BG215" s="118" t="str">
        <f>IF(BG$6="","",IF(BG$3="Maior",IFERROR(IF(VLOOKUP($N215,Capa!$A:$AE,BG$5,0)="",0,VLOOKUP($N215,Capa!$A:$AE,BG$5,0)),0),IF(ISERROR(1/VLOOKUP($N215,Capa!$A:$AE,BG$5,0)),0,1/VLOOKUP($N215,Capa!$A:$AE,BG$5,0))))</f>
        <v/>
      </c>
      <c r="BH215" s="118" t="str">
        <f>IF(BH$6="","",IF(BH$3="Maior",IFERROR(IF(VLOOKUP($N215,Capa!$A:$AE,BH$5,0)="",0,VLOOKUP($N215,Capa!$A:$AE,BH$5,0)),0),IF(ISERROR(1/VLOOKUP($N215,Capa!$A:$AE,BH$5,0)),0,1/VLOOKUP($N215,Capa!$A:$AE,BH$5,0))))</f>
        <v/>
      </c>
      <c r="BI215" s="118" t="str">
        <f>IF(BI$6="","",IF(BI$3="Maior",IFERROR(IF(VLOOKUP($N215,Capa!$A:$AE,BI$5,0)="",0,VLOOKUP($N215,Capa!$A:$AE,BI$5,0)),0),IF(ISERROR(1/VLOOKUP($N215,Capa!$A:$AE,BI$5,0)),0,1/VLOOKUP($N215,Capa!$A:$AE,BI$5,0))))</f>
        <v/>
      </c>
      <c r="BJ215" s="118" t="str">
        <f>IF(BJ$6="","",IF(BJ$3="Maior",IFERROR(IF(VLOOKUP($N215,Capa!$A:$AE,BJ$5,0)="",0,VLOOKUP($N215,Capa!$A:$AE,BJ$5,0)),0),IF(ISERROR(1/VLOOKUP($N215,Capa!$A:$AE,BJ$5,0)),0,1/VLOOKUP($N215,Capa!$A:$AE,BJ$5,0))))</f>
        <v/>
      </c>
      <c r="BK215" s="118" t="str">
        <f>IF(BK$6="","",IF(BK$3="Maior",IFERROR(IF(VLOOKUP($N215,Capa!$A:$AE,BK$5,0)="",0,VLOOKUP($N215,Capa!$A:$AE,BK$5,0)),0),IF(ISERROR(1/VLOOKUP($N215,Capa!$A:$AE,BK$5,0)),0,1/VLOOKUP($N215,Capa!$A:$AE,BK$5,0))))</f>
        <v/>
      </c>
      <c r="BL215" s="118" t="str">
        <f>IF(BL$6="","",IF(BL$3="Maior",IFERROR(IF(VLOOKUP($N215,Capa!$A:$AE,BL$5,0)="",0,VLOOKUP($N215,Capa!$A:$AE,BL$5,0)),0),IF(ISERROR(1/VLOOKUP($N215,Capa!$A:$AE,BL$5,0)),0,1/VLOOKUP($N215,Capa!$A:$AE,BL$5,0))))</f>
        <v/>
      </c>
      <c r="BM215" s="118" t="str">
        <f>IF(BM$6="","",IF(BM$3="Maior",IFERROR(IF(VLOOKUP($N215,Capa!$A:$AE,BM$5,0)="",0,VLOOKUP($N215,Capa!$A:$AE,BM$5,0)),0),IF(ISERROR(1/VLOOKUP($N215,Capa!$A:$AE,BM$5,0)),0,1/VLOOKUP($N215,Capa!$A:$AE,BM$5,0))))</f>
        <v/>
      </c>
      <c r="BN215" s="118" t="str">
        <f>IF(BN$6="","",IF(BN$3="Maior",IFERROR(IF(VLOOKUP($N215,Capa!$A:$AE,BN$5,0)="",0,VLOOKUP($N215,Capa!$A:$AE,BN$5,0)),0),IF(ISERROR(1/VLOOKUP($N215,Capa!$A:$AE,BN$5,0)),0,1/VLOOKUP($N215,Capa!$A:$AE,BN$5,0))))</f>
        <v/>
      </c>
      <c r="BO215" s="92"/>
    </row>
    <row r="216">
      <c r="G216" s="11"/>
      <c r="H216" s="11"/>
      <c r="I216" s="8"/>
      <c r="J216" s="132"/>
      <c r="K216" s="11"/>
      <c r="L216" s="11"/>
      <c r="M216" s="11"/>
      <c r="N216" s="10" t="s">
        <v>262</v>
      </c>
      <c r="O216" s="113">
        <f t="shared" si="8"/>
        <v>1375.0094</v>
      </c>
      <c r="P216" s="114">
        <f>VLOOKUP(N216,'Dados StatusInvest'!A:Z,26,0)</f>
        <v>9191360.04</v>
      </c>
      <c r="Q216" s="115">
        <f t="shared" si="9"/>
        <v>94.0094</v>
      </c>
      <c r="R216" s="116">
        <f t="shared" ref="R216:AO216" si="219">IF(AQ216="","", RANK(AQ216,AQ$7:AQ$503,0))</f>
        <v>121</v>
      </c>
      <c r="S216" s="115">
        <f t="shared" si="219"/>
        <v>160</v>
      </c>
      <c r="T216" s="115" t="str">
        <f t="shared" si="219"/>
        <v/>
      </c>
      <c r="U216" s="115" t="str">
        <f t="shared" si="219"/>
        <v/>
      </c>
      <c r="V216" s="115" t="str">
        <f t="shared" si="219"/>
        <v/>
      </c>
      <c r="W216" s="115" t="str">
        <f t="shared" si="219"/>
        <v/>
      </c>
      <c r="X216" s="115" t="str">
        <f t="shared" si="219"/>
        <v/>
      </c>
      <c r="Y216" s="115" t="str">
        <f t="shared" si="219"/>
        <v/>
      </c>
      <c r="Z216" s="115" t="str">
        <f t="shared" si="219"/>
        <v/>
      </c>
      <c r="AA216" s="115" t="str">
        <f t="shared" si="219"/>
        <v/>
      </c>
      <c r="AB216" s="115" t="str">
        <f t="shared" si="219"/>
        <v/>
      </c>
      <c r="AC216" s="115" t="str">
        <f t="shared" si="219"/>
        <v/>
      </c>
      <c r="AD216" s="115" t="str">
        <f t="shared" si="219"/>
        <v/>
      </c>
      <c r="AE216" s="115" t="str">
        <f t="shared" si="219"/>
        <v/>
      </c>
      <c r="AF216" s="115" t="str">
        <f t="shared" si="219"/>
        <v/>
      </c>
      <c r="AG216" s="115" t="str">
        <f t="shared" si="219"/>
        <v/>
      </c>
      <c r="AH216" s="115" t="str">
        <f t="shared" si="219"/>
        <v/>
      </c>
      <c r="AI216" s="115" t="str">
        <f t="shared" si="219"/>
        <v/>
      </c>
      <c r="AJ216" s="115" t="str">
        <f t="shared" si="219"/>
        <v/>
      </c>
      <c r="AK216" s="115" t="str">
        <f t="shared" si="219"/>
        <v/>
      </c>
      <c r="AL216" s="115" t="str">
        <f t="shared" si="219"/>
        <v/>
      </c>
      <c r="AM216" s="115" t="str">
        <f t="shared" si="219"/>
        <v/>
      </c>
      <c r="AN216" s="115" t="str">
        <f t="shared" si="219"/>
        <v/>
      </c>
      <c r="AO216" s="115" t="str">
        <f t="shared" si="219"/>
        <v/>
      </c>
      <c r="AP216" s="117">
        <f>IF(AP$6="","",IF(AP$3="Maior",IFERROR(IF(VLOOKUP($N216,Capa!$A:$AE,AP$5,0)="",0,VLOOKUP($N216,Capa!$A:$AE,AP$5,0)),0),IF(ISERROR(1/VLOOKUP($N216,Capa!$A:$AE,AP$5,0)),0,1/VLOOKUP($N216,Capa!$A:$AE,AP$5,0))))</f>
        <v>0.1991599327</v>
      </c>
      <c r="AQ216" s="118">
        <f>IF(AQ$6="","",IF(AQ$3="Maior",IFERROR(IF(VLOOKUP($N216,Capa!$A:$AE,AQ$5,0)="",0,VLOOKUP($N216,Capa!$A:$AE,AQ$5,0)),0),IF(ISERROR(1/VLOOKUP($N216,Capa!$A:$AE,AQ$5,0)),0,1/VLOOKUP($N216,Capa!$A:$AE,AQ$5,0))))</f>
        <v>15.61</v>
      </c>
      <c r="AR216" s="118">
        <f>IF(AR$6="","",IF(AR$3="Maior",IFERROR(IF(VLOOKUP($N216,Capa!$A:$AE,AR$5,0)="",0,VLOOKUP($N216,Capa!$A:$AE,AR$5,0)),0),IF(ISERROR(1/VLOOKUP($N216,Capa!$A:$AE,AR$5,0)),0,1/VLOOKUP($N216,Capa!$A:$AE,AR$5,0))))</f>
        <v>11.46</v>
      </c>
      <c r="AS216" s="118" t="str">
        <f>IF(AS$6="","",IF(AS$3="Maior",IFERROR(IF(VLOOKUP($N216,Capa!$A:$AE,AS$5,0)="",0,VLOOKUP($N216,Capa!$A:$AE,AS$5,0)),0),IF(ISERROR(1/VLOOKUP($N216,Capa!$A:$AE,AS$5,0)),0,1/VLOOKUP($N216,Capa!$A:$AE,AS$5,0))))</f>
        <v/>
      </c>
      <c r="AT216" s="118" t="str">
        <f>IF(AT$6="","",IF(AT$3="Maior",IFERROR(IF(VLOOKUP($N216,Capa!$A:$AE,AT$5,0)="",0,VLOOKUP($N216,Capa!$A:$AE,AT$5,0)),0),IF(ISERROR(1/VLOOKUP($N216,Capa!$A:$AE,AT$5,0)),0,1/VLOOKUP($N216,Capa!$A:$AE,AT$5,0))))</f>
        <v/>
      </c>
      <c r="AU216" s="118" t="str">
        <f>IF(AU$6="","",IF(AU$3="Maior",IFERROR(IF(VLOOKUP($N216,Capa!$A:$AE,AU$5,0)="",0,VLOOKUP($N216,Capa!$A:$AE,AU$5,0)),0),IF(ISERROR(1/VLOOKUP($N216,Capa!$A:$AE,AU$5,0)),0,1/VLOOKUP($N216,Capa!$A:$AE,AU$5,0))))</f>
        <v/>
      </c>
      <c r="AV216" s="118" t="str">
        <f>IF(AV$6="","",IF(AV$3="Maior",IFERROR(IF(VLOOKUP($N216,Capa!$A:$AE,AV$5,0)="",0,VLOOKUP($N216,Capa!$A:$AE,AV$5,0)),0),IF(ISERROR(1/VLOOKUP($N216,Capa!$A:$AE,AV$5,0)),0,1/VLOOKUP($N216,Capa!$A:$AE,AV$5,0))))</f>
        <v/>
      </c>
      <c r="AW216" s="118" t="str">
        <f>IF(AW$6="","",IF(AW$3="Maior",IFERROR(IF(VLOOKUP($N216,Capa!$A:$AE,AW$5,0)="",0,VLOOKUP($N216,Capa!$A:$AE,AW$5,0)),0),IF(ISERROR(1/VLOOKUP($N216,Capa!$A:$AE,AW$5,0)),0,1/VLOOKUP($N216,Capa!$A:$AE,AW$5,0))))</f>
        <v/>
      </c>
      <c r="AX216" s="118" t="str">
        <f>IF(AX$6="","",IF(AX$3="Maior",IFERROR(IF(VLOOKUP($N216,Capa!$A:$AE,AX$5,0)="",0,VLOOKUP($N216,Capa!$A:$AE,AX$5,0)),0),IF(ISERROR(1/VLOOKUP($N216,Capa!$A:$AE,AX$5,0)),0,1/VLOOKUP($N216,Capa!$A:$AE,AX$5,0))))</f>
        <v/>
      </c>
      <c r="AY216" s="118" t="str">
        <f>IF(AY$6="","",IF(AY$3="Maior",IFERROR(IF(VLOOKUP($N216,Capa!$A:$AE,AY$5,0)="",0,VLOOKUP($N216,Capa!$A:$AE,AY$5,0)),0),IF(ISERROR(1/VLOOKUP($N216,Capa!$A:$AE,AY$5,0)),0,1/VLOOKUP($N216,Capa!$A:$AE,AY$5,0))))</f>
        <v/>
      </c>
      <c r="AZ216" s="118" t="str">
        <f>IF(AZ$6="","",IF(AZ$3="Maior",IFERROR(IF(VLOOKUP($N216,Capa!$A:$AE,AZ$5,0)="",0,VLOOKUP($N216,Capa!$A:$AE,AZ$5,0)),0),IF(ISERROR(1/VLOOKUP($N216,Capa!$A:$AE,AZ$5,0)),0,1/VLOOKUP($N216,Capa!$A:$AE,AZ$5,0))))</f>
        <v/>
      </c>
      <c r="BA216" s="118" t="str">
        <f>IF(BA$6="","",IF(BA$3="Maior",IFERROR(IF(VLOOKUP($N216,Capa!$A:$AE,BA$5,0)="",0,VLOOKUP($N216,Capa!$A:$AE,BA$5,0)),0),IF(ISERROR(1/VLOOKUP($N216,Capa!$A:$AE,BA$5,0)),0,1/VLOOKUP($N216,Capa!$A:$AE,BA$5,0))))</f>
        <v/>
      </c>
      <c r="BB216" s="118" t="str">
        <f>IF(BB$6="","",IF(BB$3="Maior",IFERROR(IF(VLOOKUP($N216,Capa!$A:$AE,BB$5,0)="",0,VLOOKUP($N216,Capa!$A:$AE,BB$5,0)),0),IF(ISERROR(1/VLOOKUP($N216,Capa!$A:$AE,BB$5,0)),0,1/VLOOKUP($N216,Capa!$A:$AE,BB$5,0))))</f>
        <v/>
      </c>
      <c r="BC216" s="118" t="str">
        <f>IF(BC$6="","",IF(BC$3="Maior",IFERROR(IF(VLOOKUP($N216,Capa!$A:$AE,BC$5,0)="",0,VLOOKUP($N216,Capa!$A:$AE,BC$5,0)),0),IF(ISERROR(1/VLOOKUP($N216,Capa!$A:$AE,BC$5,0)),0,1/VLOOKUP($N216,Capa!$A:$AE,BC$5,0))))</f>
        <v/>
      </c>
      <c r="BD216" s="118" t="str">
        <f>IF(BD$6="","",IF(BD$3="Maior",IFERROR(IF(VLOOKUP($N216,Capa!$A:$AE,BD$5,0)="",0,VLOOKUP($N216,Capa!$A:$AE,BD$5,0)),0),IF(ISERROR(1/VLOOKUP($N216,Capa!$A:$AE,BD$5,0)),0,1/VLOOKUP($N216,Capa!$A:$AE,BD$5,0))))</f>
        <v/>
      </c>
      <c r="BE216" s="118" t="str">
        <f>IF(BE$6="","",IF(BE$3="Maior",IFERROR(IF(VLOOKUP($N216,Capa!$A:$AE,BE$5,0)="",0,VLOOKUP($N216,Capa!$A:$AE,BE$5,0)),0),IF(ISERROR(1/VLOOKUP($N216,Capa!$A:$AE,BE$5,0)),0,1/VLOOKUP($N216,Capa!$A:$AE,BE$5,0))))</f>
        <v/>
      </c>
      <c r="BF216" s="118" t="str">
        <f>IF(BF$6="","",IF(BF$3="Maior",IFERROR(IF(VLOOKUP($N216,Capa!$A:$AE,BF$5,0)="",0,VLOOKUP($N216,Capa!$A:$AE,BF$5,0)),0),IF(ISERROR(1/VLOOKUP($N216,Capa!$A:$AE,BF$5,0)),0,1/VLOOKUP($N216,Capa!$A:$AE,BF$5,0))))</f>
        <v/>
      </c>
      <c r="BG216" s="118" t="str">
        <f>IF(BG$6="","",IF(BG$3="Maior",IFERROR(IF(VLOOKUP($N216,Capa!$A:$AE,BG$5,0)="",0,VLOOKUP($N216,Capa!$A:$AE,BG$5,0)),0),IF(ISERROR(1/VLOOKUP($N216,Capa!$A:$AE,BG$5,0)),0,1/VLOOKUP($N216,Capa!$A:$AE,BG$5,0))))</f>
        <v/>
      </c>
      <c r="BH216" s="118" t="str">
        <f>IF(BH$6="","",IF(BH$3="Maior",IFERROR(IF(VLOOKUP($N216,Capa!$A:$AE,BH$5,0)="",0,VLOOKUP($N216,Capa!$A:$AE,BH$5,0)),0),IF(ISERROR(1/VLOOKUP($N216,Capa!$A:$AE,BH$5,0)),0,1/VLOOKUP($N216,Capa!$A:$AE,BH$5,0))))</f>
        <v/>
      </c>
      <c r="BI216" s="118" t="str">
        <f>IF(BI$6="","",IF(BI$3="Maior",IFERROR(IF(VLOOKUP($N216,Capa!$A:$AE,BI$5,0)="",0,VLOOKUP($N216,Capa!$A:$AE,BI$5,0)),0),IF(ISERROR(1/VLOOKUP($N216,Capa!$A:$AE,BI$5,0)),0,1/VLOOKUP($N216,Capa!$A:$AE,BI$5,0))))</f>
        <v/>
      </c>
      <c r="BJ216" s="118" t="str">
        <f>IF(BJ$6="","",IF(BJ$3="Maior",IFERROR(IF(VLOOKUP($N216,Capa!$A:$AE,BJ$5,0)="",0,VLOOKUP($N216,Capa!$A:$AE,BJ$5,0)),0),IF(ISERROR(1/VLOOKUP($N216,Capa!$A:$AE,BJ$5,0)),0,1/VLOOKUP($N216,Capa!$A:$AE,BJ$5,0))))</f>
        <v/>
      </c>
      <c r="BK216" s="118" t="str">
        <f>IF(BK$6="","",IF(BK$3="Maior",IFERROR(IF(VLOOKUP($N216,Capa!$A:$AE,BK$5,0)="",0,VLOOKUP($N216,Capa!$A:$AE,BK$5,0)),0),IF(ISERROR(1/VLOOKUP($N216,Capa!$A:$AE,BK$5,0)),0,1/VLOOKUP($N216,Capa!$A:$AE,BK$5,0))))</f>
        <v/>
      </c>
      <c r="BL216" s="118" t="str">
        <f>IF(BL$6="","",IF(BL$3="Maior",IFERROR(IF(VLOOKUP($N216,Capa!$A:$AE,BL$5,0)="",0,VLOOKUP($N216,Capa!$A:$AE,BL$5,0)),0),IF(ISERROR(1/VLOOKUP($N216,Capa!$A:$AE,BL$5,0)),0,1/VLOOKUP($N216,Capa!$A:$AE,BL$5,0))))</f>
        <v/>
      </c>
      <c r="BM216" s="118" t="str">
        <f>IF(BM$6="","",IF(BM$3="Maior",IFERROR(IF(VLOOKUP($N216,Capa!$A:$AE,BM$5,0)="",0,VLOOKUP($N216,Capa!$A:$AE,BM$5,0)),0),IF(ISERROR(1/VLOOKUP($N216,Capa!$A:$AE,BM$5,0)),0,1/VLOOKUP($N216,Capa!$A:$AE,BM$5,0))))</f>
        <v/>
      </c>
      <c r="BN216" s="118" t="str">
        <f>IF(BN$6="","",IF(BN$3="Maior",IFERROR(IF(VLOOKUP($N216,Capa!$A:$AE,BN$5,0)="",0,VLOOKUP($N216,Capa!$A:$AE,BN$5,0)),0),IF(ISERROR(1/VLOOKUP($N216,Capa!$A:$AE,BN$5,0)),0,1/VLOOKUP($N216,Capa!$A:$AE,BN$5,0))))</f>
        <v/>
      </c>
      <c r="BO216" s="92"/>
    </row>
    <row r="217">
      <c r="G217" s="11"/>
      <c r="H217" s="11"/>
      <c r="I217" s="8"/>
      <c r="J217" s="132"/>
      <c r="K217" s="11"/>
      <c r="L217" s="11"/>
      <c r="M217" s="11"/>
      <c r="N217" s="10" t="s">
        <v>263</v>
      </c>
      <c r="O217" s="113">
        <f t="shared" si="8"/>
        <v>1839.0262</v>
      </c>
      <c r="P217" s="114">
        <f>VLOOKUP(N217,'Dados StatusInvest'!A:Z,26,0)</f>
        <v>8650153.63</v>
      </c>
      <c r="Q217" s="115">
        <f t="shared" si="9"/>
        <v>262.0262</v>
      </c>
      <c r="R217" s="116">
        <f t="shared" ref="R217:AO217" si="220">IF(AQ217="","", RANK(AQ217,AQ$7:AQ$503,0))</f>
        <v>358</v>
      </c>
      <c r="S217" s="115">
        <f t="shared" si="220"/>
        <v>219</v>
      </c>
      <c r="T217" s="115" t="str">
        <f t="shared" si="220"/>
        <v/>
      </c>
      <c r="U217" s="115" t="str">
        <f t="shared" si="220"/>
        <v/>
      </c>
      <c r="V217" s="115" t="str">
        <f t="shared" si="220"/>
        <v/>
      </c>
      <c r="W217" s="115" t="str">
        <f t="shared" si="220"/>
        <v/>
      </c>
      <c r="X217" s="115" t="str">
        <f t="shared" si="220"/>
        <v/>
      </c>
      <c r="Y217" s="115" t="str">
        <f t="shared" si="220"/>
        <v/>
      </c>
      <c r="Z217" s="115" t="str">
        <f t="shared" si="220"/>
        <v/>
      </c>
      <c r="AA217" s="115" t="str">
        <f t="shared" si="220"/>
        <v/>
      </c>
      <c r="AB217" s="115" t="str">
        <f t="shared" si="220"/>
        <v/>
      </c>
      <c r="AC217" s="115" t="str">
        <f t="shared" si="220"/>
        <v/>
      </c>
      <c r="AD217" s="115" t="str">
        <f t="shared" si="220"/>
        <v/>
      </c>
      <c r="AE217" s="115" t="str">
        <f t="shared" si="220"/>
        <v/>
      </c>
      <c r="AF217" s="115" t="str">
        <f t="shared" si="220"/>
        <v/>
      </c>
      <c r="AG217" s="115" t="str">
        <f t="shared" si="220"/>
        <v/>
      </c>
      <c r="AH217" s="115" t="str">
        <f t="shared" si="220"/>
        <v/>
      </c>
      <c r="AI217" s="115" t="str">
        <f t="shared" si="220"/>
        <v/>
      </c>
      <c r="AJ217" s="115" t="str">
        <f t="shared" si="220"/>
        <v/>
      </c>
      <c r="AK217" s="115" t="str">
        <f t="shared" si="220"/>
        <v/>
      </c>
      <c r="AL217" s="115" t="str">
        <f t="shared" si="220"/>
        <v/>
      </c>
      <c r="AM217" s="115" t="str">
        <f t="shared" si="220"/>
        <v/>
      </c>
      <c r="AN217" s="115" t="str">
        <f t="shared" si="220"/>
        <v/>
      </c>
      <c r="AO217" s="115" t="str">
        <f t="shared" si="220"/>
        <v/>
      </c>
      <c r="AP217" s="117">
        <f>IF(AP$6="","",IF(AP$3="Maior",IFERROR(IF(VLOOKUP($N217,Capa!$A:$AE,AP$5,0)="",0,VLOOKUP($N217,Capa!$A:$AE,AP$5,0)),0),IF(ISERROR(1/VLOOKUP($N217,Capa!$A:$AE,AP$5,0)),0,1/VLOOKUP($N217,Capa!$A:$AE,AP$5,0))))</f>
        <v>0.07367736162</v>
      </c>
      <c r="AQ217" s="118">
        <f>IF(AQ$6="","",IF(AQ$3="Maior",IFERROR(IF(VLOOKUP($N217,Capa!$A:$AE,AQ$5,0)="",0,VLOOKUP($N217,Capa!$A:$AE,AQ$5,0)),0),IF(ISERROR(1/VLOOKUP($N217,Capa!$A:$AE,AQ$5,0)),0,1/VLOOKUP($N217,Capa!$A:$AE,AQ$5,0))))</f>
        <v>1.47</v>
      </c>
      <c r="AR217" s="118">
        <f>IF(AR$6="","",IF(AR$3="Maior",IFERROR(IF(VLOOKUP($N217,Capa!$A:$AE,AR$5,0)="",0,VLOOKUP($N217,Capa!$A:$AE,AR$5,0)),0),IF(ISERROR(1/VLOOKUP($N217,Capa!$A:$AE,AR$5,0)),0,1/VLOOKUP($N217,Capa!$A:$AE,AR$5,0))))</f>
        <v>0</v>
      </c>
      <c r="AS217" s="118" t="str">
        <f>IF(AS$6="","",IF(AS$3="Maior",IFERROR(IF(VLOOKUP($N217,Capa!$A:$AE,AS$5,0)="",0,VLOOKUP($N217,Capa!$A:$AE,AS$5,0)),0),IF(ISERROR(1/VLOOKUP($N217,Capa!$A:$AE,AS$5,0)),0,1/VLOOKUP($N217,Capa!$A:$AE,AS$5,0))))</f>
        <v/>
      </c>
      <c r="AT217" s="118" t="str">
        <f>IF(AT$6="","",IF(AT$3="Maior",IFERROR(IF(VLOOKUP($N217,Capa!$A:$AE,AT$5,0)="",0,VLOOKUP($N217,Capa!$A:$AE,AT$5,0)),0),IF(ISERROR(1/VLOOKUP($N217,Capa!$A:$AE,AT$5,0)),0,1/VLOOKUP($N217,Capa!$A:$AE,AT$5,0))))</f>
        <v/>
      </c>
      <c r="AU217" s="118" t="str">
        <f>IF(AU$6="","",IF(AU$3="Maior",IFERROR(IF(VLOOKUP($N217,Capa!$A:$AE,AU$5,0)="",0,VLOOKUP($N217,Capa!$A:$AE,AU$5,0)),0),IF(ISERROR(1/VLOOKUP($N217,Capa!$A:$AE,AU$5,0)),0,1/VLOOKUP($N217,Capa!$A:$AE,AU$5,0))))</f>
        <v/>
      </c>
      <c r="AV217" s="118" t="str">
        <f>IF(AV$6="","",IF(AV$3="Maior",IFERROR(IF(VLOOKUP($N217,Capa!$A:$AE,AV$5,0)="",0,VLOOKUP($N217,Capa!$A:$AE,AV$5,0)),0),IF(ISERROR(1/VLOOKUP($N217,Capa!$A:$AE,AV$5,0)),0,1/VLOOKUP($N217,Capa!$A:$AE,AV$5,0))))</f>
        <v/>
      </c>
      <c r="AW217" s="118" t="str">
        <f>IF(AW$6="","",IF(AW$3="Maior",IFERROR(IF(VLOOKUP($N217,Capa!$A:$AE,AW$5,0)="",0,VLOOKUP($N217,Capa!$A:$AE,AW$5,0)),0),IF(ISERROR(1/VLOOKUP($N217,Capa!$A:$AE,AW$5,0)),0,1/VLOOKUP($N217,Capa!$A:$AE,AW$5,0))))</f>
        <v/>
      </c>
      <c r="AX217" s="118" t="str">
        <f>IF(AX$6="","",IF(AX$3="Maior",IFERROR(IF(VLOOKUP($N217,Capa!$A:$AE,AX$5,0)="",0,VLOOKUP($N217,Capa!$A:$AE,AX$5,0)),0),IF(ISERROR(1/VLOOKUP($N217,Capa!$A:$AE,AX$5,0)),0,1/VLOOKUP($N217,Capa!$A:$AE,AX$5,0))))</f>
        <v/>
      </c>
      <c r="AY217" s="118" t="str">
        <f>IF(AY$6="","",IF(AY$3="Maior",IFERROR(IF(VLOOKUP($N217,Capa!$A:$AE,AY$5,0)="",0,VLOOKUP($N217,Capa!$A:$AE,AY$5,0)),0),IF(ISERROR(1/VLOOKUP($N217,Capa!$A:$AE,AY$5,0)),0,1/VLOOKUP($N217,Capa!$A:$AE,AY$5,0))))</f>
        <v/>
      </c>
      <c r="AZ217" s="118" t="str">
        <f>IF(AZ$6="","",IF(AZ$3="Maior",IFERROR(IF(VLOOKUP($N217,Capa!$A:$AE,AZ$5,0)="",0,VLOOKUP($N217,Capa!$A:$AE,AZ$5,0)),0),IF(ISERROR(1/VLOOKUP($N217,Capa!$A:$AE,AZ$5,0)),0,1/VLOOKUP($N217,Capa!$A:$AE,AZ$5,0))))</f>
        <v/>
      </c>
      <c r="BA217" s="118" t="str">
        <f>IF(BA$6="","",IF(BA$3="Maior",IFERROR(IF(VLOOKUP($N217,Capa!$A:$AE,BA$5,0)="",0,VLOOKUP($N217,Capa!$A:$AE,BA$5,0)),0),IF(ISERROR(1/VLOOKUP($N217,Capa!$A:$AE,BA$5,0)),0,1/VLOOKUP($N217,Capa!$A:$AE,BA$5,0))))</f>
        <v/>
      </c>
      <c r="BB217" s="118" t="str">
        <f>IF(BB$6="","",IF(BB$3="Maior",IFERROR(IF(VLOOKUP($N217,Capa!$A:$AE,BB$5,0)="",0,VLOOKUP($N217,Capa!$A:$AE,BB$5,0)),0),IF(ISERROR(1/VLOOKUP($N217,Capa!$A:$AE,BB$5,0)),0,1/VLOOKUP($N217,Capa!$A:$AE,BB$5,0))))</f>
        <v/>
      </c>
      <c r="BC217" s="118" t="str">
        <f>IF(BC$6="","",IF(BC$3="Maior",IFERROR(IF(VLOOKUP($N217,Capa!$A:$AE,BC$5,0)="",0,VLOOKUP($N217,Capa!$A:$AE,BC$5,0)),0),IF(ISERROR(1/VLOOKUP($N217,Capa!$A:$AE,BC$5,0)),0,1/VLOOKUP($N217,Capa!$A:$AE,BC$5,0))))</f>
        <v/>
      </c>
      <c r="BD217" s="118" t="str">
        <f>IF(BD$6="","",IF(BD$3="Maior",IFERROR(IF(VLOOKUP($N217,Capa!$A:$AE,BD$5,0)="",0,VLOOKUP($N217,Capa!$A:$AE,BD$5,0)),0),IF(ISERROR(1/VLOOKUP($N217,Capa!$A:$AE,BD$5,0)),0,1/VLOOKUP($N217,Capa!$A:$AE,BD$5,0))))</f>
        <v/>
      </c>
      <c r="BE217" s="118" t="str">
        <f>IF(BE$6="","",IF(BE$3="Maior",IFERROR(IF(VLOOKUP($N217,Capa!$A:$AE,BE$5,0)="",0,VLOOKUP($N217,Capa!$A:$AE,BE$5,0)),0),IF(ISERROR(1/VLOOKUP($N217,Capa!$A:$AE,BE$5,0)),0,1/VLOOKUP($N217,Capa!$A:$AE,BE$5,0))))</f>
        <v/>
      </c>
      <c r="BF217" s="118" t="str">
        <f>IF(BF$6="","",IF(BF$3="Maior",IFERROR(IF(VLOOKUP($N217,Capa!$A:$AE,BF$5,0)="",0,VLOOKUP($N217,Capa!$A:$AE,BF$5,0)),0),IF(ISERROR(1/VLOOKUP($N217,Capa!$A:$AE,BF$5,0)),0,1/VLOOKUP($N217,Capa!$A:$AE,BF$5,0))))</f>
        <v/>
      </c>
      <c r="BG217" s="118" t="str">
        <f>IF(BG$6="","",IF(BG$3="Maior",IFERROR(IF(VLOOKUP($N217,Capa!$A:$AE,BG$5,0)="",0,VLOOKUP($N217,Capa!$A:$AE,BG$5,0)),0),IF(ISERROR(1/VLOOKUP($N217,Capa!$A:$AE,BG$5,0)),0,1/VLOOKUP($N217,Capa!$A:$AE,BG$5,0))))</f>
        <v/>
      </c>
      <c r="BH217" s="118" t="str">
        <f>IF(BH$6="","",IF(BH$3="Maior",IFERROR(IF(VLOOKUP($N217,Capa!$A:$AE,BH$5,0)="",0,VLOOKUP($N217,Capa!$A:$AE,BH$5,0)),0),IF(ISERROR(1/VLOOKUP($N217,Capa!$A:$AE,BH$5,0)),0,1/VLOOKUP($N217,Capa!$A:$AE,BH$5,0))))</f>
        <v/>
      </c>
      <c r="BI217" s="118" t="str">
        <f>IF(BI$6="","",IF(BI$3="Maior",IFERROR(IF(VLOOKUP($N217,Capa!$A:$AE,BI$5,0)="",0,VLOOKUP($N217,Capa!$A:$AE,BI$5,0)),0),IF(ISERROR(1/VLOOKUP($N217,Capa!$A:$AE,BI$5,0)),0,1/VLOOKUP($N217,Capa!$A:$AE,BI$5,0))))</f>
        <v/>
      </c>
      <c r="BJ217" s="118" t="str">
        <f>IF(BJ$6="","",IF(BJ$3="Maior",IFERROR(IF(VLOOKUP($N217,Capa!$A:$AE,BJ$5,0)="",0,VLOOKUP($N217,Capa!$A:$AE,BJ$5,0)),0),IF(ISERROR(1/VLOOKUP($N217,Capa!$A:$AE,BJ$5,0)),0,1/VLOOKUP($N217,Capa!$A:$AE,BJ$5,0))))</f>
        <v/>
      </c>
      <c r="BK217" s="118" t="str">
        <f>IF(BK$6="","",IF(BK$3="Maior",IFERROR(IF(VLOOKUP($N217,Capa!$A:$AE,BK$5,0)="",0,VLOOKUP($N217,Capa!$A:$AE,BK$5,0)),0),IF(ISERROR(1/VLOOKUP($N217,Capa!$A:$AE,BK$5,0)),0,1/VLOOKUP($N217,Capa!$A:$AE,BK$5,0))))</f>
        <v/>
      </c>
      <c r="BL217" s="118" t="str">
        <f>IF(BL$6="","",IF(BL$3="Maior",IFERROR(IF(VLOOKUP($N217,Capa!$A:$AE,BL$5,0)="",0,VLOOKUP($N217,Capa!$A:$AE,BL$5,0)),0),IF(ISERROR(1/VLOOKUP($N217,Capa!$A:$AE,BL$5,0)),0,1/VLOOKUP($N217,Capa!$A:$AE,BL$5,0))))</f>
        <v/>
      </c>
      <c r="BM217" s="118" t="str">
        <f>IF(BM$6="","",IF(BM$3="Maior",IFERROR(IF(VLOOKUP($N217,Capa!$A:$AE,BM$5,0)="",0,VLOOKUP($N217,Capa!$A:$AE,BM$5,0)),0),IF(ISERROR(1/VLOOKUP($N217,Capa!$A:$AE,BM$5,0)),0,1/VLOOKUP($N217,Capa!$A:$AE,BM$5,0))))</f>
        <v/>
      </c>
      <c r="BN217" s="118" t="str">
        <f>IF(BN$6="","",IF(BN$3="Maior",IFERROR(IF(VLOOKUP($N217,Capa!$A:$AE,BN$5,0)="",0,VLOOKUP($N217,Capa!$A:$AE,BN$5,0)),0),IF(ISERROR(1/VLOOKUP($N217,Capa!$A:$AE,BN$5,0)),0,1/VLOOKUP($N217,Capa!$A:$AE,BN$5,0))))</f>
        <v/>
      </c>
      <c r="BO217" s="92"/>
    </row>
    <row r="218">
      <c r="G218" s="11"/>
      <c r="H218" s="11"/>
      <c r="I218" s="8"/>
      <c r="J218" s="132"/>
      <c r="K218" s="11"/>
      <c r="L218" s="11"/>
      <c r="M218" s="11"/>
      <c r="N218" s="10" t="s">
        <v>264</v>
      </c>
      <c r="O218" s="113">
        <f t="shared" si="8"/>
        <v>421.0025</v>
      </c>
      <c r="P218" s="114">
        <f>VLOOKUP(N218,'Dados StatusInvest'!A:Z,26,0)</f>
        <v>10351842.83</v>
      </c>
      <c r="Q218" s="115">
        <f t="shared" si="9"/>
        <v>25.0025</v>
      </c>
      <c r="R218" s="116">
        <f t="shared" ref="R218:AO218" si="221">IF(AQ218="","", RANK(AQ218,AQ$7:AQ$503,0))</f>
        <v>177</v>
      </c>
      <c r="S218" s="115">
        <f t="shared" si="221"/>
        <v>219</v>
      </c>
      <c r="T218" s="115" t="str">
        <f t="shared" si="221"/>
        <v/>
      </c>
      <c r="U218" s="115" t="str">
        <f t="shared" si="221"/>
        <v/>
      </c>
      <c r="V218" s="115" t="str">
        <f t="shared" si="221"/>
        <v/>
      </c>
      <c r="W218" s="115" t="str">
        <f t="shared" si="221"/>
        <v/>
      </c>
      <c r="X218" s="115" t="str">
        <f t="shared" si="221"/>
        <v/>
      </c>
      <c r="Y218" s="115" t="str">
        <f t="shared" si="221"/>
        <v/>
      </c>
      <c r="Z218" s="115" t="str">
        <f t="shared" si="221"/>
        <v/>
      </c>
      <c r="AA218" s="115" t="str">
        <f t="shared" si="221"/>
        <v/>
      </c>
      <c r="AB218" s="115" t="str">
        <f t="shared" si="221"/>
        <v/>
      </c>
      <c r="AC218" s="115" t="str">
        <f t="shared" si="221"/>
        <v/>
      </c>
      <c r="AD218" s="115" t="str">
        <f t="shared" si="221"/>
        <v/>
      </c>
      <c r="AE218" s="115" t="str">
        <f t="shared" si="221"/>
        <v/>
      </c>
      <c r="AF218" s="115" t="str">
        <f t="shared" si="221"/>
        <v/>
      </c>
      <c r="AG218" s="115" t="str">
        <f t="shared" si="221"/>
        <v/>
      </c>
      <c r="AH218" s="115" t="str">
        <f t="shared" si="221"/>
        <v/>
      </c>
      <c r="AI218" s="115" t="str">
        <f t="shared" si="221"/>
        <v/>
      </c>
      <c r="AJ218" s="115" t="str">
        <f t="shared" si="221"/>
        <v/>
      </c>
      <c r="AK218" s="115" t="str">
        <f t="shared" si="221"/>
        <v/>
      </c>
      <c r="AL218" s="115" t="str">
        <f t="shared" si="221"/>
        <v/>
      </c>
      <c r="AM218" s="115" t="str">
        <f t="shared" si="221"/>
        <v/>
      </c>
      <c r="AN218" s="115" t="str">
        <f t="shared" si="221"/>
        <v/>
      </c>
      <c r="AO218" s="115" t="str">
        <f t="shared" si="221"/>
        <v/>
      </c>
      <c r="AP218" s="117">
        <f>IF(AP$6="","",IF(AP$3="Maior",IFERROR(IF(VLOOKUP($N218,Capa!$A:$AE,AP$5,0)="",0,VLOOKUP($N218,Capa!$A:$AE,AP$5,0)),0),IF(ISERROR(1/VLOOKUP($N218,Capa!$A:$AE,AP$5,0)),0,1/VLOOKUP($N218,Capa!$A:$AE,AP$5,0))))</f>
        <v>0.3610395979</v>
      </c>
      <c r="AQ218" s="118">
        <f>IF(AQ$6="","",IF(AQ$3="Maior",IFERROR(IF(VLOOKUP($N218,Capa!$A:$AE,AQ$5,0)="",0,VLOOKUP($N218,Capa!$A:$AE,AQ$5,0)),0),IF(ISERROR(1/VLOOKUP($N218,Capa!$A:$AE,AQ$5,0)),0,1/VLOOKUP($N218,Capa!$A:$AE,AQ$5,0))))</f>
        <v>12.57</v>
      </c>
      <c r="AR218" s="118">
        <f>IF(AR$6="","",IF(AR$3="Maior",IFERROR(IF(VLOOKUP($N218,Capa!$A:$AE,AR$5,0)="",0,VLOOKUP($N218,Capa!$A:$AE,AR$5,0)),0),IF(ISERROR(1/VLOOKUP($N218,Capa!$A:$AE,AR$5,0)),0,1/VLOOKUP($N218,Capa!$A:$AE,AR$5,0))))</f>
        <v>0</v>
      </c>
      <c r="AS218" s="118" t="str">
        <f>IF(AS$6="","",IF(AS$3="Maior",IFERROR(IF(VLOOKUP($N218,Capa!$A:$AE,AS$5,0)="",0,VLOOKUP($N218,Capa!$A:$AE,AS$5,0)),0),IF(ISERROR(1/VLOOKUP($N218,Capa!$A:$AE,AS$5,0)),0,1/VLOOKUP($N218,Capa!$A:$AE,AS$5,0))))</f>
        <v/>
      </c>
      <c r="AT218" s="118" t="str">
        <f>IF(AT$6="","",IF(AT$3="Maior",IFERROR(IF(VLOOKUP($N218,Capa!$A:$AE,AT$5,0)="",0,VLOOKUP($N218,Capa!$A:$AE,AT$5,0)),0),IF(ISERROR(1/VLOOKUP($N218,Capa!$A:$AE,AT$5,0)),0,1/VLOOKUP($N218,Capa!$A:$AE,AT$5,0))))</f>
        <v/>
      </c>
      <c r="AU218" s="118" t="str">
        <f>IF(AU$6="","",IF(AU$3="Maior",IFERROR(IF(VLOOKUP($N218,Capa!$A:$AE,AU$5,0)="",0,VLOOKUP($N218,Capa!$A:$AE,AU$5,0)),0),IF(ISERROR(1/VLOOKUP($N218,Capa!$A:$AE,AU$5,0)),0,1/VLOOKUP($N218,Capa!$A:$AE,AU$5,0))))</f>
        <v/>
      </c>
      <c r="AV218" s="118" t="str">
        <f>IF(AV$6="","",IF(AV$3="Maior",IFERROR(IF(VLOOKUP($N218,Capa!$A:$AE,AV$5,0)="",0,VLOOKUP($N218,Capa!$A:$AE,AV$5,0)),0),IF(ISERROR(1/VLOOKUP($N218,Capa!$A:$AE,AV$5,0)),0,1/VLOOKUP($N218,Capa!$A:$AE,AV$5,0))))</f>
        <v/>
      </c>
      <c r="AW218" s="118" t="str">
        <f>IF(AW$6="","",IF(AW$3="Maior",IFERROR(IF(VLOOKUP($N218,Capa!$A:$AE,AW$5,0)="",0,VLOOKUP($N218,Capa!$A:$AE,AW$5,0)),0),IF(ISERROR(1/VLOOKUP($N218,Capa!$A:$AE,AW$5,0)),0,1/VLOOKUP($N218,Capa!$A:$AE,AW$5,0))))</f>
        <v/>
      </c>
      <c r="AX218" s="118" t="str">
        <f>IF(AX$6="","",IF(AX$3="Maior",IFERROR(IF(VLOOKUP($N218,Capa!$A:$AE,AX$5,0)="",0,VLOOKUP($N218,Capa!$A:$AE,AX$5,0)),0),IF(ISERROR(1/VLOOKUP($N218,Capa!$A:$AE,AX$5,0)),0,1/VLOOKUP($N218,Capa!$A:$AE,AX$5,0))))</f>
        <v/>
      </c>
      <c r="AY218" s="118" t="str">
        <f>IF(AY$6="","",IF(AY$3="Maior",IFERROR(IF(VLOOKUP($N218,Capa!$A:$AE,AY$5,0)="",0,VLOOKUP($N218,Capa!$A:$AE,AY$5,0)),0),IF(ISERROR(1/VLOOKUP($N218,Capa!$A:$AE,AY$5,0)),0,1/VLOOKUP($N218,Capa!$A:$AE,AY$5,0))))</f>
        <v/>
      </c>
      <c r="AZ218" s="118" t="str">
        <f>IF(AZ$6="","",IF(AZ$3="Maior",IFERROR(IF(VLOOKUP($N218,Capa!$A:$AE,AZ$5,0)="",0,VLOOKUP($N218,Capa!$A:$AE,AZ$5,0)),0),IF(ISERROR(1/VLOOKUP($N218,Capa!$A:$AE,AZ$5,0)),0,1/VLOOKUP($N218,Capa!$A:$AE,AZ$5,0))))</f>
        <v/>
      </c>
      <c r="BA218" s="118" t="str">
        <f>IF(BA$6="","",IF(BA$3="Maior",IFERROR(IF(VLOOKUP($N218,Capa!$A:$AE,BA$5,0)="",0,VLOOKUP($N218,Capa!$A:$AE,BA$5,0)),0),IF(ISERROR(1/VLOOKUP($N218,Capa!$A:$AE,BA$5,0)),0,1/VLOOKUP($N218,Capa!$A:$AE,BA$5,0))))</f>
        <v/>
      </c>
      <c r="BB218" s="118" t="str">
        <f>IF(BB$6="","",IF(BB$3="Maior",IFERROR(IF(VLOOKUP($N218,Capa!$A:$AE,BB$5,0)="",0,VLOOKUP($N218,Capa!$A:$AE,BB$5,0)),0),IF(ISERROR(1/VLOOKUP($N218,Capa!$A:$AE,BB$5,0)),0,1/VLOOKUP($N218,Capa!$A:$AE,BB$5,0))))</f>
        <v/>
      </c>
      <c r="BC218" s="118" t="str">
        <f>IF(BC$6="","",IF(BC$3="Maior",IFERROR(IF(VLOOKUP($N218,Capa!$A:$AE,BC$5,0)="",0,VLOOKUP($N218,Capa!$A:$AE,BC$5,0)),0),IF(ISERROR(1/VLOOKUP($N218,Capa!$A:$AE,BC$5,0)),0,1/VLOOKUP($N218,Capa!$A:$AE,BC$5,0))))</f>
        <v/>
      </c>
      <c r="BD218" s="118" t="str">
        <f>IF(BD$6="","",IF(BD$3="Maior",IFERROR(IF(VLOOKUP($N218,Capa!$A:$AE,BD$5,0)="",0,VLOOKUP($N218,Capa!$A:$AE,BD$5,0)),0),IF(ISERROR(1/VLOOKUP($N218,Capa!$A:$AE,BD$5,0)),0,1/VLOOKUP($N218,Capa!$A:$AE,BD$5,0))))</f>
        <v/>
      </c>
      <c r="BE218" s="118" t="str">
        <f>IF(BE$6="","",IF(BE$3="Maior",IFERROR(IF(VLOOKUP($N218,Capa!$A:$AE,BE$5,0)="",0,VLOOKUP($N218,Capa!$A:$AE,BE$5,0)),0),IF(ISERROR(1/VLOOKUP($N218,Capa!$A:$AE,BE$5,0)),0,1/VLOOKUP($N218,Capa!$A:$AE,BE$5,0))))</f>
        <v/>
      </c>
      <c r="BF218" s="118" t="str">
        <f>IF(BF$6="","",IF(BF$3="Maior",IFERROR(IF(VLOOKUP($N218,Capa!$A:$AE,BF$5,0)="",0,VLOOKUP($N218,Capa!$A:$AE,BF$5,0)),0),IF(ISERROR(1/VLOOKUP($N218,Capa!$A:$AE,BF$5,0)),0,1/VLOOKUP($N218,Capa!$A:$AE,BF$5,0))))</f>
        <v/>
      </c>
      <c r="BG218" s="118" t="str">
        <f>IF(BG$6="","",IF(BG$3="Maior",IFERROR(IF(VLOOKUP($N218,Capa!$A:$AE,BG$5,0)="",0,VLOOKUP($N218,Capa!$A:$AE,BG$5,0)),0),IF(ISERROR(1/VLOOKUP($N218,Capa!$A:$AE,BG$5,0)),0,1/VLOOKUP($N218,Capa!$A:$AE,BG$5,0))))</f>
        <v/>
      </c>
      <c r="BH218" s="118" t="str">
        <f>IF(BH$6="","",IF(BH$3="Maior",IFERROR(IF(VLOOKUP($N218,Capa!$A:$AE,BH$5,0)="",0,VLOOKUP($N218,Capa!$A:$AE,BH$5,0)),0),IF(ISERROR(1/VLOOKUP($N218,Capa!$A:$AE,BH$5,0)),0,1/VLOOKUP($N218,Capa!$A:$AE,BH$5,0))))</f>
        <v/>
      </c>
      <c r="BI218" s="118" t="str">
        <f>IF(BI$6="","",IF(BI$3="Maior",IFERROR(IF(VLOOKUP($N218,Capa!$A:$AE,BI$5,0)="",0,VLOOKUP($N218,Capa!$A:$AE,BI$5,0)),0),IF(ISERROR(1/VLOOKUP($N218,Capa!$A:$AE,BI$5,0)),0,1/VLOOKUP($N218,Capa!$A:$AE,BI$5,0))))</f>
        <v/>
      </c>
      <c r="BJ218" s="118" t="str">
        <f>IF(BJ$6="","",IF(BJ$3="Maior",IFERROR(IF(VLOOKUP($N218,Capa!$A:$AE,BJ$5,0)="",0,VLOOKUP($N218,Capa!$A:$AE,BJ$5,0)),0),IF(ISERROR(1/VLOOKUP($N218,Capa!$A:$AE,BJ$5,0)),0,1/VLOOKUP($N218,Capa!$A:$AE,BJ$5,0))))</f>
        <v/>
      </c>
      <c r="BK218" s="118" t="str">
        <f>IF(BK$6="","",IF(BK$3="Maior",IFERROR(IF(VLOOKUP($N218,Capa!$A:$AE,BK$5,0)="",0,VLOOKUP($N218,Capa!$A:$AE,BK$5,0)),0),IF(ISERROR(1/VLOOKUP($N218,Capa!$A:$AE,BK$5,0)),0,1/VLOOKUP($N218,Capa!$A:$AE,BK$5,0))))</f>
        <v/>
      </c>
      <c r="BL218" s="118" t="str">
        <f>IF(BL$6="","",IF(BL$3="Maior",IFERROR(IF(VLOOKUP($N218,Capa!$A:$AE,BL$5,0)="",0,VLOOKUP($N218,Capa!$A:$AE,BL$5,0)),0),IF(ISERROR(1/VLOOKUP($N218,Capa!$A:$AE,BL$5,0)),0,1/VLOOKUP($N218,Capa!$A:$AE,BL$5,0))))</f>
        <v/>
      </c>
      <c r="BM218" s="118" t="str">
        <f>IF(BM$6="","",IF(BM$3="Maior",IFERROR(IF(VLOOKUP($N218,Capa!$A:$AE,BM$5,0)="",0,VLOOKUP($N218,Capa!$A:$AE,BM$5,0)),0),IF(ISERROR(1/VLOOKUP($N218,Capa!$A:$AE,BM$5,0)),0,1/VLOOKUP($N218,Capa!$A:$AE,BM$5,0))))</f>
        <v/>
      </c>
      <c r="BN218" s="118" t="str">
        <f>IF(BN$6="","",IF(BN$3="Maior",IFERROR(IF(VLOOKUP($N218,Capa!$A:$AE,BN$5,0)="",0,VLOOKUP($N218,Capa!$A:$AE,BN$5,0)),0),IF(ISERROR(1/VLOOKUP($N218,Capa!$A:$AE,BN$5,0)),0,1/VLOOKUP($N218,Capa!$A:$AE,BN$5,0))))</f>
        <v/>
      </c>
      <c r="BO218" s="92"/>
    </row>
    <row r="219">
      <c r="G219" s="11"/>
      <c r="H219" s="11"/>
      <c r="I219" s="8"/>
      <c r="J219" s="132"/>
      <c r="K219" s="11"/>
      <c r="L219" s="11"/>
      <c r="M219" s="11"/>
      <c r="N219" s="10" t="s">
        <v>265</v>
      </c>
      <c r="O219" s="113">
        <f t="shared" si="8"/>
        <v>1805.0331</v>
      </c>
      <c r="P219" s="114">
        <f>VLOOKUP(N219,'Dados StatusInvest'!A:Z,26,0)</f>
        <v>8956305.88</v>
      </c>
      <c r="Q219" s="115">
        <f t="shared" si="9"/>
        <v>331.0331</v>
      </c>
      <c r="R219" s="116">
        <f t="shared" ref="R219:AO219" si="222">IF(AQ219="","", RANK(AQ219,AQ$7:AQ$503,0))</f>
        <v>255</v>
      </c>
      <c r="S219" s="115">
        <f t="shared" si="222"/>
        <v>219</v>
      </c>
      <c r="T219" s="115" t="str">
        <f t="shared" si="222"/>
        <v/>
      </c>
      <c r="U219" s="115" t="str">
        <f t="shared" si="222"/>
        <v/>
      </c>
      <c r="V219" s="115" t="str">
        <f t="shared" si="222"/>
        <v/>
      </c>
      <c r="W219" s="115" t="str">
        <f t="shared" si="222"/>
        <v/>
      </c>
      <c r="X219" s="115" t="str">
        <f t="shared" si="222"/>
        <v/>
      </c>
      <c r="Y219" s="115" t="str">
        <f t="shared" si="222"/>
        <v/>
      </c>
      <c r="Z219" s="115" t="str">
        <f t="shared" si="222"/>
        <v/>
      </c>
      <c r="AA219" s="115" t="str">
        <f t="shared" si="222"/>
        <v/>
      </c>
      <c r="AB219" s="115" t="str">
        <f t="shared" si="222"/>
        <v/>
      </c>
      <c r="AC219" s="115" t="str">
        <f t="shared" si="222"/>
        <v/>
      </c>
      <c r="AD219" s="115" t="str">
        <f t="shared" si="222"/>
        <v/>
      </c>
      <c r="AE219" s="115" t="str">
        <f t="shared" si="222"/>
        <v/>
      </c>
      <c r="AF219" s="115" t="str">
        <f t="shared" si="222"/>
        <v/>
      </c>
      <c r="AG219" s="115" t="str">
        <f t="shared" si="222"/>
        <v/>
      </c>
      <c r="AH219" s="115" t="str">
        <f t="shared" si="222"/>
        <v/>
      </c>
      <c r="AI219" s="115" t="str">
        <f t="shared" si="222"/>
        <v/>
      </c>
      <c r="AJ219" s="115" t="str">
        <f t="shared" si="222"/>
        <v/>
      </c>
      <c r="AK219" s="115" t="str">
        <f t="shared" si="222"/>
        <v/>
      </c>
      <c r="AL219" s="115" t="str">
        <f t="shared" si="222"/>
        <v/>
      </c>
      <c r="AM219" s="115" t="str">
        <f t="shared" si="222"/>
        <v/>
      </c>
      <c r="AN219" s="115" t="str">
        <f t="shared" si="222"/>
        <v/>
      </c>
      <c r="AO219" s="115" t="str">
        <f t="shared" si="222"/>
        <v/>
      </c>
      <c r="AP219" s="117">
        <f>IF(AP$6="","",IF(AP$3="Maior",IFERROR(IF(VLOOKUP($N219,Capa!$A:$AE,AP$5,0)="",0,VLOOKUP($N219,Capa!$A:$AE,AP$5,0)),0),IF(ISERROR(1/VLOOKUP($N219,Capa!$A:$AE,AP$5,0)),0,1/VLOOKUP($N219,Capa!$A:$AE,AP$5,0))))</f>
        <v>0.04002333755</v>
      </c>
      <c r="AQ219" s="118">
        <f>IF(AQ$6="","",IF(AQ$3="Maior",IFERROR(IF(VLOOKUP($N219,Capa!$A:$AE,AQ$5,0)="",0,VLOOKUP($N219,Capa!$A:$AE,AQ$5,0)),0),IF(ISERROR(1/VLOOKUP($N219,Capa!$A:$AE,AQ$5,0)),0,1/VLOOKUP($N219,Capa!$A:$AE,AQ$5,0))))</f>
        <v>8.12</v>
      </c>
      <c r="AR219" s="118">
        <f>IF(AR$6="","",IF(AR$3="Maior",IFERROR(IF(VLOOKUP($N219,Capa!$A:$AE,AR$5,0)="",0,VLOOKUP($N219,Capa!$A:$AE,AR$5,0)),0),IF(ISERROR(1/VLOOKUP($N219,Capa!$A:$AE,AR$5,0)),0,1/VLOOKUP($N219,Capa!$A:$AE,AR$5,0))))</f>
        <v>0</v>
      </c>
      <c r="AS219" s="118" t="str">
        <f>IF(AS$6="","",IF(AS$3="Maior",IFERROR(IF(VLOOKUP($N219,Capa!$A:$AE,AS$5,0)="",0,VLOOKUP($N219,Capa!$A:$AE,AS$5,0)),0),IF(ISERROR(1/VLOOKUP($N219,Capa!$A:$AE,AS$5,0)),0,1/VLOOKUP($N219,Capa!$A:$AE,AS$5,0))))</f>
        <v/>
      </c>
      <c r="AT219" s="118" t="str">
        <f>IF(AT$6="","",IF(AT$3="Maior",IFERROR(IF(VLOOKUP($N219,Capa!$A:$AE,AT$5,0)="",0,VLOOKUP($N219,Capa!$A:$AE,AT$5,0)),0),IF(ISERROR(1/VLOOKUP($N219,Capa!$A:$AE,AT$5,0)),0,1/VLOOKUP($N219,Capa!$A:$AE,AT$5,0))))</f>
        <v/>
      </c>
      <c r="AU219" s="118" t="str">
        <f>IF(AU$6="","",IF(AU$3="Maior",IFERROR(IF(VLOOKUP($N219,Capa!$A:$AE,AU$5,0)="",0,VLOOKUP($N219,Capa!$A:$AE,AU$5,0)),0),IF(ISERROR(1/VLOOKUP($N219,Capa!$A:$AE,AU$5,0)),0,1/VLOOKUP($N219,Capa!$A:$AE,AU$5,0))))</f>
        <v/>
      </c>
      <c r="AV219" s="118" t="str">
        <f>IF(AV$6="","",IF(AV$3="Maior",IFERROR(IF(VLOOKUP($N219,Capa!$A:$AE,AV$5,0)="",0,VLOOKUP($N219,Capa!$A:$AE,AV$5,0)),0),IF(ISERROR(1/VLOOKUP($N219,Capa!$A:$AE,AV$5,0)),0,1/VLOOKUP($N219,Capa!$A:$AE,AV$5,0))))</f>
        <v/>
      </c>
      <c r="AW219" s="118" t="str">
        <f>IF(AW$6="","",IF(AW$3="Maior",IFERROR(IF(VLOOKUP($N219,Capa!$A:$AE,AW$5,0)="",0,VLOOKUP($N219,Capa!$A:$AE,AW$5,0)),0),IF(ISERROR(1/VLOOKUP($N219,Capa!$A:$AE,AW$5,0)),0,1/VLOOKUP($N219,Capa!$A:$AE,AW$5,0))))</f>
        <v/>
      </c>
      <c r="AX219" s="118" t="str">
        <f>IF(AX$6="","",IF(AX$3="Maior",IFERROR(IF(VLOOKUP($N219,Capa!$A:$AE,AX$5,0)="",0,VLOOKUP($N219,Capa!$A:$AE,AX$5,0)),0),IF(ISERROR(1/VLOOKUP($N219,Capa!$A:$AE,AX$5,0)),0,1/VLOOKUP($N219,Capa!$A:$AE,AX$5,0))))</f>
        <v/>
      </c>
      <c r="AY219" s="118" t="str">
        <f>IF(AY$6="","",IF(AY$3="Maior",IFERROR(IF(VLOOKUP($N219,Capa!$A:$AE,AY$5,0)="",0,VLOOKUP($N219,Capa!$A:$AE,AY$5,0)),0),IF(ISERROR(1/VLOOKUP($N219,Capa!$A:$AE,AY$5,0)),0,1/VLOOKUP($N219,Capa!$A:$AE,AY$5,0))))</f>
        <v/>
      </c>
      <c r="AZ219" s="118" t="str">
        <f>IF(AZ$6="","",IF(AZ$3="Maior",IFERROR(IF(VLOOKUP($N219,Capa!$A:$AE,AZ$5,0)="",0,VLOOKUP($N219,Capa!$A:$AE,AZ$5,0)),0),IF(ISERROR(1/VLOOKUP($N219,Capa!$A:$AE,AZ$5,0)),0,1/VLOOKUP($N219,Capa!$A:$AE,AZ$5,0))))</f>
        <v/>
      </c>
      <c r="BA219" s="118" t="str">
        <f>IF(BA$6="","",IF(BA$3="Maior",IFERROR(IF(VLOOKUP($N219,Capa!$A:$AE,BA$5,0)="",0,VLOOKUP($N219,Capa!$A:$AE,BA$5,0)),0),IF(ISERROR(1/VLOOKUP($N219,Capa!$A:$AE,BA$5,0)),0,1/VLOOKUP($N219,Capa!$A:$AE,BA$5,0))))</f>
        <v/>
      </c>
      <c r="BB219" s="118" t="str">
        <f>IF(BB$6="","",IF(BB$3="Maior",IFERROR(IF(VLOOKUP($N219,Capa!$A:$AE,BB$5,0)="",0,VLOOKUP($N219,Capa!$A:$AE,BB$5,0)),0),IF(ISERROR(1/VLOOKUP($N219,Capa!$A:$AE,BB$5,0)),0,1/VLOOKUP($N219,Capa!$A:$AE,BB$5,0))))</f>
        <v/>
      </c>
      <c r="BC219" s="118" t="str">
        <f>IF(BC$6="","",IF(BC$3="Maior",IFERROR(IF(VLOOKUP($N219,Capa!$A:$AE,BC$5,0)="",0,VLOOKUP($N219,Capa!$A:$AE,BC$5,0)),0),IF(ISERROR(1/VLOOKUP($N219,Capa!$A:$AE,BC$5,0)),0,1/VLOOKUP($N219,Capa!$A:$AE,BC$5,0))))</f>
        <v/>
      </c>
      <c r="BD219" s="118" t="str">
        <f>IF(BD$6="","",IF(BD$3="Maior",IFERROR(IF(VLOOKUP($N219,Capa!$A:$AE,BD$5,0)="",0,VLOOKUP($N219,Capa!$A:$AE,BD$5,0)),0),IF(ISERROR(1/VLOOKUP($N219,Capa!$A:$AE,BD$5,0)),0,1/VLOOKUP($N219,Capa!$A:$AE,BD$5,0))))</f>
        <v/>
      </c>
      <c r="BE219" s="118" t="str">
        <f>IF(BE$6="","",IF(BE$3="Maior",IFERROR(IF(VLOOKUP($N219,Capa!$A:$AE,BE$5,0)="",0,VLOOKUP($N219,Capa!$A:$AE,BE$5,0)),0),IF(ISERROR(1/VLOOKUP($N219,Capa!$A:$AE,BE$5,0)),0,1/VLOOKUP($N219,Capa!$A:$AE,BE$5,0))))</f>
        <v/>
      </c>
      <c r="BF219" s="118" t="str">
        <f>IF(BF$6="","",IF(BF$3="Maior",IFERROR(IF(VLOOKUP($N219,Capa!$A:$AE,BF$5,0)="",0,VLOOKUP($N219,Capa!$A:$AE,BF$5,0)),0),IF(ISERROR(1/VLOOKUP($N219,Capa!$A:$AE,BF$5,0)),0,1/VLOOKUP($N219,Capa!$A:$AE,BF$5,0))))</f>
        <v/>
      </c>
      <c r="BG219" s="118" t="str">
        <f>IF(BG$6="","",IF(BG$3="Maior",IFERROR(IF(VLOOKUP($N219,Capa!$A:$AE,BG$5,0)="",0,VLOOKUP($N219,Capa!$A:$AE,BG$5,0)),0),IF(ISERROR(1/VLOOKUP($N219,Capa!$A:$AE,BG$5,0)),0,1/VLOOKUP($N219,Capa!$A:$AE,BG$5,0))))</f>
        <v/>
      </c>
      <c r="BH219" s="118" t="str">
        <f>IF(BH$6="","",IF(BH$3="Maior",IFERROR(IF(VLOOKUP($N219,Capa!$A:$AE,BH$5,0)="",0,VLOOKUP($N219,Capa!$A:$AE,BH$5,0)),0),IF(ISERROR(1/VLOOKUP($N219,Capa!$A:$AE,BH$5,0)),0,1/VLOOKUP($N219,Capa!$A:$AE,BH$5,0))))</f>
        <v/>
      </c>
      <c r="BI219" s="118" t="str">
        <f>IF(BI$6="","",IF(BI$3="Maior",IFERROR(IF(VLOOKUP($N219,Capa!$A:$AE,BI$5,0)="",0,VLOOKUP($N219,Capa!$A:$AE,BI$5,0)),0),IF(ISERROR(1/VLOOKUP($N219,Capa!$A:$AE,BI$5,0)),0,1/VLOOKUP($N219,Capa!$A:$AE,BI$5,0))))</f>
        <v/>
      </c>
      <c r="BJ219" s="118" t="str">
        <f>IF(BJ$6="","",IF(BJ$3="Maior",IFERROR(IF(VLOOKUP($N219,Capa!$A:$AE,BJ$5,0)="",0,VLOOKUP($N219,Capa!$A:$AE,BJ$5,0)),0),IF(ISERROR(1/VLOOKUP($N219,Capa!$A:$AE,BJ$5,0)),0,1/VLOOKUP($N219,Capa!$A:$AE,BJ$5,0))))</f>
        <v/>
      </c>
      <c r="BK219" s="118" t="str">
        <f>IF(BK$6="","",IF(BK$3="Maior",IFERROR(IF(VLOOKUP($N219,Capa!$A:$AE,BK$5,0)="",0,VLOOKUP($N219,Capa!$A:$AE,BK$5,0)),0),IF(ISERROR(1/VLOOKUP($N219,Capa!$A:$AE,BK$5,0)),0,1/VLOOKUP($N219,Capa!$A:$AE,BK$5,0))))</f>
        <v/>
      </c>
      <c r="BL219" s="118" t="str">
        <f>IF(BL$6="","",IF(BL$3="Maior",IFERROR(IF(VLOOKUP($N219,Capa!$A:$AE,BL$5,0)="",0,VLOOKUP($N219,Capa!$A:$AE,BL$5,0)),0),IF(ISERROR(1/VLOOKUP($N219,Capa!$A:$AE,BL$5,0)),0,1/VLOOKUP($N219,Capa!$A:$AE,BL$5,0))))</f>
        <v/>
      </c>
      <c r="BM219" s="118" t="str">
        <f>IF(BM$6="","",IF(BM$3="Maior",IFERROR(IF(VLOOKUP($N219,Capa!$A:$AE,BM$5,0)="",0,VLOOKUP($N219,Capa!$A:$AE,BM$5,0)),0),IF(ISERROR(1/VLOOKUP($N219,Capa!$A:$AE,BM$5,0)),0,1/VLOOKUP($N219,Capa!$A:$AE,BM$5,0))))</f>
        <v/>
      </c>
      <c r="BN219" s="118" t="str">
        <f>IF(BN$6="","",IF(BN$3="Maior",IFERROR(IF(VLOOKUP($N219,Capa!$A:$AE,BN$5,0)="",0,VLOOKUP($N219,Capa!$A:$AE,BN$5,0)),0),IF(ISERROR(1/VLOOKUP($N219,Capa!$A:$AE,BN$5,0)),0,1/VLOOKUP($N219,Capa!$A:$AE,BN$5,0))))</f>
        <v/>
      </c>
      <c r="BO219" s="92"/>
    </row>
    <row r="220">
      <c r="G220" s="11"/>
      <c r="H220" s="11"/>
      <c r="I220" s="8"/>
      <c r="J220" s="132"/>
      <c r="K220" s="11"/>
      <c r="L220" s="11"/>
      <c r="M220" s="11"/>
      <c r="N220" s="10" t="s">
        <v>266</v>
      </c>
      <c r="O220" s="113">
        <f t="shared" si="8"/>
        <v>1471.0209</v>
      </c>
      <c r="P220" s="114">
        <f>VLOOKUP(N220,'Dados StatusInvest'!A:Z,26,0)</f>
        <v>8391127.04</v>
      </c>
      <c r="Q220" s="115">
        <f t="shared" si="9"/>
        <v>209.0209</v>
      </c>
      <c r="R220" s="116">
        <f t="shared" ref="R220:AO220" si="223">IF(AQ220="","", RANK(AQ220,AQ$7:AQ$503,0))</f>
        <v>142</v>
      </c>
      <c r="S220" s="115">
        <f t="shared" si="223"/>
        <v>120</v>
      </c>
      <c r="T220" s="115" t="str">
        <f t="shared" si="223"/>
        <v/>
      </c>
      <c r="U220" s="115" t="str">
        <f t="shared" si="223"/>
        <v/>
      </c>
      <c r="V220" s="115" t="str">
        <f t="shared" si="223"/>
        <v/>
      </c>
      <c r="W220" s="115" t="str">
        <f t="shared" si="223"/>
        <v/>
      </c>
      <c r="X220" s="115" t="str">
        <f t="shared" si="223"/>
        <v/>
      </c>
      <c r="Y220" s="115" t="str">
        <f t="shared" si="223"/>
        <v/>
      </c>
      <c r="Z220" s="115" t="str">
        <f t="shared" si="223"/>
        <v/>
      </c>
      <c r="AA220" s="115" t="str">
        <f t="shared" si="223"/>
        <v/>
      </c>
      <c r="AB220" s="115" t="str">
        <f t="shared" si="223"/>
        <v/>
      </c>
      <c r="AC220" s="115" t="str">
        <f t="shared" si="223"/>
        <v/>
      </c>
      <c r="AD220" s="115" t="str">
        <f t="shared" si="223"/>
        <v/>
      </c>
      <c r="AE220" s="115" t="str">
        <f t="shared" si="223"/>
        <v/>
      </c>
      <c r="AF220" s="115" t="str">
        <f t="shared" si="223"/>
        <v/>
      </c>
      <c r="AG220" s="115" t="str">
        <f t="shared" si="223"/>
        <v/>
      </c>
      <c r="AH220" s="115" t="str">
        <f t="shared" si="223"/>
        <v/>
      </c>
      <c r="AI220" s="115" t="str">
        <f t="shared" si="223"/>
        <v/>
      </c>
      <c r="AJ220" s="115" t="str">
        <f t="shared" si="223"/>
        <v/>
      </c>
      <c r="AK220" s="115" t="str">
        <f t="shared" si="223"/>
        <v/>
      </c>
      <c r="AL220" s="115" t="str">
        <f t="shared" si="223"/>
        <v/>
      </c>
      <c r="AM220" s="115" t="str">
        <f t="shared" si="223"/>
        <v/>
      </c>
      <c r="AN220" s="115" t="str">
        <f t="shared" si="223"/>
        <v/>
      </c>
      <c r="AO220" s="115" t="str">
        <f t="shared" si="223"/>
        <v/>
      </c>
      <c r="AP220" s="117">
        <f>IF(AP$6="","",IF(AP$3="Maior",IFERROR(IF(VLOOKUP($N220,Capa!$A:$AE,AP$5,0)="",0,VLOOKUP($N220,Capa!$A:$AE,AP$5,0)),0),IF(ISERROR(1/VLOOKUP($N220,Capa!$A:$AE,AP$5,0)),0,1/VLOOKUP($N220,Capa!$A:$AE,AP$5,0))))</f>
        <v>0.1005153081</v>
      </c>
      <c r="AQ220" s="118">
        <f>IF(AQ$6="","",IF(AQ$3="Maior",IFERROR(IF(VLOOKUP($N220,Capa!$A:$AE,AQ$5,0)="",0,VLOOKUP($N220,Capa!$A:$AE,AQ$5,0)),0),IF(ISERROR(1/VLOOKUP($N220,Capa!$A:$AE,AQ$5,0)),0,1/VLOOKUP($N220,Capa!$A:$AE,AQ$5,0))))</f>
        <v>14.51</v>
      </c>
      <c r="AR220" s="118">
        <f>IF(AR$6="","",IF(AR$3="Maior",IFERROR(IF(VLOOKUP($N220,Capa!$A:$AE,AR$5,0)="",0,VLOOKUP($N220,Capa!$A:$AE,AR$5,0)),0),IF(ISERROR(1/VLOOKUP($N220,Capa!$A:$AE,AR$5,0)),0,1/VLOOKUP($N220,Capa!$A:$AE,AR$5,0))))</f>
        <v>23.22</v>
      </c>
      <c r="AS220" s="118" t="str">
        <f>IF(AS$6="","",IF(AS$3="Maior",IFERROR(IF(VLOOKUP($N220,Capa!$A:$AE,AS$5,0)="",0,VLOOKUP($N220,Capa!$A:$AE,AS$5,0)),0),IF(ISERROR(1/VLOOKUP($N220,Capa!$A:$AE,AS$5,0)),0,1/VLOOKUP($N220,Capa!$A:$AE,AS$5,0))))</f>
        <v/>
      </c>
      <c r="AT220" s="118" t="str">
        <f>IF(AT$6="","",IF(AT$3="Maior",IFERROR(IF(VLOOKUP($N220,Capa!$A:$AE,AT$5,0)="",0,VLOOKUP($N220,Capa!$A:$AE,AT$5,0)),0),IF(ISERROR(1/VLOOKUP($N220,Capa!$A:$AE,AT$5,0)),0,1/VLOOKUP($N220,Capa!$A:$AE,AT$5,0))))</f>
        <v/>
      </c>
      <c r="AU220" s="118" t="str">
        <f>IF(AU$6="","",IF(AU$3="Maior",IFERROR(IF(VLOOKUP($N220,Capa!$A:$AE,AU$5,0)="",0,VLOOKUP($N220,Capa!$A:$AE,AU$5,0)),0),IF(ISERROR(1/VLOOKUP($N220,Capa!$A:$AE,AU$5,0)),0,1/VLOOKUP($N220,Capa!$A:$AE,AU$5,0))))</f>
        <v/>
      </c>
      <c r="AV220" s="118" t="str">
        <f>IF(AV$6="","",IF(AV$3="Maior",IFERROR(IF(VLOOKUP($N220,Capa!$A:$AE,AV$5,0)="",0,VLOOKUP($N220,Capa!$A:$AE,AV$5,0)),0),IF(ISERROR(1/VLOOKUP($N220,Capa!$A:$AE,AV$5,0)),0,1/VLOOKUP($N220,Capa!$A:$AE,AV$5,0))))</f>
        <v/>
      </c>
      <c r="AW220" s="118" t="str">
        <f>IF(AW$6="","",IF(AW$3="Maior",IFERROR(IF(VLOOKUP($N220,Capa!$A:$AE,AW$5,0)="",0,VLOOKUP($N220,Capa!$A:$AE,AW$5,0)),0),IF(ISERROR(1/VLOOKUP($N220,Capa!$A:$AE,AW$5,0)),0,1/VLOOKUP($N220,Capa!$A:$AE,AW$5,0))))</f>
        <v/>
      </c>
      <c r="AX220" s="118" t="str">
        <f>IF(AX$6="","",IF(AX$3="Maior",IFERROR(IF(VLOOKUP($N220,Capa!$A:$AE,AX$5,0)="",0,VLOOKUP($N220,Capa!$A:$AE,AX$5,0)),0),IF(ISERROR(1/VLOOKUP($N220,Capa!$A:$AE,AX$5,0)),0,1/VLOOKUP($N220,Capa!$A:$AE,AX$5,0))))</f>
        <v/>
      </c>
      <c r="AY220" s="118" t="str">
        <f>IF(AY$6="","",IF(AY$3="Maior",IFERROR(IF(VLOOKUP($N220,Capa!$A:$AE,AY$5,0)="",0,VLOOKUP($N220,Capa!$A:$AE,AY$5,0)),0),IF(ISERROR(1/VLOOKUP($N220,Capa!$A:$AE,AY$5,0)),0,1/VLOOKUP($N220,Capa!$A:$AE,AY$5,0))))</f>
        <v/>
      </c>
      <c r="AZ220" s="118" t="str">
        <f>IF(AZ$6="","",IF(AZ$3="Maior",IFERROR(IF(VLOOKUP($N220,Capa!$A:$AE,AZ$5,0)="",0,VLOOKUP($N220,Capa!$A:$AE,AZ$5,0)),0),IF(ISERROR(1/VLOOKUP($N220,Capa!$A:$AE,AZ$5,0)),0,1/VLOOKUP($N220,Capa!$A:$AE,AZ$5,0))))</f>
        <v/>
      </c>
      <c r="BA220" s="118" t="str">
        <f>IF(BA$6="","",IF(BA$3="Maior",IFERROR(IF(VLOOKUP($N220,Capa!$A:$AE,BA$5,0)="",0,VLOOKUP($N220,Capa!$A:$AE,BA$5,0)),0),IF(ISERROR(1/VLOOKUP($N220,Capa!$A:$AE,BA$5,0)),0,1/VLOOKUP($N220,Capa!$A:$AE,BA$5,0))))</f>
        <v/>
      </c>
      <c r="BB220" s="118" t="str">
        <f>IF(BB$6="","",IF(BB$3="Maior",IFERROR(IF(VLOOKUP($N220,Capa!$A:$AE,BB$5,0)="",0,VLOOKUP($N220,Capa!$A:$AE,BB$5,0)),0),IF(ISERROR(1/VLOOKUP($N220,Capa!$A:$AE,BB$5,0)),0,1/VLOOKUP($N220,Capa!$A:$AE,BB$5,0))))</f>
        <v/>
      </c>
      <c r="BC220" s="118" t="str">
        <f>IF(BC$6="","",IF(BC$3="Maior",IFERROR(IF(VLOOKUP($N220,Capa!$A:$AE,BC$5,0)="",0,VLOOKUP($N220,Capa!$A:$AE,BC$5,0)),0),IF(ISERROR(1/VLOOKUP($N220,Capa!$A:$AE,BC$5,0)),0,1/VLOOKUP($N220,Capa!$A:$AE,BC$5,0))))</f>
        <v/>
      </c>
      <c r="BD220" s="118" t="str">
        <f>IF(BD$6="","",IF(BD$3="Maior",IFERROR(IF(VLOOKUP($N220,Capa!$A:$AE,BD$5,0)="",0,VLOOKUP($N220,Capa!$A:$AE,BD$5,0)),0),IF(ISERROR(1/VLOOKUP($N220,Capa!$A:$AE,BD$5,0)),0,1/VLOOKUP($N220,Capa!$A:$AE,BD$5,0))))</f>
        <v/>
      </c>
      <c r="BE220" s="118" t="str">
        <f>IF(BE$6="","",IF(BE$3="Maior",IFERROR(IF(VLOOKUP($N220,Capa!$A:$AE,BE$5,0)="",0,VLOOKUP($N220,Capa!$A:$AE,BE$5,0)),0),IF(ISERROR(1/VLOOKUP($N220,Capa!$A:$AE,BE$5,0)),0,1/VLOOKUP($N220,Capa!$A:$AE,BE$5,0))))</f>
        <v/>
      </c>
      <c r="BF220" s="118" t="str">
        <f>IF(BF$6="","",IF(BF$3="Maior",IFERROR(IF(VLOOKUP($N220,Capa!$A:$AE,BF$5,0)="",0,VLOOKUP($N220,Capa!$A:$AE,BF$5,0)),0),IF(ISERROR(1/VLOOKUP($N220,Capa!$A:$AE,BF$5,0)),0,1/VLOOKUP($N220,Capa!$A:$AE,BF$5,0))))</f>
        <v/>
      </c>
      <c r="BG220" s="118" t="str">
        <f>IF(BG$6="","",IF(BG$3="Maior",IFERROR(IF(VLOOKUP($N220,Capa!$A:$AE,BG$5,0)="",0,VLOOKUP($N220,Capa!$A:$AE,BG$5,0)),0),IF(ISERROR(1/VLOOKUP($N220,Capa!$A:$AE,BG$5,0)),0,1/VLOOKUP($N220,Capa!$A:$AE,BG$5,0))))</f>
        <v/>
      </c>
      <c r="BH220" s="118" t="str">
        <f>IF(BH$6="","",IF(BH$3="Maior",IFERROR(IF(VLOOKUP($N220,Capa!$A:$AE,BH$5,0)="",0,VLOOKUP($N220,Capa!$A:$AE,BH$5,0)),0),IF(ISERROR(1/VLOOKUP($N220,Capa!$A:$AE,BH$5,0)),0,1/VLOOKUP($N220,Capa!$A:$AE,BH$5,0))))</f>
        <v/>
      </c>
      <c r="BI220" s="118" t="str">
        <f>IF(BI$6="","",IF(BI$3="Maior",IFERROR(IF(VLOOKUP($N220,Capa!$A:$AE,BI$5,0)="",0,VLOOKUP($N220,Capa!$A:$AE,BI$5,0)),0),IF(ISERROR(1/VLOOKUP($N220,Capa!$A:$AE,BI$5,0)),0,1/VLOOKUP($N220,Capa!$A:$AE,BI$5,0))))</f>
        <v/>
      </c>
      <c r="BJ220" s="118" t="str">
        <f>IF(BJ$6="","",IF(BJ$3="Maior",IFERROR(IF(VLOOKUP($N220,Capa!$A:$AE,BJ$5,0)="",0,VLOOKUP($N220,Capa!$A:$AE,BJ$5,0)),0),IF(ISERROR(1/VLOOKUP($N220,Capa!$A:$AE,BJ$5,0)),0,1/VLOOKUP($N220,Capa!$A:$AE,BJ$5,0))))</f>
        <v/>
      </c>
      <c r="BK220" s="118" t="str">
        <f>IF(BK$6="","",IF(BK$3="Maior",IFERROR(IF(VLOOKUP($N220,Capa!$A:$AE,BK$5,0)="",0,VLOOKUP($N220,Capa!$A:$AE,BK$5,0)),0),IF(ISERROR(1/VLOOKUP($N220,Capa!$A:$AE,BK$5,0)),0,1/VLOOKUP($N220,Capa!$A:$AE,BK$5,0))))</f>
        <v/>
      </c>
      <c r="BL220" s="118" t="str">
        <f>IF(BL$6="","",IF(BL$3="Maior",IFERROR(IF(VLOOKUP($N220,Capa!$A:$AE,BL$5,0)="",0,VLOOKUP($N220,Capa!$A:$AE,BL$5,0)),0),IF(ISERROR(1/VLOOKUP($N220,Capa!$A:$AE,BL$5,0)),0,1/VLOOKUP($N220,Capa!$A:$AE,BL$5,0))))</f>
        <v/>
      </c>
      <c r="BM220" s="118" t="str">
        <f>IF(BM$6="","",IF(BM$3="Maior",IFERROR(IF(VLOOKUP($N220,Capa!$A:$AE,BM$5,0)="",0,VLOOKUP($N220,Capa!$A:$AE,BM$5,0)),0),IF(ISERROR(1/VLOOKUP($N220,Capa!$A:$AE,BM$5,0)),0,1/VLOOKUP($N220,Capa!$A:$AE,BM$5,0))))</f>
        <v/>
      </c>
      <c r="BN220" s="118" t="str">
        <f>IF(BN$6="","",IF(BN$3="Maior",IFERROR(IF(VLOOKUP($N220,Capa!$A:$AE,BN$5,0)="",0,VLOOKUP($N220,Capa!$A:$AE,BN$5,0)),0),IF(ISERROR(1/VLOOKUP($N220,Capa!$A:$AE,BN$5,0)),0,1/VLOOKUP($N220,Capa!$A:$AE,BN$5,0))))</f>
        <v/>
      </c>
      <c r="BO220" s="92"/>
    </row>
    <row r="221">
      <c r="G221" s="11"/>
      <c r="H221" s="11"/>
      <c r="I221" s="8"/>
      <c r="J221" s="132"/>
      <c r="K221" s="11"/>
      <c r="L221" s="11"/>
      <c r="M221" s="11"/>
      <c r="N221" s="10" t="s">
        <v>267</v>
      </c>
      <c r="O221" s="113">
        <f t="shared" si="8"/>
        <v>1786.0308</v>
      </c>
      <c r="P221" s="114">
        <f>VLOOKUP(N221,'Dados StatusInvest'!A:Z,26,0)</f>
        <v>8542988.29</v>
      </c>
      <c r="Q221" s="115">
        <f t="shared" si="9"/>
        <v>308.0308</v>
      </c>
      <c r="R221" s="116">
        <f t="shared" ref="R221:AO221" si="224">IF(AQ221="","", RANK(AQ221,AQ$7:AQ$503,0))</f>
        <v>259</v>
      </c>
      <c r="S221" s="115">
        <f t="shared" si="224"/>
        <v>219</v>
      </c>
      <c r="T221" s="115" t="str">
        <f t="shared" si="224"/>
        <v/>
      </c>
      <c r="U221" s="115" t="str">
        <f t="shared" si="224"/>
        <v/>
      </c>
      <c r="V221" s="115" t="str">
        <f t="shared" si="224"/>
        <v/>
      </c>
      <c r="W221" s="115" t="str">
        <f t="shared" si="224"/>
        <v/>
      </c>
      <c r="X221" s="115" t="str">
        <f t="shared" si="224"/>
        <v/>
      </c>
      <c r="Y221" s="115" t="str">
        <f t="shared" si="224"/>
        <v/>
      </c>
      <c r="Z221" s="115" t="str">
        <f t="shared" si="224"/>
        <v/>
      </c>
      <c r="AA221" s="115" t="str">
        <f t="shared" si="224"/>
        <v/>
      </c>
      <c r="AB221" s="115" t="str">
        <f t="shared" si="224"/>
        <v/>
      </c>
      <c r="AC221" s="115" t="str">
        <f t="shared" si="224"/>
        <v/>
      </c>
      <c r="AD221" s="115" t="str">
        <f t="shared" si="224"/>
        <v/>
      </c>
      <c r="AE221" s="115" t="str">
        <f t="shared" si="224"/>
        <v/>
      </c>
      <c r="AF221" s="115" t="str">
        <f t="shared" si="224"/>
        <v/>
      </c>
      <c r="AG221" s="115" t="str">
        <f t="shared" si="224"/>
        <v/>
      </c>
      <c r="AH221" s="115" t="str">
        <f t="shared" si="224"/>
        <v/>
      </c>
      <c r="AI221" s="115" t="str">
        <f t="shared" si="224"/>
        <v/>
      </c>
      <c r="AJ221" s="115" t="str">
        <f t="shared" si="224"/>
        <v/>
      </c>
      <c r="AK221" s="115" t="str">
        <f t="shared" si="224"/>
        <v/>
      </c>
      <c r="AL221" s="115" t="str">
        <f t="shared" si="224"/>
        <v/>
      </c>
      <c r="AM221" s="115" t="str">
        <f t="shared" si="224"/>
        <v/>
      </c>
      <c r="AN221" s="115" t="str">
        <f t="shared" si="224"/>
        <v/>
      </c>
      <c r="AO221" s="115" t="str">
        <f t="shared" si="224"/>
        <v/>
      </c>
      <c r="AP221" s="117">
        <f>IF(AP$6="","",IF(AP$3="Maior",IFERROR(IF(VLOOKUP($N221,Capa!$A:$AE,AP$5,0)="",0,VLOOKUP($N221,Capa!$A:$AE,AP$5,0)),0),IF(ISERROR(1/VLOOKUP($N221,Capa!$A:$AE,AP$5,0)),0,1/VLOOKUP($N221,Capa!$A:$AE,AP$5,0))))</f>
        <v>0.05067967469</v>
      </c>
      <c r="AQ221" s="118">
        <f>IF(AQ$6="","",IF(AQ$3="Maior",IFERROR(IF(VLOOKUP($N221,Capa!$A:$AE,AQ$5,0)="",0,VLOOKUP($N221,Capa!$A:$AE,AQ$5,0)),0),IF(ISERROR(1/VLOOKUP($N221,Capa!$A:$AE,AQ$5,0)),0,1/VLOOKUP($N221,Capa!$A:$AE,AQ$5,0))))</f>
        <v>7.98</v>
      </c>
      <c r="AR221" s="118">
        <f>IF(AR$6="","",IF(AR$3="Maior",IFERROR(IF(VLOOKUP($N221,Capa!$A:$AE,AR$5,0)="",0,VLOOKUP($N221,Capa!$A:$AE,AR$5,0)),0),IF(ISERROR(1/VLOOKUP($N221,Capa!$A:$AE,AR$5,0)),0,1/VLOOKUP($N221,Capa!$A:$AE,AR$5,0))))</f>
        <v>0</v>
      </c>
      <c r="AS221" s="118" t="str">
        <f>IF(AS$6="","",IF(AS$3="Maior",IFERROR(IF(VLOOKUP($N221,Capa!$A:$AE,AS$5,0)="",0,VLOOKUP($N221,Capa!$A:$AE,AS$5,0)),0),IF(ISERROR(1/VLOOKUP($N221,Capa!$A:$AE,AS$5,0)),0,1/VLOOKUP($N221,Capa!$A:$AE,AS$5,0))))</f>
        <v/>
      </c>
      <c r="AT221" s="118" t="str">
        <f>IF(AT$6="","",IF(AT$3="Maior",IFERROR(IF(VLOOKUP($N221,Capa!$A:$AE,AT$5,0)="",0,VLOOKUP($N221,Capa!$A:$AE,AT$5,0)),0),IF(ISERROR(1/VLOOKUP($N221,Capa!$A:$AE,AT$5,0)),0,1/VLOOKUP($N221,Capa!$A:$AE,AT$5,0))))</f>
        <v/>
      </c>
      <c r="AU221" s="118" t="str">
        <f>IF(AU$6="","",IF(AU$3="Maior",IFERROR(IF(VLOOKUP($N221,Capa!$A:$AE,AU$5,0)="",0,VLOOKUP($N221,Capa!$A:$AE,AU$5,0)),0),IF(ISERROR(1/VLOOKUP($N221,Capa!$A:$AE,AU$5,0)),0,1/VLOOKUP($N221,Capa!$A:$AE,AU$5,0))))</f>
        <v/>
      </c>
      <c r="AV221" s="118" t="str">
        <f>IF(AV$6="","",IF(AV$3="Maior",IFERROR(IF(VLOOKUP($N221,Capa!$A:$AE,AV$5,0)="",0,VLOOKUP($N221,Capa!$A:$AE,AV$5,0)),0),IF(ISERROR(1/VLOOKUP($N221,Capa!$A:$AE,AV$5,0)),0,1/VLOOKUP($N221,Capa!$A:$AE,AV$5,0))))</f>
        <v/>
      </c>
      <c r="AW221" s="118" t="str">
        <f>IF(AW$6="","",IF(AW$3="Maior",IFERROR(IF(VLOOKUP($N221,Capa!$A:$AE,AW$5,0)="",0,VLOOKUP($N221,Capa!$A:$AE,AW$5,0)),0),IF(ISERROR(1/VLOOKUP($N221,Capa!$A:$AE,AW$5,0)),0,1/VLOOKUP($N221,Capa!$A:$AE,AW$5,0))))</f>
        <v/>
      </c>
      <c r="AX221" s="118" t="str">
        <f>IF(AX$6="","",IF(AX$3="Maior",IFERROR(IF(VLOOKUP($N221,Capa!$A:$AE,AX$5,0)="",0,VLOOKUP($N221,Capa!$A:$AE,AX$5,0)),0),IF(ISERROR(1/VLOOKUP($N221,Capa!$A:$AE,AX$5,0)),0,1/VLOOKUP($N221,Capa!$A:$AE,AX$5,0))))</f>
        <v/>
      </c>
      <c r="AY221" s="118" t="str">
        <f>IF(AY$6="","",IF(AY$3="Maior",IFERROR(IF(VLOOKUP($N221,Capa!$A:$AE,AY$5,0)="",0,VLOOKUP($N221,Capa!$A:$AE,AY$5,0)),0),IF(ISERROR(1/VLOOKUP($N221,Capa!$A:$AE,AY$5,0)),0,1/VLOOKUP($N221,Capa!$A:$AE,AY$5,0))))</f>
        <v/>
      </c>
      <c r="AZ221" s="118" t="str">
        <f>IF(AZ$6="","",IF(AZ$3="Maior",IFERROR(IF(VLOOKUP($N221,Capa!$A:$AE,AZ$5,0)="",0,VLOOKUP($N221,Capa!$A:$AE,AZ$5,0)),0),IF(ISERROR(1/VLOOKUP($N221,Capa!$A:$AE,AZ$5,0)),0,1/VLOOKUP($N221,Capa!$A:$AE,AZ$5,0))))</f>
        <v/>
      </c>
      <c r="BA221" s="118" t="str">
        <f>IF(BA$6="","",IF(BA$3="Maior",IFERROR(IF(VLOOKUP($N221,Capa!$A:$AE,BA$5,0)="",0,VLOOKUP($N221,Capa!$A:$AE,BA$5,0)),0),IF(ISERROR(1/VLOOKUP($N221,Capa!$A:$AE,BA$5,0)),0,1/VLOOKUP($N221,Capa!$A:$AE,BA$5,0))))</f>
        <v/>
      </c>
      <c r="BB221" s="118" t="str">
        <f>IF(BB$6="","",IF(BB$3="Maior",IFERROR(IF(VLOOKUP($N221,Capa!$A:$AE,BB$5,0)="",0,VLOOKUP($N221,Capa!$A:$AE,BB$5,0)),0),IF(ISERROR(1/VLOOKUP($N221,Capa!$A:$AE,BB$5,0)),0,1/VLOOKUP($N221,Capa!$A:$AE,BB$5,0))))</f>
        <v/>
      </c>
      <c r="BC221" s="118" t="str">
        <f>IF(BC$6="","",IF(BC$3="Maior",IFERROR(IF(VLOOKUP($N221,Capa!$A:$AE,BC$5,0)="",0,VLOOKUP($N221,Capa!$A:$AE,BC$5,0)),0),IF(ISERROR(1/VLOOKUP($N221,Capa!$A:$AE,BC$5,0)),0,1/VLOOKUP($N221,Capa!$A:$AE,BC$5,0))))</f>
        <v/>
      </c>
      <c r="BD221" s="118" t="str">
        <f>IF(BD$6="","",IF(BD$3="Maior",IFERROR(IF(VLOOKUP($N221,Capa!$A:$AE,BD$5,0)="",0,VLOOKUP($N221,Capa!$A:$AE,BD$5,0)),0),IF(ISERROR(1/VLOOKUP($N221,Capa!$A:$AE,BD$5,0)),0,1/VLOOKUP($N221,Capa!$A:$AE,BD$5,0))))</f>
        <v/>
      </c>
      <c r="BE221" s="118" t="str">
        <f>IF(BE$6="","",IF(BE$3="Maior",IFERROR(IF(VLOOKUP($N221,Capa!$A:$AE,BE$5,0)="",0,VLOOKUP($N221,Capa!$A:$AE,BE$5,0)),0),IF(ISERROR(1/VLOOKUP($N221,Capa!$A:$AE,BE$5,0)),0,1/VLOOKUP($N221,Capa!$A:$AE,BE$5,0))))</f>
        <v/>
      </c>
      <c r="BF221" s="118" t="str">
        <f>IF(BF$6="","",IF(BF$3="Maior",IFERROR(IF(VLOOKUP($N221,Capa!$A:$AE,BF$5,0)="",0,VLOOKUP($N221,Capa!$A:$AE,BF$5,0)),0),IF(ISERROR(1/VLOOKUP($N221,Capa!$A:$AE,BF$5,0)),0,1/VLOOKUP($N221,Capa!$A:$AE,BF$5,0))))</f>
        <v/>
      </c>
      <c r="BG221" s="118" t="str">
        <f>IF(BG$6="","",IF(BG$3="Maior",IFERROR(IF(VLOOKUP($N221,Capa!$A:$AE,BG$5,0)="",0,VLOOKUP($N221,Capa!$A:$AE,BG$5,0)),0),IF(ISERROR(1/VLOOKUP($N221,Capa!$A:$AE,BG$5,0)),0,1/VLOOKUP($N221,Capa!$A:$AE,BG$5,0))))</f>
        <v/>
      </c>
      <c r="BH221" s="118" t="str">
        <f>IF(BH$6="","",IF(BH$3="Maior",IFERROR(IF(VLOOKUP($N221,Capa!$A:$AE,BH$5,0)="",0,VLOOKUP($N221,Capa!$A:$AE,BH$5,0)),0),IF(ISERROR(1/VLOOKUP($N221,Capa!$A:$AE,BH$5,0)),0,1/VLOOKUP($N221,Capa!$A:$AE,BH$5,0))))</f>
        <v/>
      </c>
      <c r="BI221" s="118" t="str">
        <f>IF(BI$6="","",IF(BI$3="Maior",IFERROR(IF(VLOOKUP($N221,Capa!$A:$AE,BI$5,0)="",0,VLOOKUP($N221,Capa!$A:$AE,BI$5,0)),0),IF(ISERROR(1/VLOOKUP($N221,Capa!$A:$AE,BI$5,0)),0,1/VLOOKUP($N221,Capa!$A:$AE,BI$5,0))))</f>
        <v/>
      </c>
      <c r="BJ221" s="118" t="str">
        <f>IF(BJ$6="","",IF(BJ$3="Maior",IFERROR(IF(VLOOKUP($N221,Capa!$A:$AE,BJ$5,0)="",0,VLOOKUP($N221,Capa!$A:$AE,BJ$5,0)),0),IF(ISERROR(1/VLOOKUP($N221,Capa!$A:$AE,BJ$5,0)),0,1/VLOOKUP($N221,Capa!$A:$AE,BJ$5,0))))</f>
        <v/>
      </c>
      <c r="BK221" s="118" t="str">
        <f>IF(BK$6="","",IF(BK$3="Maior",IFERROR(IF(VLOOKUP($N221,Capa!$A:$AE,BK$5,0)="",0,VLOOKUP($N221,Capa!$A:$AE,BK$5,0)),0),IF(ISERROR(1/VLOOKUP($N221,Capa!$A:$AE,BK$5,0)),0,1/VLOOKUP($N221,Capa!$A:$AE,BK$5,0))))</f>
        <v/>
      </c>
      <c r="BL221" s="118" t="str">
        <f>IF(BL$6="","",IF(BL$3="Maior",IFERROR(IF(VLOOKUP($N221,Capa!$A:$AE,BL$5,0)="",0,VLOOKUP($N221,Capa!$A:$AE,BL$5,0)),0),IF(ISERROR(1/VLOOKUP($N221,Capa!$A:$AE,BL$5,0)),0,1/VLOOKUP($N221,Capa!$A:$AE,BL$5,0))))</f>
        <v/>
      </c>
      <c r="BM221" s="118" t="str">
        <f>IF(BM$6="","",IF(BM$3="Maior",IFERROR(IF(VLOOKUP($N221,Capa!$A:$AE,BM$5,0)="",0,VLOOKUP($N221,Capa!$A:$AE,BM$5,0)),0),IF(ISERROR(1/VLOOKUP($N221,Capa!$A:$AE,BM$5,0)),0,1/VLOOKUP($N221,Capa!$A:$AE,BM$5,0))))</f>
        <v/>
      </c>
      <c r="BN221" s="118" t="str">
        <f>IF(BN$6="","",IF(BN$3="Maior",IFERROR(IF(VLOOKUP($N221,Capa!$A:$AE,BN$5,0)="",0,VLOOKUP($N221,Capa!$A:$AE,BN$5,0)),0),IF(ISERROR(1/VLOOKUP($N221,Capa!$A:$AE,BN$5,0)),0,1/VLOOKUP($N221,Capa!$A:$AE,BN$5,0))))</f>
        <v/>
      </c>
      <c r="BO221" s="92"/>
    </row>
    <row r="222">
      <c r="G222" s="11"/>
      <c r="H222" s="11"/>
      <c r="I222" s="8"/>
      <c r="J222" s="132"/>
      <c r="K222" s="11"/>
      <c r="L222" s="11"/>
      <c r="M222" s="11"/>
      <c r="N222" s="10" t="s">
        <v>268</v>
      </c>
      <c r="O222" s="113">
        <f t="shared" si="8"/>
        <v>1962.0397</v>
      </c>
      <c r="P222" s="114">
        <f>VLOOKUP(N222,'Dados StatusInvest'!A:Z,26,0)</f>
        <v>9964715.83</v>
      </c>
      <c r="Q222" s="115">
        <f t="shared" si="9"/>
        <v>397.0397</v>
      </c>
      <c r="R222" s="116">
        <f t="shared" ref="R222:AO222" si="225">IF(AQ222="","", RANK(AQ222,AQ$7:AQ$503,0))</f>
        <v>346</v>
      </c>
      <c r="S222" s="115">
        <f t="shared" si="225"/>
        <v>219</v>
      </c>
      <c r="T222" s="115" t="str">
        <f t="shared" si="225"/>
        <v/>
      </c>
      <c r="U222" s="115" t="str">
        <f t="shared" si="225"/>
        <v/>
      </c>
      <c r="V222" s="115" t="str">
        <f t="shared" si="225"/>
        <v/>
      </c>
      <c r="W222" s="115" t="str">
        <f t="shared" si="225"/>
        <v/>
      </c>
      <c r="X222" s="115" t="str">
        <f t="shared" si="225"/>
        <v/>
      </c>
      <c r="Y222" s="115" t="str">
        <f t="shared" si="225"/>
        <v/>
      </c>
      <c r="Z222" s="115" t="str">
        <f t="shared" si="225"/>
        <v/>
      </c>
      <c r="AA222" s="115" t="str">
        <f t="shared" si="225"/>
        <v/>
      </c>
      <c r="AB222" s="115" t="str">
        <f t="shared" si="225"/>
        <v/>
      </c>
      <c r="AC222" s="115" t="str">
        <f t="shared" si="225"/>
        <v/>
      </c>
      <c r="AD222" s="115" t="str">
        <f t="shared" si="225"/>
        <v/>
      </c>
      <c r="AE222" s="115" t="str">
        <f t="shared" si="225"/>
        <v/>
      </c>
      <c r="AF222" s="115" t="str">
        <f t="shared" si="225"/>
        <v/>
      </c>
      <c r="AG222" s="115" t="str">
        <f t="shared" si="225"/>
        <v/>
      </c>
      <c r="AH222" s="115" t="str">
        <f t="shared" si="225"/>
        <v/>
      </c>
      <c r="AI222" s="115" t="str">
        <f t="shared" si="225"/>
        <v/>
      </c>
      <c r="AJ222" s="115" t="str">
        <f t="shared" si="225"/>
        <v/>
      </c>
      <c r="AK222" s="115" t="str">
        <f t="shared" si="225"/>
        <v/>
      </c>
      <c r="AL222" s="115" t="str">
        <f t="shared" si="225"/>
        <v/>
      </c>
      <c r="AM222" s="115" t="str">
        <f t="shared" si="225"/>
        <v/>
      </c>
      <c r="AN222" s="115" t="str">
        <f t="shared" si="225"/>
        <v/>
      </c>
      <c r="AO222" s="115" t="str">
        <f t="shared" si="225"/>
        <v/>
      </c>
      <c r="AP222" s="117">
        <f>IF(AP$6="","",IF(AP$3="Maior",IFERROR(IF(VLOOKUP($N222,Capa!$A:$AE,AP$5,0)="",0,VLOOKUP($N222,Capa!$A:$AE,AP$5,0)),0),IF(ISERROR(1/VLOOKUP($N222,Capa!$A:$AE,AP$5,0)),0,1/VLOOKUP($N222,Capa!$A:$AE,AP$5,0))))</f>
        <v>0.008599461651</v>
      </c>
      <c r="AQ222" s="118">
        <f>IF(AQ$6="","",IF(AQ$3="Maior",IFERROR(IF(VLOOKUP($N222,Capa!$A:$AE,AQ$5,0)="",0,VLOOKUP($N222,Capa!$A:$AE,AQ$5,0)),0),IF(ISERROR(1/VLOOKUP($N222,Capa!$A:$AE,AQ$5,0)),0,1/VLOOKUP($N222,Capa!$A:$AE,AQ$5,0))))</f>
        <v>2.45</v>
      </c>
      <c r="AR222" s="118">
        <f>IF(AR$6="","",IF(AR$3="Maior",IFERROR(IF(VLOOKUP($N222,Capa!$A:$AE,AR$5,0)="",0,VLOOKUP($N222,Capa!$A:$AE,AR$5,0)),0),IF(ISERROR(1/VLOOKUP($N222,Capa!$A:$AE,AR$5,0)),0,1/VLOOKUP($N222,Capa!$A:$AE,AR$5,0))))</f>
        <v>0</v>
      </c>
      <c r="AS222" s="118" t="str">
        <f>IF(AS$6="","",IF(AS$3="Maior",IFERROR(IF(VLOOKUP($N222,Capa!$A:$AE,AS$5,0)="",0,VLOOKUP($N222,Capa!$A:$AE,AS$5,0)),0),IF(ISERROR(1/VLOOKUP($N222,Capa!$A:$AE,AS$5,0)),0,1/VLOOKUP($N222,Capa!$A:$AE,AS$5,0))))</f>
        <v/>
      </c>
      <c r="AT222" s="118" t="str">
        <f>IF(AT$6="","",IF(AT$3="Maior",IFERROR(IF(VLOOKUP($N222,Capa!$A:$AE,AT$5,0)="",0,VLOOKUP($N222,Capa!$A:$AE,AT$5,0)),0),IF(ISERROR(1/VLOOKUP($N222,Capa!$A:$AE,AT$5,0)),0,1/VLOOKUP($N222,Capa!$A:$AE,AT$5,0))))</f>
        <v/>
      </c>
      <c r="AU222" s="118" t="str">
        <f>IF(AU$6="","",IF(AU$3="Maior",IFERROR(IF(VLOOKUP($N222,Capa!$A:$AE,AU$5,0)="",0,VLOOKUP($N222,Capa!$A:$AE,AU$5,0)),0),IF(ISERROR(1/VLOOKUP($N222,Capa!$A:$AE,AU$5,0)),0,1/VLOOKUP($N222,Capa!$A:$AE,AU$5,0))))</f>
        <v/>
      </c>
      <c r="AV222" s="118" t="str">
        <f>IF(AV$6="","",IF(AV$3="Maior",IFERROR(IF(VLOOKUP($N222,Capa!$A:$AE,AV$5,0)="",0,VLOOKUP($N222,Capa!$A:$AE,AV$5,0)),0),IF(ISERROR(1/VLOOKUP($N222,Capa!$A:$AE,AV$5,0)),0,1/VLOOKUP($N222,Capa!$A:$AE,AV$5,0))))</f>
        <v/>
      </c>
      <c r="AW222" s="118" t="str">
        <f>IF(AW$6="","",IF(AW$3="Maior",IFERROR(IF(VLOOKUP($N222,Capa!$A:$AE,AW$5,0)="",0,VLOOKUP($N222,Capa!$A:$AE,AW$5,0)),0),IF(ISERROR(1/VLOOKUP($N222,Capa!$A:$AE,AW$5,0)),0,1/VLOOKUP($N222,Capa!$A:$AE,AW$5,0))))</f>
        <v/>
      </c>
      <c r="AX222" s="118" t="str">
        <f>IF(AX$6="","",IF(AX$3="Maior",IFERROR(IF(VLOOKUP($N222,Capa!$A:$AE,AX$5,0)="",0,VLOOKUP($N222,Capa!$A:$AE,AX$5,0)),0),IF(ISERROR(1/VLOOKUP($N222,Capa!$A:$AE,AX$5,0)),0,1/VLOOKUP($N222,Capa!$A:$AE,AX$5,0))))</f>
        <v/>
      </c>
      <c r="AY222" s="118" t="str">
        <f>IF(AY$6="","",IF(AY$3="Maior",IFERROR(IF(VLOOKUP($N222,Capa!$A:$AE,AY$5,0)="",0,VLOOKUP($N222,Capa!$A:$AE,AY$5,0)),0),IF(ISERROR(1/VLOOKUP($N222,Capa!$A:$AE,AY$5,0)),0,1/VLOOKUP($N222,Capa!$A:$AE,AY$5,0))))</f>
        <v/>
      </c>
      <c r="AZ222" s="118" t="str">
        <f>IF(AZ$6="","",IF(AZ$3="Maior",IFERROR(IF(VLOOKUP($N222,Capa!$A:$AE,AZ$5,0)="",0,VLOOKUP($N222,Capa!$A:$AE,AZ$5,0)),0),IF(ISERROR(1/VLOOKUP($N222,Capa!$A:$AE,AZ$5,0)),0,1/VLOOKUP($N222,Capa!$A:$AE,AZ$5,0))))</f>
        <v/>
      </c>
      <c r="BA222" s="118" t="str">
        <f>IF(BA$6="","",IF(BA$3="Maior",IFERROR(IF(VLOOKUP($N222,Capa!$A:$AE,BA$5,0)="",0,VLOOKUP($N222,Capa!$A:$AE,BA$5,0)),0),IF(ISERROR(1/VLOOKUP($N222,Capa!$A:$AE,BA$5,0)),0,1/VLOOKUP($N222,Capa!$A:$AE,BA$5,0))))</f>
        <v/>
      </c>
      <c r="BB222" s="118" t="str">
        <f>IF(BB$6="","",IF(BB$3="Maior",IFERROR(IF(VLOOKUP($N222,Capa!$A:$AE,BB$5,0)="",0,VLOOKUP($N222,Capa!$A:$AE,BB$5,0)),0),IF(ISERROR(1/VLOOKUP($N222,Capa!$A:$AE,BB$5,0)),0,1/VLOOKUP($N222,Capa!$A:$AE,BB$5,0))))</f>
        <v/>
      </c>
      <c r="BC222" s="118" t="str">
        <f>IF(BC$6="","",IF(BC$3="Maior",IFERROR(IF(VLOOKUP($N222,Capa!$A:$AE,BC$5,0)="",0,VLOOKUP($N222,Capa!$A:$AE,BC$5,0)),0),IF(ISERROR(1/VLOOKUP($N222,Capa!$A:$AE,BC$5,0)),0,1/VLOOKUP($N222,Capa!$A:$AE,BC$5,0))))</f>
        <v/>
      </c>
      <c r="BD222" s="118" t="str">
        <f>IF(BD$6="","",IF(BD$3="Maior",IFERROR(IF(VLOOKUP($N222,Capa!$A:$AE,BD$5,0)="",0,VLOOKUP($N222,Capa!$A:$AE,BD$5,0)),0),IF(ISERROR(1/VLOOKUP($N222,Capa!$A:$AE,BD$5,0)),0,1/VLOOKUP($N222,Capa!$A:$AE,BD$5,0))))</f>
        <v/>
      </c>
      <c r="BE222" s="118" t="str">
        <f>IF(BE$6="","",IF(BE$3="Maior",IFERROR(IF(VLOOKUP($N222,Capa!$A:$AE,BE$5,0)="",0,VLOOKUP($N222,Capa!$A:$AE,BE$5,0)),0),IF(ISERROR(1/VLOOKUP($N222,Capa!$A:$AE,BE$5,0)),0,1/VLOOKUP($N222,Capa!$A:$AE,BE$5,0))))</f>
        <v/>
      </c>
      <c r="BF222" s="118" t="str">
        <f>IF(BF$6="","",IF(BF$3="Maior",IFERROR(IF(VLOOKUP($N222,Capa!$A:$AE,BF$5,0)="",0,VLOOKUP($N222,Capa!$A:$AE,BF$5,0)),0),IF(ISERROR(1/VLOOKUP($N222,Capa!$A:$AE,BF$5,0)),0,1/VLOOKUP($N222,Capa!$A:$AE,BF$5,0))))</f>
        <v/>
      </c>
      <c r="BG222" s="118" t="str">
        <f>IF(BG$6="","",IF(BG$3="Maior",IFERROR(IF(VLOOKUP($N222,Capa!$A:$AE,BG$5,0)="",0,VLOOKUP($N222,Capa!$A:$AE,BG$5,0)),0),IF(ISERROR(1/VLOOKUP($N222,Capa!$A:$AE,BG$5,0)),0,1/VLOOKUP($N222,Capa!$A:$AE,BG$5,0))))</f>
        <v/>
      </c>
      <c r="BH222" s="118" t="str">
        <f>IF(BH$6="","",IF(BH$3="Maior",IFERROR(IF(VLOOKUP($N222,Capa!$A:$AE,BH$5,0)="",0,VLOOKUP($N222,Capa!$A:$AE,BH$5,0)),0),IF(ISERROR(1/VLOOKUP($N222,Capa!$A:$AE,BH$5,0)),0,1/VLOOKUP($N222,Capa!$A:$AE,BH$5,0))))</f>
        <v/>
      </c>
      <c r="BI222" s="118" t="str">
        <f>IF(BI$6="","",IF(BI$3="Maior",IFERROR(IF(VLOOKUP($N222,Capa!$A:$AE,BI$5,0)="",0,VLOOKUP($N222,Capa!$A:$AE,BI$5,0)),0),IF(ISERROR(1/VLOOKUP($N222,Capa!$A:$AE,BI$5,0)),0,1/VLOOKUP($N222,Capa!$A:$AE,BI$5,0))))</f>
        <v/>
      </c>
      <c r="BJ222" s="118" t="str">
        <f>IF(BJ$6="","",IF(BJ$3="Maior",IFERROR(IF(VLOOKUP($N222,Capa!$A:$AE,BJ$5,0)="",0,VLOOKUP($N222,Capa!$A:$AE,BJ$5,0)),0),IF(ISERROR(1/VLOOKUP($N222,Capa!$A:$AE,BJ$5,0)),0,1/VLOOKUP($N222,Capa!$A:$AE,BJ$5,0))))</f>
        <v/>
      </c>
      <c r="BK222" s="118" t="str">
        <f>IF(BK$6="","",IF(BK$3="Maior",IFERROR(IF(VLOOKUP($N222,Capa!$A:$AE,BK$5,0)="",0,VLOOKUP($N222,Capa!$A:$AE,BK$5,0)),0),IF(ISERROR(1/VLOOKUP($N222,Capa!$A:$AE,BK$5,0)),0,1/VLOOKUP($N222,Capa!$A:$AE,BK$5,0))))</f>
        <v/>
      </c>
      <c r="BL222" s="118" t="str">
        <f>IF(BL$6="","",IF(BL$3="Maior",IFERROR(IF(VLOOKUP($N222,Capa!$A:$AE,BL$5,0)="",0,VLOOKUP($N222,Capa!$A:$AE,BL$5,0)),0),IF(ISERROR(1/VLOOKUP($N222,Capa!$A:$AE,BL$5,0)),0,1/VLOOKUP($N222,Capa!$A:$AE,BL$5,0))))</f>
        <v/>
      </c>
      <c r="BM222" s="118" t="str">
        <f>IF(BM$6="","",IF(BM$3="Maior",IFERROR(IF(VLOOKUP($N222,Capa!$A:$AE,BM$5,0)="",0,VLOOKUP($N222,Capa!$A:$AE,BM$5,0)),0),IF(ISERROR(1/VLOOKUP($N222,Capa!$A:$AE,BM$5,0)),0,1/VLOOKUP($N222,Capa!$A:$AE,BM$5,0))))</f>
        <v/>
      </c>
      <c r="BN222" s="118" t="str">
        <f>IF(BN$6="","",IF(BN$3="Maior",IFERROR(IF(VLOOKUP($N222,Capa!$A:$AE,BN$5,0)="",0,VLOOKUP($N222,Capa!$A:$AE,BN$5,0)),0),IF(ISERROR(1/VLOOKUP($N222,Capa!$A:$AE,BN$5,0)),0,1/VLOOKUP($N222,Capa!$A:$AE,BN$5,0))))</f>
        <v/>
      </c>
      <c r="BO222" s="92"/>
    </row>
    <row r="223">
      <c r="G223" s="11"/>
      <c r="H223" s="11"/>
      <c r="I223" s="8"/>
      <c r="J223" s="132"/>
      <c r="K223" s="11"/>
      <c r="L223" s="11"/>
      <c r="M223" s="11"/>
      <c r="N223" s="10" t="s">
        <v>269</v>
      </c>
      <c r="O223" s="113">
        <f t="shared" si="8"/>
        <v>1746.025</v>
      </c>
      <c r="P223" s="114">
        <f>VLOOKUP(N223,'Dados StatusInvest'!A:Z,26,0)</f>
        <v>7548934.25</v>
      </c>
      <c r="Q223" s="115">
        <f t="shared" si="9"/>
        <v>250.025</v>
      </c>
      <c r="R223" s="116">
        <f t="shared" ref="R223:AO223" si="226">IF(AQ223="","", RANK(AQ223,AQ$7:AQ$503,0))</f>
        <v>318</v>
      </c>
      <c r="S223" s="115">
        <f t="shared" si="226"/>
        <v>178</v>
      </c>
      <c r="T223" s="115" t="str">
        <f t="shared" si="226"/>
        <v/>
      </c>
      <c r="U223" s="115" t="str">
        <f t="shared" si="226"/>
        <v/>
      </c>
      <c r="V223" s="115" t="str">
        <f t="shared" si="226"/>
        <v/>
      </c>
      <c r="W223" s="115" t="str">
        <f t="shared" si="226"/>
        <v/>
      </c>
      <c r="X223" s="115" t="str">
        <f t="shared" si="226"/>
        <v/>
      </c>
      <c r="Y223" s="115" t="str">
        <f t="shared" si="226"/>
        <v/>
      </c>
      <c r="Z223" s="115" t="str">
        <f t="shared" si="226"/>
        <v/>
      </c>
      <c r="AA223" s="115" t="str">
        <f t="shared" si="226"/>
        <v/>
      </c>
      <c r="AB223" s="115" t="str">
        <f t="shared" si="226"/>
        <v/>
      </c>
      <c r="AC223" s="115" t="str">
        <f t="shared" si="226"/>
        <v/>
      </c>
      <c r="AD223" s="115" t="str">
        <f t="shared" si="226"/>
        <v/>
      </c>
      <c r="AE223" s="115" t="str">
        <f t="shared" si="226"/>
        <v/>
      </c>
      <c r="AF223" s="115" t="str">
        <f t="shared" si="226"/>
        <v/>
      </c>
      <c r="AG223" s="115" t="str">
        <f t="shared" si="226"/>
        <v/>
      </c>
      <c r="AH223" s="115" t="str">
        <f t="shared" si="226"/>
        <v/>
      </c>
      <c r="AI223" s="115" t="str">
        <f t="shared" si="226"/>
        <v/>
      </c>
      <c r="AJ223" s="115" t="str">
        <f t="shared" si="226"/>
        <v/>
      </c>
      <c r="AK223" s="115" t="str">
        <f t="shared" si="226"/>
        <v/>
      </c>
      <c r="AL223" s="115" t="str">
        <f t="shared" si="226"/>
        <v/>
      </c>
      <c r="AM223" s="115" t="str">
        <f t="shared" si="226"/>
        <v/>
      </c>
      <c r="AN223" s="115" t="str">
        <f t="shared" si="226"/>
        <v/>
      </c>
      <c r="AO223" s="115" t="str">
        <f t="shared" si="226"/>
        <v/>
      </c>
      <c r="AP223" s="117">
        <f>IF(AP$6="","",IF(AP$3="Maior",IFERROR(IF(VLOOKUP($N223,Capa!$A:$AE,AP$5,0)="",0,VLOOKUP($N223,Capa!$A:$AE,AP$5,0)),0),IF(ISERROR(1/VLOOKUP($N223,Capa!$A:$AE,AP$5,0)),0,1/VLOOKUP($N223,Capa!$A:$AE,AP$5,0))))</f>
        <v>0.0810104725</v>
      </c>
      <c r="AQ223" s="118">
        <f>IF(AQ$6="","",IF(AQ$3="Maior",IFERROR(IF(VLOOKUP($N223,Capa!$A:$AE,AQ$5,0)="",0,VLOOKUP($N223,Capa!$A:$AE,AQ$5,0)),0),IF(ISERROR(1/VLOOKUP($N223,Capa!$A:$AE,AQ$5,0)),0,1/VLOOKUP($N223,Capa!$A:$AE,AQ$5,0))))</f>
        <v>3.65</v>
      </c>
      <c r="AR223" s="118">
        <f>IF(AR$6="","",IF(AR$3="Maior",IFERROR(IF(VLOOKUP($N223,Capa!$A:$AE,AR$5,0)="",0,VLOOKUP($N223,Capa!$A:$AE,AR$5,0)),0),IF(ISERROR(1/VLOOKUP($N223,Capa!$A:$AE,AR$5,0)),0,1/VLOOKUP($N223,Capa!$A:$AE,AR$5,0))))</f>
        <v>7.57</v>
      </c>
      <c r="AS223" s="118" t="str">
        <f>IF(AS$6="","",IF(AS$3="Maior",IFERROR(IF(VLOOKUP($N223,Capa!$A:$AE,AS$5,0)="",0,VLOOKUP($N223,Capa!$A:$AE,AS$5,0)),0),IF(ISERROR(1/VLOOKUP($N223,Capa!$A:$AE,AS$5,0)),0,1/VLOOKUP($N223,Capa!$A:$AE,AS$5,0))))</f>
        <v/>
      </c>
      <c r="AT223" s="118" t="str">
        <f>IF(AT$6="","",IF(AT$3="Maior",IFERROR(IF(VLOOKUP($N223,Capa!$A:$AE,AT$5,0)="",0,VLOOKUP($N223,Capa!$A:$AE,AT$5,0)),0),IF(ISERROR(1/VLOOKUP($N223,Capa!$A:$AE,AT$5,0)),0,1/VLOOKUP($N223,Capa!$A:$AE,AT$5,0))))</f>
        <v/>
      </c>
      <c r="AU223" s="118" t="str">
        <f>IF(AU$6="","",IF(AU$3="Maior",IFERROR(IF(VLOOKUP($N223,Capa!$A:$AE,AU$5,0)="",0,VLOOKUP($N223,Capa!$A:$AE,AU$5,0)),0),IF(ISERROR(1/VLOOKUP($N223,Capa!$A:$AE,AU$5,0)),0,1/VLOOKUP($N223,Capa!$A:$AE,AU$5,0))))</f>
        <v/>
      </c>
      <c r="AV223" s="118" t="str">
        <f>IF(AV$6="","",IF(AV$3="Maior",IFERROR(IF(VLOOKUP($N223,Capa!$A:$AE,AV$5,0)="",0,VLOOKUP($N223,Capa!$A:$AE,AV$5,0)),0),IF(ISERROR(1/VLOOKUP($N223,Capa!$A:$AE,AV$5,0)),0,1/VLOOKUP($N223,Capa!$A:$AE,AV$5,0))))</f>
        <v/>
      </c>
      <c r="AW223" s="118" t="str">
        <f>IF(AW$6="","",IF(AW$3="Maior",IFERROR(IF(VLOOKUP($N223,Capa!$A:$AE,AW$5,0)="",0,VLOOKUP($N223,Capa!$A:$AE,AW$5,0)),0),IF(ISERROR(1/VLOOKUP($N223,Capa!$A:$AE,AW$5,0)),0,1/VLOOKUP($N223,Capa!$A:$AE,AW$5,0))))</f>
        <v/>
      </c>
      <c r="AX223" s="118" t="str">
        <f>IF(AX$6="","",IF(AX$3="Maior",IFERROR(IF(VLOOKUP($N223,Capa!$A:$AE,AX$5,0)="",0,VLOOKUP($N223,Capa!$A:$AE,AX$5,0)),0),IF(ISERROR(1/VLOOKUP($N223,Capa!$A:$AE,AX$5,0)),0,1/VLOOKUP($N223,Capa!$A:$AE,AX$5,0))))</f>
        <v/>
      </c>
      <c r="AY223" s="118" t="str">
        <f>IF(AY$6="","",IF(AY$3="Maior",IFERROR(IF(VLOOKUP($N223,Capa!$A:$AE,AY$5,0)="",0,VLOOKUP($N223,Capa!$A:$AE,AY$5,0)),0),IF(ISERROR(1/VLOOKUP($N223,Capa!$A:$AE,AY$5,0)),0,1/VLOOKUP($N223,Capa!$A:$AE,AY$5,0))))</f>
        <v/>
      </c>
      <c r="AZ223" s="118" t="str">
        <f>IF(AZ$6="","",IF(AZ$3="Maior",IFERROR(IF(VLOOKUP($N223,Capa!$A:$AE,AZ$5,0)="",0,VLOOKUP($N223,Capa!$A:$AE,AZ$5,0)),0),IF(ISERROR(1/VLOOKUP($N223,Capa!$A:$AE,AZ$5,0)),0,1/VLOOKUP($N223,Capa!$A:$AE,AZ$5,0))))</f>
        <v/>
      </c>
      <c r="BA223" s="118" t="str">
        <f>IF(BA$6="","",IF(BA$3="Maior",IFERROR(IF(VLOOKUP($N223,Capa!$A:$AE,BA$5,0)="",0,VLOOKUP($N223,Capa!$A:$AE,BA$5,0)),0),IF(ISERROR(1/VLOOKUP($N223,Capa!$A:$AE,BA$5,0)),0,1/VLOOKUP($N223,Capa!$A:$AE,BA$5,0))))</f>
        <v/>
      </c>
      <c r="BB223" s="118" t="str">
        <f>IF(BB$6="","",IF(BB$3="Maior",IFERROR(IF(VLOOKUP($N223,Capa!$A:$AE,BB$5,0)="",0,VLOOKUP($N223,Capa!$A:$AE,BB$5,0)),0),IF(ISERROR(1/VLOOKUP($N223,Capa!$A:$AE,BB$5,0)),0,1/VLOOKUP($N223,Capa!$A:$AE,BB$5,0))))</f>
        <v/>
      </c>
      <c r="BC223" s="118" t="str">
        <f>IF(BC$6="","",IF(BC$3="Maior",IFERROR(IF(VLOOKUP($N223,Capa!$A:$AE,BC$5,0)="",0,VLOOKUP($N223,Capa!$A:$AE,BC$5,0)),0),IF(ISERROR(1/VLOOKUP($N223,Capa!$A:$AE,BC$5,0)),0,1/VLOOKUP($N223,Capa!$A:$AE,BC$5,0))))</f>
        <v/>
      </c>
      <c r="BD223" s="118" t="str">
        <f>IF(BD$6="","",IF(BD$3="Maior",IFERROR(IF(VLOOKUP($N223,Capa!$A:$AE,BD$5,0)="",0,VLOOKUP($N223,Capa!$A:$AE,BD$5,0)),0),IF(ISERROR(1/VLOOKUP($N223,Capa!$A:$AE,BD$5,0)),0,1/VLOOKUP($N223,Capa!$A:$AE,BD$5,0))))</f>
        <v/>
      </c>
      <c r="BE223" s="118" t="str">
        <f>IF(BE$6="","",IF(BE$3="Maior",IFERROR(IF(VLOOKUP($N223,Capa!$A:$AE,BE$5,0)="",0,VLOOKUP($N223,Capa!$A:$AE,BE$5,0)),0),IF(ISERROR(1/VLOOKUP($N223,Capa!$A:$AE,BE$5,0)),0,1/VLOOKUP($N223,Capa!$A:$AE,BE$5,0))))</f>
        <v/>
      </c>
      <c r="BF223" s="118" t="str">
        <f>IF(BF$6="","",IF(BF$3="Maior",IFERROR(IF(VLOOKUP($N223,Capa!$A:$AE,BF$5,0)="",0,VLOOKUP($N223,Capa!$A:$AE,BF$5,0)),0),IF(ISERROR(1/VLOOKUP($N223,Capa!$A:$AE,BF$5,0)),0,1/VLOOKUP($N223,Capa!$A:$AE,BF$5,0))))</f>
        <v/>
      </c>
      <c r="BG223" s="118" t="str">
        <f>IF(BG$6="","",IF(BG$3="Maior",IFERROR(IF(VLOOKUP($N223,Capa!$A:$AE,BG$5,0)="",0,VLOOKUP($N223,Capa!$A:$AE,BG$5,0)),0),IF(ISERROR(1/VLOOKUP($N223,Capa!$A:$AE,BG$5,0)),0,1/VLOOKUP($N223,Capa!$A:$AE,BG$5,0))))</f>
        <v/>
      </c>
      <c r="BH223" s="118" t="str">
        <f>IF(BH$6="","",IF(BH$3="Maior",IFERROR(IF(VLOOKUP($N223,Capa!$A:$AE,BH$5,0)="",0,VLOOKUP($N223,Capa!$A:$AE,BH$5,0)),0),IF(ISERROR(1/VLOOKUP($N223,Capa!$A:$AE,BH$5,0)),0,1/VLOOKUP($N223,Capa!$A:$AE,BH$5,0))))</f>
        <v/>
      </c>
      <c r="BI223" s="118" t="str">
        <f>IF(BI$6="","",IF(BI$3="Maior",IFERROR(IF(VLOOKUP($N223,Capa!$A:$AE,BI$5,0)="",0,VLOOKUP($N223,Capa!$A:$AE,BI$5,0)),0),IF(ISERROR(1/VLOOKUP($N223,Capa!$A:$AE,BI$5,0)),0,1/VLOOKUP($N223,Capa!$A:$AE,BI$5,0))))</f>
        <v/>
      </c>
      <c r="BJ223" s="118" t="str">
        <f>IF(BJ$6="","",IF(BJ$3="Maior",IFERROR(IF(VLOOKUP($N223,Capa!$A:$AE,BJ$5,0)="",0,VLOOKUP($N223,Capa!$A:$AE,BJ$5,0)),0),IF(ISERROR(1/VLOOKUP($N223,Capa!$A:$AE,BJ$5,0)),0,1/VLOOKUP($N223,Capa!$A:$AE,BJ$5,0))))</f>
        <v/>
      </c>
      <c r="BK223" s="118" t="str">
        <f>IF(BK$6="","",IF(BK$3="Maior",IFERROR(IF(VLOOKUP($N223,Capa!$A:$AE,BK$5,0)="",0,VLOOKUP($N223,Capa!$A:$AE,BK$5,0)),0),IF(ISERROR(1/VLOOKUP($N223,Capa!$A:$AE,BK$5,0)),0,1/VLOOKUP($N223,Capa!$A:$AE,BK$5,0))))</f>
        <v/>
      </c>
      <c r="BL223" s="118" t="str">
        <f>IF(BL$6="","",IF(BL$3="Maior",IFERROR(IF(VLOOKUP($N223,Capa!$A:$AE,BL$5,0)="",0,VLOOKUP($N223,Capa!$A:$AE,BL$5,0)),0),IF(ISERROR(1/VLOOKUP($N223,Capa!$A:$AE,BL$5,0)),0,1/VLOOKUP($N223,Capa!$A:$AE,BL$5,0))))</f>
        <v/>
      </c>
      <c r="BM223" s="118" t="str">
        <f>IF(BM$6="","",IF(BM$3="Maior",IFERROR(IF(VLOOKUP($N223,Capa!$A:$AE,BM$5,0)="",0,VLOOKUP($N223,Capa!$A:$AE,BM$5,0)),0),IF(ISERROR(1/VLOOKUP($N223,Capa!$A:$AE,BM$5,0)),0,1/VLOOKUP($N223,Capa!$A:$AE,BM$5,0))))</f>
        <v/>
      </c>
      <c r="BN223" s="118" t="str">
        <f>IF(BN$6="","",IF(BN$3="Maior",IFERROR(IF(VLOOKUP($N223,Capa!$A:$AE,BN$5,0)="",0,VLOOKUP($N223,Capa!$A:$AE,BN$5,0)),0),IF(ISERROR(1/VLOOKUP($N223,Capa!$A:$AE,BN$5,0)),0,1/VLOOKUP($N223,Capa!$A:$AE,BN$5,0))))</f>
        <v/>
      </c>
      <c r="BO223" s="92"/>
    </row>
    <row r="224">
      <c r="G224" s="11"/>
      <c r="H224" s="11"/>
      <c r="I224" s="8"/>
      <c r="J224" s="132"/>
      <c r="K224" s="11"/>
      <c r="L224" s="11"/>
      <c r="M224" s="11"/>
      <c r="N224" s="10" t="s">
        <v>270</v>
      </c>
      <c r="O224" s="113">
        <f t="shared" si="8"/>
        <v>1670.0145</v>
      </c>
      <c r="P224" s="114">
        <f>VLOOKUP(N224,'Dados StatusInvest'!A:Z,26,0)</f>
        <v>7428482.29</v>
      </c>
      <c r="Q224" s="115">
        <f t="shared" si="9"/>
        <v>145.0145</v>
      </c>
      <c r="R224" s="116">
        <f t="shared" ref="R224:AO224" si="227">IF(AQ224="","", RANK(AQ224,AQ$7:AQ$503,0))</f>
        <v>306</v>
      </c>
      <c r="S224" s="115">
        <f t="shared" si="227"/>
        <v>219</v>
      </c>
      <c r="T224" s="115" t="str">
        <f t="shared" si="227"/>
        <v/>
      </c>
      <c r="U224" s="115" t="str">
        <f t="shared" si="227"/>
        <v/>
      </c>
      <c r="V224" s="115" t="str">
        <f t="shared" si="227"/>
        <v/>
      </c>
      <c r="W224" s="115" t="str">
        <f t="shared" si="227"/>
        <v/>
      </c>
      <c r="X224" s="115" t="str">
        <f t="shared" si="227"/>
        <v/>
      </c>
      <c r="Y224" s="115" t="str">
        <f t="shared" si="227"/>
        <v/>
      </c>
      <c r="Z224" s="115" t="str">
        <f t="shared" si="227"/>
        <v/>
      </c>
      <c r="AA224" s="115" t="str">
        <f t="shared" si="227"/>
        <v/>
      </c>
      <c r="AB224" s="115" t="str">
        <f t="shared" si="227"/>
        <v/>
      </c>
      <c r="AC224" s="115" t="str">
        <f t="shared" si="227"/>
        <v/>
      </c>
      <c r="AD224" s="115" t="str">
        <f t="shared" si="227"/>
        <v/>
      </c>
      <c r="AE224" s="115" t="str">
        <f t="shared" si="227"/>
        <v/>
      </c>
      <c r="AF224" s="115" t="str">
        <f t="shared" si="227"/>
        <v/>
      </c>
      <c r="AG224" s="115" t="str">
        <f t="shared" si="227"/>
        <v/>
      </c>
      <c r="AH224" s="115" t="str">
        <f t="shared" si="227"/>
        <v/>
      </c>
      <c r="AI224" s="115" t="str">
        <f t="shared" si="227"/>
        <v/>
      </c>
      <c r="AJ224" s="115" t="str">
        <f t="shared" si="227"/>
        <v/>
      </c>
      <c r="AK224" s="115" t="str">
        <f t="shared" si="227"/>
        <v/>
      </c>
      <c r="AL224" s="115" t="str">
        <f t="shared" si="227"/>
        <v/>
      </c>
      <c r="AM224" s="115" t="str">
        <f t="shared" si="227"/>
        <v/>
      </c>
      <c r="AN224" s="115" t="str">
        <f t="shared" si="227"/>
        <v/>
      </c>
      <c r="AO224" s="115" t="str">
        <f t="shared" si="227"/>
        <v/>
      </c>
      <c r="AP224" s="117">
        <f>IF(AP$6="","",IF(AP$3="Maior",IFERROR(IF(VLOOKUP($N224,Capa!$A:$AE,AP$5,0)="",0,VLOOKUP($N224,Capa!$A:$AE,AP$5,0)),0),IF(ISERROR(1/VLOOKUP($N224,Capa!$A:$AE,AP$5,0)),0,1/VLOOKUP($N224,Capa!$A:$AE,AP$5,0))))</f>
        <v>0.1364703313</v>
      </c>
      <c r="AQ224" s="118">
        <f>IF(AQ$6="","",IF(AQ$3="Maior",IFERROR(IF(VLOOKUP($N224,Capa!$A:$AE,AQ$5,0)="",0,VLOOKUP($N224,Capa!$A:$AE,AQ$5,0)),0),IF(ISERROR(1/VLOOKUP($N224,Capa!$A:$AE,AQ$5,0)),0,1/VLOOKUP($N224,Capa!$A:$AE,AQ$5,0))))</f>
        <v>4.53</v>
      </c>
      <c r="AR224" s="118">
        <f>IF(AR$6="","",IF(AR$3="Maior",IFERROR(IF(VLOOKUP($N224,Capa!$A:$AE,AR$5,0)="",0,VLOOKUP($N224,Capa!$A:$AE,AR$5,0)),0),IF(ISERROR(1/VLOOKUP($N224,Capa!$A:$AE,AR$5,0)),0,1/VLOOKUP($N224,Capa!$A:$AE,AR$5,0))))</f>
        <v>0</v>
      </c>
      <c r="AS224" s="118" t="str">
        <f>IF(AS$6="","",IF(AS$3="Maior",IFERROR(IF(VLOOKUP($N224,Capa!$A:$AE,AS$5,0)="",0,VLOOKUP($N224,Capa!$A:$AE,AS$5,0)),0),IF(ISERROR(1/VLOOKUP($N224,Capa!$A:$AE,AS$5,0)),0,1/VLOOKUP($N224,Capa!$A:$AE,AS$5,0))))</f>
        <v/>
      </c>
      <c r="AT224" s="118" t="str">
        <f>IF(AT$6="","",IF(AT$3="Maior",IFERROR(IF(VLOOKUP($N224,Capa!$A:$AE,AT$5,0)="",0,VLOOKUP($N224,Capa!$A:$AE,AT$5,0)),0),IF(ISERROR(1/VLOOKUP($N224,Capa!$A:$AE,AT$5,0)),0,1/VLOOKUP($N224,Capa!$A:$AE,AT$5,0))))</f>
        <v/>
      </c>
      <c r="AU224" s="118" t="str">
        <f>IF(AU$6="","",IF(AU$3="Maior",IFERROR(IF(VLOOKUP($N224,Capa!$A:$AE,AU$5,0)="",0,VLOOKUP($N224,Capa!$A:$AE,AU$5,0)),0),IF(ISERROR(1/VLOOKUP($N224,Capa!$A:$AE,AU$5,0)),0,1/VLOOKUP($N224,Capa!$A:$AE,AU$5,0))))</f>
        <v/>
      </c>
      <c r="AV224" s="118" t="str">
        <f>IF(AV$6="","",IF(AV$3="Maior",IFERROR(IF(VLOOKUP($N224,Capa!$A:$AE,AV$5,0)="",0,VLOOKUP($N224,Capa!$A:$AE,AV$5,0)),0),IF(ISERROR(1/VLOOKUP($N224,Capa!$A:$AE,AV$5,0)),0,1/VLOOKUP($N224,Capa!$A:$AE,AV$5,0))))</f>
        <v/>
      </c>
      <c r="AW224" s="118" t="str">
        <f>IF(AW$6="","",IF(AW$3="Maior",IFERROR(IF(VLOOKUP($N224,Capa!$A:$AE,AW$5,0)="",0,VLOOKUP($N224,Capa!$A:$AE,AW$5,0)),0),IF(ISERROR(1/VLOOKUP($N224,Capa!$A:$AE,AW$5,0)),0,1/VLOOKUP($N224,Capa!$A:$AE,AW$5,0))))</f>
        <v/>
      </c>
      <c r="AX224" s="118" t="str">
        <f>IF(AX$6="","",IF(AX$3="Maior",IFERROR(IF(VLOOKUP($N224,Capa!$A:$AE,AX$5,0)="",0,VLOOKUP($N224,Capa!$A:$AE,AX$5,0)),0),IF(ISERROR(1/VLOOKUP($N224,Capa!$A:$AE,AX$5,0)),0,1/VLOOKUP($N224,Capa!$A:$AE,AX$5,0))))</f>
        <v/>
      </c>
      <c r="AY224" s="118" t="str">
        <f>IF(AY$6="","",IF(AY$3="Maior",IFERROR(IF(VLOOKUP($N224,Capa!$A:$AE,AY$5,0)="",0,VLOOKUP($N224,Capa!$A:$AE,AY$5,0)),0),IF(ISERROR(1/VLOOKUP($N224,Capa!$A:$AE,AY$5,0)),0,1/VLOOKUP($N224,Capa!$A:$AE,AY$5,0))))</f>
        <v/>
      </c>
      <c r="AZ224" s="118" t="str">
        <f>IF(AZ$6="","",IF(AZ$3="Maior",IFERROR(IF(VLOOKUP($N224,Capa!$A:$AE,AZ$5,0)="",0,VLOOKUP($N224,Capa!$A:$AE,AZ$5,0)),0),IF(ISERROR(1/VLOOKUP($N224,Capa!$A:$AE,AZ$5,0)),0,1/VLOOKUP($N224,Capa!$A:$AE,AZ$5,0))))</f>
        <v/>
      </c>
      <c r="BA224" s="118" t="str">
        <f>IF(BA$6="","",IF(BA$3="Maior",IFERROR(IF(VLOOKUP($N224,Capa!$A:$AE,BA$5,0)="",0,VLOOKUP($N224,Capa!$A:$AE,BA$5,0)),0),IF(ISERROR(1/VLOOKUP($N224,Capa!$A:$AE,BA$5,0)),0,1/VLOOKUP($N224,Capa!$A:$AE,BA$5,0))))</f>
        <v/>
      </c>
      <c r="BB224" s="118" t="str">
        <f>IF(BB$6="","",IF(BB$3="Maior",IFERROR(IF(VLOOKUP($N224,Capa!$A:$AE,BB$5,0)="",0,VLOOKUP($N224,Capa!$A:$AE,BB$5,0)),0),IF(ISERROR(1/VLOOKUP($N224,Capa!$A:$AE,BB$5,0)),0,1/VLOOKUP($N224,Capa!$A:$AE,BB$5,0))))</f>
        <v/>
      </c>
      <c r="BC224" s="118" t="str">
        <f>IF(BC$6="","",IF(BC$3="Maior",IFERROR(IF(VLOOKUP($N224,Capa!$A:$AE,BC$5,0)="",0,VLOOKUP($N224,Capa!$A:$AE,BC$5,0)),0),IF(ISERROR(1/VLOOKUP($N224,Capa!$A:$AE,BC$5,0)),0,1/VLOOKUP($N224,Capa!$A:$AE,BC$5,0))))</f>
        <v/>
      </c>
      <c r="BD224" s="118" t="str">
        <f>IF(BD$6="","",IF(BD$3="Maior",IFERROR(IF(VLOOKUP($N224,Capa!$A:$AE,BD$5,0)="",0,VLOOKUP($N224,Capa!$A:$AE,BD$5,0)),0),IF(ISERROR(1/VLOOKUP($N224,Capa!$A:$AE,BD$5,0)),0,1/VLOOKUP($N224,Capa!$A:$AE,BD$5,0))))</f>
        <v/>
      </c>
      <c r="BE224" s="118" t="str">
        <f>IF(BE$6="","",IF(BE$3="Maior",IFERROR(IF(VLOOKUP($N224,Capa!$A:$AE,BE$5,0)="",0,VLOOKUP($N224,Capa!$A:$AE,BE$5,0)),0),IF(ISERROR(1/VLOOKUP($N224,Capa!$A:$AE,BE$5,0)),0,1/VLOOKUP($N224,Capa!$A:$AE,BE$5,0))))</f>
        <v/>
      </c>
      <c r="BF224" s="118" t="str">
        <f>IF(BF$6="","",IF(BF$3="Maior",IFERROR(IF(VLOOKUP($N224,Capa!$A:$AE,BF$5,0)="",0,VLOOKUP($N224,Capa!$A:$AE,BF$5,0)),0),IF(ISERROR(1/VLOOKUP($N224,Capa!$A:$AE,BF$5,0)),0,1/VLOOKUP($N224,Capa!$A:$AE,BF$5,0))))</f>
        <v/>
      </c>
      <c r="BG224" s="118" t="str">
        <f>IF(BG$6="","",IF(BG$3="Maior",IFERROR(IF(VLOOKUP($N224,Capa!$A:$AE,BG$5,0)="",0,VLOOKUP($N224,Capa!$A:$AE,BG$5,0)),0),IF(ISERROR(1/VLOOKUP($N224,Capa!$A:$AE,BG$5,0)),0,1/VLOOKUP($N224,Capa!$A:$AE,BG$5,0))))</f>
        <v/>
      </c>
      <c r="BH224" s="118" t="str">
        <f>IF(BH$6="","",IF(BH$3="Maior",IFERROR(IF(VLOOKUP($N224,Capa!$A:$AE,BH$5,0)="",0,VLOOKUP($N224,Capa!$A:$AE,BH$5,0)),0),IF(ISERROR(1/VLOOKUP($N224,Capa!$A:$AE,BH$5,0)),0,1/VLOOKUP($N224,Capa!$A:$AE,BH$5,0))))</f>
        <v/>
      </c>
      <c r="BI224" s="118" t="str">
        <f>IF(BI$6="","",IF(BI$3="Maior",IFERROR(IF(VLOOKUP($N224,Capa!$A:$AE,BI$5,0)="",0,VLOOKUP($N224,Capa!$A:$AE,BI$5,0)),0),IF(ISERROR(1/VLOOKUP($N224,Capa!$A:$AE,BI$5,0)),0,1/VLOOKUP($N224,Capa!$A:$AE,BI$5,0))))</f>
        <v/>
      </c>
      <c r="BJ224" s="118" t="str">
        <f>IF(BJ$6="","",IF(BJ$3="Maior",IFERROR(IF(VLOOKUP($N224,Capa!$A:$AE,BJ$5,0)="",0,VLOOKUP($N224,Capa!$A:$AE,BJ$5,0)),0),IF(ISERROR(1/VLOOKUP($N224,Capa!$A:$AE,BJ$5,0)),0,1/VLOOKUP($N224,Capa!$A:$AE,BJ$5,0))))</f>
        <v/>
      </c>
      <c r="BK224" s="118" t="str">
        <f>IF(BK$6="","",IF(BK$3="Maior",IFERROR(IF(VLOOKUP($N224,Capa!$A:$AE,BK$5,0)="",0,VLOOKUP($N224,Capa!$A:$AE,BK$5,0)),0),IF(ISERROR(1/VLOOKUP($N224,Capa!$A:$AE,BK$5,0)),0,1/VLOOKUP($N224,Capa!$A:$AE,BK$5,0))))</f>
        <v/>
      </c>
      <c r="BL224" s="118" t="str">
        <f>IF(BL$6="","",IF(BL$3="Maior",IFERROR(IF(VLOOKUP($N224,Capa!$A:$AE,BL$5,0)="",0,VLOOKUP($N224,Capa!$A:$AE,BL$5,0)),0),IF(ISERROR(1/VLOOKUP($N224,Capa!$A:$AE,BL$5,0)),0,1/VLOOKUP($N224,Capa!$A:$AE,BL$5,0))))</f>
        <v/>
      </c>
      <c r="BM224" s="118" t="str">
        <f>IF(BM$6="","",IF(BM$3="Maior",IFERROR(IF(VLOOKUP($N224,Capa!$A:$AE,BM$5,0)="",0,VLOOKUP($N224,Capa!$A:$AE,BM$5,0)),0),IF(ISERROR(1/VLOOKUP($N224,Capa!$A:$AE,BM$5,0)),0,1/VLOOKUP($N224,Capa!$A:$AE,BM$5,0))))</f>
        <v/>
      </c>
      <c r="BN224" s="118" t="str">
        <f>IF(BN$6="","",IF(BN$3="Maior",IFERROR(IF(VLOOKUP($N224,Capa!$A:$AE,BN$5,0)="",0,VLOOKUP($N224,Capa!$A:$AE,BN$5,0)),0),IF(ISERROR(1/VLOOKUP($N224,Capa!$A:$AE,BN$5,0)),0,1/VLOOKUP($N224,Capa!$A:$AE,BN$5,0))))</f>
        <v/>
      </c>
      <c r="BO224" s="92"/>
    </row>
    <row r="225">
      <c r="G225" s="11"/>
      <c r="H225" s="11"/>
      <c r="I225" s="8"/>
      <c r="J225" s="132"/>
      <c r="K225" s="11"/>
      <c r="L225" s="11"/>
      <c r="M225" s="11"/>
      <c r="N225" s="10" t="s">
        <v>271</v>
      </c>
      <c r="O225" s="113">
        <f t="shared" si="8"/>
        <v>1375.0112</v>
      </c>
      <c r="P225" s="114">
        <f>VLOOKUP(N225,'Dados StatusInvest'!A:Z,26,0)</f>
        <v>6404152.21</v>
      </c>
      <c r="Q225" s="115">
        <f t="shared" si="9"/>
        <v>112.0112</v>
      </c>
      <c r="R225" s="116">
        <f t="shared" ref="R225:AO225" si="228">IF(AQ225="","", RANK(AQ225,AQ$7:AQ$503,0))</f>
        <v>44</v>
      </c>
      <c r="S225" s="115">
        <f t="shared" si="228"/>
        <v>219</v>
      </c>
      <c r="T225" s="115" t="str">
        <f t="shared" si="228"/>
        <v/>
      </c>
      <c r="U225" s="115" t="str">
        <f t="shared" si="228"/>
        <v/>
      </c>
      <c r="V225" s="115" t="str">
        <f t="shared" si="228"/>
        <v/>
      </c>
      <c r="W225" s="115" t="str">
        <f t="shared" si="228"/>
        <v/>
      </c>
      <c r="X225" s="115" t="str">
        <f t="shared" si="228"/>
        <v/>
      </c>
      <c r="Y225" s="115" t="str">
        <f t="shared" si="228"/>
        <v/>
      </c>
      <c r="Z225" s="115" t="str">
        <f t="shared" si="228"/>
        <v/>
      </c>
      <c r="AA225" s="115" t="str">
        <f t="shared" si="228"/>
        <v/>
      </c>
      <c r="AB225" s="115" t="str">
        <f t="shared" si="228"/>
        <v/>
      </c>
      <c r="AC225" s="115" t="str">
        <f t="shared" si="228"/>
        <v/>
      </c>
      <c r="AD225" s="115" t="str">
        <f t="shared" si="228"/>
        <v/>
      </c>
      <c r="AE225" s="115" t="str">
        <f t="shared" si="228"/>
        <v/>
      </c>
      <c r="AF225" s="115" t="str">
        <f t="shared" si="228"/>
        <v/>
      </c>
      <c r="AG225" s="115" t="str">
        <f t="shared" si="228"/>
        <v/>
      </c>
      <c r="AH225" s="115" t="str">
        <f t="shared" si="228"/>
        <v/>
      </c>
      <c r="AI225" s="115" t="str">
        <f t="shared" si="228"/>
        <v/>
      </c>
      <c r="AJ225" s="115" t="str">
        <f t="shared" si="228"/>
        <v/>
      </c>
      <c r="AK225" s="115" t="str">
        <f t="shared" si="228"/>
        <v/>
      </c>
      <c r="AL225" s="115" t="str">
        <f t="shared" si="228"/>
        <v/>
      </c>
      <c r="AM225" s="115" t="str">
        <f t="shared" si="228"/>
        <v/>
      </c>
      <c r="AN225" s="115" t="str">
        <f t="shared" si="228"/>
        <v/>
      </c>
      <c r="AO225" s="115" t="str">
        <f t="shared" si="228"/>
        <v/>
      </c>
      <c r="AP225" s="117">
        <f>IF(AP$6="","",IF(AP$3="Maior",IFERROR(IF(VLOOKUP($N225,Capa!$A:$AE,AP$5,0)="",0,VLOOKUP($N225,Capa!$A:$AE,AP$5,0)),0),IF(ISERROR(1/VLOOKUP($N225,Capa!$A:$AE,AP$5,0)),0,1/VLOOKUP($N225,Capa!$A:$AE,AP$5,0))))</f>
        <v>0.1643602127</v>
      </c>
      <c r="AQ225" s="118">
        <f>IF(AQ$6="","",IF(AQ$3="Maior",IFERROR(IF(VLOOKUP($N225,Capa!$A:$AE,AQ$5,0)="",0,VLOOKUP($N225,Capa!$A:$AE,AQ$5,0)),0),IF(ISERROR(1/VLOOKUP($N225,Capa!$A:$AE,AQ$5,0)),0,1/VLOOKUP($N225,Capa!$A:$AE,AQ$5,0))))</f>
        <v>29.84</v>
      </c>
      <c r="AR225" s="118">
        <f>IF(AR$6="","",IF(AR$3="Maior",IFERROR(IF(VLOOKUP($N225,Capa!$A:$AE,AR$5,0)="",0,VLOOKUP($N225,Capa!$A:$AE,AR$5,0)),0),IF(ISERROR(1/VLOOKUP($N225,Capa!$A:$AE,AR$5,0)),0,1/VLOOKUP($N225,Capa!$A:$AE,AR$5,0))))</f>
        <v>0</v>
      </c>
      <c r="AS225" s="118" t="str">
        <f>IF(AS$6="","",IF(AS$3="Maior",IFERROR(IF(VLOOKUP($N225,Capa!$A:$AE,AS$5,0)="",0,VLOOKUP($N225,Capa!$A:$AE,AS$5,0)),0),IF(ISERROR(1/VLOOKUP($N225,Capa!$A:$AE,AS$5,0)),0,1/VLOOKUP($N225,Capa!$A:$AE,AS$5,0))))</f>
        <v/>
      </c>
      <c r="AT225" s="118" t="str">
        <f>IF(AT$6="","",IF(AT$3="Maior",IFERROR(IF(VLOOKUP($N225,Capa!$A:$AE,AT$5,0)="",0,VLOOKUP($N225,Capa!$A:$AE,AT$5,0)),0),IF(ISERROR(1/VLOOKUP($N225,Capa!$A:$AE,AT$5,0)),0,1/VLOOKUP($N225,Capa!$A:$AE,AT$5,0))))</f>
        <v/>
      </c>
      <c r="AU225" s="118" t="str">
        <f>IF(AU$6="","",IF(AU$3="Maior",IFERROR(IF(VLOOKUP($N225,Capa!$A:$AE,AU$5,0)="",0,VLOOKUP($N225,Capa!$A:$AE,AU$5,0)),0),IF(ISERROR(1/VLOOKUP($N225,Capa!$A:$AE,AU$5,0)),0,1/VLOOKUP($N225,Capa!$A:$AE,AU$5,0))))</f>
        <v/>
      </c>
      <c r="AV225" s="118" t="str">
        <f>IF(AV$6="","",IF(AV$3="Maior",IFERROR(IF(VLOOKUP($N225,Capa!$A:$AE,AV$5,0)="",0,VLOOKUP($N225,Capa!$A:$AE,AV$5,0)),0),IF(ISERROR(1/VLOOKUP($N225,Capa!$A:$AE,AV$5,0)),0,1/VLOOKUP($N225,Capa!$A:$AE,AV$5,0))))</f>
        <v/>
      </c>
      <c r="AW225" s="118" t="str">
        <f>IF(AW$6="","",IF(AW$3="Maior",IFERROR(IF(VLOOKUP($N225,Capa!$A:$AE,AW$5,0)="",0,VLOOKUP($N225,Capa!$A:$AE,AW$5,0)),0),IF(ISERROR(1/VLOOKUP($N225,Capa!$A:$AE,AW$5,0)),0,1/VLOOKUP($N225,Capa!$A:$AE,AW$5,0))))</f>
        <v/>
      </c>
      <c r="AX225" s="118" t="str">
        <f>IF(AX$6="","",IF(AX$3="Maior",IFERROR(IF(VLOOKUP($N225,Capa!$A:$AE,AX$5,0)="",0,VLOOKUP($N225,Capa!$A:$AE,AX$5,0)),0),IF(ISERROR(1/VLOOKUP($N225,Capa!$A:$AE,AX$5,0)),0,1/VLOOKUP($N225,Capa!$A:$AE,AX$5,0))))</f>
        <v/>
      </c>
      <c r="AY225" s="118" t="str">
        <f>IF(AY$6="","",IF(AY$3="Maior",IFERROR(IF(VLOOKUP($N225,Capa!$A:$AE,AY$5,0)="",0,VLOOKUP($N225,Capa!$A:$AE,AY$5,0)),0),IF(ISERROR(1/VLOOKUP($N225,Capa!$A:$AE,AY$5,0)),0,1/VLOOKUP($N225,Capa!$A:$AE,AY$5,0))))</f>
        <v/>
      </c>
      <c r="AZ225" s="118" t="str">
        <f>IF(AZ$6="","",IF(AZ$3="Maior",IFERROR(IF(VLOOKUP($N225,Capa!$A:$AE,AZ$5,0)="",0,VLOOKUP($N225,Capa!$A:$AE,AZ$5,0)),0),IF(ISERROR(1/VLOOKUP($N225,Capa!$A:$AE,AZ$5,0)),0,1/VLOOKUP($N225,Capa!$A:$AE,AZ$5,0))))</f>
        <v/>
      </c>
      <c r="BA225" s="118" t="str">
        <f>IF(BA$6="","",IF(BA$3="Maior",IFERROR(IF(VLOOKUP($N225,Capa!$A:$AE,BA$5,0)="",0,VLOOKUP($N225,Capa!$A:$AE,BA$5,0)),0),IF(ISERROR(1/VLOOKUP($N225,Capa!$A:$AE,BA$5,0)),0,1/VLOOKUP($N225,Capa!$A:$AE,BA$5,0))))</f>
        <v/>
      </c>
      <c r="BB225" s="118" t="str">
        <f>IF(BB$6="","",IF(BB$3="Maior",IFERROR(IF(VLOOKUP($N225,Capa!$A:$AE,BB$5,0)="",0,VLOOKUP($N225,Capa!$A:$AE,BB$5,0)),0),IF(ISERROR(1/VLOOKUP($N225,Capa!$A:$AE,BB$5,0)),0,1/VLOOKUP($N225,Capa!$A:$AE,BB$5,0))))</f>
        <v/>
      </c>
      <c r="BC225" s="118" t="str">
        <f>IF(BC$6="","",IF(BC$3="Maior",IFERROR(IF(VLOOKUP($N225,Capa!$A:$AE,BC$5,0)="",0,VLOOKUP($N225,Capa!$A:$AE,BC$5,0)),0),IF(ISERROR(1/VLOOKUP($N225,Capa!$A:$AE,BC$5,0)),0,1/VLOOKUP($N225,Capa!$A:$AE,BC$5,0))))</f>
        <v/>
      </c>
      <c r="BD225" s="118" t="str">
        <f>IF(BD$6="","",IF(BD$3="Maior",IFERROR(IF(VLOOKUP($N225,Capa!$A:$AE,BD$5,0)="",0,VLOOKUP($N225,Capa!$A:$AE,BD$5,0)),0),IF(ISERROR(1/VLOOKUP($N225,Capa!$A:$AE,BD$5,0)),0,1/VLOOKUP($N225,Capa!$A:$AE,BD$5,0))))</f>
        <v/>
      </c>
      <c r="BE225" s="118" t="str">
        <f>IF(BE$6="","",IF(BE$3="Maior",IFERROR(IF(VLOOKUP($N225,Capa!$A:$AE,BE$5,0)="",0,VLOOKUP($N225,Capa!$A:$AE,BE$5,0)),0),IF(ISERROR(1/VLOOKUP($N225,Capa!$A:$AE,BE$5,0)),0,1/VLOOKUP($N225,Capa!$A:$AE,BE$5,0))))</f>
        <v/>
      </c>
      <c r="BF225" s="118" t="str">
        <f>IF(BF$6="","",IF(BF$3="Maior",IFERROR(IF(VLOOKUP($N225,Capa!$A:$AE,BF$5,0)="",0,VLOOKUP($N225,Capa!$A:$AE,BF$5,0)),0),IF(ISERROR(1/VLOOKUP($N225,Capa!$A:$AE,BF$5,0)),0,1/VLOOKUP($N225,Capa!$A:$AE,BF$5,0))))</f>
        <v/>
      </c>
      <c r="BG225" s="118" t="str">
        <f>IF(BG$6="","",IF(BG$3="Maior",IFERROR(IF(VLOOKUP($N225,Capa!$A:$AE,BG$5,0)="",0,VLOOKUP($N225,Capa!$A:$AE,BG$5,0)),0),IF(ISERROR(1/VLOOKUP($N225,Capa!$A:$AE,BG$5,0)),0,1/VLOOKUP($N225,Capa!$A:$AE,BG$5,0))))</f>
        <v/>
      </c>
      <c r="BH225" s="118" t="str">
        <f>IF(BH$6="","",IF(BH$3="Maior",IFERROR(IF(VLOOKUP($N225,Capa!$A:$AE,BH$5,0)="",0,VLOOKUP($N225,Capa!$A:$AE,BH$5,0)),0),IF(ISERROR(1/VLOOKUP($N225,Capa!$A:$AE,BH$5,0)),0,1/VLOOKUP($N225,Capa!$A:$AE,BH$5,0))))</f>
        <v/>
      </c>
      <c r="BI225" s="118" t="str">
        <f>IF(BI$6="","",IF(BI$3="Maior",IFERROR(IF(VLOOKUP($N225,Capa!$A:$AE,BI$5,0)="",0,VLOOKUP($N225,Capa!$A:$AE,BI$5,0)),0),IF(ISERROR(1/VLOOKUP($N225,Capa!$A:$AE,BI$5,0)),0,1/VLOOKUP($N225,Capa!$A:$AE,BI$5,0))))</f>
        <v/>
      </c>
      <c r="BJ225" s="118" t="str">
        <f>IF(BJ$6="","",IF(BJ$3="Maior",IFERROR(IF(VLOOKUP($N225,Capa!$A:$AE,BJ$5,0)="",0,VLOOKUP($N225,Capa!$A:$AE,BJ$5,0)),0),IF(ISERROR(1/VLOOKUP($N225,Capa!$A:$AE,BJ$5,0)),0,1/VLOOKUP($N225,Capa!$A:$AE,BJ$5,0))))</f>
        <v/>
      </c>
      <c r="BK225" s="118" t="str">
        <f>IF(BK$6="","",IF(BK$3="Maior",IFERROR(IF(VLOOKUP($N225,Capa!$A:$AE,BK$5,0)="",0,VLOOKUP($N225,Capa!$A:$AE,BK$5,0)),0),IF(ISERROR(1/VLOOKUP($N225,Capa!$A:$AE,BK$5,0)),0,1/VLOOKUP($N225,Capa!$A:$AE,BK$5,0))))</f>
        <v/>
      </c>
      <c r="BL225" s="118" t="str">
        <f>IF(BL$6="","",IF(BL$3="Maior",IFERROR(IF(VLOOKUP($N225,Capa!$A:$AE,BL$5,0)="",0,VLOOKUP($N225,Capa!$A:$AE,BL$5,0)),0),IF(ISERROR(1/VLOOKUP($N225,Capa!$A:$AE,BL$5,0)),0,1/VLOOKUP($N225,Capa!$A:$AE,BL$5,0))))</f>
        <v/>
      </c>
      <c r="BM225" s="118" t="str">
        <f>IF(BM$6="","",IF(BM$3="Maior",IFERROR(IF(VLOOKUP($N225,Capa!$A:$AE,BM$5,0)="",0,VLOOKUP($N225,Capa!$A:$AE,BM$5,0)),0),IF(ISERROR(1/VLOOKUP($N225,Capa!$A:$AE,BM$5,0)),0,1/VLOOKUP($N225,Capa!$A:$AE,BM$5,0))))</f>
        <v/>
      </c>
      <c r="BN225" s="118" t="str">
        <f>IF(BN$6="","",IF(BN$3="Maior",IFERROR(IF(VLOOKUP($N225,Capa!$A:$AE,BN$5,0)="",0,VLOOKUP($N225,Capa!$A:$AE,BN$5,0)),0),IF(ISERROR(1/VLOOKUP($N225,Capa!$A:$AE,BN$5,0)),0,1/VLOOKUP($N225,Capa!$A:$AE,BN$5,0))))</f>
        <v/>
      </c>
      <c r="BO225" s="92"/>
    </row>
    <row r="226">
      <c r="G226" s="11"/>
      <c r="H226" s="11"/>
      <c r="I226" s="8"/>
      <c r="J226" s="132"/>
      <c r="K226" s="11"/>
      <c r="L226" s="11"/>
      <c r="M226" s="11"/>
      <c r="N226" s="10" t="s">
        <v>272</v>
      </c>
      <c r="O226" s="113">
        <f t="shared" si="8"/>
        <v>1826.0264</v>
      </c>
      <c r="P226" s="114">
        <f>VLOOKUP(N226,'Dados StatusInvest'!A:Z,26,0)</f>
        <v>6284807.71</v>
      </c>
      <c r="Q226" s="115">
        <f t="shared" si="9"/>
        <v>264.0264</v>
      </c>
      <c r="R226" s="116">
        <f t="shared" ref="R226:AO226" si="229">IF(AQ226="","", RANK(AQ226,AQ$7:AQ$503,0))</f>
        <v>343</v>
      </c>
      <c r="S226" s="115">
        <f t="shared" si="229"/>
        <v>219</v>
      </c>
      <c r="T226" s="115" t="str">
        <f t="shared" si="229"/>
        <v/>
      </c>
      <c r="U226" s="115" t="str">
        <f t="shared" si="229"/>
        <v/>
      </c>
      <c r="V226" s="115" t="str">
        <f t="shared" si="229"/>
        <v/>
      </c>
      <c r="W226" s="115" t="str">
        <f t="shared" si="229"/>
        <v/>
      </c>
      <c r="X226" s="115" t="str">
        <f t="shared" si="229"/>
        <v/>
      </c>
      <c r="Y226" s="115" t="str">
        <f t="shared" si="229"/>
        <v/>
      </c>
      <c r="Z226" s="115" t="str">
        <f t="shared" si="229"/>
        <v/>
      </c>
      <c r="AA226" s="115" t="str">
        <f t="shared" si="229"/>
        <v/>
      </c>
      <c r="AB226" s="115" t="str">
        <f t="shared" si="229"/>
        <v/>
      </c>
      <c r="AC226" s="115" t="str">
        <f t="shared" si="229"/>
        <v/>
      </c>
      <c r="AD226" s="115" t="str">
        <f t="shared" si="229"/>
        <v/>
      </c>
      <c r="AE226" s="115" t="str">
        <f t="shared" si="229"/>
        <v/>
      </c>
      <c r="AF226" s="115" t="str">
        <f t="shared" si="229"/>
        <v/>
      </c>
      <c r="AG226" s="115" t="str">
        <f t="shared" si="229"/>
        <v/>
      </c>
      <c r="AH226" s="115" t="str">
        <f t="shared" si="229"/>
        <v/>
      </c>
      <c r="AI226" s="115" t="str">
        <f t="shared" si="229"/>
        <v/>
      </c>
      <c r="AJ226" s="115" t="str">
        <f t="shared" si="229"/>
        <v/>
      </c>
      <c r="AK226" s="115" t="str">
        <f t="shared" si="229"/>
        <v/>
      </c>
      <c r="AL226" s="115" t="str">
        <f t="shared" si="229"/>
        <v/>
      </c>
      <c r="AM226" s="115" t="str">
        <f t="shared" si="229"/>
        <v/>
      </c>
      <c r="AN226" s="115" t="str">
        <f t="shared" si="229"/>
        <v/>
      </c>
      <c r="AO226" s="115" t="str">
        <f t="shared" si="229"/>
        <v/>
      </c>
      <c r="AP226" s="117">
        <f>IF(AP$6="","",IF(AP$3="Maior",IFERROR(IF(VLOOKUP($N226,Capa!$A:$AE,AP$5,0)="",0,VLOOKUP($N226,Capa!$A:$AE,AP$5,0)),0),IF(ISERROR(1/VLOOKUP($N226,Capa!$A:$AE,AP$5,0)),0,1/VLOOKUP($N226,Capa!$A:$AE,AP$5,0))))</f>
        <v>0.07278806464</v>
      </c>
      <c r="AQ226" s="118">
        <f>IF(AQ$6="","",IF(AQ$3="Maior",IFERROR(IF(VLOOKUP($N226,Capa!$A:$AE,AQ$5,0)="",0,VLOOKUP($N226,Capa!$A:$AE,AQ$5,0)),0),IF(ISERROR(1/VLOOKUP($N226,Capa!$A:$AE,AQ$5,0)),0,1/VLOOKUP($N226,Capa!$A:$AE,AQ$5,0))))</f>
        <v>2.58</v>
      </c>
      <c r="AR226" s="118">
        <f>IF(AR$6="","",IF(AR$3="Maior",IFERROR(IF(VLOOKUP($N226,Capa!$A:$AE,AR$5,0)="",0,VLOOKUP($N226,Capa!$A:$AE,AR$5,0)),0),IF(ISERROR(1/VLOOKUP($N226,Capa!$A:$AE,AR$5,0)),0,1/VLOOKUP($N226,Capa!$A:$AE,AR$5,0))))</f>
        <v>0</v>
      </c>
      <c r="AS226" s="118" t="str">
        <f>IF(AS$6="","",IF(AS$3="Maior",IFERROR(IF(VLOOKUP($N226,Capa!$A:$AE,AS$5,0)="",0,VLOOKUP($N226,Capa!$A:$AE,AS$5,0)),0),IF(ISERROR(1/VLOOKUP($N226,Capa!$A:$AE,AS$5,0)),0,1/VLOOKUP($N226,Capa!$A:$AE,AS$5,0))))</f>
        <v/>
      </c>
      <c r="AT226" s="118" t="str">
        <f>IF(AT$6="","",IF(AT$3="Maior",IFERROR(IF(VLOOKUP($N226,Capa!$A:$AE,AT$5,0)="",0,VLOOKUP($N226,Capa!$A:$AE,AT$5,0)),0),IF(ISERROR(1/VLOOKUP($N226,Capa!$A:$AE,AT$5,0)),0,1/VLOOKUP($N226,Capa!$A:$AE,AT$5,0))))</f>
        <v/>
      </c>
      <c r="AU226" s="118" t="str">
        <f>IF(AU$6="","",IF(AU$3="Maior",IFERROR(IF(VLOOKUP($N226,Capa!$A:$AE,AU$5,0)="",0,VLOOKUP($N226,Capa!$A:$AE,AU$5,0)),0),IF(ISERROR(1/VLOOKUP($N226,Capa!$A:$AE,AU$5,0)),0,1/VLOOKUP($N226,Capa!$A:$AE,AU$5,0))))</f>
        <v/>
      </c>
      <c r="AV226" s="118" t="str">
        <f>IF(AV$6="","",IF(AV$3="Maior",IFERROR(IF(VLOOKUP($N226,Capa!$A:$AE,AV$5,0)="",0,VLOOKUP($N226,Capa!$A:$AE,AV$5,0)),0),IF(ISERROR(1/VLOOKUP($N226,Capa!$A:$AE,AV$5,0)),0,1/VLOOKUP($N226,Capa!$A:$AE,AV$5,0))))</f>
        <v/>
      </c>
      <c r="AW226" s="118" t="str">
        <f>IF(AW$6="","",IF(AW$3="Maior",IFERROR(IF(VLOOKUP($N226,Capa!$A:$AE,AW$5,0)="",0,VLOOKUP($N226,Capa!$A:$AE,AW$5,0)),0),IF(ISERROR(1/VLOOKUP($N226,Capa!$A:$AE,AW$5,0)),0,1/VLOOKUP($N226,Capa!$A:$AE,AW$5,0))))</f>
        <v/>
      </c>
      <c r="AX226" s="118" t="str">
        <f>IF(AX$6="","",IF(AX$3="Maior",IFERROR(IF(VLOOKUP($N226,Capa!$A:$AE,AX$5,0)="",0,VLOOKUP($N226,Capa!$A:$AE,AX$5,0)),0),IF(ISERROR(1/VLOOKUP($N226,Capa!$A:$AE,AX$5,0)),0,1/VLOOKUP($N226,Capa!$A:$AE,AX$5,0))))</f>
        <v/>
      </c>
      <c r="AY226" s="118" t="str">
        <f>IF(AY$6="","",IF(AY$3="Maior",IFERROR(IF(VLOOKUP($N226,Capa!$A:$AE,AY$5,0)="",0,VLOOKUP($N226,Capa!$A:$AE,AY$5,0)),0),IF(ISERROR(1/VLOOKUP($N226,Capa!$A:$AE,AY$5,0)),0,1/VLOOKUP($N226,Capa!$A:$AE,AY$5,0))))</f>
        <v/>
      </c>
      <c r="AZ226" s="118" t="str">
        <f>IF(AZ$6="","",IF(AZ$3="Maior",IFERROR(IF(VLOOKUP($N226,Capa!$A:$AE,AZ$5,0)="",0,VLOOKUP($N226,Capa!$A:$AE,AZ$5,0)),0),IF(ISERROR(1/VLOOKUP($N226,Capa!$A:$AE,AZ$5,0)),0,1/VLOOKUP($N226,Capa!$A:$AE,AZ$5,0))))</f>
        <v/>
      </c>
      <c r="BA226" s="118" t="str">
        <f>IF(BA$6="","",IF(BA$3="Maior",IFERROR(IF(VLOOKUP($N226,Capa!$A:$AE,BA$5,0)="",0,VLOOKUP($N226,Capa!$A:$AE,BA$5,0)),0),IF(ISERROR(1/VLOOKUP($N226,Capa!$A:$AE,BA$5,0)),0,1/VLOOKUP($N226,Capa!$A:$AE,BA$5,0))))</f>
        <v/>
      </c>
      <c r="BB226" s="118" t="str">
        <f>IF(BB$6="","",IF(BB$3="Maior",IFERROR(IF(VLOOKUP($N226,Capa!$A:$AE,BB$5,0)="",0,VLOOKUP($N226,Capa!$A:$AE,BB$5,0)),0),IF(ISERROR(1/VLOOKUP($N226,Capa!$A:$AE,BB$5,0)),0,1/VLOOKUP($N226,Capa!$A:$AE,BB$5,0))))</f>
        <v/>
      </c>
      <c r="BC226" s="118" t="str">
        <f>IF(BC$6="","",IF(BC$3="Maior",IFERROR(IF(VLOOKUP($N226,Capa!$A:$AE,BC$5,0)="",0,VLOOKUP($N226,Capa!$A:$AE,BC$5,0)),0),IF(ISERROR(1/VLOOKUP($N226,Capa!$A:$AE,BC$5,0)),0,1/VLOOKUP($N226,Capa!$A:$AE,BC$5,0))))</f>
        <v/>
      </c>
      <c r="BD226" s="118" t="str">
        <f>IF(BD$6="","",IF(BD$3="Maior",IFERROR(IF(VLOOKUP($N226,Capa!$A:$AE,BD$5,0)="",0,VLOOKUP($N226,Capa!$A:$AE,BD$5,0)),0),IF(ISERROR(1/VLOOKUP($N226,Capa!$A:$AE,BD$5,0)),0,1/VLOOKUP($N226,Capa!$A:$AE,BD$5,0))))</f>
        <v/>
      </c>
      <c r="BE226" s="118" t="str">
        <f>IF(BE$6="","",IF(BE$3="Maior",IFERROR(IF(VLOOKUP($N226,Capa!$A:$AE,BE$5,0)="",0,VLOOKUP($N226,Capa!$A:$AE,BE$5,0)),0),IF(ISERROR(1/VLOOKUP($N226,Capa!$A:$AE,BE$5,0)),0,1/VLOOKUP($N226,Capa!$A:$AE,BE$5,0))))</f>
        <v/>
      </c>
      <c r="BF226" s="118" t="str">
        <f>IF(BF$6="","",IF(BF$3="Maior",IFERROR(IF(VLOOKUP($N226,Capa!$A:$AE,BF$5,0)="",0,VLOOKUP($N226,Capa!$A:$AE,BF$5,0)),0),IF(ISERROR(1/VLOOKUP($N226,Capa!$A:$AE,BF$5,0)),0,1/VLOOKUP($N226,Capa!$A:$AE,BF$5,0))))</f>
        <v/>
      </c>
      <c r="BG226" s="118" t="str">
        <f>IF(BG$6="","",IF(BG$3="Maior",IFERROR(IF(VLOOKUP($N226,Capa!$A:$AE,BG$5,0)="",0,VLOOKUP($N226,Capa!$A:$AE,BG$5,0)),0),IF(ISERROR(1/VLOOKUP($N226,Capa!$A:$AE,BG$5,0)),0,1/VLOOKUP($N226,Capa!$A:$AE,BG$5,0))))</f>
        <v/>
      </c>
      <c r="BH226" s="118" t="str">
        <f>IF(BH$6="","",IF(BH$3="Maior",IFERROR(IF(VLOOKUP($N226,Capa!$A:$AE,BH$5,0)="",0,VLOOKUP($N226,Capa!$A:$AE,BH$5,0)),0),IF(ISERROR(1/VLOOKUP($N226,Capa!$A:$AE,BH$5,0)),0,1/VLOOKUP($N226,Capa!$A:$AE,BH$5,0))))</f>
        <v/>
      </c>
      <c r="BI226" s="118" t="str">
        <f>IF(BI$6="","",IF(BI$3="Maior",IFERROR(IF(VLOOKUP($N226,Capa!$A:$AE,BI$5,0)="",0,VLOOKUP($N226,Capa!$A:$AE,BI$5,0)),0),IF(ISERROR(1/VLOOKUP($N226,Capa!$A:$AE,BI$5,0)),0,1/VLOOKUP($N226,Capa!$A:$AE,BI$5,0))))</f>
        <v/>
      </c>
      <c r="BJ226" s="118" t="str">
        <f>IF(BJ$6="","",IF(BJ$3="Maior",IFERROR(IF(VLOOKUP($N226,Capa!$A:$AE,BJ$5,0)="",0,VLOOKUP($N226,Capa!$A:$AE,BJ$5,0)),0),IF(ISERROR(1/VLOOKUP($N226,Capa!$A:$AE,BJ$5,0)),0,1/VLOOKUP($N226,Capa!$A:$AE,BJ$5,0))))</f>
        <v/>
      </c>
      <c r="BK226" s="118" t="str">
        <f>IF(BK$6="","",IF(BK$3="Maior",IFERROR(IF(VLOOKUP($N226,Capa!$A:$AE,BK$5,0)="",0,VLOOKUP($N226,Capa!$A:$AE,BK$5,0)),0),IF(ISERROR(1/VLOOKUP($N226,Capa!$A:$AE,BK$5,0)),0,1/VLOOKUP($N226,Capa!$A:$AE,BK$5,0))))</f>
        <v/>
      </c>
      <c r="BL226" s="118" t="str">
        <f>IF(BL$6="","",IF(BL$3="Maior",IFERROR(IF(VLOOKUP($N226,Capa!$A:$AE,BL$5,0)="",0,VLOOKUP($N226,Capa!$A:$AE,BL$5,0)),0),IF(ISERROR(1/VLOOKUP($N226,Capa!$A:$AE,BL$5,0)),0,1/VLOOKUP($N226,Capa!$A:$AE,BL$5,0))))</f>
        <v/>
      </c>
      <c r="BM226" s="118" t="str">
        <f>IF(BM$6="","",IF(BM$3="Maior",IFERROR(IF(VLOOKUP($N226,Capa!$A:$AE,BM$5,0)="",0,VLOOKUP($N226,Capa!$A:$AE,BM$5,0)),0),IF(ISERROR(1/VLOOKUP($N226,Capa!$A:$AE,BM$5,0)),0,1/VLOOKUP($N226,Capa!$A:$AE,BM$5,0))))</f>
        <v/>
      </c>
      <c r="BN226" s="118" t="str">
        <f>IF(BN$6="","",IF(BN$3="Maior",IFERROR(IF(VLOOKUP($N226,Capa!$A:$AE,BN$5,0)="",0,VLOOKUP($N226,Capa!$A:$AE,BN$5,0)),0),IF(ISERROR(1/VLOOKUP($N226,Capa!$A:$AE,BN$5,0)),0,1/VLOOKUP($N226,Capa!$A:$AE,BN$5,0))))</f>
        <v/>
      </c>
      <c r="BO226" s="92"/>
    </row>
    <row r="227">
      <c r="G227" s="11"/>
      <c r="H227" s="11"/>
      <c r="I227" s="8"/>
      <c r="J227" s="132"/>
      <c r="K227" s="11"/>
      <c r="L227" s="11"/>
      <c r="M227" s="11"/>
      <c r="N227" s="10" t="s">
        <v>273</v>
      </c>
      <c r="O227" s="113">
        <f t="shared" si="8"/>
        <v>1956.0399</v>
      </c>
      <c r="P227" s="114">
        <f>VLOOKUP(N227,'Dados StatusInvest'!A:Z,26,0)</f>
        <v>5107884.71</v>
      </c>
      <c r="Q227" s="115">
        <f t="shared" si="9"/>
        <v>399.0399</v>
      </c>
      <c r="R227" s="116">
        <f t="shared" ref="R227:AO227" si="230">IF(AQ227="","", RANK(AQ227,AQ$7:AQ$503,0))</f>
        <v>338</v>
      </c>
      <c r="S227" s="115">
        <f t="shared" si="230"/>
        <v>219</v>
      </c>
      <c r="T227" s="115" t="str">
        <f t="shared" si="230"/>
        <v/>
      </c>
      <c r="U227" s="115" t="str">
        <f t="shared" si="230"/>
        <v/>
      </c>
      <c r="V227" s="115" t="str">
        <f t="shared" si="230"/>
        <v/>
      </c>
      <c r="W227" s="115" t="str">
        <f t="shared" si="230"/>
        <v/>
      </c>
      <c r="X227" s="115" t="str">
        <f t="shared" si="230"/>
        <v/>
      </c>
      <c r="Y227" s="115" t="str">
        <f t="shared" si="230"/>
        <v/>
      </c>
      <c r="Z227" s="115" t="str">
        <f t="shared" si="230"/>
        <v/>
      </c>
      <c r="AA227" s="115" t="str">
        <f t="shared" si="230"/>
        <v/>
      </c>
      <c r="AB227" s="115" t="str">
        <f t="shared" si="230"/>
        <v/>
      </c>
      <c r="AC227" s="115" t="str">
        <f t="shared" si="230"/>
        <v/>
      </c>
      <c r="AD227" s="115" t="str">
        <f t="shared" si="230"/>
        <v/>
      </c>
      <c r="AE227" s="115" t="str">
        <f t="shared" si="230"/>
        <v/>
      </c>
      <c r="AF227" s="115" t="str">
        <f t="shared" si="230"/>
        <v/>
      </c>
      <c r="AG227" s="115" t="str">
        <f t="shared" si="230"/>
        <v/>
      </c>
      <c r="AH227" s="115" t="str">
        <f t="shared" si="230"/>
        <v/>
      </c>
      <c r="AI227" s="115" t="str">
        <f t="shared" si="230"/>
        <v/>
      </c>
      <c r="AJ227" s="115" t="str">
        <f t="shared" si="230"/>
        <v/>
      </c>
      <c r="AK227" s="115" t="str">
        <f t="shared" si="230"/>
        <v/>
      </c>
      <c r="AL227" s="115" t="str">
        <f t="shared" si="230"/>
        <v/>
      </c>
      <c r="AM227" s="115" t="str">
        <f t="shared" si="230"/>
        <v/>
      </c>
      <c r="AN227" s="115" t="str">
        <f t="shared" si="230"/>
        <v/>
      </c>
      <c r="AO227" s="115" t="str">
        <f t="shared" si="230"/>
        <v/>
      </c>
      <c r="AP227" s="117">
        <f>IF(AP$6="","",IF(AP$3="Maior",IFERROR(IF(VLOOKUP($N227,Capa!$A:$AE,AP$5,0)="",0,VLOOKUP($N227,Capa!$A:$AE,AP$5,0)),0),IF(ISERROR(1/VLOOKUP($N227,Capa!$A:$AE,AP$5,0)),0,1/VLOOKUP($N227,Capa!$A:$AE,AP$5,0))))</f>
        <v>0.007080295835</v>
      </c>
      <c r="AQ227" s="118">
        <f>IF(AQ$6="","",IF(AQ$3="Maior",IFERROR(IF(VLOOKUP($N227,Capa!$A:$AE,AQ$5,0)="",0,VLOOKUP($N227,Capa!$A:$AE,AQ$5,0)),0),IF(ISERROR(1/VLOOKUP($N227,Capa!$A:$AE,AQ$5,0)),0,1/VLOOKUP($N227,Capa!$A:$AE,AQ$5,0))))</f>
        <v>2.63</v>
      </c>
      <c r="AR227" s="118">
        <f>IF(AR$6="","",IF(AR$3="Maior",IFERROR(IF(VLOOKUP($N227,Capa!$A:$AE,AR$5,0)="",0,VLOOKUP($N227,Capa!$A:$AE,AR$5,0)),0),IF(ISERROR(1/VLOOKUP($N227,Capa!$A:$AE,AR$5,0)),0,1/VLOOKUP($N227,Capa!$A:$AE,AR$5,0))))</f>
        <v>0</v>
      </c>
      <c r="AS227" s="118" t="str">
        <f>IF(AS$6="","",IF(AS$3="Maior",IFERROR(IF(VLOOKUP($N227,Capa!$A:$AE,AS$5,0)="",0,VLOOKUP($N227,Capa!$A:$AE,AS$5,0)),0),IF(ISERROR(1/VLOOKUP($N227,Capa!$A:$AE,AS$5,0)),0,1/VLOOKUP($N227,Capa!$A:$AE,AS$5,0))))</f>
        <v/>
      </c>
      <c r="AT227" s="118" t="str">
        <f>IF(AT$6="","",IF(AT$3="Maior",IFERROR(IF(VLOOKUP($N227,Capa!$A:$AE,AT$5,0)="",0,VLOOKUP($N227,Capa!$A:$AE,AT$5,0)),0),IF(ISERROR(1/VLOOKUP($N227,Capa!$A:$AE,AT$5,0)),0,1/VLOOKUP($N227,Capa!$A:$AE,AT$5,0))))</f>
        <v/>
      </c>
      <c r="AU227" s="118" t="str">
        <f>IF(AU$6="","",IF(AU$3="Maior",IFERROR(IF(VLOOKUP($N227,Capa!$A:$AE,AU$5,0)="",0,VLOOKUP($N227,Capa!$A:$AE,AU$5,0)),0),IF(ISERROR(1/VLOOKUP($N227,Capa!$A:$AE,AU$5,0)),0,1/VLOOKUP($N227,Capa!$A:$AE,AU$5,0))))</f>
        <v/>
      </c>
      <c r="AV227" s="118" t="str">
        <f>IF(AV$6="","",IF(AV$3="Maior",IFERROR(IF(VLOOKUP($N227,Capa!$A:$AE,AV$5,0)="",0,VLOOKUP($N227,Capa!$A:$AE,AV$5,0)),0),IF(ISERROR(1/VLOOKUP($N227,Capa!$A:$AE,AV$5,0)),0,1/VLOOKUP($N227,Capa!$A:$AE,AV$5,0))))</f>
        <v/>
      </c>
      <c r="AW227" s="118" t="str">
        <f>IF(AW$6="","",IF(AW$3="Maior",IFERROR(IF(VLOOKUP($N227,Capa!$A:$AE,AW$5,0)="",0,VLOOKUP($N227,Capa!$A:$AE,AW$5,0)),0),IF(ISERROR(1/VLOOKUP($N227,Capa!$A:$AE,AW$5,0)),0,1/VLOOKUP($N227,Capa!$A:$AE,AW$5,0))))</f>
        <v/>
      </c>
      <c r="AX227" s="118" t="str">
        <f>IF(AX$6="","",IF(AX$3="Maior",IFERROR(IF(VLOOKUP($N227,Capa!$A:$AE,AX$5,0)="",0,VLOOKUP($N227,Capa!$A:$AE,AX$5,0)),0),IF(ISERROR(1/VLOOKUP($N227,Capa!$A:$AE,AX$5,0)),0,1/VLOOKUP($N227,Capa!$A:$AE,AX$5,0))))</f>
        <v/>
      </c>
      <c r="AY227" s="118" t="str">
        <f>IF(AY$6="","",IF(AY$3="Maior",IFERROR(IF(VLOOKUP($N227,Capa!$A:$AE,AY$5,0)="",0,VLOOKUP($N227,Capa!$A:$AE,AY$5,0)),0),IF(ISERROR(1/VLOOKUP($N227,Capa!$A:$AE,AY$5,0)),0,1/VLOOKUP($N227,Capa!$A:$AE,AY$5,0))))</f>
        <v/>
      </c>
      <c r="AZ227" s="118" t="str">
        <f>IF(AZ$6="","",IF(AZ$3="Maior",IFERROR(IF(VLOOKUP($N227,Capa!$A:$AE,AZ$5,0)="",0,VLOOKUP($N227,Capa!$A:$AE,AZ$5,0)),0),IF(ISERROR(1/VLOOKUP($N227,Capa!$A:$AE,AZ$5,0)),0,1/VLOOKUP($N227,Capa!$A:$AE,AZ$5,0))))</f>
        <v/>
      </c>
      <c r="BA227" s="118" t="str">
        <f>IF(BA$6="","",IF(BA$3="Maior",IFERROR(IF(VLOOKUP($N227,Capa!$A:$AE,BA$5,0)="",0,VLOOKUP($N227,Capa!$A:$AE,BA$5,0)),0),IF(ISERROR(1/VLOOKUP($N227,Capa!$A:$AE,BA$5,0)),0,1/VLOOKUP($N227,Capa!$A:$AE,BA$5,0))))</f>
        <v/>
      </c>
      <c r="BB227" s="118" t="str">
        <f>IF(BB$6="","",IF(BB$3="Maior",IFERROR(IF(VLOOKUP($N227,Capa!$A:$AE,BB$5,0)="",0,VLOOKUP($N227,Capa!$A:$AE,BB$5,0)),0),IF(ISERROR(1/VLOOKUP($N227,Capa!$A:$AE,BB$5,0)),0,1/VLOOKUP($N227,Capa!$A:$AE,BB$5,0))))</f>
        <v/>
      </c>
      <c r="BC227" s="118" t="str">
        <f>IF(BC$6="","",IF(BC$3="Maior",IFERROR(IF(VLOOKUP($N227,Capa!$A:$AE,BC$5,0)="",0,VLOOKUP($N227,Capa!$A:$AE,BC$5,0)),0),IF(ISERROR(1/VLOOKUP($N227,Capa!$A:$AE,BC$5,0)),0,1/VLOOKUP($N227,Capa!$A:$AE,BC$5,0))))</f>
        <v/>
      </c>
      <c r="BD227" s="118" t="str">
        <f>IF(BD$6="","",IF(BD$3="Maior",IFERROR(IF(VLOOKUP($N227,Capa!$A:$AE,BD$5,0)="",0,VLOOKUP($N227,Capa!$A:$AE,BD$5,0)),0),IF(ISERROR(1/VLOOKUP($N227,Capa!$A:$AE,BD$5,0)),0,1/VLOOKUP($N227,Capa!$A:$AE,BD$5,0))))</f>
        <v/>
      </c>
      <c r="BE227" s="118" t="str">
        <f>IF(BE$6="","",IF(BE$3="Maior",IFERROR(IF(VLOOKUP($N227,Capa!$A:$AE,BE$5,0)="",0,VLOOKUP($N227,Capa!$A:$AE,BE$5,0)),0),IF(ISERROR(1/VLOOKUP($N227,Capa!$A:$AE,BE$5,0)),0,1/VLOOKUP($N227,Capa!$A:$AE,BE$5,0))))</f>
        <v/>
      </c>
      <c r="BF227" s="118" t="str">
        <f>IF(BF$6="","",IF(BF$3="Maior",IFERROR(IF(VLOOKUP($N227,Capa!$A:$AE,BF$5,0)="",0,VLOOKUP($N227,Capa!$A:$AE,BF$5,0)),0),IF(ISERROR(1/VLOOKUP($N227,Capa!$A:$AE,BF$5,0)),0,1/VLOOKUP($N227,Capa!$A:$AE,BF$5,0))))</f>
        <v/>
      </c>
      <c r="BG227" s="118" t="str">
        <f>IF(BG$6="","",IF(BG$3="Maior",IFERROR(IF(VLOOKUP($N227,Capa!$A:$AE,BG$5,0)="",0,VLOOKUP($N227,Capa!$A:$AE,BG$5,0)),0),IF(ISERROR(1/VLOOKUP($N227,Capa!$A:$AE,BG$5,0)),0,1/VLOOKUP($N227,Capa!$A:$AE,BG$5,0))))</f>
        <v/>
      </c>
      <c r="BH227" s="118" t="str">
        <f>IF(BH$6="","",IF(BH$3="Maior",IFERROR(IF(VLOOKUP($N227,Capa!$A:$AE,BH$5,0)="",0,VLOOKUP($N227,Capa!$A:$AE,BH$5,0)),0),IF(ISERROR(1/VLOOKUP($N227,Capa!$A:$AE,BH$5,0)),0,1/VLOOKUP($N227,Capa!$A:$AE,BH$5,0))))</f>
        <v/>
      </c>
      <c r="BI227" s="118" t="str">
        <f>IF(BI$6="","",IF(BI$3="Maior",IFERROR(IF(VLOOKUP($N227,Capa!$A:$AE,BI$5,0)="",0,VLOOKUP($N227,Capa!$A:$AE,BI$5,0)),0),IF(ISERROR(1/VLOOKUP($N227,Capa!$A:$AE,BI$5,0)),0,1/VLOOKUP($N227,Capa!$A:$AE,BI$5,0))))</f>
        <v/>
      </c>
      <c r="BJ227" s="118" t="str">
        <f>IF(BJ$6="","",IF(BJ$3="Maior",IFERROR(IF(VLOOKUP($N227,Capa!$A:$AE,BJ$5,0)="",0,VLOOKUP($N227,Capa!$A:$AE,BJ$5,0)),0),IF(ISERROR(1/VLOOKUP($N227,Capa!$A:$AE,BJ$5,0)),0,1/VLOOKUP($N227,Capa!$A:$AE,BJ$5,0))))</f>
        <v/>
      </c>
      <c r="BK227" s="118" t="str">
        <f>IF(BK$6="","",IF(BK$3="Maior",IFERROR(IF(VLOOKUP($N227,Capa!$A:$AE,BK$5,0)="",0,VLOOKUP($N227,Capa!$A:$AE,BK$5,0)),0),IF(ISERROR(1/VLOOKUP($N227,Capa!$A:$AE,BK$5,0)),0,1/VLOOKUP($N227,Capa!$A:$AE,BK$5,0))))</f>
        <v/>
      </c>
      <c r="BL227" s="118" t="str">
        <f>IF(BL$6="","",IF(BL$3="Maior",IFERROR(IF(VLOOKUP($N227,Capa!$A:$AE,BL$5,0)="",0,VLOOKUP($N227,Capa!$A:$AE,BL$5,0)),0),IF(ISERROR(1/VLOOKUP($N227,Capa!$A:$AE,BL$5,0)),0,1/VLOOKUP($N227,Capa!$A:$AE,BL$5,0))))</f>
        <v/>
      </c>
      <c r="BM227" s="118" t="str">
        <f>IF(BM$6="","",IF(BM$3="Maior",IFERROR(IF(VLOOKUP($N227,Capa!$A:$AE,BM$5,0)="",0,VLOOKUP($N227,Capa!$A:$AE,BM$5,0)),0),IF(ISERROR(1/VLOOKUP($N227,Capa!$A:$AE,BM$5,0)),0,1/VLOOKUP($N227,Capa!$A:$AE,BM$5,0))))</f>
        <v/>
      </c>
      <c r="BN227" s="118" t="str">
        <f>IF(BN$6="","",IF(BN$3="Maior",IFERROR(IF(VLOOKUP($N227,Capa!$A:$AE,BN$5,0)="",0,VLOOKUP($N227,Capa!$A:$AE,BN$5,0)),0),IF(ISERROR(1/VLOOKUP($N227,Capa!$A:$AE,BN$5,0)),0,1/VLOOKUP($N227,Capa!$A:$AE,BN$5,0))))</f>
        <v/>
      </c>
      <c r="BO227" s="92"/>
    </row>
    <row r="228">
      <c r="G228" s="11"/>
      <c r="H228" s="11"/>
      <c r="I228" s="8"/>
      <c r="J228" s="132"/>
      <c r="K228" s="11"/>
      <c r="L228" s="11"/>
      <c r="M228" s="11"/>
      <c r="N228" s="10" t="s">
        <v>274</v>
      </c>
      <c r="O228" s="113">
        <f t="shared" si="8"/>
        <v>1654.0251</v>
      </c>
      <c r="P228" s="114">
        <f>VLOOKUP(N228,'Dados StatusInvest'!A:Z,26,0)</f>
        <v>9785771.33</v>
      </c>
      <c r="Q228" s="115">
        <f t="shared" si="9"/>
        <v>251.0251</v>
      </c>
      <c r="R228" s="116">
        <f t="shared" ref="R228:AO228" si="231">IF(AQ228="","", RANK(AQ228,AQ$7:AQ$503,0))</f>
        <v>184</v>
      </c>
      <c r="S228" s="115">
        <f t="shared" si="231"/>
        <v>219</v>
      </c>
      <c r="T228" s="115" t="str">
        <f t="shared" si="231"/>
        <v/>
      </c>
      <c r="U228" s="115" t="str">
        <f t="shared" si="231"/>
        <v/>
      </c>
      <c r="V228" s="115" t="str">
        <f t="shared" si="231"/>
        <v/>
      </c>
      <c r="W228" s="115" t="str">
        <f t="shared" si="231"/>
        <v/>
      </c>
      <c r="X228" s="115" t="str">
        <f t="shared" si="231"/>
        <v/>
      </c>
      <c r="Y228" s="115" t="str">
        <f t="shared" si="231"/>
        <v/>
      </c>
      <c r="Z228" s="115" t="str">
        <f t="shared" si="231"/>
        <v/>
      </c>
      <c r="AA228" s="115" t="str">
        <f t="shared" si="231"/>
        <v/>
      </c>
      <c r="AB228" s="115" t="str">
        <f t="shared" si="231"/>
        <v/>
      </c>
      <c r="AC228" s="115" t="str">
        <f t="shared" si="231"/>
        <v/>
      </c>
      <c r="AD228" s="115" t="str">
        <f t="shared" si="231"/>
        <v/>
      </c>
      <c r="AE228" s="115" t="str">
        <f t="shared" si="231"/>
        <v/>
      </c>
      <c r="AF228" s="115" t="str">
        <f t="shared" si="231"/>
        <v/>
      </c>
      <c r="AG228" s="115" t="str">
        <f t="shared" si="231"/>
        <v/>
      </c>
      <c r="AH228" s="115" t="str">
        <f t="shared" si="231"/>
        <v/>
      </c>
      <c r="AI228" s="115" t="str">
        <f t="shared" si="231"/>
        <v/>
      </c>
      <c r="AJ228" s="115" t="str">
        <f t="shared" si="231"/>
        <v/>
      </c>
      <c r="AK228" s="115" t="str">
        <f t="shared" si="231"/>
        <v/>
      </c>
      <c r="AL228" s="115" t="str">
        <f t="shared" si="231"/>
        <v/>
      </c>
      <c r="AM228" s="115" t="str">
        <f t="shared" si="231"/>
        <v/>
      </c>
      <c r="AN228" s="115" t="str">
        <f t="shared" si="231"/>
        <v/>
      </c>
      <c r="AO228" s="115" t="str">
        <f t="shared" si="231"/>
        <v/>
      </c>
      <c r="AP228" s="117">
        <f>IF(AP$6="","",IF(AP$3="Maior",IFERROR(IF(VLOOKUP($N228,Capa!$A:$AE,AP$5,0)="",0,VLOOKUP($N228,Capa!$A:$AE,AP$5,0)),0),IF(ISERROR(1/VLOOKUP($N228,Capa!$A:$AE,AP$5,0)),0,1/VLOOKUP($N228,Capa!$A:$AE,AP$5,0))))</f>
        <v>0.08074763547</v>
      </c>
      <c r="AQ228" s="118">
        <f>IF(AQ$6="","",IF(AQ$3="Maior",IFERROR(IF(VLOOKUP($N228,Capa!$A:$AE,AQ$5,0)="",0,VLOOKUP($N228,Capa!$A:$AE,AQ$5,0)),0),IF(ISERROR(1/VLOOKUP($N228,Capa!$A:$AE,AQ$5,0)),0,1/VLOOKUP($N228,Capa!$A:$AE,AQ$5,0))))</f>
        <v>12.15</v>
      </c>
      <c r="AR228" s="118">
        <f>IF(AR$6="","",IF(AR$3="Maior",IFERROR(IF(VLOOKUP($N228,Capa!$A:$AE,AR$5,0)="",0,VLOOKUP($N228,Capa!$A:$AE,AR$5,0)),0),IF(ISERROR(1/VLOOKUP($N228,Capa!$A:$AE,AR$5,0)),0,1/VLOOKUP($N228,Capa!$A:$AE,AR$5,0))))</f>
        <v>0</v>
      </c>
      <c r="AS228" s="118" t="str">
        <f>IF(AS$6="","",IF(AS$3="Maior",IFERROR(IF(VLOOKUP($N228,Capa!$A:$AE,AS$5,0)="",0,VLOOKUP($N228,Capa!$A:$AE,AS$5,0)),0),IF(ISERROR(1/VLOOKUP($N228,Capa!$A:$AE,AS$5,0)),0,1/VLOOKUP($N228,Capa!$A:$AE,AS$5,0))))</f>
        <v/>
      </c>
      <c r="AT228" s="118" t="str">
        <f>IF(AT$6="","",IF(AT$3="Maior",IFERROR(IF(VLOOKUP($N228,Capa!$A:$AE,AT$5,0)="",0,VLOOKUP($N228,Capa!$A:$AE,AT$5,0)),0),IF(ISERROR(1/VLOOKUP($N228,Capa!$A:$AE,AT$5,0)),0,1/VLOOKUP($N228,Capa!$A:$AE,AT$5,0))))</f>
        <v/>
      </c>
      <c r="AU228" s="118" t="str">
        <f>IF(AU$6="","",IF(AU$3="Maior",IFERROR(IF(VLOOKUP($N228,Capa!$A:$AE,AU$5,0)="",0,VLOOKUP($N228,Capa!$A:$AE,AU$5,0)),0),IF(ISERROR(1/VLOOKUP($N228,Capa!$A:$AE,AU$5,0)),0,1/VLOOKUP($N228,Capa!$A:$AE,AU$5,0))))</f>
        <v/>
      </c>
      <c r="AV228" s="118" t="str">
        <f>IF(AV$6="","",IF(AV$3="Maior",IFERROR(IF(VLOOKUP($N228,Capa!$A:$AE,AV$5,0)="",0,VLOOKUP($N228,Capa!$A:$AE,AV$5,0)),0),IF(ISERROR(1/VLOOKUP($N228,Capa!$A:$AE,AV$5,0)),0,1/VLOOKUP($N228,Capa!$A:$AE,AV$5,0))))</f>
        <v/>
      </c>
      <c r="AW228" s="118" t="str">
        <f>IF(AW$6="","",IF(AW$3="Maior",IFERROR(IF(VLOOKUP($N228,Capa!$A:$AE,AW$5,0)="",0,VLOOKUP($N228,Capa!$A:$AE,AW$5,0)),0),IF(ISERROR(1/VLOOKUP($N228,Capa!$A:$AE,AW$5,0)),0,1/VLOOKUP($N228,Capa!$A:$AE,AW$5,0))))</f>
        <v/>
      </c>
      <c r="AX228" s="118" t="str">
        <f>IF(AX$6="","",IF(AX$3="Maior",IFERROR(IF(VLOOKUP($N228,Capa!$A:$AE,AX$5,0)="",0,VLOOKUP($N228,Capa!$A:$AE,AX$5,0)),0),IF(ISERROR(1/VLOOKUP($N228,Capa!$A:$AE,AX$5,0)),0,1/VLOOKUP($N228,Capa!$A:$AE,AX$5,0))))</f>
        <v/>
      </c>
      <c r="AY228" s="118" t="str">
        <f>IF(AY$6="","",IF(AY$3="Maior",IFERROR(IF(VLOOKUP($N228,Capa!$A:$AE,AY$5,0)="",0,VLOOKUP($N228,Capa!$A:$AE,AY$5,0)),0),IF(ISERROR(1/VLOOKUP($N228,Capa!$A:$AE,AY$5,0)),0,1/VLOOKUP($N228,Capa!$A:$AE,AY$5,0))))</f>
        <v/>
      </c>
      <c r="AZ228" s="118" t="str">
        <f>IF(AZ$6="","",IF(AZ$3="Maior",IFERROR(IF(VLOOKUP($N228,Capa!$A:$AE,AZ$5,0)="",0,VLOOKUP($N228,Capa!$A:$AE,AZ$5,0)),0),IF(ISERROR(1/VLOOKUP($N228,Capa!$A:$AE,AZ$5,0)),0,1/VLOOKUP($N228,Capa!$A:$AE,AZ$5,0))))</f>
        <v/>
      </c>
      <c r="BA228" s="118" t="str">
        <f>IF(BA$6="","",IF(BA$3="Maior",IFERROR(IF(VLOOKUP($N228,Capa!$A:$AE,BA$5,0)="",0,VLOOKUP($N228,Capa!$A:$AE,BA$5,0)),0),IF(ISERROR(1/VLOOKUP($N228,Capa!$A:$AE,BA$5,0)),0,1/VLOOKUP($N228,Capa!$A:$AE,BA$5,0))))</f>
        <v/>
      </c>
      <c r="BB228" s="118" t="str">
        <f>IF(BB$6="","",IF(BB$3="Maior",IFERROR(IF(VLOOKUP($N228,Capa!$A:$AE,BB$5,0)="",0,VLOOKUP($N228,Capa!$A:$AE,BB$5,0)),0),IF(ISERROR(1/VLOOKUP($N228,Capa!$A:$AE,BB$5,0)),0,1/VLOOKUP($N228,Capa!$A:$AE,BB$5,0))))</f>
        <v/>
      </c>
      <c r="BC228" s="118" t="str">
        <f>IF(BC$6="","",IF(BC$3="Maior",IFERROR(IF(VLOOKUP($N228,Capa!$A:$AE,BC$5,0)="",0,VLOOKUP($N228,Capa!$A:$AE,BC$5,0)),0),IF(ISERROR(1/VLOOKUP($N228,Capa!$A:$AE,BC$5,0)),0,1/VLOOKUP($N228,Capa!$A:$AE,BC$5,0))))</f>
        <v/>
      </c>
      <c r="BD228" s="118" t="str">
        <f>IF(BD$6="","",IF(BD$3="Maior",IFERROR(IF(VLOOKUP($N228,Capa!$A:$AE,BD$5,0)="",0,VLOOKUP($N228,Capa!$A:$AE,BD$5,0)),0),IF(ISERROR(1/VLOOKUP($N228,Capa!$A:$AE,BD$5,0)),0,1/VLOOKUP($N228,Capa!$A:$AE,BD$5,0))))</f>
        <v/>
      </c>
      <c r="BE228" s="118" t="str">
        <f>IF(BE$6="","",IF(BE$3="Maior",IFERROR(IF(VLOOKUP($N228,Capa!$A:$AE,BE$5,0)="",0,VLOOKUP($N228,Capa!$A:$AE,BE$5,0)),0),IF(ISERROR(1/VLOOKUP($N228,Capa!$A:$AE,BE$5,0)),0,1/VLOOKUP($N228,Capa!$A:$AE,BE$5,0))))</f>
        <v/>
      </c>
      <c r="BF228" s="118" t="str">
        <f>IF(BF$6="","",IF(BF$3="Maior",IFERROR(IF(VLOOKUP($N228,Capa!$A:$AE,BF$5,0)="",0,VLOOKUP($N228,Capa!$A:$AE,BF$5,0)),0),IF(ISERROR(1/VLOOKUP($N228,Capa!$A:$AE,BF$5,0)),0,1/VLOOKUP($N228,Capa!$A:$AE,BF$5,0))))</f>
        <v/>
      </c>
      <c r="BG228" s="118" t="str">
        <f>IF(BG$6="","",IF(BG$3="Maior",IFERROR(IF(VLOOKUP($N228,Capa!$A:$AE,BG$5,0)="",0,VLOOKUP($N228,Capa!$A:$AE,BG$5,0)),0),IF(ISERROR(1/VLOOKUP($N228,Capa!$A:$AE,BG$5,0)),0,1/VLOOKUP($N228,Capa!$A:$AE,BG$5,0))))</f>
        <v/>
      </c>
      <c r="BH228" s="118" t="str">
        <f>IF(BH$6="","",IF(BH$3="Maior",IFERROR(IF(VLOOKUP($N228,Capa!$A:$AE,BH$5,0)="",0,VLOOKUP($N228,Capa!$A:$AE,BH$5,0)),0),IF(ISERROR(1/VLOOKUP($N228,Capa!$A:$AE,BH$5,0)),0,1/VLOOKUP($N228,Capa!$A:$AE,BH$5,0))))</f>
        <v/>
      </c>
      <c r="BI228" s="118" t="str">
        <f>IF(BI$6="","",IF(BI$3="Maior",IFERROR(IF(VLOOKUP($N228,Capa!$A:$AE,BI$5,0)="",0,VLOOKUP($N228,Capa!$A:$AE,BI$5,0)),0),IF(ISERROR(1/VLOOKUP($N228,Capa!$A:$AE,BI$5,0)),0,1/VLOOKUP($N228,Capa!$A:$AE,BI$5,0))))</f>
        <v/>
      </c>
      <c r="BJ228" s="118" t="str">
        <f>IF(BJ$6="","",IF(BJ$3="Maior",IFERROR(IF(VLOOKUP($N228,Capa!$A:$AE,BJ$5,0)="",0,VLOOKUP($N228,Capa!$A:$AE,BJ$5,0)),0),IF(ISERROR(1/VLOOKUP($N228,Capa!$A:$AE,BJ$5,0)),0,1/VLOOKUP($N228,Capa!$A:$AE,BJ$5,0))))</f>
        <v/>
      </c>
      <c r="BK228" s="118" t="str">
        <f>IF(BK$6="","",IF(BK$3="Maior",IFERROR(IF(VLOOKUP($N228,Capa!$A:$AE,BK$5,0)="",0,VLOOKUP($N228,Capa!$A:$AE,BK$5,0)),0),IF(ISERROR(1/VLOOKUP($N228,Capa!$A:$AE,BK$5,0)),0,1/VLOOKUP($N228,Capa!$A:$AE,BK$5,0))))</f>
        <v/>
      </c>
      <c r="BL228" s="118" t="str">
        <f>IF(BL$6="","",IF(BL$3="Maior",IFERROR(IF(VLOOKUP($N228,Capa!$A:$AE,BL$5,0)="",0,VLOOKUP($N228,Capa!$A:$AE,BL$5,0)),0),IF(ISERROR(1/VLOOKUP($N228,Capa!$A:$AE,BL$5,0)),0,1/VLOOKUP($N228,Capa!$A:$AE,BL$5,0))))</f>
        <v/>
      </c>
      <c r="BM228" s="118" t="str">
        <f>IF(BM$6="","",IF(BM$3="Maior",IFERROR(IF(VLOOKUP($N228,Capa!$A:$AE,BM$5,0)="",0,VLOOKUP($N228,Capa!$A:$AE,BM$5,0)),0),IF(ISERROR(1/VLOOKUP($N228,Capa!$A:$AE,BM$5,0)),0,1/VLOOKUP($N228,Capa!$A:$AE,BM$5,0))))</f>
        <v/>
      </c>
      <c r="BN228" s="118" t="str">
        <f>IF(BN$6="","",IF(BN$3="Maior",IFERROR(IF(VLOOKUP($N228,Capa!$A:$AE,BN$5,0)="",0,VLOOKUP($N228,Capa!$A:$AE,BN$5,0)),0),IF(ISERROR(1/VLOOKUP($N228,Capa!$A:$AE,BN$5,0)),0,1/VLOOKUP($N228,Capa!$A:$AE,BN$5,0))))</f>
        <v/>
      </c>
      <c r="BO228" s="92"/>
    </row>
    <row r="229">
      <c r="G229" s="11"/>
      <c r="H229" s="11"/>
      <c r="I229" s="8"/>
      <c r="J229" s="132"/>
      <c r="K229" s="11"/>
      <c r="L229" s="11"/>
      <c r="M229" s="11"/>
      <c r="N229" s="10" t="s">
        <v>275</v>
      </c>
      <c r="O229" s="113">
        <f t="shared" si="8"/>
        <v>1827.037</v>
      </c>
      <c r="P229" s="114">
        <f>VLOOKUP(N229,'Dados StatusInvest'!A:Z,26,0)</f>
        <v>5410776.25</v>
      </c>
      <c r="Q229" s="115">
        <f t="shared" si="9"/>
        <v>370.037</v>
      </c>
      <c r="R229" s="116">
        <f t="shared" ref="R229:AO229" si="232">IF(AQ229="","", RANK(AQ229,AQ$7:AQ$503,0))</f>
        <v>238</v>
      </c>
      <c r="S229" s="115">
        <f t="shared" si="232"/>
        <v>219</v>
      </c>
      <c r="T229" s="115" t="str">
        <f t="shared" si="232"/>
        <v/>
      </c>
      <c r="U229" s="115" t="str">
        <f t="shared" si="232"/>
        <v/>
      </c>
      <c r="V229" s="115" t="str">
        <f t="shared" si="232"/>
        <v/>
      </c>
      <c r="W229" s="115" t="str">
        <f t="shared" si="232"/>
        <v/>
      </c>
      <c r="X229" s="115" t="str">
        <f t="shared" si="232"/>
        <v/>
      </c>
      <c r="Y229" s="115" t="str">
        <f t="shared" si="232"/>
        <v/>
      </c>
      <c r="Z229" s="115" t="str">
        <f t="shared" si="232"/>
        <v/>
      </c>
      <c r="AA229" s="115" t="str">
        <f t="shared" si="232"/>
        <v/>
      </c>
      <c r="AB229" s="115" t="str">
        <f t="shared" si="232"/>
        <v/>
      </c>
      <c r="AC229" s="115" t="str">
        <f t="shared" si="232"/>
        <v/>
      </c>
      <c r="AD229" s="115" t="str">
        <f t="shared" si="232"/>
        <v/>
      </c>
      <c r="AE229" s="115" t="str">
        <f t="shared" si="232"/>
        <v/>
      </c>
      <c r="AF229" s="115" t="str">
        <f t="shared" si="232"/>
        <v/>
      </c>
      <c r="AG229" s="115" t="str">
        <f t="shared" si="232"/>
        <v/>
      </c>
      <c r="AH229" s="115" t="str">
        <f t="shared" si="232"/>
        <v/>
      </c>
      <c r="AI229" s="115" t="str">
        <f t="shared" si="232"/>
        <v/>
      </c>
      <c r="AJ229" s="115" t="str">
        <f t="shared" si="232"/>
        <v/>
      </c>
      <c r="AK229" s="115" t="str">
        <f t="shared" si="232"/>
        <v/>
      </c>
      <c r="AL229" s="115" t="str">
        <f t="shared" si="232"/>
        <v/>
      </c>
      <c r="AM229" s="115" t="str">
        <f t="shared" si="232"/>
        <v/>
      </c>
      <c r="AN229" s="115" t="str">
        <f t="shared" si="232"/>
        <v/>
      </c>
      <c r="AO229" s="115" t="str">
        <f t="shared" si="232"/>
        <v/>
      </c>
      <c r="AP229" s="117">
        <f>IF(AP$6="","",IF(AP$3="Maior",IFERROR(IF(VLOOKUP($N229,Capa!$A:$AE,AP$5,0)="",0,VLOOKUP($N229,Capa!$A:$AE,AP$5,0)),0),IF(ISERROR(1/VLOOKUP($N229,Capa!$A:$AE,AP$5,0)),0,1/VLOOKUP($N229,Capa!$A:$AE,AP$5,0))))</f>
        <v>0.02037419453</v>
      </c>
      <c r="AQ229" s="118">
        <f>IF(AQ$6="","",IF(AQ$3="Maior",IFERROR(IF(VLOOKUP($N229,Capa!$A:$AE,AQ$5,0)="",0,VLOOKUP($N229,Capa!$A:$AE,AQ$5,0)),0),IF(ISERROR(1/VLOOKUP($N229,Capa!$A:$AE,AQ$5,0)),0,1/VLOOKUP($N229,Capa!$A:$AE,AQ$5,0))))</f>
        <v>9.01</v>
      </c>
      <c r="AR229" s="118">
        <f>IF(AR$6="","",IF(AR$3="Maior",IFERROR(IF(VLOOKUP($N229,Capa!$A:$AE,AR$5,0)="",0,VLOOKUP($N229,Capa!$A:$AE,AR$5,0)),0),IF(ISERROR(1/VLOOKUP($N229,Capa!$A:$AE,AR$5,0)),0,1/VLOOKUP($N229,Capa!$A:$AE,AR$5,0))))</f>
        <v>0</v>
      </c>
      <c r="AS229" s="118" t="str">
        <f>IF(AS$6="","",IF(AS$3="Maior",IFERROR(IF(VLOOKUP($N229,Capa!$A:$AE,AS$5,0)="",0,VLOOKUP($N229,Capa!$A:$AE,AS$5,0)),0),IF(ISERROR(1/VLOOKUP($N229,Capa!$A:$AE,AS$5,0)),0,1/VLOOKUP($N229,Capa!$A:$AE,AS$5,0))))</f>
        <v/>
      </c>
      <c r="AT229" s="118" t="str">
        <f>IF(AT$6="","",IF(AT$3="Maior",IFERROR(IF(VLOOKUP($N229,Capa!$A:$AE,AT$5,0)="",0,VLOOKUP($N229,Capa!$A:$AE,AT$5,0)),0),IF(ISERROR(1/VLOOKUP($N229,Capa!$A:$AE,AT$5,0)),0,1/VLOOKUP($N229,Capa!$A:$AE,AT$5,0))))</f>
        <v/>
      </c>
      <c r="AU229" s="118" t="str">
        <f>IF(AU$6="","",IF(AU$3="Maior",IFERROR(IF(VLOOKUP($N229,Capa!$A:$AE,AU$5,0)="",0,VLOOKUP($N229,Capa!$A:$AE,AU$5,0)),0),IF(ISERROR(1/VLOOKUP($N229,Capa!$A:$AE,AU$5,0)),0,1/VLOOKUP($N229,Capa!$A:$AE,AU$5,0))))</f>
        <v/>
      </c>
      <c r="AV229" s="118" t="str">
        <f>IF(AV$6="","",IF(AV$3="Maior",IFERROR(IF(VLOOKUP($N229,Capa!$A:$AE,AV$5,0)="",0,VLOOKUP($N229,Capa!$A:$AE,AV$5,0)),0),IF(ISERROR(1/VLOOKUP($N229,Capa!$A:$AE,AV$5,0)),0,1/VLOOKUP($N229,Capa!$A:$AE,AV$5,0))))</f>
        <v/>
      </c>
      <c r="AW229" s="118" t="str">
        <f>IF(AW$6="","",IF(AW$3="Maior",IFERROR(IF(VLOOKUP($N229,Capa!$A:$AE,AW$5,0)="",0,VLOOKUP($N229,Capa!$A:$AE,AW$5,0)),0),IF(ISERROR(1/VLOOKUP($N229,Capa!$A:$AE,AW$5,0)),0,1/VLOOKUP($N229,Capa!$A:$AE,AW$5,0))))</f>
        <v/>
      </c>
      <c r="AX229" s="118" t="str">
        <f>IF(AX$6="","",IF(AX$3="Maior",IFERROR(IF(VLOOKUP($N229,Capa!$A:$AE,AX$5,0)="",0,VLOOKUP($N229,Capa!$A:$AE,AX$5,0)),0),IF(ISERROR(1/VLOOKUP($N229,Capa!$A:$AE,AX$5,0)),0,1/VLOOKUP($N229,Capa!$A:$AE,AX$5,0))))</f>
        <v/>
      </c>
      <c r="AY229" s="118" t="str">
        <f>IF(AY$6="","",IF(AY$3="Maior",IFERROR(IF(VLOOKUP($N229,Capa!$A:$AE,AY$5,0)="",0,VLOOKUP($N229,Capa!$A:$AE,AY$5,0)),0),IF(ISERROR(1/VLOOKUP($N229,Capa!$A:$AE,AY$5,0)),0,1/VLOOKUP($N229,Capa!$A:$AE,AY$5,0))))</f>
        <v/>
      </c>
      <c r="AZ229" s="118" t="str">
        <f>IF(AZ$6="","",IF(AZ$3="Maior",IFERROR(IF(VLOOKUP($N229,Capa!$A:$AE,AZ$5,0)="",0,VLOOKUP($N229,Capa!$A:$AE,AZ$5,0)),0),IF(ISERROR(1/VLOOKUP($N229,Capa!$A:$AE,AZ$5,0)),0,1/VLOOKUP($N229,Capa!$A:$AE,AZ$5,0))))</f>
        <v/>
      </c>
      <c r="BA229" s="118" t="str">
        <f>IF(BA$6="","",IF(BA$3="Maior",IFERROR(IF(VLOOKUP($N229,Capa!$A:$AE,BA$5,0)="",0,VLOOKUP($N229,Capa!$A:$AE,BA$5,0)),0),IF(ISERROR(1/VLOOKUP($N229,Capa!$A:$AE,BA$5,0)),0,1/VLOOKUP($N229,Capa!$A:$AE,BA$5,0))))</f>
        <v/>
      </c>
      <c r="BB229" s="118" t="str">
        <f>IF(BB$6="","",IF(BB$3="Maior",IFERROR(IF(VLOOKUP($N229,Capa!$A:$AE,BB$5,0)="",0,VLOOKUP($N229,Capa!$A:$AE,BB$5,0)),0),IF(ISERROR(1/VLOOKUP($N229,Capa!$A:$AE,BB$5,0)),0,1/VLOOKUP($N229,Capa!$A:$AE,BB$5,0))))</f>
        <v/>
      </c>
      <c r="BC229" s="118" t="str">
        <f>IF(BC$6="","",IF(BC$3="Maior",IFERROR(IF(VLOOKUP($N229,Capa!$A:$AE,BC$5,0)="",0,VLOOKUP($N229,Capa!$A:$AE,BC$5,0)),0),IF(ISERROR(1/VLOOKUP($N229,Capa!$A:$AE,BC$5,0)),0,1/VLOOKUP($N229,Capa!$A:$AE,BC$5,0))))</f>
        <v/>
      </c>
      <c r="BD229" s="118" t="str">
        <f>IF(BD$6="","",IF(BD$3="Maior",IFERROR(IF(VLOOKUP($N229,Capa!$A:$AE,BD$5,0)="",0,VLOOKUP($N229,Capa!$A:$AE,BD$5,0)),0),IF(ISERROR(1/VLOOKUP($N229,Capa!$A:$AE,BD$5,0)),0,1/VLOOKUP($N229,Capa!$A:$AE,BD$5,0))))</f>
        <v/>
      </c>
      <c r="BE229" s="118" t="str">
        <f>IF(BE$6="","",IF(BE$3="Maior",IFERROR(IF(VLOOKUP($N229,Capa!$A:$AE,BE$5,0)="",0,VLOOKUP($N229,Capa!$A:$AE,BE$5,0)),0),IF(ISERROR(1/VLOOKUP($N229,Capa!$A:$AE,BE$5,0)),0,1/VLOOKUP($N229,Capa!$A:$AE,BE$5,0))))</f>
        <v/>
      </c>
      <c r="BF229" s="118" t="str">
        <f>IF(BF$6="","",IF(BF$3="Maior",IFERROR(IF(VLOOKUP($N229,Capa!$A:$AE,BF$5,0)="",0,VLOOKUP($N229,Capa!$A:$AE,BF$5,0)),0),IF(ISERROR(1/VLOOKUP($N229,Capa!$A:$AE,BF$5,0)),0,1/VLOOKUP($N229,Capa!$A:$AE,BF$5,0))))</f>
        <v/>
      </c>
      <c r="BG229" s="118" t="str">
        <f>IF(BG$6="","",IF(BG$3="Maior",IFERROR(IF(VLOOKUP($N229,Capa!$A:$AE,BG$5,0)="",0,VLOOKUP($N229,Capa!$A:$AE,BG$5,0)),0),IF(ISERROR(1/VLOOKUP($N229,Capa!$A:$AE,BG$5,0)),0,1/VLOOKUP($N229,Capa!$A:$AE,BG$5,0))))</f>
        <v/>
      </c>
      <c r="BH229" s="118" t="str">
        <f>IF(BH$6="","",IF(BH$3="Maior",IFERROR(IF(VLOOKUP($N229,Capa!$A:$AE,BH$5,0)="",0,VLOOKUP($N229,Capa!$A:$AE,BH$5,0)),0),IF(ISERROR(1/VLOOKUP($N229,Capa!$A:$AE,BH$5,0)),0,1/VLOOKUP($N229,Capa!$A:$AE,BH$5,0))))</f>
        <v/>
      </c>
      <c r="BI229" s="118" t="str">
        <f>IF(BI$6="","",IF(BI$3="Maior",IFERROR(IF(VLOOKUP($N229,Capa!$A:$AE,BI$5,0)="",0,VLOOKUP($N229,Capa!$A:$AE,BI$5,0)),0),IF(ISERROR(1/VLOOKUP($N229,Capa!$A:$AE,BI$5,0)),0,1/VLOOKUP($N229,Capa!$A:$AE,BI$5,0))))</f>
        <v/>
      </c>
      <c r="BJ229" s="118" t="str">
        <f>IF(BJ$6="","",IF(BJ$3="Maior",IFERROR(IF(VLOOKUP($N229,Capa!$A:$AE,BJ$5,0)="",0,VLOOKUP($N229,Capa!$A:$AE,BJ$5,0)),0),IF(ISERROR(1/VLOOKUP($N229,Capa!$A:$AE,BJ$5,0)),0,1/VLOOKUP($N229,Capa!$A:$AE,BJ$5,0))))</f>
        <v/>
      </c>
      <c r="BK229" s="118" t="str">
        <f>IF(BK$6="","",IF(BK$3="Maior",IFERROR(IF(VLOOKUP($N229,Capa!$A:$AE,BK$5,0)="",0,VLOOKUP($N229,Capa!$A:$AE,BK$5,0)),0),IF(ISERROR(1/VLOOKUP($N229,Capa!$A:$AE,BK$5,0)),0,1/VLOOKUP($N229,Capa!$A:$AE,BK$5,0))))</f>
        <v/>
      </c>
      <c r="BL229" s="118" t="str">
        <f>IF(BL$6="","",IF(BL$3="Maior",IFERROR(IF(VLOOKUP($N229,Capa!$A:$AE,BL$5,0)="",0,VLOOKUP($N229,Capa!$A:$AE,BL$5,0)),0),IF(ISERROR(1/VLOOKUP($N229,Capa!$A:$AE,BL$5,0)),0,1/VLOOKUP($N229,Capa!$A:$AE,BL$5,0))))</f>
        <v/>
      </c>
      <c r="BM229" s="118" t="str">
        <f>IF(BM$6="","",IF(BM$3="Maior",IFERROR(IF(VLOOKUP($N229,Capa!$A:$AE,BM$5,0)="",0,VLOOKUP($N229,Capa!$A:$AE,BM$5,0)),0),IF(ISERROR(1/VLOOKUP($N229,Capa!$A:$AE,BM$5,0)),0,1/VLOOKUP($N229,Capa!$A:$AE,BM$5,0))))</f>
        <v/>
      </c>
      <c r="BN229" s="118" t="str">
        <f>IF(BN$6="","",IF(BN$3="Maior",IFERROR(IF(VLOOKUP($N229,Capa!$A:$AE,BN$5,0)="",0,VLOOKUP($N229,Capa!$A:$AE,BN$5,0)),0),IF(ISERROR(1/VLOOKUP($N229,Capa!$A:$AE,BN$5,0)),0,1/VLOOKUP($N229,Capa!$A:$AE,BN$5,0))))</f>
        <v/>
      </c>
      <c r="BO229" s="92"/>
    </row>
    <row r="230">
      <c r="G230" s="11"/>
      <c r="H230" s="11"/>
      <c r="I230" s="8"/>
      <c r="J230" s="132"/>
      <c r="K230" s="11"/>
      <c r="L230" s="11"/>
      <c r="M230" s="11"/>
      <c r="N230" s="10" t="s">
        <v>276</v>
      </c>
      <c r="O230" s="113">
        <f t="shared" si="8"/>
        <v>1343.0057</v>
      </c>
      <c r="P230" s="114">
        <f>VLOOKUP(N230,'Dados StatusInvest'!A:Z,26,0)</f>
        <v>6093710.08</v>
      </c>
      <c r="Q230" s="115">
        <f t="shared" si="9"/>
        <v>57.0057</v>
      </c>
      <c r="R230" s="116">
        <f t="shared" ref="R230:AO230" si="233">IF(AQ230="","", RANK(AQ230,AQ$7:AQ$503,0))</f>
        <v>67</v>
      </c>
      <c r="S230" s="115">
        <f t="shared" si="233"/>
        <v>219</v>
      </c>
      <c r="T230" s="115" t="str">
        <f t="shared" si="233"/>
        <v/>
      </c>
      <c r="U230" s="115" t="str">
        <f t="shared" si="233"/>
        <v/>
      </c>
      <c r="V230" s="115" t="str">
        <f t="shared" si="233"/>
        <v/>
      </c>
      <c r="W230" s="115" t="str">
        <f t="shared" si="233"/>
        <v/>
      </c>
      <c r="X230" s="115" t="str">
        <f t="shared" si="233"/>
        <v/>
      </c>
      <c r="Y230" s="115" t="str">
        <f t="shared" si="233"/>
        <v/>
      </c>
      <c r="Z230" s="115" t="str">
        <f t="shared" si="233"/>
        <v/>
      </c>
      <c r="AA230" s="115" t="str">
        <f t="shared" si="233"/>
        <v/>
      </c>
      <c r="AB230" s="115" t="str">
        <f t="shared" si="233"/>
        <v/>
      </c>
      <c r="AC230" s="115" t="str">
        <f t="shared" si="233"/>
        <v/>
      </c>
      <c r="AD230" s="115" t="str">
        <f t="shared" si="233"/>
        <v/>
      </c>
      <c r="AE230" s="115" t="str">
        <f t="shared" si="233"/>
        <v/>
      </c>
      <c r="AF230" s="115" t="str">
        <f t="shared" si="233"/>
        <v/>
      </c>
      <c r="AG230" s="115" t="str">
        <f t="shared" si="233"/>
        <v/>
      </c>
      <c r="AH230" s="115" t="str">
        <f t="shared" si="233"/>
        <v/>
      </c>
      <c r="AI230" s="115" t="str">
        <f t="shared" si="233"/>
        <v/>
      </c>
      <c r="AJ230" s="115" t="str">
        <f t="shared" si="233"/>
        <v/>
      </c>
      <c r="AK230" s="115" t="str">
        <f t="shared" si="233"/>
        <v/>
      </c>
      <c r="AL230" s="115" t="str">
        <f t="shared" si="233"/>
        <v/>
      </c>
      <c r="AM230" s="115" t="str">
        <f t="shared" si="233"/>
        <v/>
      </c>
      <c r="AN230" s="115" t="str">
        <f t="shared" si="233"/>
        <v/>
      </c>
      <c r="AO230" s="115" t="str">
        <f t="shared" si="233"/>
        <v/>
      </c>
      <c r="AP230" s="117">
        <f>IF(AP$6="","",IF(AP$3="Maior",IFERROR(IF(VLOOKUP($N230,Capa!$A:$AE,AP$5,0)="",0,VLOOKUP($N230,Capa!$A:$AE,AP$5,0)),0),IF(ISERROR(1/VLOOKUP($N230,Capa!$A:$AE,AP$5,0)),0,1/VLOOKUP($N230,Capa!$A:$AE,AP$5,0))))</f>
        <v>0.2352222465</v>
      </c>
      <c r="AQ230" s="118">
        <f>IF(AQ$6="","",IF(AQ$3="Maior",IFERROR(IF(VLOOKUP($N230,Capa!$A:$AE,AQ$5,0)="",0,VLOOKUP($N230,Capa!$A:$AE,AQ$5,0)),0),IF(ISERROR(1/VLOOKUP($N230,Capa!$A:$AE,AQ$5,0)),0,1/VLOOKUP($N230,Capa!$A:$AE,AQ$5,0))))</f>
        <v>22.85</v>
      </c>
      <c r="AR230" s="118">
        <f>IF(AR$6="","",IF(AR$3="Maior",IFERROR(IF(VLOOKUP($N230,Capa!$A:$AE,AR$5,0)="",0,VLOOKUP($N230,Capa!$A:$AE,AR$5,0)),0),IF(ISERROR(1/VLOOKUP($N230,Capa!$A:$AE,AR$5,0)),0,1/VLOOKUP($N230,Capa!$A:$AE,AR$5,0))))</f>
        <v>0</v>
      </c>
      <c r="AS230" s="118" t="str">
        <f>IF(AS$6="","",IF(AS$3="Maior",IFERROR(IF(VLOOKUP($N230,Capa!$A:$AE,AS$5,0)="",0,VLOOKUP($N230,Capa!$A:$AE,AS$5,0)),0),IF(ISERROR(1/VLOOKUP($N230,Capa!$A:$AE,AS$5,0)),0,1/VLOOKUP($N230,Capa!$A:$AE,AS$5,0))))</f>
        <v/>
      </c>
      <c r="AT230" s="118" t="str">
        <f>IF(AT$6="","",IF(AT$3="Maior",IFERROR(IF(VLOOKUP($N230,Capa!$A:$AE,AT$5,0)="",0,VLOOKUP($N230,Capa!$A:$AE,AT$5,0)),0),IF(ISERROR(1/VLOOKUP($N230,Capa!$A:$AE,AT$5,0)),0,1/VLOOKUP($N230,Capa!$A:$AE,AT$5,0))))</f>
        <v/>
      </c>
      <c r="AU230" s="118" t="str">
        <f>IF(AU$6="","",IF(AU$3="Maior",IFERROR(IF(VLOOKUP($N230,Capa!$A:$AE,AU$5,0)="",0,VLOOKUP($N230,Capa!$A:$AE,AU$5,0)),0),IF(ISERROR(1/VLOOKUP($N230,Capa!$A:$AE,AU$5,0)),0,1/VLOOKUP($N230,Capa!$A:$AE,AU$5,0))))</f>
        <v/>
      </c>
      <c r="AV230" s="118" t="str">
        <f>IF(AV$6="","",IF(AV$3="Maior",IFERROR(IF(VLOOKUP($N230,Capa!$A:$AE,AV$5,0)="",0,VLOOKUP($N230,Capa!$A:$AE,AV$5,0)),0),IF(ISERROR(1/VLOOKUP($N230,Capa!$A:$AE,AV$5,0)),0,1/VLOOKUP($N230,Capa!$A:$AE,AV$5,0))))</f>
        <v/>
      </c>
      <c r="AW230" s="118" t="str">
        <f>IF(AW$6="","",IF(AW$3="Maior",IFERROR(IF(VLOOKUP($N230,Capa!$A:$AE,AW$5,0)="",0,VLOOKUP($N230,Capa!$A:$AE,AW$5,0)),0),IF(ISERROR(1/VLOOKUP($N230,Capa!$A:$AE,AW$5,0)),0,1/VLOOKUP($N230,Capa!$A:$AE,AW$5,0))))</f>
        <v/>
      </c>
      <c r="AX230" s="118" t="str">
        <f>IF(AX$6="","",IF(AX$3="Maior",IFERROR(IF(VLOOKUP($N230,Capa!$A:$AE,AX$5,0)="",0,VLOOKUP($N230,Capa!$A:$AE,AX$5,0)),0),IF(ISERROR(1/VLOOKUP($N230,Capa!$A:$AE,AX$5,0)),0,1/VLOOKUP($N230,Capa!$A:$AE,AX$5,0))))</f>
        <v/>
      </c>
      <c r="AY230" s="118" t="str">
        <f>IF(AY$6="","",IF(AY$3="Maior",IFERROR(IF(VLOOKUP($N230,Capa!$A:$AE,AY$5,0)="",0,VLOOKUP($N230,Capa!$A:$AE,AY$5,0)),0),IF(ISERROR(1/VLOOKUP($N230,Capa!$A:$AE,AY$5,0)),0,1/VLOOKUP($N230,Capa!$A:$AE,AY$5,0))))</f>
        <v/>
      </c>
      <c r="AZ230" s="118" t="str">
        <f>IF(AZ$6="","",IF(AZ$3="Maior",IFERROR(IF(VLOOKUP($N230,Capa!$A:$AE,AZ$5,0)="",0,VLOOKUP($N230,Capa!$A:$AE,AZ$5,0)),0),IF(ISERROR(1/VLOOKUP($N230,Capa!$A:$AE,AZ$5,0)),0,1/VLOOKUP($N230,Capa!$A:$AE,AZ$5,0))))</f>
        <v/>
      </c>
      <c r="BA230" s="118" t="str">
        <f>IF(BA$6="","",IF(BA$3="Maior",IFERROR(IF(VLOOKUP($N230,Capa!$A:$AE,BA$5,0)="",0,VLOOKUP($N230,Capa!$A:$AE,BA$5,0)),0),IF(ISERROR(1/VLOOKUP($N230,Capa!$A:$AE,BA$5,0)),0,1/VLOOKUP($N230,Capa!$A:$AE,BA$5,0))))</f>
        <v/>
      </c>
      <c r="BB230" s="118" t="str">
        <f>IF(BB$6="","",IF(BB$3="Maior",IFERROR(IF(VLOOKUP($N230,Capa!$A:$AE,BB$5,0)="",0,VLOOKUP($N230,Capa!$A:$AE,BB$5,0)),0),IF(ISERROR(1/VLOOKUP($N230,Capa!$A:$AE,BB$5,0)),0,1/VLOOKUP($N230,Capa!$A:$AE,BB$5,0))))</f>
        <v/>
      </c>
      <c r="BC230" s="118" t="str">
        <f>IF(BC$6="","",IF(BC$3="Maior",IFERROR(IF(VLOOKUP($N230,Capa!$A:$AE,BC$5,0)="",0,VLOOKUP($N230,Capa!$A:$AE,BC$5,0)),0),IF(ISERROR(1/VLOOKUP($N230,Capa!$A:$AE,BC$5,0)),0,1/VLOOKUP($N230,Capa!$A:$AE,BC$5,0))))</f>
        <v/>
      </c>
      <c r="BD230" s="118" t="str">
        <f>IF(BD$6="","",IF(BD$3="Maior",IFERROR(IF(VLOOKUP($N230,Capa!$A:$AE,BD$5,0)="",0,VLOOKUP($N230,Capa!$A:$AE,BD$5,0)),0),IF(ISERROR(1/VLOOKUP($N230,Capa!$A:$AE,BD$5,0)),0,1/VLOOKUP($N230,Capa!$A:$AE,BD$5,0))))</f>
        <v/>
      </c>
      <c r="BE230" s="118" t="str">
        <f>IF(BE$6="","",IF(BE$3="Maior",IFERROR(IF(VLOOKUP($N230,Capa!$A:$AE,BE$5,0)="",0,VLOOKUP($N230,Capa!$A:$AE,BE$5,0)),0),IF(ISERROR(1/VLOOKUP($N230,Capa!$A:$AE,BE$5,0)),0,1/VLOOKUP($N230,Capa!$A:$AE,BE$5,0))))</f>
        <v/>
      </c>
      <c r="BF230" s="118" t="str">
        <f>IF(BF$6="","",IF(BF$3="Maior",IFERROR(IF(VLOOKUP($N230,Capa!$A:$AE,BF$5,0)="",0,VLOOKUP($N230,Capa!$A:$AE,BF$5,0)),0),IF(ISERROR(1/VLOOKUP($N230,Capa!$A:$AE,BF$5,0)),0,1/VLOOKUP($N230,Capa!$A:$AE,BF$5,0))))</f>
        <v/>
      </c>
      <c r="BG230" s="118" t="str">
        <f>IF(BG$6="","",IF(BG$3="Maior",IFERROR(IF(VLOOKUP($N230,Capa!$A:$AE,BG$5,0)="",0,VLOOKUP($N230,Capa!$A:$AE,BG$5,0)),0),IF(ISERROR(1/VLOOKUP($N230,Capa!$A:$AE,BG$5,0)),0,1/VLOOKUP($N230,Capa!$A:$AE,BG$5,0))))</f>
        <v/>
      </c>
      <c r="BH230" s="118" t="str">
        <f>IF(BH$6="","",IF(BH$3="Maior",IFERROR(IF(VLOOKUP($N230,Capa!$A:$AE,BH$5,0)="",0,VLOOKUP($N230,Capa!$A:$AE,BH$5,0)),0),IF(ISERROR(1/VLOOKUP($N230,Capa!$A:$AE,BH$5,0)),0,1/VLOOKUP($N230,Capa!$A:$AE,BH$5,0))))</f>
        <v/>
      </c>
      <c r="BI230" s="118" t="str">
        <f>IF(BI$6="","",IF(BI$3="Maior",IFERROR(IF(VLOOKUP($N230,Capa!$A:$AE,BI$5,0)="",0,VLOOKUP($N230,Capa!$A:$AE,BI$5,0)),0),IF(ISERROR(1/VLOOKUP($N230,Capa!$A:$AE,BI$5,0)),0,1/VLOOKUP($N230,Capa!$A:$AE,BI$5,0))))</f>
        <v/>
      </c>
      <c r="BJ230" s="118" t="str">
        <f>IF(BJ$6="","",IF(BJ$3="Maior",IFERROR(IF(VLOOKUP($N230,Capa!$A:$AE,BJ$5,0)="",0,VLOOKUP($N230,Capa!$A:$AE,BJ$5,0)),0),IF(ISERROR(1/VLOOKUP($N230,Capa!$A:$AE,BJ$5,0)),0,1/VLOOKUP($N230,Capa!$A:$AE,BJ$5,0))))</f>
        <v/>
      </c>
      <c r="BK230" s="118" t="str">
        <f>IF(BK$6="","",IF(BK$3="Maior",IFERROR(IF(VLOOKUP($N230,Capa!$A:$AE,BK$5,0)="",0,VLOOKUP($N230,Capa!$A:$AE,BK$5,0)),0),IF(ISERROR(1/VLOOKUP($N230,Capa!$A:$AE,BK$5,0)),0,1/VLOOKUP($N230,Capa!$A:$AE,BK$5,0))))</f>
        <v/>
      </c>
      <c r="BL230" s="118" t="str">
        <f>IF(BL$6="","",IF(BL$3="Maior",IFERROR(IF(VLOOKUP($N230,Capa!$A:$AE,BL$5,0)="",0,VLOOKUP($N230,Capa!$A:$AE,BL$5,0)),0),IF(ISERROR(1/VLOOKUP($N230,Capa!$A:$AE,BL$5,0)),0,1/VLOOKUP($N230,Capa!$A:$AE,BL$5,0))))</f>
        <v/>
      </c>
      <c r="BM230" s="118" t="str">
        <f>IF(BM$6="","",IF(BM$3="Maior",IFERROR(IF(VLOOKUP($N230,Capa!$A:$AE,BM$5,0)="",0,VLOOKUP($N230,Capa!$A:$AE,BM$5,0)),0),IF(ISERROR(1/VLOOKUP($N230,Capa!$A:$AE,BM$5,0)),0,1/VLOOKUP($N230,Capa!$A:$AE,BM$5,0))))</f>
        <v/>
      </c>
      <c r="BN230" s="118" t="str">
        <f>IF(BN$6="","",IF(BN$3="Maior",IFERROR(IF(VLOOKUP($N230,Capa!$A:$AE,BN$5,0)="",0,VLOOKUP($N230,Capa!$A:$AE,BN$5,0)),0),IF(ISERROR(1/VLOOKUP($N230,Capa!$A:$AE,BN$5,0)),0,1/VLOOKUP($N230,Capa!$A:$AE,BN$5,0))))</f>
        <v/>
      </c>
      <c r="BO230" s="92"/>
    </row>
    <row r="231">
      <c r="G231" s="11"/>
      <c r="H231" s="11"/>
      <c r="I231" s="8"/>
      <c r="J231" s="132"/>
      <c r="K231" s="11"/>
      <c r="L231" s="11"/>
      <c r="M231" s="11"/>
      <c r="N231" s="10" t="s">
        <v>277</v>
      </c>
      <c r="O231" s="113">
        <f t="shared" si="8"/>
        <v>2000.0407</v>
      </c>
      <c r="P231" s="114">
        <f>VLOOKUP(N231,'Dados StatusInvest'!A:Z,26,0)</f>
        <v>6294058.38</v>
      </c>
      <c r="Q231" s="115">
        <f t="shared" si="9"/>
        <v>407.0407</v>
      </c>
      <c r="R231" s="116">
        <f t="shared" ref="R231:AO231" si="234">IF(AQ231="","", RANK(AQ231,AQ$7:AQ$503,0))</f>
        <v>374</v>
      </c>
      <c r="S231" s="115">
        <f t="shared" si="234"/>
        <v>219</v>
      </c>
      <c r="T231" s="115" t="str">
        <f t="shared" si="234"/>
        <v/>
      </c>
      <c r="U231" s="115" t="str">
        <f t="shared" si="234"/>
        <v/>
      </c>
      <c r="V231" s="115" t="str">
        <f t="shared" si="234"/>
        <v/>
      </c>
      <c r="W231" s="115" t="str">
        <f t="shared" si="234"/>
        <v/>
      </c>
      <c r="X231" s="115" t="str">
        <f t="shared" si="234"/>
        <v/>
      </c>
      <c r="Y231" s="115" t="str">
        <f t="shared" si="234"/>
        <v/>
      </c>
      <c r="Z231" s="115" t="str">
        <f t="shared" si="234"/>
        <v/>
      </c>
      <c r="AA231" s="115" t="str">
        <f t="shared" si="234"/>
        <v/>
      </c>
      <c r="AB231" s="115" t="str">
        <f t="shared" si="234"/>
        <v/>
      </c>
      <c r="AC231" s="115" t="str">
        <f t="shared" si="234"/>
        <v/>
      </c>
      <c r="AD231" s="115" t="str">
        <f t="shared" si="234"/>
        <v/>
      </c>
      <c r="AE231" s="115" t="str">
        <f t="shared" si="234"/>
        <v/>
      </c>
      <c r="AF231" s="115" t="str">
        <f t="shared" si="234"/>
        <v/>
      </c>
      <c r="AG231" s="115" t="str">
        <f t="shared" si="234"/>
        <v/>
      </c>
      <c r="AH231" s="115" t="str">
        <f t="shared" si="234"/>
        <v/>
      </c>
      <c r="AI231" s="115" t="str">
        <f t="shared" si="234"/>
        <v/>
      </c>
      <c r="AJ231" s="115" t="str">
        <f t="shared" si="234"/>
        <v/>
      </c>
      <c r="AK231" s="115" t="str">
        <f t="shared" si="234"/>
        <v/>
      </c>
      <c r="AL231" s="115" t="str">
        <f t="shared" si="234"/>
        <v/>
      </c>
      <c r="AM231" s="115" t="str">
        <f t="shared" si="234"/>
        <v/>
      </c>
      <c r="AN231" s="115" t="str">
        <f t="shared" si="234"/>
        <v/>
      </c>
      <c r="AO231" s="115" t="str">
        <f t="shared" si="234"/>
        <v/>
      </c>
      <c r="AP231" s="117">
        <f>IF(AP$6="","",IF(AP$3="Maior",IFERROR(IF(VLOOKUP($N231,Capa!$A:$AE,AP$5,0)="",0,VLOOKUP($N231,Capa!$A:$AE,AP$5,0)),0),IF(ISERROR(1/VLOOKUP($N231,Capa!$A:$AE,AP$5,0)),0,1/VLOOKUP($N231,Capa!$A:$AE,AP$5,0))))</f>
        <v>-0.00138971886</v>
      </c>
      <c r="AQ231" s="118">
        <f>IF(AQ$6="","",IF(AQ$3="Maior",IFERROR(IF(VLOOKUP($N231,Capa!$A:$AE,AQ$5,0)="",0,VLOOKUP($N231,Capa!$A:$AE,AQ$5,0)),0),IF(ISERROR(1/VLOOKUP($N231,Capa!$A:$AE,AQ$5,0)),0,1/VLOOKUP($N231,Capa!$A:$AE,AQ$5,0))))</f>
        <v>0.28</v>
      </c>
      <c r="AR231" s="118">
        <f>IF(AR$6="","",IF(AR$3="Maior",IFERROR(IF(VLOOKUP($N231,Capa!$A:$AE,AR$5,0)="",0,VLOOKUP($N231,Capa!$A:$AE,AR$5,0)),0),IF(ISERROR(1/VLOOKUP($N231,Capa!$A:$AE,AR$5,0)),0,1/VLOOKUP($N231,Capa!$A:$AE,AR$5,0))))</f>
        <v>0</v>
      </c>
      <c r="AS231" s="118" t="str">
        <f>IF(AS$6="","",IF(AS$3="Maior",IFERROR(IF(VLOOKUP($N231,Capa!$A:$AE,AS$5,0)="",0,VLOOKUP($N231,Capa!$A:$AE,AS$5,0)),0),IF(ISERROR(1/VLOOKUP($N231,Capa!$A:$AE,AS$5,0)),0,1/VLOOKUP($N231,Capa!$A:$AE,AS$5,0))))</f>
        <v/>
      </c>
      <c r="AT231" s="118" t="str">
        <f>IF(AT$6="","",IF(AT$3="Maior",IFERROR(IF(VLOOKUP($N231,Capa!$A:$AE,AT$5,0)="",0,VLOOKUP($N231,Capa!$A:$AE,AT$5,0)),0),IF(ISERROR(1/VLOOKUP($N231,Capa!$A:$AE,AT$5,0)),0,1/VLOOKUP($N231,Capa!$A:$AE,AT$5,0))))</f>
        <v/>
      </c>
      <c r="AU231" s="118" t="str">
        <f>IF(AU$6="","",IF(AU$3="Maior",IFERROR(IF(VLOOKUP($N231,Capa!$A:$AE,AU$5,0)="",0,VLOOKUP($N231,Capa!$A:$AE,AU$5,0)),0),IF(ISERROR(1/VLOOKUP($N231,Capa!$A:$AE,AU$5,0)),0,1/VLOOKUP($N231,Capa!$A:$AE,AU$5,0))))</f>
        <v/>
      </c>
      <c r="AV231" s="118" t="str">
        <f>IF(AV$6="","",IF(AV$3="Maior",IFERROR(IF(VLOOKUP($N231,Capa!$A:$AE,AV$5,0)="",0,VLOOKUP($N231,Capa!$A:$AE,AV$5,0)),0),IF(ISERROR(1/VLOOKUP($N231,Capa!$A:$AE,AV$5,0)),0,1/VLOOKUP($N231,Capa!$A:$AE,AV$5,0))))</f>
        <v/>
      </c>
      <c r="AW231" s="118" t="str">
        <f>IF(AW$6="","",IF(AW$3="Maior",IFERROR(IF(VLOOKUP($N231,Capa!$A:$AE,AW$5,0)="",0,VLOOKUP($N231,Capa!$A:$AE,AW$5,0)),0),IF(ISERROR(1/VLOOKUP($N231,Capa!$A:$AE,AW$5,0)),0,1/VLOOKUP($N231,Capa!$A:$AE,AW$5,0))))</f>
        <v/>
      </c>
      <c r="AX231" s="118" t="str">
        <f>IF(AX$6="","",IF(AX$3="Maior",IFERROR(IF(VLOOKUP($N231,Capa!$A:$AE,AX$5,0)="",0,VLOOKUP($N231,Capa!$A:$AE,AX$5,0)),0),IF(ISERROR(1/VLOOKUP($N231,Capa!$A:$AE,AX$5,0)),0,1/VLOOKUP($N231,Capa!$A:$AE,AX$5,0))))</f>
        <v/>
      </c>
      <c r="AY231" s="118" t="str">
        <f>IF(AY$6="","",IF(AY$3="Maior",IFERROR(IF(VLOOKUP($N231,Capa!$A:$AE,AY$5,0)="",0,VLOOKUP($N231,Capa!$A:$AE,AY$5,0)),0),IF(ISERROR(1/VLOOKUP($N231,Capa!$A:$AE,AY$5,0)),0,1/VLOOKUP($N231,Capa!$A:$AE,AY$5,0))))</f>
        <v/>
      </c>
      <c r="AZ231" s="118" t="str">
        <f>IF(AZ$6="","",IF(AZ$3="Maior",IFERROR(IF(VLOOKUP($N231,Capa!$A:$AE,AZ$5,0)="",0,VLOOKUP($N231,Capa!$A:$AE,AZ$5,0)),0),IF(ISERROR(1/VLOOKUP($N231,Capa!$A:$AE,AZ$5,0)),0,1/VLOOKUP($N231,Capa!$A:$AE,AZ$5,0))))</f>
        <v/>
      </c>
      <c r="BA231" s="118" t="str">
        <f>IF(BA$6="","",IF(BA$3="Maior",IFERROR(IF(VLOOKUP($N231,Capa!$A:$AE,BA$5,0)="",0,VLOOKUP($N231,Capa!$A:$AE,BA$5,0)),0),IF(ISERROR(1/VLOOKUP($N231,Capa!$A:$AE,BA$5,0)),0,1/VLOOKUP($N231,Capa!$A:$AE,BA$5,0))))</f>
        <v/>
      </c>
      <c r="BB231" s="118" t="str">
        <f>IF(BB$6="","",IF(BB$3="Maior",IFERROR(IF(VLOOKUP($N231,Capa!$A:$AE,BB$5,0)="",0,VLOOKUP($N231,Capa!$A:$AE,BB$5,0)),0),IF(ISERROR(1/VLOOKUP($N231,Capa!$A:$AE,BB$5,0)),0,1/VLOOKUP($N231,Capa!$A:$AE,BB$5,0))))</f>
        <v/>
      </c>
      <c r="BC231" s="118" t="str">
        <f>IF(BC$6="","",IF(BC$3="Maior",IFERROR(IF(VLOOKUP($N231,Capa!$A:$AE,BC$5,0)="",0,VLOOKUP($N231,Capa!$A:$AE,BC$5,0)),0),IF(ISERROR(1/VLOOKUP($N231,Capa!$A:$AE,BC$5,0)),0,1/VLOOKUP($N231,Capa!$A:$AE,BC$5,0))))</f>
        <v/>
      </c>
      <c r="BD231" s="118" t="str">
        <f>IF(BD$6="","",IF(BD$3="Maior",IFERROR(IF(VLOOKUP($N231,Capa!$A:$AE,BD$5,0)="",0,VLOOKUP($N231,Capa!$A:$AE,BD$5,0)),0),IF(ISERROR(1/VLOOKUP($N231,Capa!$A:$AE,BD$5,0)),0,1/VLOOKUP($N231,Capa!$A:$AE,BD$5,0))))</f>
        <v/>
      </c>
      <c r="BE231" s="118" t="str">
        <f>IF(BE$6="","",IF(BE$3="Maior",IFERROR(IF(VLOOKUP($N231,Capa!$A:$AE,BE$5,0)="",0,VLOOKUP($N231,Capa!$A:$AE,BE$5,0)),0),IF(ISERROR(1/VLOOKUP($N231,Capa!$A:$AE,BE$5,0)),0,1/VLOOKUP($N231,Capa!$A:$AE,BE$5,0))))</f>
        <v/>
      </c>
      <c r="BF231" s="118" t="str">
        <f>IF(BF$6="","",IF(BF$3="Maior",IFERROR(IF(VLOOKUP($N231,Capa!$A:$AE,BF$5,0)="",0,VLOOKUP($N231,Capa!$A:$AE,BF$5,0)),0),IF(ISERROR(1/VLOOKUP($N231,Capa!$A:$AE,BF$5,0)),0,1/VLOOKUP($N231,Capa!$A:$AE,BF$5,0))))</f>
        <v/>
      </c>
      <c r="BG231" s="118" t="str">
        <f>IF(BG$6="","",IF(BG$3="Maior",IFERROR(IF(VLOOKUP($N231,Capa!$A:$AE,BG$5,0)="",0,VLOOKUP($N231,Capa!$A:$AE,BG$5,0)),0),IF(ISERROR(1/VLOOKUP($N231,Capa!$A:$AE,BG$5,0)),0,1/VLOOKUP($N231,Capa!$A:$AE,BG$5,0))))</f>
        <v/>
      </c>
      <c r="BH231" s="118" t="str">
        <f>IF(BH$6="","",IF(BH$3="Maior",IFERROR(IF(VLOOKUP($N231,Capa!$A:$AE,BH$5,0)="",0,VLOOKUP($N231,Capa!$A:$AE,BH$5,0)),0),IF(ISERROR(1/VLOOKUP($N231,Capa!$A:$AE,BH$5,0)),0,1/VLOOKUP($N231,Capa!$A:$AE,BH$5,0))))</f>
        <v/>
      </c>
      <c r="BI231" s="118" t="str">
        <f>IF(BI$6="","",IF(BI$3="Maior",IFERROR(IF(VLOOKUP($N231,Capa!$A:$AE,BI$5,0)="",0,VLOOKUP($N231,Capa!$A:$AE,BI$5,0)),0),IF(ISERROR(1/VLOOKUP($N231,Capa!$A:$AE,BI$5,0)),0,1/VLOOKUP($N231,Capa!$A:$AE,BI$5,0))))</f>
        <v/>
      </c>
      <c r="BJ231" s="118" t="str">
        <f>IF(BJ$6="","",IF(BJ$3="Maior",IFERROR(IF(VLOOKUP($N231,Capa!$A:$AE,BJ$5,0)="",0,VLOOKUP($N231,Capa!$A:$AE,BJ$5,0)),0),IF(ISERROR(1/VLOOKUP($N231,Capa!$A:$AE,BJ$5,0)),0,1/VLOOKUP($N231,Capa!$A:$AE,BJ$5,0))))</f>
        <v/>
      </c>
      <c r="BK231" s="118" t="str">
        <f>IF(BK$6="","",IF(BK$3="Maior",IFERROR(IF(VLOOKUP($N231,Capa!$A:$AE,BK$5,0)="",0,VLOOKUP($N231,Capa!$A:$AE,BK$5,0)),0),IF(ISERROR(1/VLOOKUP($N231,Capa!$A:$AE,BK$5,0)),0,1/VLOOKUP($N231,Capa!$A:$AE,BK$5,0))))</f>
        <v/>
      </c>
      <c r="BL231" s="118" t="str">
        <f>IF(BL$6="","",IF(BL$3="Maior",IFERROR(IF(VLOOKUP($N231,Capa!$A:$AE,BL$5,0)="",0,VLOOKUP($N231,Capa!$A:$AE,BL$5,0)),0),IF(ISERROR(1/VLOOKUP($N231,Capa!$A:$AE,BL$5,0)),0,1/VLOOKUP($N231,Capa!$A:$AE,BL$5,0))))</f>
        <v/>
      </c>
      <c r="BM231" s="118" t="str">
        <f>IF(BM$6="","",IF(BM$3="Maior",IFERROR(IF(VLOOKUP($N231,Capa!$A:$AE,BM$5,0)="",0,VLOOKUP($N231,Capa!$A:$AE,BM$5,0)),0),IF(ISERROR(1/VLOOKUP($N231,Capa!$A:$AE,BM$5,0)),0,1/VLOOKUP($N231,Capa!$A:$AE,BM$5,0))))</f>
        <v/>
      </c>
      <c r="BN231" s="118" t="str">
        <f>IF(BN$6="","",IF(BN$3="Maior",IFERROR(IF(VLOOKUP($N231,Capa!$A:$AE,BN$5,0)="",0,VLOOKUP($N231,Capa!$A:$AE,BN$5,0)),0),IF(ISERROR(1/VLOOKUP($N231,Capa!$A:$AE,BN$5,0)),0,1/VLOOKUP($N231,Capa!$A:$AE,BN$5,0))))</f>
        <v/>
      </c>
      <c r="BO231" s="92"/>
    </row>
    <row r="232">
      <c r="G232" s="11"/>
      <c r="H232" s="11"/>
      <c r="I232" s="8"/>
      <c r="J232" s="132"/>
      <c r="K232" s="11"/>
      <c r="L232" s="11"/>
      <c r="M232" s="11"/>
      <c r="N232" s="10" t="s">
        <v>278</v>
      </c>
      <c r="O232" s="113">
        <f t="shared" si="8"/>
        <v>1713.0162</v>
      </c>
      <c r="P232" s="114">
        <f>VLOOKUP(N232,'Dados StatusInvest'!A:Z,26,0)</f>
        <v>4188756.88</v>
      </c>
      <c r="Q232" s="115">
        <f t="shared" si="9"/>
        <v>162.0162</v>
      </c>
      <c r="R232" s="116">
        <f t="shared" ref="R232:AO232" si="235">IF(AQ232="","", RANK(AQ232,AQ$7:AQ$503,0))</f>
        <v>375</v>
      </c>
      <c r="S232" s="115">
        <f t="shared" si="235"/>
        <v>176</v>
      </c>
      <c r="T232" s="115" t="str">
        <f t="shared" si="235"/>
        <v/>
      </c>
      <c r="U232" s="115" t="str">
        <f t="shared" si="235"/>
        <v/>
      </c>
      <c r="V232" s="115" t="str">
        <f t="shared" si="235"/>
        <v/>
      </c>
      <c r="W232" s="115" t="str">
        <f t="shared" si="235"/>
        <v/>
      </c>
      <c r="X232" s="115" t="str">
        <f t="shared" si="235"/>
        <v/>
      </c>
      <c r="Y232" s="115" t="str">
        <f t="shared" si="235"/>
        <v/>
      </c>
      <c r="Z232" s="115" t="str">
        <f t="shared" si="235"/>
        <v/>
      </c>
      <c r="AA232" s="115" t="str">
        <f t="shared" si="235"/>
        <v/>
      </c>
      <c r="AB232" s="115" t="str">
        <f t="shared" si="235"/>
        <v/>
      </c>
      <c r="AC232" s="115" t="str">
        <f t="shared" si="235"/>
        <v/>
      </c>
      <c r="AD232" s="115" t="str">
        <f t="shared" si="235"/>
        <v/>
      </c>
      <c r="AE232" s="115" t="str">
        <f t="shared" si="235"/>
        <v/>
      </c>
      <c r="AF232" s="115" t="str">
        <f t="shared" si="235"/>
        <v/>
      </c>
      <c r="AG232" s="115" t="str">
        <f t="shared" si="235"/>
        <v/>
      </c>
      <c r="AH232" s="115" t="str">
        <f t="shared" si="235"/>
        <v/>
      </c>
      <c r="AI232" s="115" t="str">
        <f t="shared" si="235"/>
        <v/>
      </c>
      <c r="AJ232" s="115" t="str">
        <f t="shared" si="235"/>
        <v/>
      </c>
      <c r="AK232" s="115" t="str">
        <f t="shared" si="235"/>
        <v/>
      </c>
      <c r="AL232" s="115" t="str">
        <f t="shared" si="235"/>
        <v/>
      </c>
      <c r="AM232" s="115" t="str">
        <f t="shared" si="235"/>
        <v/>
      </c>
      <c r="AN232" s="115" t="str">
        <f t="shared" si="235"/>
        <v/>
      </c>
      <c r="AO232" s="115" t="str">
        <f t="shared" si="235"/>
        <v/>
      </c>
      <c r="AP232" s="117">
        <f>IF(AP$6="","",IF(AP$3="Maior",IFERROR(IF(VLOOKUP($N232,Capa!$A:$AE,AP$5,0)="",0,VLOOKUP($N232,Capa!$A:$AE,AP$5,0)),0),IF(ISERROR(1/VLOOKUP($N232,Capa!$A:$AE,AP$5,0)),0,1/VLOOKUP($N232,Capa!$A:$AE,AP$5,0))))</f>
        <v>0.1264920001</v>
      </c>
      <c r="AQ232" s="118">
        <f>IF(AQ$6="","",IF(AQ$3="Maior",IFERROR(IF(VLOOKUP($N232,Capa!$A:$AE,AQ$5,0)="",0,VLOOKUP($N232,Capa!$A:$AE,AQ$5,0)),0),IF(ISERROR(1/VLOOKUP($N232,Capa!$A:$AE,AQ$5,0)),0,1/VLOOKUP($N232,Capa!$A:$AE,AQ$5,0))))</f>
        <v>0</v>
      </c>
      <c r="AR232" s="118">
        <f>IF(AR$6="","",IF(AR$3="Maior",IFERROR(IF(VLOOKUP($N232,Capa!$A:$AE,AR$5,0)="",0,VLOOKUP($N232,Capa!$A:$AE,AR$5,0)),0),IF(ISERROR(1/VLOOKUP($N232,Capa!$A:$AE,AR$5,0)),0,1/VLOOKUP($N232,Capa!$A:$AE,AR$5,0))))</f>
        <v>8.66</v>
      </c>
      <c r="AS232" s="118" t="str">
        <f>IF(AS$6="","",IF(AS$3="Maior",IFERROR(IF(VLOOKUP($N232,Capa!$A:$AE,AS$5,0)="",0,VLOOKUP($N232,Capa!$A:$AE,AS$5,0)),0),IF(ISERROR(1/VLOOKUP($N232,Capa!$A:$AE,AS$5,0)),0,1/VLOOKUP($N232,Capa!$A:$AE,AS$5,0))))</f>
        <v/>
      </c>
      <c r="AT232" s="118" t="str">
        <f>IF(AT$6="","",IF(AT$3="Maior",IFERROR(IF(VLOOKUP($N232,Capa!$A:$AE,AT$5,0)="",0,VLOOKUP($N232,Capa!$A:$AE,AT$5,0)),0),IF(ISERROR(1/VLOOKUP($N232,Capa!$A:$AE,AT$5,0)),0,1/VLOOKUP($N232,Capa!$A:$AE,AT$5,0))))</f>
        <v/>
      </c>
      <c r="AU232" s="118" t="str">
        <f>IF(AU$6="","",IF(AU$3="Maior",IFERROR(IF(VLOOKUP($N232,Capa!$A:$AE,AU$5,0)="",0,VLOOKUP($N232,Capa!$A:$AE,AU$5,0)),0),IF(ISERROR(1/VLOOKUP($N232,Capa!$A:$AE,AU$5,0)),0,1/VLOOKUP($N232,Capa!$A:$AE,AU$5,0))))</f>
        <v/>
      </c>
      <c r="AV232" s="118" t="str">
        <f>IF(AV$6="","",IF(AV$3="Maior",IFERROR(IF(VLOOKUP($N232,Capa!$A:$AE,AV$5,0)="",0,VLOOKUP($N232,Capa!$A:$AE,AV$5,0)),0),IF(ISERROR(1/VLOOKUP($N232,Capa!$A:$AE,AV$5,0)),0,1/VLOOKUP($N232,Capa!$A:$AE,AV$5,0))))</f>
        <v/>
      </c>
      <c r="AW232" s="118" t="str">
        <f>IF(AW$6="","",IF(AW$3="Maior",IFERROR(IF(VLOOKUP($N232,Capa!$A:$AE,AW$5,0)="",0,VLOOKUP($N232,Capa!$A:$AE,AW$5,0)),0),IF(ISERROR(1/VLOOKUP($N232,Capa!$A:$AE,AW$5,0)),0,1/VLOOKUP($N232,Capa!$A:$AE,AW$5,0))))</f>
        <v/>
      </c>
      <c r="AX232" s="118" t="str">
        <f>IF(AX$6="","",IF(AX$3="Maior",IFERROR(IF(VLOOKUP($N232,Capa!$A:$AE,AX$5,0)="",0,VLOOKUP($N232,Capa!$A:$AE,AX$5,0)),0),IF(ISERROR(1/VLOOKUP($N232,Capa!$A:$AE,AX$5,0)),0,1/VLOOKUP($N232,Capa!$A:$AE,AX$5,0))))</f>
        <v/>
      </c>
      <c r="AY232" s="118" t="str">
        <f>IF(AY$6="","",IF(AY$3="Maior",IFERROR(IF(VLOOKUP($N232,Capa!$A:$AE,AY$5,0)="",0,VLOOKUP($N232,Capa!$A:$AE,AY$5,0)),0),IF(ISERROR(1/VLOOKUP($N232,Capa!$A:$AE,AY$5,0)),0,1/VLOOKUP($N232,Capa!$A:$AE,AY$5,0))))</f>
        <v/>
      </c>
      <c r="AZ232" s="118" t="str">
        <f>IF(AZ$6="","",IF(AZ$3="Maior",IFERROR(IF(VLOOKUP($N232,Capa!$A:$AE,AZ$5,0)="",0,VLOOKUP($N232,Capa!$A:$AE,AZ$5,0)),0),IF(ISERROR(1/VLOOKUP($N232,Capa!$A:$AE,AZ$5,0)),0,1/VLOOKUP($N232,Capa!$A:$AE,AZ$5,0))))</f>
        <v/>
      </c>
      <c r="BA232" s="118" t="str">
        <f>IF(BA$6="","",IF(BA$3="Maior",IFERROR(IF(VLOOKUP($N232,Capa!$A:$AE,BA$5,0)="",0,VLOOKUP($N232,Capa!$A:$AE,BA$5,0)),0),IF(ISERROR(1/VLOOKUP($N232,Capa!$A:$AE,BA$5,0)),0,1/VLOOKUP($N232,Capa!$A:$AE,BA$5,0))))</f>
        <v/>
      </c>
      <c r="BB232" s="118" t="str">
        <f>IF(BB$6="","",IF(BB$3="Maior",IFERROR(IF(VLOOKUP($N232,Capa!$A:$AE,BB$5,0)="",0,VLOOKUP($N232,Capa!$A:$AE,BB$5,0)),0),IF(ISERROR(1/VLOOKUP($N232,Capa!$A:$AE,BB$5,0)),0,1/VLOOKUP($N232,Capa!$A:$AE,BB$5,0))))</f>
        <v/>
      </c>
      <c r="BC232" s="118" t="str">
        <f>IF(BC$6="","",IF(BC$3="Maior",IFERROR(IF(VLOOKUP($N232,Capa!$A:$AE,BC$5,0)="",0,VLOOKUP($N232,Capa!$A:$AE,BC$5,0)),0),IF(ISERROR(1/VLOOKUP($N232,Capa!$A:$AE,BC$5,0)),0,1/VLOOKUP($N232,Capa!$A:$AE,BC$5,0))))</f>
        <v/>
      </c>
      <c r="BD232" s="118" t="str">
        <f>IF(BD$6="","",IF(BD$3="Maior",IFERROR(IF(VLOOKUP($N232,Capa!$A:$AE,BD$5,0)="",0,VLOOKUP($N232,Capa!$A:$AE,BD$5,0)),0),IF(ISERROR(1/VLOOKUP($N232,Capa!$A:$AE,BD$5,0)),0,1/VLOOKUP($N232,Capa!$A:$AE,BD$5,0))))</f>
        <v/>
      </c>
      <c r="BE232" s="118" t="str">
        <f>IF(BE$6="","",IF(BE$3="Maior",IFERROR(IF(VLOOKUP($N232,Capa!$A:$AE,BE$5,0)="",0,VLOOKUP($N232,Capa!$A:$AE,BE$5,0)),0),IF(ISERROR(1/VLOOKUP($N232,Capa!$A:$AE,BE$5,0)),0,1/VLOOKUP($N232,Capa!$A:$AE,BE$5,0))))</f>
        <v/>
      </c>
      <c r="BF232" s="118" t="str">
        <f>IF(BF$6="","",IF(BF$3="Maior",IFERROR(IF(VLOOKUP($N232,Capa!$A:$AE,BF$5,0)="",0,VLOOKUP($N232,Capa!$A:$AE,BF$5,0)),0),IF(ISERROR(1/VLOOKUP($N232,Capa!$A:$AE,BF$5,0)),0,1/VLOOKUP($N232,Capa!$A:$AE,BF$5,0))))</f>
        <v/>
      </c>
      <c r="BG232" s="118" t="str">
        <f>IF(BG$6="","",IF(BG$3="Maior",IFERROR(IF(VLOOKUP($N232,Capa!$A:$AE,BG$5,0)="",0,VLOOKUP($N232,Capa!$A:$AE,BG$5,0)),0),IF(ISERROR(1/VLOOKUP($N232,Capa!$A:$AE,BG$5,0)),0,1/VLOOKUP($N232,Capa!$A:$AE,BG$5,0))))</f>
        <v/>
      </c>
      <c r="BH232" s="118" t="str">
        <f>IF(BH$6="","",IF(BH$3="Maior",IFERROR(IF(VLOOKUP($N232,Capa!$A:$AE,BH$5,0)="",0,VLOOKUP($N232,Capa!$A:$AE,BH$5,0)),0),IF(ISERROR(1/VLOOKUP($N232,Capa!$A:$AE,BH$5,0)),0,1/VLOOKUP($N232,Capa!$A:$AE,BH$5,0))))</f>
        <v/>
      </c>
      <c r="BI232" s="118" t="str">
        <f>IF(BI$6="","",IF(BI$3="Maior",IFERROR(IF(VLOOKUP($N232,Capa!$A:$AE,BI$5,0)="",0,VLOOKUP($N232,Capa!$A:$AE,BI$5,0)),0),IF(ISERROR(1/VLOOKUP($N232,Capa!$A:$AE,BI$5,0)),0,1/VLOOKUP($N232,Capa!$A:$AE,BI$5,0))))</f>
        <v/>
      </c>
      <c r="BJ232" s="118" t="str">
        <f>IF(BJ$6="","",IF(BJ$3="Maior",IFERROR(IF(VLOOKUP($N232,Capa!$A:$AE,BJ$5,0)="",0,VLOOKUP($N232,Capa!$A:$AE,BJ$5,0)),0),IF(ISERROR(1/VLOOKUP($N232,Capa!$A:$AE,BJ$5,0)),0,1/VLOOKUP($N232,Capa!$A:$AE,BJ$5,0))))</f>
        <v/>
      </c>
      <c r="BK232" s="118" t="str">
        <f>IF(BK$6="","",IF(BK$3="Maior",IFERROR(IF(VLOOKUP($N232,Capa!$A:$AE,BK$5,0)="",0,VLOOKUP($N232,Capa!$A:$AE,BK$5,0)),0),IF(ISERROR(1/VLOOKUP($N232,Capa!$A:$AE,BK$5,0)),0,1/VLOOKUP($N232,Capa!$A:$AE,BK$5,0))))</f>
        <v/>
      </c>
      <c r="BL232" s="118" t="str">
        <f>IF(BL$6="","",IF(BL$3="Maior",IFERROR(IF(VLOOKUP($N232,Capa!$A:$AE,BL$5,0)="",0,VLOOKUP($N232,Capa!$A:$AE,BL$5,0)),0),IF(ISERROR(1/VLOOKUP($N232,Capa!$A:$AE,BL$5,0)),0,1/VLOOKUP($N232,Capa!$A:$AE,BL$5,0))))</f>
        <v/>
      </c>
      <c r="BM232" s="118" t="str">
        <f>IF(BM$6="","",IF(BM$3="Maior",IFERROR(IF(VLOOKUP($N232,Capa!$A:$AE,BM$5,0)="",0,VLOOKUP($N232,Capa!$A:$AE,BM$5,0)),0),IF(ISERROR(1/VLOOKUP($N232,Capa!$A:$AE,BM$5,0)),0,1/VLOOKUP($N232,Capa!$A:$AE,BM$5,0))))</f>
        <v/>
      </c>
      <c r="BN232" s="118" t="str">
        <f>IF(BN$6="","",IF(BN$3="Maior",IFERROR(IF(VLOOKUP($N232,Capa!$A:$AE,BN$5,0)="",0,VLOOKUP($N232,Capa!$A:$AE,BN$5,0)),0),IF(ISERROR(1/VLOOKUP($N232,Capa!$A:$AE,BN$5,0)),0,1/VLOOKUP($N232,Capa!$A:$AE,BN$5,0))))</f>
        <v/>
      </c>
      <c r="BO232" s="92"/>
    </row>
    <row r="233">
      <c r="G233" s="11"/>
      <c r="H233" s="11"/>
      <c r="I233" s="8"/>
      <c r="J233" s="132"/>
      <c r="K233" s="11"/>
      <c r="L233" s="11"/>
      <c r="M233" s="11"/>
      <c r="N233" s="10" t="s">
        <v>279</v>
      </c>
      <c r="O233" s="113">
        <f t="shared" si="8"/>
        <v>1754.0327</v>
      </c>
      <c r="P233" s="114">
        <f>VLOOKUP(N233,'Dados StatusInvest'!A:Z,26,0)</f>
        <v>5455403.75</v>
      </c>
      <c r="Q233" s="115">
        <f t="shared" si="9"/>
        <v>327.0327</v>
      </c>
      <c r="R233" s="116">
        <f t="shared" ref="R233:AO233" si="236">IF(AQ233="","", RANK(AQ233,AQ$7:AQ$503,0))</f>
        <v>340</v>
      </c>
      <c r="S233" s="115">
        <f t="shared" si="236"/>
        <v>87</v>
      </c>
      <c r="T233" s="115" t="str">
        <f t="shared" si="236"/>
        <v/>
      </c>
      <c r="U233" s="115" t="str">
        <f t="shared" si="236"/>
        <v/>
      </c>
      <c r="V233" s="115" t="str">
        <f t="shared" si="236"/>
        <v/>
      </c>
      <c r="W233" s="115" t="str">
        <f t="shared" si="236"/>
        <v/>
      </c>
      <c r="X233" s="115" t="str">
        <f t="shared" si="236"/>
        <v/>
      </c>
      <c r="Y233" s="115" t="str">
        <f t="shared" si="236"/>
        <v/>
      </c>
      <c r="Z233" s="115" t="str">
        <f t="shared" si="236"/>
        <v/>
      </c>
      <c r="AA233" s="115" t="str">
        <f t="shared" si="236"/>
        <v/>
      </c>
      <c r="AB233" s="115" t="str">
        <f t="shared" si="236"/>
        <v/>
      </c>
      <c r="AC233" s="115" t="str">
        <f t="shared" si="236"/>
        <v/>
      </c>
      <c r="AD233" s="115" t="str">
        <f t="shared" si="236"/>
        <v/>
      </c>
      <c r="AE233" s="115" t="str">
        <f t="shared" si="236"/>
        <v/>
      </c>
      <c r="AF233" s="115" t="str">
        <f t="shared" si="236"/>
        <v/>
      </c>
      <c r="AG233" s="115" t="str">
        <f t="shared" si="236"/>
        <v/>
      </c>
      <c r="AH233" s="115" t="str">
        <f t="shared" si="236"/>
        <v/>
      </c>
      <c r="AI233" s="115" t="str">
        <f t="shared" si="236"/>
        <v/>
      </c>
      <c r="AJ233" s="115" t="str">
        <f t="shared" si="236"/>
        <v/>
      </c>
      <c r="AK233" s="115" t="str">
        <f t="shared" si="236"/>
        <v/>
      </c>
      <c r="AL233" s="115" t="str">
        <f t="shared" si="236"/>
        <v/>
      </c>
      <c r="AM233" s="115" t="str">
        <f t="shared" si="236"/>
        <v/>
      </c>
      <c r="AN233" s="115" t="str">
        <f t="shared" si="236"/>
        <v/>
      </c>
      <c r="AO233" s="115" t="str">
        <f t="shared" si="236"/>
        <v/>
      </c>
      <c r="AP233" s="117">
        <f>IF(AP$6="","",IF(AP$3="Maior",IFERROR(IF(VLOOKUP($N233,Capa!$A:$AE,AP$5,0)="",0,VLOOKUP($N233,Capa!$A:$AE,AP$5,0)),0),IF(ISERROR(1/VLOOKUP($N233,Capa!$A:$AE,AP$5,0)),0,1/VLOOKUP($N233,Capa!$A:$AE,AP$5,0))))</f>
        <v>0.04112338886</v>
      </c>
      <c r="AQ233" s="118">
        <f>IF(AQ$6="","",IF(AQ$3="Maior",IFERROR(IF(VLOOKUP($N233,Capa!$A:$AE,AQ$5,0)="",0,VLOOKUP($N233,Capa!$A:$AE,AQ$5,0)),0),IF(ISERROR(1/VLOOKUP($N233,Capa!$A:$AE,AQ$5,0)),0,1/VLOOKUP($N233,Capa!$A:$AE,AQ$5,0))))</f>
        <v>2.6</v>
      </c>
      <c r="AR233" s="118">
        <f>IF(AR$6="","",IF(AR$3="Maior",IFERROR(IF(VLOOKUP($N233,Capa!$A:$AE,AR$5,0)="",0,VLOOKUP($N233,Capa!$A:$AE,AR$5,0)),0),IF(ISERROR(1/VLOOKUP($N233,Capa!$A:$AE,AR$5,0)),0,1/VLOOKUP($N233,Capa!$A:$AE,AR$5,0))))</f>
        <v>32.86</v>
      </c>
      <c r="AS233" s="118" t="str">
        <f>IF(AS$6="","",IF(AS$3="Maior",IFERROR(IF(VLOOKUP($N233,Capa!$A:$AE,AS$5,0)="",0,VLOOKUP($N233,Capa!$A:$AE,AS$5,0)),0),IF(ISERROR(1/VLOOKUP($N233,Capa!$A:$AE,AS$5,0)),0,1/VLOOKUP($N233,Capa!$A:$AE,AS$5,0))))</f>
        <v/>
      </c>
      <c r="AT233" s="118" t="str">
        <f>IF(AT$6="","",IF(AT$3="Maior",IFERROR(IF(VLOOKUP($N233,Capa!$A:$AE,AT$5,0)="",0,VLOOKUP($N233,Capa!$A:$AE,AT$5,0)),0),IF(ISERROR(1/VLOOKUP($N233,Capa!$A:$AE,AT$5,0)),0,1/VLOOKUP($N233,Capa!$A:$AE,AT$5,0))))</f>
        <v/>
      </c>
      <c r="AU233" s="118" t="str">
        <f>IF(AU$6="","",IF(AU$3="Maior",IFERROR(IF(VLOOKUP($N233,Capa!$A:$AE,AU$5,0)="",0,VLOOKUP($N233,Capa!$A:$AE,AU$5,0)),0),IF(ISERROR(1/VLOOKUP($N233,Capa!$A:$AE,AU$5,0)),0,1/VLOOKUP($N233,Capa!$A:$AE,AU$5,0))))</f>
        <v/>
      </c>
      <c r="AV233" s="118" t="str">
        <f>IF(AV$6="","",IF(AV$3="Maior",IFERROR(IF(VLOOKUP($N233,Capa!$A:$AE,AV$5,0)="",0,VLOOKUP($N233,Capa!$A:$AE,AV$5,0)),0),IF(ISERROR(1/VLOOKUP($N233,Capa!$A:$AE,AV$5,0)),0,1/VLOOKUP($N233,Capa!$A:$AE,AV$5,0))))</f>
        <v/>
      </c>
      <c r="AW233" s="118" t="str">
        <f>IF(AW$6="","",IF(AW$3="Maior",IFERROR(IF(VLOOKUP($N233,Capa!$A:$AE,AW$5,0)="",0,VLOOKUP($N233,Capa!$A:$AE,AW$5,0)),0),IF(ISERROR(1/VLOOKUP($N233,Capa!$A:$AE,AW$5,0)),0,1/VLOOKUP($N233,Capa!$A:$AE,AW$5,0))))</f>
        <v/>
      </c>
      <c r="AX233" s="118" t="str">
        <f>IF(AX$6="","",IF(AX$3="Maior",IFERROR(IF(VLOOKUP($N233,Capa!$A:$AE,AX$5,0)="",0,VLOOKUP($N233,Capa!$A:$AE,AX$5,0)),0),IF(ISERROR(1/VLOOKUP($N233,Capa!$A:$AE,AX$5,0)),0,1/VLOOKUP($N233,Capa!$A:$AE,AX$5,0))))</f>
        <v/>
      </c>
      <c r="AY233" s="118" t="str">
        <f>IF(AY$6="","",IF(AY$3="Maior",IFERROR(IF(VLOOKUP($N233,Capa!$A:$AE,AY$5,0)="",0,VLOOKUP($N233,Capa!$A:$AE,AY$5,0)),0),IF(ISERROR(1/VLOOKUP($N233,Capa!$A:$AE,AY$5,0)),0,1/VLOOKUP($N233,Capa!$A:$AE,AY$5,0))))</f>
        <v/>
      </c>
      <c r="AZ233" s="118" t="str">
        <f>IF(AZ$6="","",IF(AZ$3="Maior",IFERROR(IF(VLOOKUP($N233,Capa!$A:$AE,AZ$5,0)="",0,VLOOKUP($N233,Capa!$A:$AE,AZ$5,0)),0),IF(ISERROR(1/VLOOKUP($N233,Capa!$A:$AE,AZ$5,0)),0,1/VLOOKUP($N233,Capa!$A:$AE,AZ$5,0))))</f>
        <v/>
      </c>
      <c r="BA233" s="118" t="str">
        <f>IF(BA$6="","",IF(BA$3="Maior",IFERROR(IF(VLOOKUP($N233,Capa!$A:$AE,BA$5,0)="",0,VLOOKUP($N233,Capa!$A:$AE,BA$5,0)),0),IF(ISERROR(1/VLOOKUP($N233,Capa!$A:$AE,BA$5,0)),0,1/VLOOKUP($N233,Capa!$A:$AE,BA$5,0))))</f>
        <v/>
      </c>
      <c r="BB233" s="118" t="str">
        <f>IF(BB$6="","",IF(BB$3="Maior",IFERROR(IF(VLOOKUP($N233,Capa!$A:$AE,BB$5,0)="",0,VLOOKUP($N233,Capa!$A:$AE,BB$5,0)),0),IF(ISERROR(1/VLOOKUP($N233,Capa!$A:$AE,BB$5,0)),0,1/VLOOKUP($N233,Capa!$A:$AE,BB$5,0))))</f>
        <v/>
      </c>
      <c r="BC233" s="118" t="str">
        <f>IF(BC$6="","",IF(BC$3="Maior",IFERROR(IF(VLOOKUP($N233,Capa!$A:$AE,BC$5,0)="",0,VLOOKUP($N233,Capa!$A:$AE,BC$5,0)),0),IF(ISERROR(1/VLOOKUP($N233,Capa!$A:$AE,BC$5,0)),0,1/VLOOKUP($N233,Capa!$A:$AE,BC$5,0))))</f>
        <v/>
      </c>
      <c r="BD233" s="118" t="str">
        <f>IF(BD$6="","",IF(BD$3="Maior",IFERROR(IF(VLOOKUP($N233,Capa!$A:$AE,BD$5,0)="",0,VLOOKUP($N233,Capa!$A:$AE,BD$5,0)),0),IF(ISERROR(1/VLOOKUP($N233,Capa!$A:$AE,BD$5,0)),0,1/VLOOKUP($N233,Capa!$A:$AE,BD$5,0))))</f>
        <v/>
      </c>
      <c r="BE233" s="118" t="str">
        <f>IF(BE$6="","",IF(BE$3="Maior",IFERROR(IF(VLOOKUP($N233,Capa!$A:$AE,BE$5,0)="",0,VLOOKUP($N233,Capa!$A:$AE,BE$5,0)),0),IF(ISERROR(1/VLOOKUP($N233,Capa!$A:$AE,BE$5,0)),0,1/VLOOKUP($N233,Capa!$A:$AE,BE$5,0))))</f>
        <v/>
      </c>
      <c r="BF233" s="118" t="str">
        <f>IF(BF$6="","",IF(BF$3="Maior",IFERROR(IF(VLOOKUP($N233,Capa!$A:$AE,BF$5,0)="",0,VLOOKUP($N233,Capa!$A:$AE,BF$5,0)),0),IF(ISERROR(1/VLOOKUP($N233,Capa!$A:$AE,BF$5,0)),0,1/VLOOKUP($N233,Capa!$A:$AE,BF$5,0))))</f>
        <v/>
      </c>
      <c r="BG233" s="118" t="str">
        <f>IF(BG$6="","",IF(BG$3="Maior",IFERROR(IF(VLOOKUP($N233,Capa!$A:$AE,BG$5,0)="",0,VLOOKUP($N233,Capa!$A:$AE,BG$5,0)),0),IF(ISERROR(1/VLOOKUP($N233,Capa!$A:$AE,BG$5,0)),0,1/VLOOKUP($N233,Capa!$A:$AE,BG$5,0))))</f>
        <v/>
      </c>
      <c r="BH233" s="118" t="str">
        <f>IF(BH$6="","",IF(BH$3="Maior",IFERROR(IF(VLOOKUP($N233,Capa!$A:$AE,BH$5,0)="",0,VLOOKUP($N233,Capa!$A:$AE,BH$5,0)),0),IF(ISERROR(1/VLOOKUP($N233,Capa!$A:$AE,BH$5,0)),0,1/VLOOKUP($N233,Capa!$A:$AE,BH$5,0))))</f>
        <v/>
      </c>
      <c r="BI233" s="118" t="str">
        <f>IF(BI$6="","",IF(BI$3="Maior",IFERROR(IF(VLOOKUP($N233,Capa!$A:$AE,BI$5,0)="",0,VLOOKUP($N233,Capa!$A:$AE,BI$5,0)),0),IF(ISERROR(1/VLOOKUP($N233,Capa!$A:$AE,BI$5,0)),0,1/VLOOKUP($N233,Capa!$A:$AE,BI$5,0))))</f>
        <v/>
      </c>
      <c r="BJ233" s="118" t="str">
        <f>IF(BJ$6="","",IF(BJ$3="Maior",IFERROR(IF(VLOOKUP($N233,Capa!$A:$AE,BJ$5,0)="",0,VLOOKUP($N233,Capa!$A:$AE,BJ$5,0)),0),IF(ISERROR(1/VLOOKUP($N233,Capa!$A:$AE,BJ$5,0)),0,1/VLOOKUP($N233,Capa!$A:$AE,BJ$5,0))))</f>
        <v/>
      </c>
      <c r="BK233" s="118" t="str">
        <f>IF(BK$6="","",IF(BK$3="Maior",IFERROR(IF(VLOOKUP($N233,Capa!$A:$AE,BK$5,0)="",0,VLOOKUP($N233,Capa!$A:$AE,BK$5,0)),0),IF(ISERROR(1/VLOOKUP($N233,Capa!$A:$AE,BK$5,0)),0,1/VLOOKUP($N233,Capa!$A:$AE,BK$5,0))))</f>
        <v/>
      </c>
      <c r="BL233" s="118" t="str">
        <f>IF(BL$6="","",IF(BL$3="Maior",IFERROR(IF(VLOOKUP($N233,Capa!$A:$AE,BL$5,0)="",0,VLOOKUP($N233,Capa!$A:$AE,BL$5,0)),0),IF(ISERROR(1/VLOOKUP($N233,Capa!$A:$AE,BL$5,0)),0,1/VLOOKUP($N233,Capa!$A:$AE,BL$5,0))))</f>
        <v/>
      </c>
      <c r="BM233" s="118" t="str">
        <f>IF(BM$6="","",IF(BM$3="Maior",IFERROR(IF(VLOOKUP($N233,Capa!$A:$AE,BM$5,0)="",0,VLOOKUP($N233,Capa!$A:$AE,BM$5,0)),0),IF(ISERROR(1/VLOOKUP($N233,Capa!$A:$AE,BM$5,0)),0,1/VLOOKUP($N233,Capa!$A:$AE,BM$5,0))))</f>
        <v/>
      </c>
      <c r="BN233" s="118" t="str">
        <f>IF(BN$6="","",IF(BN$3="Maior",IFERROR(IF(VLOOKUP($N233,Capa!$A:$AE,BN$5,0)="",0,VLOOKUP($N233,Capa!$A:$AE,BN$5,0)),0),IF(ISERROR(1/VLOOKUP($N233,Capa!$A:$AE,BN$5,0)),0,1/VLOOKUP($N233,Capa!$A:$AE,BN$5,0))))</f>
        <v/>
      </c>
      <c r="BO233" s="92"/>
    </row>
    <row r="234">
      <c r="G234" s="11"/>
      <c r="H234" s="11"/>
      <c r="I234" s="8"/>
      <c r="J234" s="132"/>
      <c r="K234" s="11"/>
      <c r="L234" s="11"/>
      <c r="M234" s="11"/>
      <c r="N234" s="10" t="s">
        <v>280</v>
      </c>
      <c r="O234" s="113">
        <f t="shared" si="8"/>
        <v>2117.0437</v>
      </c>
      <c r="P234" s="114">
        <f>VLOOKUP(N234,'Dados StatusInvest'!A:Z,26,0)</f>
        <v>7698505.38</v>
      </c>
      <c r="Q234" s="115">
        <f t="shared" si="9"/>
        <v>437.0437</v>
      </c>
      <c r="R234" s="116">
        <f t="shared" ref="R234:AO234" si="237">IF(AQ234="","", RANK(AQ234,AQ$7:AQ$503,0))</f>
        <v>461</v>
      </c>
      <c r="S234" s="115">
        <f t="shared" si="237"/>
        <v>219</v>
      </c>
      <c r="T234" s="115" t="str">
        <f t="shared" si="237"/>
        <v/>
      </c>
      <c r="U234" s="115" t="str">
        <f t="shared" si="237"/>
        <v/>
      </c>
      <c r="V234" s="115" t="str">
        <f t="shared" si="237"/>
        <v/>
      </c>
      <c r="W234" s="115" t="str">
        <f t="shared" si="237"/>
        <v/>
      </c>
      <c r="X234" s="115" t="str">
        <f t="shared" si="237"/>
        <v/>
      </c>
      <c r="Y234" s="115" t="str">
        <f t="shared" si="237"/>
        <v/>
      </c>
      <c r="Z234" s="115" t="str">
        <f t="shared" si="237"/>
        <v/>
      </c>
      <c r="AA234" s="115" t="str">
        <f t="shared" si="237"/>
        <v/>
      </c>
      <c r="AB234" s="115" t="str">
        <f t="shared" si="237"/>
        <v/>
      </c>
      <c r="AC234" s="115" t="str">
        <f t="shared" si="237"/>
        <v/>
      </c>
      <c r="AD234" s="115" t="str">
        <f t="shared" si="237"/>
        <v/>
      </c>
      <c r="AE234" s="115" t="str">
        <f t="shared" si="237"/>
        <v/>
      </c>
      <c r="AF234" s="115" t="str">
        <f t="shared" si="237"/>
        <v/>
      </c>
      <c r="AG234" s="115" t="str">
        <f t="shared" si="237"/>
        <v/>
      </c>
      <c r="AH234" s="115" t="str">
        <f t="shared" si="237"/>
        <v/>
      </c>
      <c r="AI234" s="115" t="str">
        <f t="shared" si="237"/>
        <v/>
      </c>
      <c r="AJ234" s="115" t="str">
        <f t="shared" si="237"/>
        <v/>
      </c>
      <c r="AK234" s="115" t="str">
        <f t="shared" si="237"/>
        <v/>
      </c>
      <c r="AL234" s="115" t="str">
        <f t="shared" si="237"/>
        <v/>
      </c>
      <c r="AM234" s="115" t="str">
        <f t="shared" si="237"/>
        <v/>
      </c>
      <c r="AN234" s="115" t="str">
        <f t="shared" si="237"/>
        <v/>
      </c>
      <c r="AO234" s="115" t="str">
        <f t="shared" si="237"/>
        <v/>
      </c>
      <c r="AP234" s="117">
        <f>IF(AP$6="","",IF(AP$3="Maior",IFERROR(IF(VLOOKUP($N234,Capa!$A:$AE,AP$5,0)="",0,VLOOKUP($N234,Capa!$A:$AE,AP$5,0)),0),IF(ISERROR(1/VLOOKUP($N234,Capa!$A:$AE,AP$5,0)),0,1/VLOOKUP($N234,Capa!$A:$AE,AP$5,0))))</f>
        <v>-0.0580092945</v>
      </c>
      <c r="AQ234" s="118">
        <f>IF(AQ$6="","",IF(AQ$3="Maior",IFERROR(IF(VLOOKUP($N234,Capa!$A:$AE,AQ$5,0)="",0,VLOOKUP($N234,Capa!$A:$AE,AQ$5,0)),0),IF(ISERROR(1/VLOOKUP($N234,Capa!$A:$AE,AQ$5,0)),0,1/VLOOKUP($N234,Capa!$A:$AE,AQ$5,0))))</f>
        <v>-8.34</v>
      </c>
      <c r="AR234" s="118">
        <f>IF(AR$6="","",IF(AR$3="Maior",IFERROR(IF(VLOOKUP($N234,Capa!$A:$AE,AR$5,0)="",0,VLOOKUP($N234,Capa!$A:$AE,AR$5,0)),0),IF(ISERROR(1/VLOOKUP($N234,Capa!$A:$AE,AR$5,0)),0,1/VLOOKUP($N234,Capa!$A:$AE,AR$5,0))))</f>
        <v>0</v>
      </c>
      <c r="AS234" s="118" t="str">
        <f>IF(AS$6="","",IF(AS$3="Maior",IFERROR(IF(VLOOKUP($N234,Capa!$A:$AE,AS$5,0)="",0,VLOOKUP($N234,Capa!$A:$AE,AS$5,0)),0),IF(ISERROR(1/VLOOKUP($N234,Capa!$A:$AE,AS$5,0)),0,1/VLOOKUP($N234,Capa!$A:$AE,AS$5,0))))</f>
        <v/>
      </c>
      <c r="AT234" s="118" t="str">
        <f>IF(AT$6="","",IF(AT$3="Maior",IFERROR(IF(VLOOKUP($N234,Capa!$A:$AE,AT$5,0)="",0,VLOOKUP($N234,Capa!$A:$AE,AT$5,0)),0),IF(ISERROR(1/VLOOKUP($N234,Capa!$A:$AE,AT$5,0)),0,1/VLOOKUP($N234,Capa!$A:$AE,AT$5,0))))</f>
        <v/>
      </c>
      <c r="AU234" s="118" t="str">
        <f>IF(AU$6="","",IF(AU$3="Maior",IFERROR(IF(VLOOKUP($N234,Capa!$A:$AE,AU$5,0)="",0,VLOOKUP($N234,Capa!$A:$AE,AU$5,0)),0),IF(ISERROR(1/VLOOKUP($N234,Capa!$A:$AE,AU$5,0)),0,1/VLOOKUP($N234,Capa!$A:$AE,AU$5,0))))</f>
        <v/>
      </c>
      <c r="AV234" s="118" t="str">
        <f>IF(AV$6="","",IF(AV$3="Maior",IFERROR(IF(VLOOKUP($N234,Capa!$A:$AE,AV$5,0)="",0,VLOOKUP($N234,Capa!$A:$AE,AV$5,0)),0),IF(ISERROR(1/VLOOKUP($N234,Capa!$A:$AE,AV$5,0)),0,1/VLOOKUP($N234,Capa!$A:$AE,AV$5,0))))</f>
        <v/>
      </c>
      <c r="AW234" s="118" t="str">
        <f>IF(AW$6="","",IF(AW$3="Maior",IFERROR(IF(VLOOKUP($N234,Capa!$A:$AE,AW$5,0)="",0,VLOOKUP($N234,Capa!$A:$AE,AW$5,0)),0),IF(ISERROR(1/VLOOKUP($N234,Capa!$A:$AE,AW$5,0)),0,1/VLOOKUP($N234,Capa!$A:$AE,AW$5,0))))</f>
        <v/>
      </c>
      <c r="AX234" s="118" t="str">
        <f>IF(AX$6="","",IF(AX$3="Maior",IFERROR(IF(VLOOKUP($N234,Capa!$A:$AE,AX$5,0)="",0,VLOOKUP($N234,Capa!$A:$AE,AX$5,0)),0),IF(ISERROR(1/VLOOKUP($N234,Capa!$A:$AE,AX$5,0)),0,1/VLOOKUP($N234,Capa!$A:$AE,AX$5,0))))</f>
        <v/>
      </c>
      <c r="AY234" s="118" t="str">
        <f>IF(AY$6="","",IF(AY$3="Maior",IFERROR(IF(VLOOKUP($N234,Capa!$A:$AE,AY$5,0)="",0,VLOOKUP($N234,Capa!$A:$AE,AY$5,0)),0),IF(ISERROR(1/VLOOKUP($N234,Capa!$A:$AE,AY$5,0)),0,1/VLOOKUP($N234,Capa!$A:$AE,AY$5,0))))</f>
        <v/>
      </c>
      <c r="AZ234" s="118" t="str">
        <f>IF(AZ$6="","",IF(AZ$3="Maior",IFERROR(IF(VLOOKUP($N234,Capa!$A:$AE,AZ$5,0)="",0,VLOOKUP($N234,Capa!$A:$AE,AZ$5,0)),0),IF(ISERROR(1/VLOOKUP($N234,Capa!$A:$AE,AZ$5,0)),0,1/VLOOKUP($N234,Capa!$A:$AE,AZ$5,0))))</f>
        <v/>
      </c>
      <c r="BA234" s="118" t="str">
        <f>IF(BA$6="","",IF(BA$3="Maior",IFERROR(IF(VLOOKUP($N234,Capa!$A:$AE,BA$5,0)="",0,VLOOKUP($N234,Capa!$A:$AE,BA$5,0)),0),IF(ISERROR(1/VLOOKUP($N234,Capa!$A:$AE,BA$5,0)),0,1/VLOOKUP($N234,Capa!$A:$AE,BA$5,0))))</f>
        <v/>
      </c>
      <c r="BB234" s="118" t="str">
        <f>IF(BB$6="","",IF(BB$3="Maior",IFERROR(IF(VLOOKUP($N234,Capa!$A:$AE,BB$5,0)="",0,VLOOKUP($N234,Capa!$A:$AE,BB$5,0)),0),IF(ISERROR(1/VLOOKUP($N234,Capa!$A:$AE,BB$5,0)),0,1/VLOOKUP($N234,Capa!$A:$AE,BB$5,0))))</f>
        <v/>
      </c>
      <c r="BC234" s="118" t="str">
        <f>IF(BC$6="","",IF(BC$3="Maior",IFERROR(IF(VLOOKUP($N234,Capa!$A:$AE,BC$5,0)="",0,VLOOKUP($N234,Capa!$A:$AE,BC$5,0)),0),IF(ISERROR(1/VLOOKUP($N234,Capa!$A:$AE,BC$5,0)),0,1/VLOOKUP($N234,Capa!$A:$AE,BC$5,0))))</f>
        <v/>
      </c>
      <c r="BD234" s="118" t="str">
        <f>IF(BD$6="","",IF(BD$3="Maior",IFERROR(IF(VLOOKUP($N234,Capa!$A:$AE,BD$5,0)="",0,VLOOKUP($N234,Capa!$A:$AE,BD$5,0)),0),IF(ISERROR(1/VLOOKUP($N234,Capa!$A:$AE,BD$5,0)),0,1/VLOOKUP($N234,Capa!$A:$AE,BD$5,0))))</f>
        <v/>
      </c>
      <c r="BE234" s="118" t="str">
        <f>IF(BE$6="","",IF(BE$3="Maior",IFERROR(IF(VLOOKUP($N234,Capa!$A:$AE,BE$5,0)="",0,VLOOKUP($N234,Capa!$A:$AE,BE$5,0)),0),IF(ISERROR(1/VLOOKUP($N234,Capa!$A:$AE,BE$5,0)),0,1/VLOOKUP($N234,Capa!$A:$AE,BE$5,0))))</f>
        <v/>
      </c>
      <c r="BF234" s="118" t="str">
        <f>IF(BF$6="","",IF(BF$3="Maior",IFERROR(IF(VLOOKUP($N234,Capa!$A:$AE,BF$5,0)="",0,VLOOKUP($N234,Capa!$A:$AE,BF$5,0)),0),IF(ISERROR(1/VLOOKUP($N234,Capa!$A:$AE,BF$5,0)),0,1/VLOOKUP($N234,Capa!$A:$AE,BF$5,0))))</f>
        <v/>
      </c>
      <c r="BG234" s="118" t="str">
        <f>IF(BG$6="","",IF(BG$3="Maior",IFERROR(IF(VLOOKUP($N234,Capa!$A:$AE,BG$5,0)="",0,VLOOKUP($N234,Capa!$A:$AE,BG$5,0)),0),IF(ISERROR(1/VLOOKUP($N234,Capa!$A:$AE,BG$5,0)),0,1/VLOOKUP($N234,Capa!$A:$AE,BG$5,0))))</f>
        <v/>
      </c>
      <c r="BH234" s="118" t="str">
        <f>IF(BH$6="","",IF(BH$3="Maior",IFERROR(IF(VLOOKUP($N234,Capa!$A:$AE,BH$5,0)="",0,VLOOKUP($N234,Capa!$A:$AE,BH$5,0)),0),IF(ISERROR(1/VLOOKUP($N234,Capa!$A:$AE,BH$5,0)),0,1/VLOOKUP($N234,Capa!$A:$AE,BH$5,0))))</f>
        <v/>
      </c>
      <c r="BI234" s="118" t="str">
        <f>IF(BI$6="","",IF(BI$3="Maior",IFERROR(IF(VLOOKUP($N234,Capa!$A:$AE,BI$5,0)="",0,VLOOKUP($N234,Capa!$A:$AE,BI$5,0)),0),IF(ISERROR(1/VLOOKUP($N234,Capa!$A:$AE,BI$5,0)),0,1/VLOOKUP($N234,Capa!$A:$AE,BI$5,0))))</f>
        <v/>
      </c>
      <c r="BJ234" s="118" t="str">
        <f>IF(BJ$6="","",IF(BJ$3="Maior",IFERROR(IF(VLOOKUP($N234,Capa!$A:$AE,BJ$5,0)="",0,VLOOKUP($N234,Capa!$A:$AE,BJ$5,0)),0),IF(ISERROR(1/VLOOKUP($N234,Capa!$A:$AE,BJ$5,0)),0,1/VLOOKUP($N234,Capa!$A:$AE,BJ$5,0))))</f>
        <v/>
      </c>
      <c r="BK234" s="118" t="str">
        <f>IF(BK$6="","",IF(BK$3="Maior",IFERROR(IF(VLOOKUP($N234,Capa!$A:$AE,BK$5,0)="",0,VLOOKUP($N234,Capa!$A:$AE,BK$5,0)),0),IF(ISERROR(1/VLOOKUP($N234,Capa!$A:$AE,BK$5,0)),0,1/VLOOKUP($N234,Capa!$A:$AE,BK$5,0))))</f>
        <v/>
      </c>
      <c r="BL234" s="118" t="str">
        <f>IF(BL$6="","",IF(BL$3="Maior",IFERROR(IF(VLOOKUP($N234,Capa!$A:$AE,BL$5,0)="",0,VLOOKUP($N234,Capa!$A:$AE,BL$5,0)),0),IF(ISERROR(1/VLOOKUP($N234,Capa!$A:$AE,BL$5,0)),0,1/VLOOKUP($N234,Capa!$A:$AE,BL$5,0))))</f>
        <v/>
      </c>
      <c r="BM234" s="118" t="str">
        <f>IF(BM$6="","",IF(BM$3="Maior",IFERROR(IF(VLOOKUP($N234,Capa!$A:$AE,BM$5,0)="",0,VLOOKUP($N234,Capa!$A:$AE,BM$5,0)),0),IF(ISERROR(1/VLOOKUP($N234,Capa!$A:$AE,BM$5,0)),0,1/VLOOKUP($N234,Capa!$A:$AE,BM$5,0))))</f>
        <v/>
      </c>
      <c r="BN234" s="118" t="str">
        <f>IF(BN$6="","",IF(BN$3="Maior",IFERROR(IF(VLOOKUP($N234,Capa!$A:$AE,BN$5,0)="",0,VLOOKUP($N234,Capa!$A:$AE,BN$5,0)),0),IF(ISERROR(1/VLOOKUP($N234,Capa!$A:$AE,BN$5,0)),0,1/VLOOKUP($N234,Capa!$A:$AE,BN$5,0))))</f>
        <v/>
      </c>
      <c r="BO234" s="92"/>
    </row>
    <row r="235">
      <c r="G235" s="11"/>
      <c r="H235" s="11"/>
      <c r="I235" s="8"/>
      <c r="J235" s="132"/>
      <c r="K235" s="11"/>
      <c r="L235" s="11"/>
      <c r="M235" s="11"/>
      <c r="N235" s="10" t="s">
        <v>281</v>
      </c>
      <c r="O235" s="113">
        <f t="shared" si="8"/>
        <v>2142.046</v>
      </c>
      <c r="P235" s="114">
        <f>VLOOKUP(N235,'Dados StatusInvest'!A:Z,26,0)</f>
        <v>5566339.33</v>
      </c>
      <c r="Q235" s="115">
        <f t="shared" si="9"/>
        <v>460.046</v>
      </c>
      <c r="R235" s="116">
        <f t="shared" ref="R235:AO235" si="238">IF(AQ235="","", RANK(AQ235,AQ$7:AQ$503,0))</f>
        <v>463</v>
      </c>
      <c r="S235" s="115">
        <f t="shared" si="238"/>
        <v>219</v>
      </c>
      <c r="T235" s="115" t="str">
        <f t="shared" si="238"/>
        <v/>
      </c>
      <c r="U235" s="115" t="str">
        <f t="shared" si="238"/>
        <v/>
      </c>
      <c r="V235" s="115" t="str">
        <f t="shared" si="238"/>
        <v/>
      </c>
      <c r="W235" s="115" t="str">
        <f t="shared" si="238"/>
        <v/>
      </c>
      <c r="X235" s="115" t="str">
        <f t="shared" si="238"/>
        <v/>
      </c>
      <c r="Y235" s="115" t="str">
        <f t="shared" si="238"/>
        <v/>
      </c>
      <c r="Z235" s="115" t="str">
        <f t="shared" si="238"/>
        <v/>
      </c>
      <c r="AA235" s="115" t="str">
        <f t="shared" si="238"/>
        <v/>
      </c>
      <c r="AB235" s="115" t="str">
        <f t="shared" si="238"/>
        <v/>
      </c>
      <c r="AC235" s="115" t="str">
        <f t="shared" si="238"/>
        <v/>
      </c>
      <c r="AD235" s="115" t="str">
        <f t="shared" si="238"/>
        <v/>
      </c>
      <c r="AE235" s="115" t="str">
        <f t="shared" si="238"/>
        <v/>
      </c>
      <c r="AF235" s="115" t="str">
        <f t="shared" si="238"/>
        <v/>
      </c>
      <c r="AG235" s="115" t="str">
        <f t="shared" si="238"/>
        <v/>
      </c>
      <c r="AH235" s="115" t="str">
        <f t="shared" si="238"/>
        <v/>
      </c>
      <c r="AI235" s="115" t="str">
        <f t="shared" si="238"/>
        <v/>
      </c>
      <c r="AJ235" s="115" t="str">
        <f t="shared" si="238"/>
        <v/>
      </c>
      <c r="AK235" s="115" t="str">
        <f t="shared" si="238"/>
        <v/>
      </c>
      <c r="AL235" s="115" t="str">
        <f t="shared" si="238"/>
        <v/>
      </c>
      <c r="AM235" s="115" t="str">
        <f t="shared" si="238"/>
        <v/>
      </c>
      <c r="AN235" s="115" t="str">
        <f t="shared" si="238"/>
        <v/>
      </c>
      <c r="AO235" s="115" t="str">
        <f t="shared" si="238"/>
        <v/>
      </c>
      <c r="AP235" s="117">
        <f>IF(AP$6="","",IF(AP$3="Maior",IFERROR(IF(VLOOKUP($N235,Capa!$A:$AE,AP$5,0)="",0,VLOOKUP($N235,Capa!$A:$AE,AP$5,0)),0),IF(ISERROR(1/VLOOKUP($N235,Capa!$A:$AE,AP$5,0)),0,1/VLOOKUP($N235,Capa!$A:$AE,AP$5,0))))</f>
        <v>-0.139741713</v>
      </c>
      <c r="AQ235" s="118">
        <f>IF(AQ$6="","",IF(AQ$3="Maior",IFERROR(IF(VLOOKUP($N235,Capa!$A:$AE,AQ$5,0)="",0,VLOOKUP($N235,Capa!$A:$AE,AQ$5,0)),0),IF(ISERROR(1/VLOOKUP($N235,Capa!$A:$AE,AQ$5,0)),0,1/VLOOKUP($N235,Capa!$A:$AE,AQ$5,0))))</f>
        <v>-8.79</v>
      </c>
      <c r="AR235" s="118">
        <f>IF(AR$6="","",IF(AR$3="Maior",IFERROR(IF(VLOOKUP($N235,Capa!$A:$AE,AR$5,0)="",0,VLOOKUP($N235,Capa!$A:$AE,AR$5,0)),0),IF(ISERROR(1/VLOOKUP($N235,Capa!$A:$AE,AR$5,0)),0,1/VLOOKUP($N235,Capa!$A:$AE,AR$5,0))))</f>
        <v>0</v>
      </c>
      <c r="AS235" s="118" t="str">
        <f>IF(AS$6="","",IF(AS$3="Maior",IFERROR(IF(VLOOKUP($N235,Capa!$A:$AE,AS$5,0)="",0,VLOOKUP($N235,Capa!$A:$AE,AS$5,0)),0),IF(ISERROR(1/VLOOKUP($N235,Capa!$A:$AE,AS$5,0)),0,1/VLOOKUP($N235,Capa!$A:$AE,AS$5,0))))</f>
        <v/>
      </c>
      <c r="AT235" s="118" t="str">
        <f>IF(AT$6="","",IF(AT$3="Maior",IFERROR(IF(VLOOKUP($N235,Capa!$A:$AE,AT$5,0)="",0,VLOOKUP($N235,Capa!$A:$AE,AT$5,0)),0),IF(ISERROR(1/VLOOKUP($N235,Capa!$A:$AE,AT$5,0)),0,1/VLOOKUP($N235,Capa!$A:$AE,AT$5,0))))</f>
        <v/>
      </c>
      <c r="AU235" s="118" t="str">
        <f>IF(AU$6="","",IF(AU$3="Maior",IFERROR(IF(VLOOKUP($N235,Capa!$A:$AE,AU$5,0)="",0,VLOOKUP($N235,Capa!$A:$AE,AU$5,0)),0),IF(ISERROR(1/VLOOKUP($N235,Capa!$A:$AE,AU$5,0)),0,1/VLOOKUP($N235,Capa!$A:$AE,AU$5,0))))</f>
        <v/>
      </c>
      <c r="AV235" s="118" t="str">
        <f>IF(AV$6="","",IF(AV$3="Maior",IFERROR(IF(VLOOKUP($N235,Capa!$A:$AE,AV$5,0)="",0,VLOOKUP($N235,Capa!$A:$AE,AV$5,0)),0),IF(ISERROR(1/VLOOKUP($N235,Capa!$A:$AE,AV$5,0)),0,1/VLOOKUP($N235,Capa!$A:$AE,AV$5,0))))</f>
        <v/>
      </c>
      <c r="AW235" s="118" t="str">
        <f>IF(AW$6="","",IF(AW$3="Maior",IFERROR(IF(VLOOKUP($N235,Capa!$A:$AE,AW$5,0)="",0,VLOOKUP($N235,Capa!$A:$AE,AW$5,0)),0),IF(ISERROR(1/VLOOKUP($N235,Capa!$A:$AE,AW$5,0)),0,1/VLOOKUP($N235,Capa!$A:$AE,AW$5,0))))</f>
        <v/>
      </c>
      <c r="AX235" s="118" t="str">
        <f>IF(AX$6="","",IF(AX$3="Maior",IFERROR(IF(VLOOKUP($N235,Capa!$A:$AE,AX$5,0)="",0,VLOOKUP($N235,Capa!$A:$AE,AX$5,0)),0),IF(ISERROR(1/VLOOKUP($N235,Capa!$A:$AE,AX$5,0)),0,1/VLOOKUP($N235,Capa!$A:$AE,AX$5,0))))</f>
        <v/>
      </c>
      <c r="AY235" s="118" t="str">
        <f>IF(AY$6="","",IF(AY$3="Maior",IFERROR(IF(VLOOKUP($N235,Capa!$A:$AE,AY$5,0)="",0,VLOOKUP($N235,Capa!$A:$AE,AY$5,0)),0),IF(ISERROR(1/VLOOKUP($N235,Capa!$A:$AE,AY$5,0)),0,1/VLOOKUP($N235,Capa!$A:$AE,AY$5,0))))</f>
        <v/>
      </c>
      <c r="AZ235" s="118" t="str">
        <f>IF(AZ$6="","",IF(AZ$3="Maior",IFERROR(IF(VLOOKUP($N235,Capa!$A:$AE,AZ$5,0)="",0,VLOOKUP($N235,Capa!$A:$AE,AZ$5,0)),0),IF(ISERROR(1/VLOOKUP($N235,Capa!$A:$AE,AZ$5,0)),0,1/VLOOKUP($N235,Capa!$A:$AE,AZ$5,0))))</f>
        <v/>
      </c>
      <c r="BA235" s="118" t="str">
        <f>IF(BA$6="","",IF(BA$3="Maior",IFERROR(IF(VLOOKUP($N235,Capa!$A:$AE,BA$5,0)="",0,VLOOKUP($N235,Capa!$A:$AE,BA$5,0)),0),IF(ISERROR(1/VLOOKUP($N235,Capa!$A:$AE,BA$5,0)),0,1/VLOOKUP($N235,Capa!$A:$AE,BA$5,0))))</f>
        <v/>
      </c>
      <c r="BB235" s="118" t="str">
        <f>IF(BB$6="","",IF(BB$3="Maior",IFERROR(IF(VLOOKUP($N235,Capa!$A:$AE,BB$5,0)="",0,VLOOKUP($N235,Capa!$A:$AE,BB$5,0)),0),IF(ISERROR(1/VLOOKUP($N235,Capa!$A:$AE,BB$5,0)),0,1/VLOOKUP($N235,Capa!$A:$AE,BB$5,0))))</f>
        <v/>
      </c>
      <c r="BC235" s="118" t="str">
        <f>IF(BC$6="","",IF(BC$3="Maior",IFERROR(IF(VLOOKUP($N235,Capa!$A:$AE,BC$5,0)="",0,VLOOKUP($N235,Capa!$A:$AE,BC$5,0)),0),IF(ISERROR(1/VLOOKUP($N235,Capa!$A:$AE,BC$5,0)),0,1/VLOOKUP($N235,Capa!$A:$AE,BC$5,0))))</f>
        <v/>
      </c>
      <c r="BD235" s="118" t="str">
        <f>IF(BD$6="","",IF(BD$3="Maior",IFERROR(IF(VLOOKUP($N235,Capa!$A:$AE,BD$5,0)="",0,VLOOKUP($N235,Capa!$A:$AE,BD$5,0)),0),IF(ISERROR(1/VLOOKUP($N235,Capa!$A:$AE,BD$5,0)),0,1/VLOOKUP($N235,Capa!$A:$AE,BD$5,0))))</f>
        <v/>
      </c>
      <c r="BE235" s="118" t="str">
        <f>IF(BE$6="","",IF(BE$3="Maior",IFERROR(IF(VLOOKUP($N235,Capa!$A:$AE,BE$5,0)="",0,VLOOKUP($N235,Capa!$A:$AE,BE$5,0)),0),IF(ISERROR(1/VLOOKUP($N235,Capa!$A:$AE,BE$5,0)),0,1/VLOOKUP($N235,Capa!$A:$AE,BE$5,0))))</f>
        <v/>
      </c>
      <c r="BF235" s="118" t="str">
        <f>IF(BF$6="","",IF(BF$3="Maior",IFERROR(IF(VLOOKUP($N235,Capa!$A:$AE,BF$5,0)="",0,VLOOKUP($N235,Capa!$A:$AE,BF$5,0)),0),IF(ISERROR(1/VLOOKUP($N235,Capa!$A:$AE,BF$5,0)),0,1/VLOOKUP($N235,Capa!$A:$AE,BF$5,0))))</f>
        <v/>
      </c>
      <c r="BG235" s="118" t="str">
        <f>IF(BG$6="","",IF(BG$3="Maior",IFERROR(IF(VLOOKUP($N235,Capa!$A:$AE,BG$5,0)="",0,VLOOKUP($N235,Capa!$A:$AE,BG$5,0)),0),IF(ISERROR(1/VLOOKUP($N235,Capa!$A:$AE,BG$5,0)),0,1/VLOOKUP($N235,Capa!$A:$AE,BG$5,0))))</f>
        <v/>
      </c>
      <c r="BH235" s="118" t="str">
        <f>IF(BH$6="","",IF(BH$3="Maior",IFERROR(IF(VLOOKUP($N235,Capa!$A:$AE,BH$5,0)="",0,VLOOKUP($N235,Capa!$A:$AE,BH$5,0)),0),IF(ISERROR(1/VLOOKUP($N235,Capa!$A:$AE,BH$5,0)),0,1/VLOOKUP($N235,Capa!$A:$AE,BH$5,0))))</f>
        <v/>
      </c>
      <c r="BI235" s="118" t="str">
        <f>IF(BI$6="","",IF(BI$3="Maior",IFERROR(IF(VLOOKUP($N235,Capa!$A:$AE,BI$5,0)="",0,VLOOKUP($N235,Capa!$A:$AE,BI$5,0)),0),IF(ISERROR(1/VLOOKUP($N235,Capa!$A:$AE,BI$5,0)),0,1/VLOOKUP($N235,Capa!$A:$AE,BI$5,0))))</f>
        <v/>
      </c>
      <c r="BJ235" s="118" t="str">
        <f>IF(BJ$6="","",IF(BJ$3="Maior",IFERROR(IF(VLOOKUP($N235,Capa!$A:$AE,BJ$5,0)="",0,VLOOKUP($N235,Capa!$A:$AE,BJ$5,0)),0),IF(ISERROR(1/VLOOKUP($N235,Capa!$A:$AE,BJ$5,0)),0,1/VLOOKUP($N235,Capa!$A:$AE,BJ$5,0))))</f>
        <v/>
      </c>
      <c r="BK235" s="118" t="str">
        <f>IF(BK$6="","",IF(BK$3="Maior",IFERROR(IF(VLOOKUP($N235,Capa!$A:$AE,BK$5,0)="",0,VLOOKUP($N235,Capa!$A:$AE,BK$5,0)),0),IF(ISERROR(1/VLOOKUP($N235,Capa!$A:$AE,BK$5,0)),0,1/VLOOKUP($N235,Capa!$A:$AE,BK$5,0))))</f>
        <v/>
      </c>
      <c r="BL235" s="118" t="str">
        <f>IF(BL$6="","",IF(BL$3="Maior",IFERROR(IF(VLOOKUP($N235,Capa!$A:$AE,BL$5,0)="",0,VLOOKUP($N235,Capa!$A:$AE,BL$5,0)),0),IF(ISERROR(1/VLOOKUP($N235,Capa!$A:$AE,BL$5,0)),0,1/VLOOKUP($N235,Capa!$A:$AE,BL$5,0))))</f>
        <v/>
      </c>
      <c r="BM235" s="118" t="str">
        <f>IF(BM$6="","",IF(BM$3="Maior",IFERROR(IF(VLOOKUP($N235,Capa!$A:$AE,BM$5,0)="",0,VLOOKUP($N235,Capa!$A:$AE,BM$5,0)),0),IF(ISERROR(1/VLOOKUP($N235,Capa!$A:$AE,BM$5,0)),0,1/VLOOKUP($N235,Capa!$A:$AE,BM$5,0))))</f>
        <v/>
      </c>
      <c r="BN235" s="118" t="str">
        <f>IF(BN$6="","",IF(BN$3="Maior",IFERROR(IF(VLOOKUP($N235,Capa!$A:$AE,BN$5,0)="",0,VLOOKUP($N235,Capa!$A:$AE,BN$5,0)),0),IF(ISERROR(1/VLOOKUP($N235,Capa!$A:$AE,BN$5,0)),0,1/VLOOKUP($N235,Capa!$A:$AE,BN$5,0))))</f>
        <v/>
      </c>
      <c r="BO235" s="92"/>
    </row>
    <row r="236">
      <c r="G236" s="11"/>
      <c r="H236" s="11"/>
      <c r="I236" s="8"/>
      <c r="J236" s="132"/>
      <c r="K236" s="11"/>
      <c r="L236" s="11"/>
      <c r="M236" s="11"/>
      <c r="N236" s="10" t="s">
        <v>282</v>
      </c>
      <c r="O236" s="113">
        <f t="shared" si="8"/>
        <v>1378.0095</v>
      </c>
      <c r="P236" s="114">
        <f>VLOOKUP(N236,'Dados StatusInvest'!A:Z,26,0)</f>
        <v>4877452.54</v>
      </c>
      <c r="Q236" s="115">
        <f t="shared" si="9"/>
        <v>95.0095</v>
      </c>
      <c r="R236" s="116">
        <f t="shared" ref="R236:AO236" si="239">IF(AQ236="","", RANK(AQ236,AQ$7:AQ$503,0))</f>
        <v>64</v>
      </c>
      <c r="S236" s="115">
        <f t="shared" si="239"/>
        <v>219</v>
      </c>
      <c r="T236" s="115" t="str">
        <f t="shared" si="239"/>
        <v/>
      </c>
      <c r="U236" s="115" t="str">
        <f t="shared" si="239"/>
        <v/>
      </c>
      <c r="V236" s="115" t="str">
        <f t="shared" si="239"/>
        <v/>
      </c>
      <c r="W236" s="115" t="str">
        <f t="shared" si="239"/>
        <v/>
      </c>
      <c r="X236" s="115" t="str">
        <f t="shared" si="239"/>
        <v/>
      </c>
      <c r="Y236" s="115" t="str">
        <f t="shared" si="239"/>
        <v/>
      </c>
      <c r="Z236" s="115" t="str">
        <f t="shared" si="239"/>
        <v/>
      </c>
      <c r="AA236" s="115" t="str">
        <f t="shared" si="239"/>
        <v/>
      </c>
      <c r="AB236" s="115" t="str">
        <f t="shared" si="239"/>
        <v/>
      </c>
      <c r="AC236" s="115" t="str">
        <f t="shared" si="239"/>
        <v/>
      </c>
      <c r="AD236" s="115" t="str">
        <f t="shared" si="239"/>
        <v/>
      </c>
      <c r="AE236" s="115" t="str">
        <f t="shared" si="239"/>
        <v/>
      </c>
      <c r="AF236" s="115" t="str">
        <f t="shared" si="239"/>
        <v/>
      </c>
      <c r="AG236" s="115" t="str">
        <f t="shared" si="239"/>
        <v/>
      </c>
      <c r="AH236" s="115" t="str">
        <f t="shared" si="239"/>
        <v/>
      </c>
      <c r="AI236" s="115" t="str">
        <f t="shared" si="239"/>
        <v/>
      </c>
      <c r="AJ236" s="115" t="str">
        <f t="shared" si="239"/>
        <v/>
      </c>
      <c r="AK236" s="115" t="str">
        <f t="shared" si="239"/>
        <v/>
      </c>
      <c r="AL236" s="115" t="str">
        <f t="shared" si="239"/>
        <v/>
      </c>
      <c r="AM236" s="115" t="str">
        <f t="shared" si="239"/>
        <v/>
      </c>
      <c r="AN236" s="115" t="str">
        <f t="shared" si="239"/>
        <v/>
      </c>
      <c r="AO236" s="115" t="str">
        <f t="shared" si="239"/>
        <v/>
      </c>
      <c r="AP236" s="117">
        <f>IF(AP$6="","",IF(AP$3="Maior",IFERROR(IF(VLOOKUP($N236,Capa!$A:$AE,AP$5,0)="",0,VLOOKUP($N236,Capa!$A:$AE,AP$5,0)),0),IF(ISERROR(1/VLOOKUP($N236,Capa!$A:$AE,AP$5,0)),0,1/VLOOKUP($N236,Capa!$A:$AE,AP$5,0))))</f>
        <v>0.1966918513</v>
      </c>
      <c r="AQ236" s="118">
        <f>IF(AQ$6="","",IF(AQ$3="Maior",IFERROR(IF(VLOOKUP($N236,Capa!$A:$AE,AQ$5,0)="",0,VLOOKUP($N236,Capa!$A:$AE,AQ$5,0)),0),IF(ISERROR(1/VLOOKUP($N236,Capa!$A:$AE,AQ$5,0)),0,1/VLOOKUP($N236,Capa!$A:$AE,AQ$5,0))))</f>
        <v>23.15</v>
      </c>
      <c r="AR236" s="118">
        <f>IF(AR$6="","",IF(AR$3="Maior",IFERROR(IF(VLOOKUP($N236,Capa!$A:$AE,AR$5,0)="",0,VLOOKUP($N236,Capa!$A:$AE,AR$5,0)),0),IF(ISERROR(1/VLOOKUP($N236,Capa!$A:$AE,AR$5,0)),0,1/VLOOKUP($N236,Capa!$A:$AE,AR$5,0))))</f>
        <v>0</v>
      </c>
      <c r="AS236" s="118" t="str">
        <f>IF(AS$6="","",IF(AS$3="Maior",IFERROR(IF(VLOOKUP($N236,Capa!$A:$AE,AS$5,0)="",0,VLOOKUP($N236,Capa!$A:$AE,AS$5,0)),0),IF(ISERROR(1/VLOOKUP($N236,Capa!$A:$AE,AS$5,0)),0,1/VLOOKUP($N236,Capa!$A:$AE,AS$5,0))))</f>
        <v/>
      </c>
      <c r="AT236" s="118" t="str">
        <f>IF(AT$6="","",IF(AT$3="Maior",IFERROR(IF(VLOOKUP($N236,Capa!$A:$AE,AT$5,0)="",0,VLOOKUP($N236,Capa!$A:$AE,AT$5,0)),0),IF(ISERROR(1/VLOOKUP($N236,Capa!$A:$AE,AT$5,0)),0,1/VLOOKUP($N236,Capa!$A:$AE,AT$5,0))))</f>
        <v/>
      </c>
      <c r="AU236" s="118" t="str">
        <f>IF(AU$6="","",IF(AU$3="Maior",IFERROR(IF(VLOOKUP($N236,Capa!$A:$AE,AU$5,0)="",0,VLOOKUP($N236,Capa!$A:$AE,AU$5,0)),0),IF(ISERROR(1/VLOOKUP($N236,Capa!$A:$AE,AU$5,0)),0,1/VLOOKUP($N236,Capa!$A:$AE,AU$5,0))))</f>
        <v/>
      </c>
      <c r="AV236" s="118" t="str">
        <f>IF(AV$6="","",IF(AV$3="Maior",IFERROR(IF(VLOOKUP($N236,Capa!$A:$AE,AV$5,0)="",0,VLOOKUP($N236,Capa!$A:$AE,AV$5,0)),0),IF(ISERROR(1/VLOOKUP($N236,Capa!$A:$AE,AV$5,0)),0,1/VLOOKUP($N236,Capa!$A:$AE,AV$5,0))))</f>
        <v/>
      </c>
      <c r="AW236" s="118" t="str">
        <f>IF(AW$6="","",IF(AW$3="Maior",IFERROR(IF(VLOOKUP($N236,Capa!$A:$AE,AW$5,0)="",0,VLOOKUP($N236,Capa!$A:$AE,AW$5,0)),0),IF(ISERROR(1/VLOOKUP($N236,Capa!$A:$AE,AW$5,0)),0,1/VLOOKUP($N236,Capa!$A:$AE,AW$5,0))))</f>
        <v/>
      </c>
      <c r="AX236" s="118" t="str">
        <f>IF(AX$6="","",IF(AX$3="Maior",IFERROR(IF(VLOOKUP($N236,Capa!$A:$AE,AX$5,0)="",0,VLOOKUP($N236,Capa!$A:$AE,AX$5,0)),0),IF(ISERROR(1/VLOOKUP($N236,Capa!$A:$AE,AX$5,0)),0,1/VLOOKUP($N236,Capa!$A:$AE,AX$5,0))))</f>
        <v/>
      </c>
      <c r="AY236" s="118" t="str">
        <f>IF(AY$6="","",IF(AY$3="Maior",IFERROR(IF(VLOOKUP($N236,Capa!$A:$AE,AY$5,0)="",0,VLOOKUP($N236,Capa!$A:$AE,AY$5,0)),0),IF(ISERROR(1/VLOOKUP($N236,Capa!$A:$AE,AY$5,0)),0,1/VLOOKUP($N236,Capa!$A:$AE,AY$5,0))))</f>
        <v/>
      </c>
      <c r="AZ236" s="118" t="str">
        <f>IF(AZ$6="","",IF(AZ$3="Maior",IFERROR(IF(VLOOKUP($N236,Capa!$A:$AE,AZ$5,0)="",0,VLOOKUP($N236,Capa!$A:$AE,AZ$5,0)),0),IF(ISERROR(1/VLOOKUP($N236,Capa!$A:$AE,AZ$5,0)),0,1/VLOOKUP($N236,Capa!$A:$AE,AZ$5,0))))</f>
        <v/>
      </c>
      <c r="BA236" s="118" t="str">
        <f>IF(BA$6="","",IF(BA$3="Maior",IFERROR(IF(VLOOKUP($N236,Capa!$A:$AE,BA$5,0)="",0,VLOOKUP($N236,Capa!$A:$AE,BA$5,0)),0),IF(ISERROR(1/VLOOKUP($N236,Capa!$A:$AE,BA$5,0)),0,1/VLOOKUP($N236,Capa!$A:$AE,BA$5,0))))</f>
        <v/>
      </c>
      <c r="BB236" s="118" t="str">
        <f>IF(BB$6="","",IF(BB$3="Maior",IFERROR(IF(VLOOKUP($N236,Capa!$A:$AE,BB$5,0)="",0,VLOOKUP($N236,Capa!$A:$AE,BB$5,0)),0),IF(ISERROR(1/VLOOKUP($N236,Capa!$A:$AE,BB$5,0)),0,1/VLOOKUP($N236,Capa!$A:$AE,BB$5,0))))</f>
        <v/>
      </c>
      <c r="BC236" s="118" t="str">
        <f>IF(BC$6="","",IF(BC$3="Maior",IFERROR(IF(VLOOKUP($N236,Capa!$A:$AE,BC$5,0)="",0,VLOOKUP($N236,Capa!$A:$AE,BC$5,0)),0),IF(ISERROR(1/VLOOKUP($N236,Capa!$A:$AE,BC$5,0)),0,1/VLOOKUP($N236,Capa!$A:$AE,BC$5,0))))</f>
        <v/>
      </c>
      <c r="BD236" s="118" t="str">
        <f>IF(BD$6="","",IF(BD$3="Maior",IFERROR(IF(VLOOKUP($N236,Capa!$A:$AE,BD$5,0)="",0,VLOOKUP($N236,Capa!$A:$AE,BD$5,0)),0),IF(ISERROR(1/VLOOKUP($N236,Capa!$A:$AE,BD$5,0)),0,1/VLOOKUP($N236,Capa!$A:$AE,BD$5,0))))</f>
        <v/>
      </c>
      <c r="BE236" s="118" t="str">
        <f>IF(BE$6="","",IF(BE$3="Maior",IFERROR(IF(VLOOKUP($N236,Capa!$A:$AE,BE$5,0)="",0,VLOOKUP($N236,Capa!$A:$AE,BE$5,0)),0),IF(ISERROR(1/VLOOKUP($N236,Capa!$A:$AE,BE$5,0)),0,1/VLOOKUP($N236,Capa!$A:$AE,BE$5,0))))</f>
        <v/>
      </c>
      <c r="BF236" s="118" t="str">
        <f>IF(BF$6="","",IF(BF$3="Maior",IFERROR(IF(VLOOKUP($N236,Capa!$A:$AE,BF$5,0)="",0,VLOOKUP($N236,Capa!$A:$AE,BF$5,0)),0),IF(ISERROR(1/VLOOKUP($N236,Capa!$A:$AE,BF$5,0)),0,1/VLOOKUP($N236,Capa!$A:$AE,BF$5,0))))</f>
        <v/>
      </c>
      <c r="BG236" s="118" t="str">
        <f>IF(BG$6="","",IF(BG$3="Maior",IFERROR(IF(VLOOKUP($N236,Capa!$A:$AE,BG$5,0)="",0,VLOOKUP($N236,Capa!$A:$AE,BG$5,0)),0),IF(ISERROR(1/VLOOKUP($N236,Capa!$A:$AE,BG$5,0)),0,1/VLOOKUP($N236,Capa!$A:$AE,BG$5,0))))</f>
        <v/>
      </c>
      <c r="BH236" s="118" t="str">
        <f>IF(BH$6="","",IF(BH$3="Maior",IFERROR(IF(VLOOKUP($N236,Capa!$A:$AE,BH$5,0)="",0,VLOOKUP($N236,Capa!$A:$AE,BH$5,0)),0),IF(ISERROR(1/VLOOKUP($N236,Capa!$A:$AE,BH$5,0)),0,1/VLOOKUP($N236,Capa!$A:$AE,BH$5,0))))</f>
        <v/>
      </c>
      <c r="BI236" s="118" t="str">
        <f>IF(BI$6="","",IF(BI$3="Maior",IFERROR(IF(VLOOKUP($N236,Capa!$A:$AE,BI$5,0)="",0,VLOOKUP($N236,Capa!$A:$AE,BI$5,0)),0),IF(ISERROR(1/VLOOKUP($N236,Capa!$A:$AE,BI$5,0)),0,1/VLOOKUP($N236,Capa!$A:$AE,BI$5,0))))</f>
        <v/>
      </c>
      <c r="BJ236" s="118" t="str">
        <f>IF(BJ$6="","",IF(BJ$3="Maior",IFERROR(IF(VLOOKUP($N236,Capa!$A:$AE,BJ$5,0)="",0,VLOOKUP($N236,Capa!$A:$AE,BJ$5,0)),0),IF(ISERROR(1/VLOOKUP($N236,Capa!$A:$AE,BJ$5,0)),0,1/VLOOKUP($N236,Capa!$A:$AE,BJ$5,0))))</f>
        <v/>
      </c>
      <c r="BK236" s="118" t="str">
        <f>IF(BK$6="","",IF(BK$3="Maior",IFERROR(IF(VLOOKUP($N236,Capa!$A:$AE,BK$5,0)="",0,VLOOKUP($N236,Capa!$A:$AE,BK$5,0)),0),IF(ISERROR(1/VLOOKUP($N236,Capa!$A:$AE,BK$5,0)),0,1/VLOOKUP($N236,Capa!$A:$AE,BK$5,0))))</f>
        <v/>
      </c>
      <c r="BL236" s="118" t="str">
        <f>IF(BL$6="","",IF(BL$3="Maior",IFERROR(IF(VLOOKUP($N236,Capa!$A:$AE,BL$5,0)="",0,VLOOKUP($N236,Capa!$A:$AE,BL$5,0)),0),IF(ISERROR(1/VLOOKUP($N236,Capa!$A:$AE,BL$5,0)),0,1/VLOOKUP($N236,Capa!$A:$AE,BL$5,0))))</f>
        <v/>
      </c>
      <c r="BM236" s="118" t="str">
        <f>IF(BM$6="","",IF(BM$3="Maior",IFERROR(IF(VLOOKUP($N236,Capa!$A:$AE,BM$5,0)="",0,VLOOKUP($N236,Capa!$A:$AE,BM$5,0)),0),IF(ISERROR(1/VLOOKUP($N236,Capa!$A:$AE,BM$5,0)),0,1/VLOOKUP($N236,Capa!$A:$AE,BM$5,0))))</f>
        <v/>
      </c>
      <c r="BN236" s="118" t="str">
        <f>IF(BN$6="","",IF(BN$3="Maior",IFERROR(IF(VLOOKUP($N236,Capa!$A:$AE,BN$5,0)="",0,VLOOKUP($N236,Capa!$A:$AE,BN$5,0)),0),IF(ISERROR(1/VLOOKUP($N236,Capa!$A:$AE,BN$5,0)),0,1/VLOOKUP($N236,Capa!$A:$AE,BN$5,0))))</f>
        <v/>
      </c>
      <c r="BO236" s="92"/>
    </row>
    <row r="237">
      <c r="G237" s="11"/>
      <c r="H237" s="11"/>
      <c r="I237" s="8"/>
      <c r="J237" s="132"/>
      <c r="K237" s="11"/>
      <c r="L237" s="11"/>
      <c r="M237" s="11"/>
      <c r="N237" s="10" t="s">
        <v>283</v>
      </c>
      <c r="O237" s="113">
        <f t="shared" si="8"/>
        <v>1504.001</v>
      </c>
      <c r="P237" s="114">
        <f>VLOOKUP(N237,'Dados StatusInvest'!A:Z,26,0)</f>
        <v>3628867.13</v>
      </c>
      <c r="Q237" s="115">
        <f t="shared" si="9"/>
        <v>10.001</v>
      </c>
      <c r="R237" s="116">
        <f t="shared" ref="R237:AO237" si="240">IF(AQ237="","", RANK(AQ237,AQ$7:AQ$503,0))</f>
        <v>490</v>
      </c>
      <c r="S237" s="115">
        <f t="shared" si="240"/>
        <v>4</v>
      </c>
      <c r="T237" s="115" t="str">
        <f t="shared" si="240"/>
        <v/>
      </c>
      <c r="U237" s="115" t="str">
        <f t="shared" si="240"/>
        <v/>
      </c>
      <c r="V237" s="115" t="str">
        <f t="shared" si="240"/>
        <v/>
      </c>
      <c r="W237" s="115" t="str">
        <f t="shared" si="240"/>
        <v/>
      </c>
      <c r="X237" s="115" t="str">
        <f t="shared" si="240"/>
        <v/>
      </c>
      <c r="Y237" s="115" t="str">
        <f t="shared" si="240"/>
        <v/>
      </c>
      <c r="Z237" s="115" t="str">
        <f t="shared" si="240"/>
        <v/>
      </c>
      <c r="AA237" s="115" t="str">
        <f t="shared" si="240"/>
        <v/>
      </c>
      <c r="AB237" s="115" t="str">
        <f t="shared" si="240"/>
        <v/>
      </c>
      <c r="AC237" s="115" t="str">
        <f t="shared" si="240"/>
        <v/>
      </c>
      <c r="AD237" s="115" t="str">
        <f t="shared" si="240"/>
        <v/>
      </c>
      <c r="AE237" s="115" t="str">
        <f t="shared" si="240"/>
        <v/>
      </c>
      <c r="AF237" s="115" t="str">
        <f t="shared" si="240"/>
        <v/>
      </c>
      <c r="AG237" s="115" t="str">
        <f t="shared" si="240"/>
        <v/>
      </c>
      <c r="AH237" s="115" t="str">
        <f t="shared" si="240"/>
        <v/>
      </c>
      <c r="AI237" s="115" t="str">
        <f t="shared" si="240"/>
        <v/>
      </c>
      <c r="AJ237" s="115" t="str">
        <f t="shared" si="240"/>
        <v/>
      </c>
      <c r="AK237" s="115" t="str">
        <f t="shared" si="240"/>
        <v/>
      </c>
      <c r="AL237" s="115" t="str">
        <f t="shared" si="240"/>
        <v/>
      </c>
      <c r="AM237" s="115" t="str">
        <f t="shared" si="240"/>
        <v/>
      </c>
      <c r="AN237" s="115" t="str">
        <f t="shared" si="240"/>
        <v/>
      </c>
      <c r="AO237" s="115" t="str">
        <f t="shared" si="240"/>
        <v/>
      </c>
      <c r="AP237" s="117">
        <f>IF(AP$6="","",IF(AP$3="Maior",IFERROR(IF(VLOOKUP($N237,Capa!$A:$AE,AP$5,0)="",0,VLOOKUP($N237,Capa!$A:$AE,AP$5,0)),0),IF(ISERROR(1/VLOOKUP($N237,Capa!$A:$AE,AP$5,0)),0,1/VLOOKUP($N237,Capa!$A:$AE,AP$5,0))))</f>
        <v>0.6977053985</v>
      </c>
      <c r="AQ237" s="118">
        <f>IF(AQ$6="","",IF(AQ$3="Maior",IFERROR(IF(VLOOKUP($N237,Capa!$A:$AE,AQ$5,0)="",0,VLOOKUP($N237,Capa!$A:$AE,AQ$5,0)),0),IF(ISERROR(1/VLOOKUP($N237,Capa!$A:$AE,AQ$5,0)),0,1/VLOOKUP($N237,Capa!$A:$AE,AQ$5,0))))</f>
        <v>-217.35</v>
      </c>
      <c r="AR237" s="118">
        <f>IF(AR$6="","",IF(AR$3="Maior",IFERROR(IF(VLOOKUP($N237,Capa!$A:$AE,AR$5,0)="",0,VLOOKUP($N237,Capa!$A:$AE,AR$5,0)),0),IF(ISERROR(1/VLOOKUP($N237,Capa!$A:$AE,AR$5,0)),0,1/VLOOKUP($N237,Capa!$A:$AE,AR$5,0))))</f>
        <v>164.18</v>
      </c>
      <c r="AS237" s="118" t="str">
        <f>IF(AS$6="","",IF(AS$3="Maior",IFERROR(IF(VLOOKUP($N237,Capa!$A:$AE,AS$5,0)="",0,VLOOKUP($N237,Capa!$A:$AE,AS$5,0)),0),IF(ISERROR(1/VLOOKUP($N237,Capa!$A:$AE,AS$5,0)),0,1/VLOOKUP($N237,Capa!$A:$AE,AS$5,0))))</f>
        <v/>
      </c>
      <c r="AT237" s="118" t="str">
        <f>IF(AT$6="","",IF(AT$3="Maior",IFERROR(IF(VLOOKUP($N237,Capa!$A:$AE,AT$5,0)="",0,VLOOKUP($N237,Capa!$A:$AE,AT$5,0)),0),IF(ISERROR(1/VLOOKUP($N237,Capa!$A:$AE,AT$5,0)),0,1/VLOOKUP($N237,Capa!$A:$AE,AT$5,0))))</f>
        <v/>
      </c>
      <c r="AU237" s="118" t="str">
        <f>IF(AU$6="","",IF(AU$3="Maior",IFERROR(IF(VLOOKUP($N237,Capa!$A:$AE,AU$5,0)="",0,VLOOKUP($N237,Capa!$A:$AE,AU$5,0)),0),IF(ISERROR(1/VLOOKUP($N237,Capa!$A:$AE,AU$5,0)),0,1/VLOOKUP($N237,Capa!$A:$AE,AU$5,0))))</f>
        <v/>
      </c>
      <c r="AV237" s="118" t="str">
        <f>IF(AV$6="","",IF(AV$3="Maior",IFERROR(IF(VLOOKUP($N237,Capa!$A:$AE,AV$5,0)="",0,VLOOKUP($N237,Capa!$A:$AE,AV$5,0)),0),IF(ISERROR(1/VLOOKUP($N237,Capa!$A:$AE,AV$5,0)),0,1/VLOOKUP($N237,Capa!$A:$AE,AV$5,0))))</f>
        <v/>
      </c>
      <c r="AW237" s="118" t="str">
        <f>IF(AW$6="","",IF(AW$3="Maior",IFERROR(IF(VLOOKUP($N237,Capa!$A:$AE,AW$5,0)="",0,VLOOKUP($N237,Capa!$A:$AE,AW$5,0)),0),IF(ISERROR(1/VLOOKUP($N237,Capa!$A:$AE,AW$5,0)),0,1/VLOOKUP($N237,Capa!$A:$AE,AW$5,0))))</f>
        <v/>
      </c>
      <c r="AX237" s="118" t="str">
        <f>IF(AX$6="","",IF(AX$3="Maior",IFERROR(IF(VLOOKUP($N237,Capa!$A:$AE,AX$5,0)="",0,VLOOKUP($N237,Capa!$A:$AE,AX$5,0)),0),IF(ISERROR(1/VLOOKUP($N237,Capa!$A:$AE,AX$5,0)),0,1/VLOOKUP($N237,Capa!$A:$AE,AX$5,0))))</f>
        <v/>
      </c>
      <c r="AY237" s="118" t="str">
        <f>IF(AY$6="","",IF(AY$3="Maior",IFERROR(IF(VLOOKUP($N237,Capa!$A:$AE,AY$5,0)="",0,VLOOKUP($N237,Capa!$A:$AE,AY$5,0)),0),IF(ISERROR(1/VLOOKUP($N237,Capa!$A:$AE,AY$5,0)),0,1/VLOOKUP($N237,Capa!$A:$AE,AY$5,0))))</f>
        <v/>
      </c>
      <c r="AZ237" s="118" t="str">
        <f>IF(AZ$6="","",IF(AZ$3="Maior",IFERROR(IF(VLOOKUP($N237,Capa!$A:$AE,AZ$5,0)="",0,VLOOKUP($N237,Capa!$A:$AE,AZ$5,0)),0),IF(ISERROR(1/VLOOKUP($N237,Capa!$A:$AE,AZ$5,0)),0,1/VLOOKUP($N237,Capa!$A:$AE,AZ$5,0))))</f>
        <v/>
      </c>
      <c r="BA237" s="118" t="str">
        <f>IF(BA$6="","",IF(BA$3="Maior",IFERROR(IF(VLOOKUP($N237,Capa!$A:$AE,BA$5,0)="",0,VLOOKUP($N237,Capa!$A:$AE,BA$5,0)),0),IF(ISERROR(1/VLOOKUP($N237,Capa!$A:$AE,BA$5,0)),0,1/VLOOKUP($N237,Capa!$A:$AE,BA$5,0))))</f>
        <v/>
      </c>
      <c r="BB237" s="118" t="str">
        <f>IF(BB$6="","",IF(BB$3="Maior",IFERROR(IF(VLOOKUP($N237,Capa!$A:$AE,BB$5,0)="",0,VLOOKUP($N237,Capa!$A:$AE,BB$5,0)),0),IF(ISERROR(1/VLOOKUP($N237,Capa!$A:$AE,BB$5,0)),0,1/VLOOKUP($N237,Capa!$A:$AE,BB$5,0))))</f>
        <v/>
      </c>
      <c r="BC237" s="118" t="str">
        <f>IF(BC$6="","",IF(BC$3="Maior",IFERROR(IF(VLOOKUP($N237,Capa!$A:$AE,BC$5,0)="",0,VLOOKUP($N237,Capa!$A:$AE,BC$5,0)),0),IF(ISERROR(1/VLOOKUP($N237,Capa!$A:$AE,BC$5,0)),0,1/VLOOKUP($N237,Capa!$A:$AE,BC$5,0))))</f>
        <v/>
      </c>
      <c r="BD237" s="118" t="str">
        <f>IF(BD$6="","",IF(BD$3="Maior",IFERROR(IF(VLOOKUP($N237,Capa!$A:$AE,BD$5,0)="",0,VLOOKUP($N237,Capa!$A:$AE,BD$5,0)),0),IF(ISERROR(1/VLOOKUP($N237,Capa!$A:$AE,BD$5,0)),0,1/VLOOKUP($N237,Capa!$A:$AE,BD$5,0))))</f>
        <v/>
      </c>
      <c r="BE237" s="118" t="str">
        <f>IF(BE$6="","",IF(BE$3="Maior",IFERROR(IF(VLOOKUP($N237,Capa!$A:$AE,BE$5,0)="",0,VLOOKUP($N237,Capa!$A:$AE,BE$5,0)),0),IF(ISERROR(1/VLOOKUP($N237,Capa!$A:$AE,BE$5,0)),0,1/VLOOKUP($N237,Capa!$A:$AE,BE$5,0))))</f>
        <v/>
      </c>
      <c r="BF237" s="118" t="str">
        <f>IF(BF$6="","",IF(BF$3="Maior",IFERROR(IF(VLOOKUP($N237,Capa!$A:$AE,BF$5,0)="",0,VLOOKUP($N237,Capa!$A:$AE,BF$5,0)),0),IF(ISERROR(1/VLOOKUP($N237,Capa!$A:$AE,BF$5,0)),0,1/VLOOKUP($N237,Capa!$A:$AE,BF$5,0))))</f>
        <v/>
      </c>
      <c r="BG237" s="118" t="str">
        <f>IF(BG$6="","",IF(BG$3="Maior",IFERROR(IF(VLOOKUP($N237,Capa!$A:$AE,BG$5,0)="",0,VLOOKUP($N237,Capa!$A:$AE,BG$5,0)),0),IF(ISERROR(1/VLOOKUP($N237,Capa!$A:$AE,BG$5,0)),0,1/VLOOKUP($N237,Capa!$A:$AE,BG$5,0))))</f>
        <v/>
      </c>
      <c r="BH237" s="118" t="str">
        <f>IF(BH$6="","",IF(BH$3="Maior",IFERROR(IF(VLOOKUP($N237,Capa!$A:$AE,BH$5,0)="",0,VLOOKUP($N237,Capa!$A:$AE,BH$5,0)),0),IF(ISERROR(1/VLOOKUP($N237,Capa!$A:$AE,BH$5,0)),0,1/VLOOKUP($N237,Capa!$A:$AE,BH$5,0))))</f>
        <v/>
      </c>
      <c r="BI237" s="118" t="str">
        <f>IF(BI$6="","",IF(BI$3="Maior",IFERROR(IF(VLOOKUP($N237,Capa!$A:$AE,BI$5,0)="",0,VLOOKUP($N237,Capa!$A:$AE,BI$5,0)),0),IF(ISERROR(1/VLOOKUP($N237,Capa!$A:$AE,BI$5,0)),0,1/VLOOKUP($N237,Capa!$A:$AE,BI$5,0))))</f>
        <v/>
      </c>
      <c r="BJ237" s="118" t="str">
        <f>IF(BJ$6="","",IF(BJ$3="Maior",IFERROR(IF(VLOOKUP($N237,Capa!$A:$AE,BJ$5,0)="",0,VLOOKUP($N237,Capa!$A:$AE,BJ$5,0)),0),IF(ISERROR(1/VLOOKUP($N237,Capa!$A:$AE,BJ$5,0)),0,1/VLOOKUP($N237,Capa!$A:$AE,BJ$5,0))))</f>
        <v/>
      </c>
      <c r="BK237" s="118" t="str">
        <f>IF(BK$6="","",IF(BK$3="Maior",IFERROR(IF(VLOOKUP($N237,Capa!$A:$AE,BK$5,0)="",0,VLOOKUP($N237,Capa!$A:$AE,BK$5,0)),0),IF(ISERROR(1/VLOOKUP($N237,Capa!$A:$AE,BK$5,0)),0,1/VLOOKUP($N237,Capa!$A:$AE,BK$5,0))))</f>
        <v/>
      </c>
      <c r="BL237" s="118" t="str">
        <f>IF(BL$6="","",IF(BL$3="Maior",IFERROR(IF(VLOOKUP($N237,Capa!$A:$AE,BL$5,0)="",0,VLOOKUP($N237,Capa!$A:$AE,BL$5,0)),0),IF(ISERROR(1/VLOOKUP($N237,Capa!$A:$AE,BL$5,0)),0,1/VLOOKUP($N237,Capa!$A:$AE,BL$5,0))))</f>
        <v/>
      </c>
      <c r="BM237" s="118" t="str">
        <f>IF(BM$6="","",IF(BM$3="Maior",IFERROR(IF(VLOOKUP($N237,Capa!$A:$AE,BM$5,0)="",0,VLOOKUP($N237,Capa!$A:$AE,BM$5,0)),0),IF(ISERROR(1/VLOOKUP($N237,Capa!$A:$AE,BM$5,0)),0,1/VLOOKUP($N237,Capa!$A:$AE,BM$5,0))))</f>
        <v/>
      </c>
      <c r="BN237" s="118" t="str">
        <f>IF(BN$6="","",IF(BN$3="Maior",IFERROR(IF(VLOOKUP($N237,Capa!$A:$AE,BN$5,0)="",0,VLOOKUP($N237,Capa!$A:$AE,BN$5,0)),0),IF(ISERROR(1/VLOOKUP($N237,Capa!$A:$AE,BN$5,0)),0,1/VLOOKUP($N237,Capa!$A:$AE,BN$5,0))))</f>
        <v/>
      </c>
      <c r="BO237" s="92"/>
    </row>
    <row r="238">
      <c r="G238" s="11"/>
      <c r="H238" s="11"/>
      <c r="I238" s="8"/>
      <c r="J238" s="132"/>
      <c r="K238" s="11"/>
      <c r="L238" s="11"/>
      <c r="M238" s="11"/>
      <c r="N238" s="10" t="s">
        <v>284</v>
      </c>
      <c r="O238" s="113">
        <f t="shared" si="8"/>
        <v>1661.0226</v>
      </c>
      <c r="P238" s="114">
        <f>VLOOKUP(N238,'Dados StatusInvest'!A:Z,26,0)</f>
        <v>5018005.83</v>
      </c>
      <c r="Q238" s="115">
        <f t="shared" si="9"/>
        <v>226.0226</v>
      </c>
      <c r="R238" s="116">
        <f t="shared" ref="R238:AO238" si="241">IF(AQ238="","", RANK(AQ238,AQ$7:AQ$503,0))</f>
        <v>216</v>
      </c>
      <c r="S238" s="115">
        <f t="shared" si="241"/>
        <v>219</v>
      </c>
      <c r="T238" s="115" t="str">
        <f t="shared" si="241"/>
        <v/>
      </c>
      <c r="U238" s="115" t="str">
        <f t="shared" si="241"/>
        <v/>
      </c>
      <c r="V238" s="115" t="str">
        <f t="shared" si="241"/>
        <v/>
      </c>
      <c r="W238" s="115" t="str">
        <f t="shared" si="241"/>
        <v/>
      </c>
      <c r="X238" s="115" t="str">
        <f t="shared" si="241"/>
        <v/>
      </c>
      <c r="Y238" s="115" t="str">
        <f t="shared" si="241"/>
        <v/>
      </c>
      <c r="Z238" s="115" t="str">
        <f t="shared" si="241"/>
        <v/>
      </c>
      <c r="AA238" s="115" t="str">
        <f t="shared" si="241"/>
        <v/>
      </c>
      <c r="AB238" s="115" t="str">
        <f t="shared" si="241"/>
        <v/>
      </c>
      <c r="AC238" s="115" t="str">
        <f t="shared" si="241"/>
        <v/>
      </c>
      <c r="AD238" s="115" t="str">
        <f t="shared" si="241"/>
        <v/>
      </c>
      <c r="AE238" s="115" t="str">
        <f t="shared" si="241"/>
        <v/>
      </c>
      <c r="AF238" s="115" t="str">
        <f t="shared" si="241"/>
        <v/>
      </c>
      <c r="AG238" s="115" t="str">
        <f t="shared" si="241"/>
        <v/>
      </c>
      <c r="AH238" s="115" t="str">
        <f t="shared" si="241"/>
        <v/>
      </c>
      <c r="AI238" s="115" t="str">
        <f t="shared" si="241"/>
        <v/>
      </c>
      <c r="AJ238" s="115" t="str">
        <f t="shared" si="241"/>
        <v/>
      </c>
      <c r="AK238" s="115" t="str">
        <f t="shared" si="241"/>
        <v/>
      </c>
      <c r="AL238" s="115" t="str">
        <f t="shared" si="241"/>
        <v/>
      </c>
      <c r="AM238" s="115" t="str">
        <f t="shared" si="241"/>
        <v/>
      </c>
      <c r="AN238" s="115" t="str">
        <f t="shared" si="241"/>
        <v/>
      </c>
      <c r="AO238" s="115" t="str">
        <f t="shared" si="241"/>
        <v/>
      </c>
      <c r="AP238" s="117">
        <f>IF(AP$6="","",IF(AP$3="Maior",IFERROR(IF(VLOOKUP($N238,Capa!$A:$AE,AP$5,0)="",0,VLOOKUP($N238,Capa!$A:$AE,AP$5,0)),0),IF(ISERROR(1/VLOOKUP($N238,Capa!$A:$AE,AP$5,0)),0,1/VLOOKUP($N238,Capa!$A:$AE,AP$5,0))))</f>
        <v>0.090028305</v>
      </c>
      <c r="AQ238" s="118">
        <f>IF(AQ$6="","",IF(AQ$3="Maior",IFERROR(IF(VLOOKUP($N238,Capa!$A:$AE,AQ$5,0)="",0,VLOOKUP($N238,Capa!$A:$AE,AQ$5,0)),0),IF(ISERROR(1/VLOOKUP($N238,Capa!$A:$AE,AQ$5,0)),0,1/VLOOKUP($N238,Capa!$A:$AE,AQ$5,0))))</f>
        <v>10.38</v>
      </c>
      <c r="AR238" s="118">
        <f>IF(AR$6="","",IF(AR$3="Maior",IFERROR(IF(VLOOKUP($N238,Capa!$A:$AE,AR$5,0)="",0,VLOOKUP($N238,Capa!$A:$AE,AR$5,0)),0),IF(ISERROR(1/VLOOKUP($N238,Capa!$A:$AE,AR$5,0)),0,1/VLOOKUP($N238,Capa!$A:$AE,AR$5,0))))</f>
        <v>0</v>
      </c>
      <c r="AS238" s="118" t="str">
        <f>IF(AS$6="","",IF(AS$3="Maior",IFERROR(IF(VLOOKUP($N238,Capa!$A:$AE,AS$5,0)="",0,VLOOKUP($N238,Capa!$A:$AE,AS$5,0)),0),IF(ISERROR(1/VLOOKUP($N238,Capa!$A:$AE,AS$5,0)),0,1/VLOOKUP($N238,Capa!$A:$AE,AS$5,0))))</f>
        <v/>
      </c>
      <c r="AT238" s="118" t="str">
        <f>IF(AT$6="","",IF(AT$3="Maior",IFERROR(IF(VLOOKUP($N238,Capa!$A:$AE,AT$5,0)="",0,VLOOKUP($N238,Capa!$A:$AE,AT$5,0)),0),IF(ISERROR(1/VLOOKUP($N238,Capa!$A:$AE,AT$5,0)),0,1/VLOOKUP($N238,Capa!$A:$AE,AT$5,0))))</f>
        <v/>
      </c>
      <c r="AU238" s="118" t="str">
        <f>IF(AU$6="","",IF(AU$3="Maior",IFERROR(IF(VLOOKUP($N238,Capa!$A:$AE,AU$5,0)="",0,VLOOKUP($N238,Capa!$A:$AE,AU$5,0)),0),IF(ISERROR(1/VLOOKUP($N238,Capa!$A:$AE,AU$5,0)),0,1/VLOOKUP($N238,Capa!$A:$AE,AU$5,0))))</f>
        <v/>
      </c>
      <c r="AV238" s="118" t="str">
        <f>IF(AV$6="","",IF(AV$3="Maior",IFERROR(IF(VLOOKUP($N238,Capa!$A:$AE,AV$5,0)="",0,VLOOKUP($N238,Capa!$A:$AE,AV$5,0)),0),IF(ISERROR(1/VLOOKUP($N238,Capa!$A:$AE,AV$5,0)),0,1/VLOOKUP($N238,Capa!$A:$AE,AV$5,0))))</f>
        <v/>
      </c>
      <c r="AW238" s="118" t="str">
        <f>IF(AW$6="","",IF(AW$3="Maior",IFERROR(IF(VLOOKUP($N238,Capa!$A:$AE,AW$5,0)="",0,VLOOKUP($N238,Capa!$A:$AE,AW$5,0)),0),IF(ISERROR(1/VLOOKUP($N238,Capa!$A:$AE,AW$5,0)),0,1/VLOOKUP($N238,Capa!$A:$AE,AW$5,0))))</f>
        <v/>
      </c>
      <c r="AX238" s="118" t="str">
        <f>IF(AX$6="","",IF(AX$3="Maior",IFERROR(IF(VLOOKUP($N238,Capa!$A:$AE,AX$5,0)="",0,VLOOKUP($N238,Capa!$A:$AE,AX$5,0)),0),IF(ISERROR(1/VLOOKUP($N238,Capa!$A:$AE,AX$5,0)),0,1/VLOOKUP($N238,Capa!$A:$AE,AX$5,0))))</f>
        <v/>
      </c>
      <c r="AY238" s="118" t="str">
        <f>IF(AY$6="","",IF(AY$3="Maior",IFERROR(IF(VLOOKUP($N238,Capa!$A:$AE,AY$5,0)="",0,VLOOKUP($N238,Capa!$A:$AE,AY$5,0)),0),IF(ISERROR(1/VLOOKUP($N238,Capa!$A:$AE,AY$5,0)),0,1/VLOOKUP($N238,Capa!$A:$AE,AY$5,0))))</f>
        <v/>
      </c>
      <c r="AZ238" s="118" t="str">
        <f>IF(AZ$6="","",IF(AZ$3="Maior",IFERROR(IF(VLOOKUP($N238,Capa!$A:$AE,AZ$5,0)="",0,VLOOKUP($N238,Capa!$A:$AE,AZ$5,0)),0),IF(ISERROR(1/VLOOKUP($N238,Capa!$A:$AE,AZ$5,0)),0,1/VLOOKUP($N238,Capa!$A:$AE,AZ$5,0))))</f>
        <v/>
      </c>
      <c r="BA238" s="118" t="str">
        <f>IF(BA$6="","",IF(BA$3="Maior",IFERROR(IF(VLOOKUP($N238,Capa!$A:$AE,BA$5,0)="",0,VLOOKUP($N238,Capa!$A:$AE,BA$5,0)),0),IF(ISERROR(1/VLOOKUP($N238,Capa!$A:$AE,BA$5,0)),0,1/VLOOKUP($N238,Capa!$A:$AE,BA$5,0))))</f>
        <v/>
      </c>
      <c r="BB238" s="118" t="str">
        <f>IF(BB$6="","",IF(BB$3="Maior",IFERROR(IF(VLOOKUP($N238,Capa!$A:$AE,BB$5,0)="",0,VLOOKUP($N238,Capa!$A:$AE,BB$5,0)),0),IF(ISERROR(1/VLOOKUP($N238,Capa!$A:$AE,BB$5,0)),0,1/VLOOKUP($N238,Capa!$A:$AE,BB$5,0))))</f>
        <v/>
      </c>
      <c r="BC238" s="118" t="str">
        <f>IF(BC$6="","",IF(BC$3="Maior",IFERROR(IF(VLOOKUP($N238,Capa!$A:$AE,BC$5,0)="",0,VLOOKUP($N238,Capa!$A:$AE,BC$5,0)),0),IF(ISERROR(1/VLOOKUP($N238,Capa!$A:$AE,BC$5,0)),0,1/VLOOKUP($N238,Capa!$A:$AE,BC$5,0))))</f>
        <v/>
      </c>
      <c r="BD238" s="118" t="str">
        <f>IF(BD$6="","",IF(BD$3="Maior",IFERROR(IF(VLOOKUP($N238,Capa!$A:$AE,BD$5,0)="",0,VLOOKUP($N238,Capa!$A:$AE,BD$5,0)),0),IF(ISERROR(1/VLOOKUP($N238,Capa!$A:$AE,BD$5,0)),0,1/VLOOKUP($N238,Capa!$A:$AE,BD$5,0))))</f>
        <v/>
      </c>
      <c r="BE238" s="118" t="str">
        <f>IF(BE$6="","",IF(BE$3="Maior",IFERROR(IF(VLOOKUP($N238,Capa!$A:$AE,BE$5,0)="",0,VLOOKUP($N238,Capa!$A:$AE,BE$5,0)),0),IF(ISERROR(1/VLOOKUP($N238,Capa!$A:$AE,BE$5,0)),0,1/VLOOKUP($N238,Capa!$A:$AE,BE$5,0))))</f>
        <v/>
      </c>
      <c r="BF238" s="118" t="str">
        <f>IF(BF$6="","",IF(BF$3="Maior",IFERROR(IF(VLOOKUP($N238,Capa!$A:$AE,BF$5,0)="",0,VLOOKUP($N238,Capa!$A:$AE,BF$5,0)),0),IF(ISERROR(1/VLOOKUP($N238,Capa!$A:$AE,BF$5,0)),0,1/VLOOKUP($N238,Capa!$A:$AE,BF$5,0))))</f>
        <v/>
      </c>
      <c r="BG238" s="118" t="str">
        <f>IF(BG$6="","",IF(BG$3="Maior",IFERROR(IF(VLOOKUP($N238,Capa!$A:$AE,BG$5,0)="",0,VLOOKUP($N238,Capa!$A:$AE,BG$5,0)),0),IF(ISERROR(1/VLOOKUP($N238,Capa!$A:$AE,BG$5,0)),0,1/VLOOKUP($N238,Capa!$A:$AE,BG$5,0))))</f>
        <v/>
      </c>
      <c r="BH238" s="118" t="str">
        <f>IF(BH$6="","",IF(BH$3="Maior",IFERROR(IF(VLOOKUP($N238,Capa!$A:$AE,BH$5,0)="",0,VLOOKUP($N238,Capa!$A:$AE,BH$5,0)),0),IF(ISERROR(1/VLOOKUP($N238,Capa!$A:$AE,BH$5,0)),0,1/VLOOKUP($N238,Capa!$A:$AE,BH$5,0))))</f>
        <v/>
      </c>
      <c r="BI238" s="118" t="str">
        <f>IF(BI$6="","",IF(BI$3="Maior",IFERROR(IF(VLOOKUP($N238,Capa!$A:$AE,BI$5,0)="",0,VLOOKUP($N238,Capa!$A:$AE,BI$5,0)),0),IF(ISERROR(1/VLOOKUP($N238,Capa!$A:$AE,BI$5,0)),0,1/VLOOKUP($N238,Capa!$A:$AE,BI$5,0))))</f>
        <v/>
      </c>
      <c r="BJ238" s="118" t="str">
        <f>IF(BJ$6="","",IF(BJ$3="Maior",IFERROR(IF(VLOOKUP($N238,Capa!$A:$AE,BJ$5,0)="",0,VLOOKUP($N238,Capa!$A:$AE,BJ$5,0)),0),IF(ISERROR(1/VLOOKUP($N238,Capa!$A:$AE,BJ$5,0)),0,1/VLOOKUP($N238,Capa!$A:$AE,BJ$5,0))))</f>
        <v/>
      </c>
      <c r="BK238" s="118" t="str">
        <f>IF(BK$6="","",IF(BK$3="Maior",IFERROR(IF(VLOOKUP($N238,Capa!$A:$AE,BK$5,0)="",0,VLOOKUP($N238,Capa!$A:$AE,BK$5,0)),0),IF(ISERROR(1/VLOOKUP($N238,Capa!$A:$AE,BK$5,0)),0,1/VLOOKUP($N238,Capa!$A:$AE,BK$5,0))))</f>
        <v/>
      </c>
      <c r="BL238" s="118" t="str">
        <f>IF(BL$6="","",IF(BL$3="Maior",IFERROR(IF(VLOOKUP($N238,Capa!$A:$AE,BL$5,0)="",0,VLOOKUP($N238,Capa!$A:$AE,BL$5,0)),0),IF(ISERROR(1/VLOOKUP($N238,Capa!$A:$AE,BL$5,0)),0,1/VLOOKUP($N238,Capa!$A:$AE,BL$5,0))))</f>
        <v/>
      </c>
      <c r="BM238" s="118" t="str">
        <f>IF(BM$6="","",IF(BM$3="Maior",IFERROR(IF(VLOOKUP($N238,Capa!$A:$AE,BM$5,0)="",0,VLOOKUP($N238,Capa!$A:$AE,BM$5,0)),0),IF(ISERROR(1/VLOOKUP($N238,Capa!$A:$AE,BM$5,0)),0,1/VLOOKUP($N238,Capa!$A:$AE,BM$5,0))))</f>
        <v/>
      </c>
      <c r="BN238" s="118" t="str">
        <f>IF(BN$6="","",IF(BN$3="Maior",IFERROR(IF(VLOOKUP($N238,Capa!$A:$AE,BN$5,0)="",0,VLOOKUP($N238,Capa!$A:$AE,BN$5,0)),0),IF(ISERROR(1/VLOOKUP($N238,Capa!$A:$AE,BN$5,0)),0,1/VLOOKUP($N238,Capa!$A:$AE,BN$5,0))))</f>
        <v/>
      </c>
      <c r="BO238" s="92"/>
    </row>
    <row r="239">
      <c r="G239" s="11"/>
      <c r="H239" s="11"/>
      <c r="I239" s="8"/>
      <c r="J239" s="132"/>
      <c r="K239" s="11"/>
      <c r="L239" s="11"/>
      <c r="M239" s="11"/>
      <c r="N239" s="10" t="s">
        <v>285</v>
      </c>
      <c r="O239" s="113">
        <f t="shared" si="8"/>
        <v>2002.0408</v>
      </c>
      <c r="P239" s="114">
        <f>VLOOKUP(N239,'Dados StatusInvest'!A:Z,26,0)</f>
        <v>5063144.46</v>
      </c>
      <c r="Q239" s="115">
        <f t="shared" si="9"/>
        <v>408.0408</v>
      </c>
      <c r="R239" s="116">
        <f t="shared" ref="R239:AO239" si="242">IF(AQ239="","", RANK(AQ239,AQ$7:AQ$503,0))</f>
        <v>375</v>
      </c>
      <c r="S239" s="115">
        <f t="shared" si="242"/>
        <v>219</v>
      </c>
      <c r="T239" s="115" t="str">
        <f t="shared" si="242"/>
        <v/>
      </c>
      <c r="U239" s="115" t="str">
        <f t="shared" si="242"/>
        <v/>
      </c>
      <c r="V239" s="115" t="str">
        <f t="shared" si="242"/>
        <v/>
      </c>
      <c r="W239" s="115" t="str">
        <f t="shared" si="242"/>
        <v/>
      </c>
      <c r="X239" s="115" t="str">
        <f t="shared" si="242"/>
        <v/>
      </c>
      <c r="Y239" s="115" t="str">
        <f t="shared" si="242"/>
        <v/>
      </c>
      <c r="Z239" s="115" t="str">
        <f t="shared" si="242"/>
        <v/>
      </c>
      <c r="AA239" s="115" t="str">
        <f t="shared" si="242"/>
        <v/>
      </c>
      <c r="AB239" s="115" t="str">
        <f t="shared" si="242"/>
        <v/>
      </c>
      <c r="AC239" s="115" t="str">
        <f t="shared" si="242"/>
        <v/>
      </c>
      <c r="AD239" s="115" t="str">
        <f t="shared" si="242"/>
        <v/>
      </c>
      <c r="AE239" s="115" t="str">
        <f t="shared" si="242"/>
        <v/>
      </c>
      <c r="AF239" s="115" t="str">
        <f t="shared" si="242"/>
        <v/>
      </c>
      <c r="AG239" s="115" t="str">
        <f t="shared" si="242"/>
        <v/>
      </c>
      <c r="AH239" s="115" t="str">
        <f t="shared" si="242"/>
        <v/>
      </c>
      <c r="AI239" s="115" t="str">
        <f t="shared" si="242"/>
        <v/>
      </c>
      <c r="AJ239" s="115" t="str">
        <f t="shared" si="242"/>
        <v/>
      </c>
      <c r="AK239" s="115" t="str">
        <f t="shared" si="242"/>
        <v/>
      </c>
      <c r="AL239" s="115" t="str">
        <f t="shared" si="242"/>
        <v/>
      </c>
      <c r="AM239" s="115" t="str">
        <f t="shared" si="242"/>
        <v/>
      </c>
      <c r="AN239" s="115" t="str">
        <f t="shared" si="242"/>
        <v/>
      </c>
      <c r="AO239" s="115" t="str">
        <f t="shared" si="242"/>
        <v/>
      </c>
      <c r="AP239" s="117">
        <f>IF(AP$6="","",IF(AP$3="Maior",IFERROR(IF(VLOOKUP($N239,Capa!$A:$AE,AP$5,0)="",0,VLOOKUP($N239,Capa!$A:$AE,AP$5,0)),0),IF(ISERROR(1/VLOOKUP($N239,Capa!$A:$AE,AP$5,0)),0,1/VLOOKUP($N239,Capa!$A:$AE,AP$5,0))))</f>
        <v>-0.001843098848</v>
      </c>
      <c r="AQ239" s="118">
        <f>IF(AQ$6="","",IF(AQ$3="Maior",IFERROR(IF(VLOOKUP($N239,Capa!$A:$AE,AQ$5,0)="",0,VLOOKUP($N239,Capa!$A:$AE,AQ$5,0)),0),IF(ISERROR(1/VLOOKUP($N239,Capa!$A:$AE,AQ$5,0)),0,1/VLOOKUP($N239,Capa!$A:$AE,AQ$5,0))))</f>
        <v>0</v>
      </c>
      <c r="AR239" s="118">
        <f>IF(AR$6="","",IF(AR$3="Maior",IFERROR(IF(VLOOKUP($N239,Capa!$A:$AE,AR$5,0)="",0,VLOOKUP($N239,Capa!$A:$AE,AR$5,0)),0),IF(ISERROR(1/VLOOKUP($N239,Capa!$A:$AE,AR$5,0)),0,1/VLOOKUP($N239,Capa!$A:$AE,AR$5,0))))</f>
        <v>0</v>
      </c>
      <c r="AS239" s="118" t="str">
        <f>IF(AS$6="","",IF(AS$3="Maior",IFERROR(IF(VLOOKUP($N239,Capa!$A:$AE,AS$5,0)="",0,VLOOKUP($N239,Capa!$A:$AE,AS$5,0)),0),IF(ISERROR(1/VLOOKUP($N239,Capa!$A:$AE,AS$5,0)),0,1/VLOOKUP($N239,Capa!$A:$AE,AS$5,0))))</f>
        <v/>
      </c>
      <c r="AT239" s="118" t="str">
        <f>IF(AT$6="","",IF(AT$3="Maior",IFERROR(IF(VLOOKUP($N239,Capa!$A:$AE,AT$5,0)="",0,VLOOKUP($N239,Capa!$A:$AE,AT$5,0)),0),IF(ISERROR(1/VLOOKUP($N239,Capa!$A:$AE,AT$5,0)),0,1/VLOOKUP($N239,Capa!$A:$AE,AT$5,0))))</f>
        <v/>
      </c>
      <c r="AU239" s="118" t="str">
        <f>IF(AU$6="","",IF(AU$3="Maior",IFERROR(IF(VLOOKUP($N239,Capa!$A:$AE,AU$5,0)="",0,VLOOKUP($N239,Capa!$A:$AE,AU$5,0)),0),IF(ISERROR(1/VLOOKUP($N239,Capa!$A:$AE,AU$5,0)),0,1/VLOOKUP($N239,Capa!$A:$AE,AU$5,0))))</f>
        <v/>
      </c>
      <c r="AV239" s="118" t="str">
        <f>IF(AV$6="","",IF(AV$3="Maior",IFERROR(IF(VLOOKUP($N239,Capa!$A:$AE,AV$5,0)="",0,VLOOKUP($N239,Capa!$A:$AE,AV$5,0)),0),IF(ISERROR(1/VLOOKUP($N239,Capa!$A:$AE,AV$5,0)),0,1/VLOOKUP($N239,Capa!$A:$AE,AV$5,0))))</f>
        <v/>
      </c>
      <c r="AW239" s="118" t="str">
        <f>IF(AW$6="","",IF(AW$3="Maior",IFERROR(IF(VLOOKUP($N239,Capa!$A:$AE,AW$5,0)="",0,VLOOKUP($N239,Capa!$A:$AE,AW$5,0)),0),IF(ISERROR(1/VLOOKUP($N239,Capa!$A:$AE,AW$5,0)),0,1/VLOOKUP($N239,Capa!$A:$AE,AW$5,0))))</f>
        <v/>
      </c>
      <c r="AX239" s="118" t="str">
        <f>IF(AX$6="","",IF(AX$3="Maior",IFERROR(IF(VLOOKUP($N239,Capa!$A:$AE,AX$5,0)="",0,VLOOKUP($N239,Capa!$A:$AE,AX$5,0)),0),IF(ISERROR(1/VLOOKUP($N239,Capa!$A:$AE,AX$5,0)),0,1/VLOOKUP($N239,Capa!$A:$AE,AX$5,0))))</f>
        <v/>
      </c>
      <c r="AY239" s="118" t="str">
        <f>IF(AY$6="","",IF(AY$3="Maior",IFERROR(IF(VLOOKUP($N239,Capa!$A:$AE,AY$5,0)="",0,VLOOKUP($N239,Capa!$A:$AE,AY$5,0)),0),IF(ISERROR(1/VLOOKUP($N239,Capa!$A:$AE,AY$5,0)),0,1/VLOOKUP($N239,Capa!$A:$AE,AY$5,0))))</f>
        <v/>
      </c>
      <c r="AZ239" s="118" t="str">
        <f>IF(AZ$6="","",IF(AZ$3="Maior",IFERROR(IF(VLOOKUP($N239,Capa!$A:$AE,AZ$5,0)="",0,VLOOKUP($N239,Capa!$A:$AE,AZ$5,0)),0),IF(ISERROR(1/VLOOKUP($N239,Capa!$A:$AE,AZ$5,0)),0,1/VLOOKUP($N239,Capa!$A:$AE,AZ$5,0))))</f>
        <v/>
      </c>
      <c r="BA239" s="118" t="str">
        <f>IF(BA$6="","",IF(BA$3="Maior",IFERROR(IF(VLOOKUP($N239,Capa!$A:$AE,BA$5,0)="",0,VLOOKUP($N239,Capa!$A:$AE,BA$5,0)),0),IF(ISERROR(1/VLOOKUP($N239,Capa!$A:$AE,BA$5,0)),0,1/VLOOKUP($N239,Capa!$A:$AE,BA$5,0))))</f>
        <v/>
      </c>
      <c r="BB239" s="118" t="str">
        <f>IF(BB$6="","",IF(BB$3="Maior",IFERROR(IF(VLOOKUP($N239,Capa!$A:$AE,BB$5,0)="",0,VLOOKUP($N239,Capa!$A:$AE,BB$5,0)),0),IF(ISERROR(1/VLOOKUP($N239,Capa!$A:$AE,BB$5,0)),0,1/VLOOKUP($N239,Capa!$A:$AE,BB$5,0))))</f>
        <v/>
      </c>
      <c r="BC239" s="118" t="str">
        <f>IF(BC$6="","",IF(BC$3="Maior",IFERROR(IF(VLOOKUP($N239,Capa!$A:$AE,BC$5,0)="",0,VLOOKUP($N239,Capa!$A:$AE,BC$5,0)),0),IF(ISERROR(1/VLOOKUP($N239,Capa!$A:$AE,BC$5,0)),0,1/VLOOKUP($N239,Capa!$A:$AE,BC$5,0))))</f>
        <v/>
      </c>
      <c r="BD239" s="118" t="str">
        <f>IF(BD$6="","",IF(BD$3="Maior",IFERROR(IF(VLOOKUP($N239,Capa!$A:$AE,BD$5,0)="",0,VLOOKUP($N239,Capa!$A:$AE,BD$5,0)),0),IF(ISERROR(1/VLOOKUP($N239,Capa!$A:$AE,BD$5,0)),0,1/VLOOKUP($N239,Capa!$A:$AE,BD$5,0))))</f>
        <v/>
      </c>
      <c r="BE239" s="118" t="str">
        <f>IF(BE$6="","",IF(BE$3="Maior",IFERROR(IF(VLOOKUP($N239,Capa!$A:$AE,BE$5,0)="",0,VLOOKUP($N239,Capa!$A:$AE,BE$5,0)),0),IF(ISERROR(1/VLOOKUP($N239,Capa!$A:$AE,BE$5,0)),0,1/VLOOKUP($N239,Capa!$A:$AE,BE$5,0))))</f>
        <v/>
      </c>
      <c r="BF239" s="118" t="str">
        <f>IF(BF$6="","",IF(BF$3="Maior",IFERROR(IF(VLOOKUP($N239,Capa!$A:$AE,BF$5,0)="",0,VLOOKUP($N239,Capa!$A:$AE,BF$5,0)),0),IF(ISERROR(1/VLOOKUP($N239,Capa!$A:$AE,BF$5,0)),0,1/VLOOKUP($N239,Capa!$A:$AE,BF$5,0))))</f>
        <v/>
      </c>
      <c r="BG239" s="118" t="str">
        <f>IF(BG$6="","",IF(BG$3="Maior",IFERROR(IF(VLOOKUP($N239,Capa!$A:$AE,BG$5,0)="",0,VLOOKUP($N239,Capa!$A:$AE,BG$5,0)),0),IF(ISERROR(1/VLOOKUP($N239,Capa!$A:$AE,BG$5,0)),0,1/VLOOKUP($N239,Capa!$A:$AE,BG$5,0))))</f>
        <v/>
      </c>
      <c r="BH239" s="118" t="str">
        <f>IF(BH$6="","",IF(BH$3="Maior",IFERROR(IF(VLOOKUP($N239,Capa!$A:$AE,BH$5,0)="",0,VLOOKUP($N239,Capa!$A:$AE,BH$5,0)),0),IF(ISERROR(1/VLOOKUP($N239,Capa!$A:$AE,BH$5,0)),0,1/VLOOKUP($N239,Capa!$A:$AE,BH$5,0))))</f>
        <v/>
      </c>
      <c r="BI239" s="118" t="str">
        <f>IF(BI$6="","",IF(BI$3="Maior",IFERROR(IF(VLOOKUP($N239,Capa!$A:$AE,BI$5,0)="",0,VLOOKUP($N239,Capa!$A:$AE,BI$5,0)),0),IF(ISERROR(1/VLOOKUP($N239,Capa!$A:$AE,BI$5,0)),0,1/VLOOKUP($N239,Capa!$A:$AE,BI$5,0))))</f>
        <v/>
      </c>
      <c r="BJ239" s="118" t="str">
        <f>IF(BJ$6="","",IF(BJ$3="Maior",IFERROR(IF(VLOOKUP($N239,Capa!$A:$AE,BJ$5,0)="",0,VLOOKUP($N239,Capa!$A:$AE,BJ$5,0)),0),IF(ISERROR(1/VLOOKUP($N239,Capa!$A:$AE,BJ$5,0)),0,1/VLOOKUP($N239,Capa!$A:$AE,BJ$5,0))))</f>
        <v/>
      </c>
      <c r="BK239" s="118" t="str">
        <f>IF(BK$6="","",IF(BK$3="Maior",IFERROR(IF(VLOOKUP($N239,Capa!$A:$AE,BK$5,0)="",0,VLOOKUP($N239,Capa!$A:$AE,BK$5,0)),0),IF(ISERROR(1/VLOOKUP($N239,Capa!$A:$AE,BK$5,0)),0,1/VLOOKUP($N239,Capa!$A:$AE,BK$5,0))))</f>
        <v/>
      </c>
      <c r="BL239" s="118" t="str">
        <f>IF(BL$6="","",IF(BL$3="Maior",IFERROR(IF(VLOOKUP($N239,Capa!$A:$AE,BL$5,0)="",0,VLOOKUP($N239,Capa!$A:$AE,BL$5,0)),0),IF(ISERROR(1/VLOOKUP($N239,Capa!$A:$AE,BL$5,0)),0,1/VLOOKUP($N239,Capa!$A:$AE,BL$5,0))))</f>
        <v/>
      </c>
      <c r="BM239" s="118" t="str">
        <f>IF(BM$6="","",IF(BM$3="Maior",IFERROR(IF(VLOOKUP($N239,Capa!$A:$AE,BM$5,0)="",0,VLOOKUP($N239,Capa!$A:$AE,BM$5,0)),0),IF(ISERROR(1/VLOOKUP($N239,Capa!$A:$AE,BM$5,0)),0,1/VLOOKUP($N239,Capa!$A:$AE,BM$5,0))))</f>
        <v/>
      </c>
      <c r="BN239" s="118" t="str">
        <f>IF(BN$6="","",IF(BN$3="Maior",IFERROR(IF(VLOOKUP($N239,Capa!$A:$AE,BN$5,0)="",0,VLOOKUP($N239,Capa!$A:$AE,BN$5,0)),0),IF(ISERROR(1/VLOOKUP($N239,Capa!$A:$AE,BN$5,0)),0,1/VLOOKUP($N239,Capa!$A:$AE,BN$5,0))))</f>
        <v/>
      </c>
      <c r="BO239" s="92"/>
    </row>
    <row r="240">
      <c r="G240" s="11"/>
      <c r="H240" s="11"/>
      <c r="I240" s="8"/>
      <c r="J240" s="132"/>
      <c r="K240" s="11"/>
      <c r="L240" s="11"/>
      <c r="M240" s="11"/>
      <c r="N240" s="10" t="s">
        <v>286</v>
      </c>
      <c r="O240" s="113">
        <f t="shared" si="8"/>
        <v>1683.0371</v>
      </c>
      <c r="P240" s="114">
        <f>VLOOKUP(N240,'Dados StatusInvest'!A:Z,26,0)</f>
        <v>4270228.63</v>
      </c>
      <c r="Q240" s="115">
        <f t="shared" si="9"/>
        <v>371.0371</v>
      </c>
      <c r="R240" s="116">
        <f t="shared" ref="R240:AO240" si="243">IF(AQ240="","", RANK(AQ240,AQ$7:AQ$503,0))</f>
        <v>220</v>
      </c>
      <c r="S240" s="115">
        <f t="shared" si="243"/>
        <v>92</v>
      </c>
      <c r="T240" s="115" t="str">
        <f t="shared" si="243"/>
        <v/>
      </c>
      <c r="U240" s="115" t="str">
        <f t="shared" si="243"/>
        <v/>
      </c>
      <c r="V240" s="115" t="str">
        <f t="shared" si="243"/>
        <v/>
      </c>
      <c r="W240" s="115" t="str">
        <f t="shared" si="243"/>
        <v/>
      </c>
      <c r="X240" s="115" t="str">
        <f t="shared" si="243"/>
        <v/>
      </c>
      <c r="Y240" s="115" t="str">
        <f t="shared" si="243"/>
        <v/>
      </c>
      <c r="Z240" s="115" t="str">
        <f t="shared" si="243"/>
        <v/>
      </c>
      <c r="AA240" s="115" t="str">
        <f t="shared" si="243"/>
        <v/>
      </c>
      <c r="AB240" s="115" t="str">
        <f t="shared" si="243"/>
        <v/>
      </c>
      <c r="AC240" s="115" t="str">
        <f t="shared" si="243"/>
        <v/>
      </c>
      <c r="AD240" s="115" t="str">
        <f t="shared" si="243"/>
        <v/>
      </c>
      <c r="AE240" s="115" t="str">
        <f t="shared" si="243"/>
        <v/>
      </c>
      <c r="AF240" s="115" t="str">
        <f t="shared" si="243"/>
        <v/>
      </c>
      <c r="AG240" s="115" t="str">
        <f t="shared" si="243"/>
        <v/>
      </c>
      <c r="AH240" s="115" t="str">
        <f t="shared" si="243"/>
        <v/>
      </c>
      <c r="AI240" s="115" t="str">
        <f t="shared" si="243"/>
        <v/>
      </c>
      <c r="AJ240" s="115" t="str">
        <f t="shared" si="243"/>
        <v/>
      </c>
      <c r="AK240" s="115" t="str">
        <f t="shared" si="243"/>
        <v/>
      </c>
      <c r="AL240" s="115" t="str">
        <f t="shared" si="243"/>
        <v/>
      </c>
      <c r="AM240" s="115" t="str">
        <f t="shared" si="243"/>
        <v/>
      </c>
      <c r="AN240" s="115" t="str">
        <f t="shared" si="243"/>
        <v/>
      </c>
      <c r="AO240" s="115" t="str">
        <f t="shared" si="243"/>
        <v/>
      </c>
      <c r="AP240" s="117">
        <f>IF(AP$6="","",IF(AP$3="Maior",IFERROR(IF(VLOOKUP($N240,Capa!$A:$AE,AP$5,0)="",0,VLOOKUP($N240,Capa!$A:$AE,AP$5,0)),0),IF(ISERROR(1/VLOOKUP($N240,Capa!$A:$AE,AP$5,0)),0,1/VLOOKUP($N240,Capa!$A:$AE,AP$5,0))))</f>
        <v>0.0197002328</v>
      </c>
      <c r="AQ240" s="118">
        <f>IF(AQ$6="","",IF(AQ$3="Maior",IFERROR(IF(VLOOKUP($N240,Capa!$A:$AE,AQ$5,0)="",0,VLOOKUP($N240,Capa!$A:$AE,AQ$5,0)),0),IF(ISERROR(1/VLOOKUP($N240,Capa!$A:$AE,AQ$5,0)),0,1/VLOOKUP($N240,Capa!$A:$AE,AQ$5,0))))</f>
        <v>10.12</v>
      </c>
      <c r="AR240" s="118">
        <f>IF(AR$6="","",IF(AR$3="Maior",IFERROR(IF(VLOOKUP($N240,Capa!$A:$AE,AR$5,0)="",0,VLOOKUP($N240,Capa!$A:$AE,AR$5,0)),0),IF(ISERROR(1/VLOOKUP($N240,Capa!$A:$AE,AR$5,0)),0,1/VLOOKUP($N240,Capa!$A:$AE,AR$5,0))))</f>
        <v>29.71</v>
      </c>
      <c r="AS240" s="118" t="str">
        <f>IF(AS$6="","",IF(AS$3="Maior",IFERROR(IF(VLOOKUP($N240,Capa!$A:$AE,AS$5,0)="",0,VLOOKUP($N240,Capa!$A:$AE,AS$5,0)),0),IF(ISERROR(1/VLOOKUP($N240,Capa!$A:$AE,AS$5,0)),0,1/VLOOKUP($N240,Capa!$A:$AE,AS$5,0))))</f>
        <v/>
      </c>
      <c r="AT240" s="118" t="str">
        <f>IF(AT$6="","",IF(AT$3="Maior",IFERROR(IF(VLOOKUP($N240,Capa!$A:$AE,AT$5,0)="",0,VLOOKUP($N240,Capa!$A:$AE,AT$5,0)),0),IF(ISERROR(1/VLOOKUP($N240,Capa!$A:$AE,AT$5,0)),0,1/VLOOKUP($N240,Capa!$A:$AE,AT$5,0))))</f>
        <v/>
      </c>
      <c r="AU240" s="118" t="str">
        <f>IF(AU$6="","",IF(AU$3="Maior",IFERROR(IF(VLOOKUP($N240,Capa!$A:$AE,AU$5,0)="",0,VLOOKUP($N240,Capa!$A:$AE,AU$5,0)),0),IF(ISERROR(1/VLOOKUP($N240,Capa!$A:$AE,AU$5,0)),0,1/VLOOKUP($N240,Capa!$A:$AE,AU$5,0))))</f>
        <v/>
      </c>
      <c r="AV240" s="118" t="str">
        <f>IF(AV$6="","",IF(AV$3="Maior",IFERROR(IF(VLOOKUP($N240,Capa!$A:$AE,AV$5,0)="",0,VLOOKUP($N240,Capa!$A:$AE,AV$5,0)),0),IF(ISERROR(1/VLOOKUP($N240,Capa!$A:$AE,AV$5,0)),0,1/VLOOKUP($N240,Capa!$A:$AE,AV$5,0))))</f>
        <v/>
      </c>
      <c r="AW240" s="118" t="str">
        <f>IF(AW$6="","",IF(AW$3="Maior",IFERROR(IF(VLOOKUP($N240,Capa!$A:$AE,AW$5,0)="",0,VLOOKUP($N240,Capa!$A:$AE,AW$5,0)),0),IF(ISERROR(1/VLOOKUP($N240,Capa!$A:$AE,AW$5,0)),0,1/VLOOKUP($N240,Capa!$A:$AE,AW$5,0))))</f>
        <v/>
      </c>
      <c r="AX240" s="118" t="str">
        <f>IF(AX$6="","",IF(AX$3="Maior",IFERROR(IF(VLOOKUP($N240,Capa!$A:$AE,AX$5,0)="",0,VLOOKUP($N240,Capa!$A:$AE,AX$5,0)),0),IF(ISERROR(1/VLOOKUP($N240,Capa!$A:$AE,AX$5,0)),0,1/VLOOKUP($N240,Capa!$A:$AE,AX$5,0))))</f>
        <v/>
      </c>
      <c r="AY240" s="118" t="str">
        <f>IF(AY$6="","",IF(AY$3="Maior",IFERROR(IF(VLOOKUP($N240,Capa!$A:$AE,AY$5,0)="",0,VLOOKUP($N240,Capa!$A:$AE,AY$5,0)),0),IF(ISERROR(1/VLOOKUP($N240,Capa!$A:$AE,AY$5,0)),0,1/VLOOKUP($N240,Capa!$A:$AE,AY$5,0))))</f>
        <v/>
      </c>
      <c r="AZ240" s="118" t="str">
        <f>IF(AZ$6="","",IF(AZ$3="Maior",IFERROR(IF(VLOOKUP($N240,Capa!$A:$AE,AZ$5,0)="",0,VLOOKUP($N240,Capa!$A:$AE,AZ$5,0)),0),IF(ISERROR(1/VLOOKUP($N240,Capa!$A:$AE,AZ$5,0)),0,1/VLOOKUP($N240,Capa!$A:$AE,AZ$5,0))))</f>
        <v/>
      </c>
      <c r="BA240" s="118" t="str">
        <f>IF(BA$6="","",IF(BA$3="Maior",IFERROR(IF(VLOOKUP($N240,Capa!$A:$AE,BA$5,0)="",0,VLOOKUP($N240,Capa!$A:$AE,BA$5,0)),0),IF(ISERROR(1/VLOOKUP($N240,Capa!$A:$AE,BA$5,0)),0,1/VLOOKUP($N240,Capa!$A:$AE,BA$5,0))))</f>
        <v/>
      </c>
      <c r="BB240" s="118" t="str">
        <f>IF(BB$6="","",IF(BB$3="Maior",IFERROR(IF(VLOOKUP($N240,Capa!$A:$AE,BB$5,0)="",0,VLOOKUP($N240,Capa!$A:$AE,BB$5,0)),0),IF(ISERROR(1/VLOOKUP($N240,Capa!$A:$AE,BB$5,0)),0,1/VLOOKUP($N240,Capa!$A:$AE,BB$5,0))))</f>
        <v/>
      </c>
      <c r="BC240" s="118" t="str">
        <f>IF(BC$6="","",IF(BC$3="Maior",IFERROR(IF(VLOOKUP($N240,Capa!$A:$AE,BC$5,0)="",0,VLOOKUP($N240,Capa!$A:$AE,BC$5,0)),0),IF(ISERROR(1/VLOOKUP($N240,Capa!$A:$AE,BC$5,0)),0,1/VLOOKUP($N240,Capa!$A:$AE,BC$5,0))))</f>
        <v/>
      </c>
      <c r="BD240" s="118" t="str">
        <f>IF(BD$6="","",IF(BD$3="Maior",IFERROR(IF(VLOOKUP($N240,Capa!$A:$AE,BD$5,0)="",0,VLOOKUP($N240,Capa!$A:$AE,BD$5,0)),0),IF(ISERROR(1/VLOOKUP($N240,Capa!$A:$AE,BD$5,0)),0,1/VLOOKUP($N240,Capa!$A:$AE,BD$5,0))))</f>
        <v/>
      </c>
      <c r="BE240" s="118" t="str">
        <f>IF(BE$6="","",IF(BE$3="Maior",IFERROR(IF(VLOOKUP($N240,Capa!$A:$AE,BE$5,0)="",0,VLOOKUP($N240,Capa!$A:$AE,BE$5,0)),0),IF(ISERROR(1/VLOOKUP($N240,Capa!$A:$AE,BE$5,0)),0,1/VLOOKUP($N240,Capa!$A:$AE,BE$5,0))))</f>
        <v/>
      </c>
      <c r="BF240" s="118" t="str">
        <f>IF(BF$6="","",IF(BF$3="Maior",IFERROR(IF(VLOOKUP($N240,Capa!$A:$AE,BF$5,0)="",0,VLOOKUP($N240,Capa!$A:$AE,BF$5,0)),0),IF(ISERROR(1/VLOOKUP($N240,Capa!$A:$AE,BF$5,0)),0,1/VLOOKUP($N240,Capa!$A:$AE,BF$5,0))))</f>
        <v/>
      </c>
      <c r="BG240" s="118" t="str">
        <f>IF(BG$6="","",IF(BG$3="Maior",IFERROR(IF(VLOOKUP($N240,Capa!$A:$AE,BG$5,0)="",0,VLOOKUP($N240,Capa!$A:$AE,BG$5,0)),0),IF(ISERROR(1/VLOOKUP($N240,Capa!$A:$AE,BG$5,0)),0,1/VLOOKUP($N240,Capa!$A:$AE,BG$5,0))))</f>
        <v/>
      </c>
      <c r="BH240" s="118" t="str">
        <f>IF(BH$6="","",IF(BH$3="Maior",IFERROR(IF(VLOOKUP($N240,Capa!$A:$AE,BH$5,0)="",0,VLOOKUP($N240,Capa!$A:$AE,BH$5,0)),0),IF(ISERROR(1/VLOOKUP($N240,Capa!$A:$AE,BH$5,0)),0,1/VLOOKUP($N240,Capa!$A:$AE,BH$5,0))))</f>
        <v/>
      </c>
      <c r="BI240" s="118" t="str">
        <f>IF(BI$6="","",IF(BI$3="Maior",IFERROR(IF(VLOOKUP($N240,Capa!$A:$AE,BI$5,0)="",0,VLOOKUP($N240,Capa!$A:$AE,BI$5,0)),0),IF(ISERROR(1/VLOOKUP($N240,Capa!$A:$AE,BI$5,0)),0,1/VLOOKUP($N240,Capa!$A:$AE,BI$5,0))))</f>
        <v/>
      </c>
      <c r="BJ240" s="118" t="str">
        <f>IF(BJ$6="","",IF(BJ$3="Maior",IFERROR(IF(VLOOKUP($N240,Capa!$A:$AE,BJ$5,0)="",0,VLOOKUP($N240,Capa!$A:$AE,BJ$5,0)),0),IF(ISERROR(1/VLOOKUP($N240,Capa!$A:$AE,BJ$5,0)),0,1/VLOOKUP($N240,Capa!$A:$AE,BJ$5,0))))</f>
        <v/>
      </c>
      <c r="BK240" s="118" t="str">
        <f>IF(BK$6="","",IF(BK$3="Maior",IFERROR(IF(VLOOKUP($N240,Capa!$A:$AE,BK$5,0)="",0,VLOOKUP($N240,Capa!$A:$AE,BK$5,0)),0),IF(ISERROR(1/VLOOKUP($N240,Capa!$A:$AE,BK$5,0)),0,1/VLOOKUP($N240,Capa!$A:$AE,BK$5,0))))</f>
        <v/>
      </c>
      <c r="BL240" s="118" t="str">
        <f>IF(BL$6="","",IF(BL$3="Maior",IFERROR(IF(VLOOKUP($N240,Capa!$A:$AE,BL$5,0)="",0,VLOOKUP($N240,Capa!$A:$AE,BL$5,0)),0),IF(ISERROR(1/VLOOKUP($N240,Capa!$A:$AE,BL$5,0)),0,1/VLOOKUP($N240,Capa!$A:$AE,BL$5,0))))</f>
        <v/>
      </c>
      <c r="BM240" s="118" t="str">
        <f>IF(BM$6="","",IF(BM$3="Maior",IFERROR(IF(VLOOKUP($N240,Capa!$A:$AE,BM$5,0)="",0,VLOOKUP($N240,Capa!$A:$AE,BM$5,0)),0),IF(ISERROR(1/VLOOKUP($N240,Capa!$A:$AE,BM$5,0)),0,1/VLOOKUP($N240,Capa!$A:$AE,BM$5,0))))</f>
        <v/>
      </c>
      <c r="BN240" s="118" t="str">
        <f>IF(BN$6="","",IF(BN$3="Maior",IFERROR(IF(VLOOKUP($N240,Capa!$A:$AE,BN$5,0)="",0,VLOOKUP($N240,Capa!$A:$AE,BN$5,0)),0),IF(ISERROR(1/VLOOKUP($N240,Capa!$A:$AE,BN$5,0)),0,1/VLOOKUP($N240,Capa!$A:$AE,BN$5,0))))</f>
        <v/>
      </c>
      <c r="BO240" s="92"/>
    </row>
    <row r="241">
      <c r="G241" s="11"/>
      <c r="H241" s="11"/>
      <c r="I241" s="8"/>
      <c r="J241" s="132"/>
      <c r="K241" s="11"/>
      <c r="L241" s="11"/>
      <c r="M241" s="11"/>
      <c r="N241" s="10" t="s">
        <v>287</v>
      </c>
      <c r="O241" s="113">
        <f t="shared" si="8"/>
        <v>2139.0464</v>
      </c>
      <c r="P241" s="114">
        <f>VLOOKUP(N241,'Dados StatusInvest'!A:Z,26,0)</f>
        <v>5012479.58</v>
      </c>
      <c r="Q241" s="115">
        <f t="shared" si="9"/>
        <v>464.0464</v>
      </c>
      <c r="R241" s="116">
        <f t="shared" ref="R241:AO241" si="244">IF(AQ241="","", RANK(AQ241,AQ$7:AQ$503,0))</f>
        <v>456</v>
      </c>
      <c r="S241" s="115">
        <f t="shared" si="244"/>
        <v>219</v>
      </c>
      <c r="T241" s="115" t="str">
        <f t="shared" si="244"/>
        <v/>
      </c>
      <c r="U241" s="115" t="str">
        <f t="shared" si="244"/>
        <v/>
      </c>
      <c r="V241" s="115" t="str">
        <f t="shared" si="244"/>
        <v/>
      </c>
      <c r="W241" s="115" t="str">
        <f t="shared" si="244"/>
        <v/>
      </c>
      <c r="X241" s="115" t="str">
        <f t="shared" si="244"/>
        <v/>
      </c>
      <c r="Y241" s="115" t="str">
        <f t="shared" si="244"/>
        <v/>
      </c>
      <c r="Z241" s="115" t="str">
        <f t="shared" si="244"/>
        <v/>
      </c>
      <c r="AA241" s="115" t="str">
        <f t="shared" si="244"/>
        <v/>
      </c>
      <c r="AB241" s="115" t="str">
        <f t="shared" si="244"/>
        <v/>
      </c>
      <c r="AC241" s="115" t="str">
        <f t="shared" si="244"/>
        <v/>
      </c>
      <c r="AD241" s="115" t="str">
        <f t="shared" si="244"/>
        <v/>
      </c>
      <c r="AE241" s="115" t="str">
        <f t="shared" si="244"/>
        <v/>
      </c>
      <c r="AF241" s="115" t="str">
        <f t="shared" si="244"/>
        <v/>
      </c>
      <c r="AG241" s="115" t="str">
        <f t="shared" si="244"/>
        <v/>
      </c>
      <c r="AH241" s="115" t="str">
        <f t="shared" si="244"/>
        <v/>
      </c>
      <c r="AI241" s="115" t="str">
        <f t="shared" si="244"/>
        <v/>
      </c>
      <c r="AJ241" s="115" t="str">
        <f t="shared" si="244"/>
        <v/>
      </c>
      <c r="AK241" s="115" t="str">
        <f t="shared" si="244"/>
        <v/>
      </c>
      <c r="AL241" s="115" t="str">
        <f t="shared" si="244"/>
        <v/>
      </c>
      <c r="AM241" s="115" t="str">
        <f t="shared" si="244"/>
        <v/>
      </c>
      <c r="AN241" s="115" t="str">
        <f t="shared" si="244"/>
        <v/>
      </c>
      <c r="AO241" s="115" t="str">
        <f t="shared" si="244"/>
        <v/>
      </c>
      <c r="AP241" s="117">
        <f>IF(AP$6="","",IF(AP$3="Maior",IFERROR(IF(VLOOKUP($N241,Capa!$A:$AE,AP$5,0)="",0,VLOOKUP($N241,Capa!$A:$AE,AP$5,0)),0),IF(ISERROR(1/VLOOKUP($N241,Capa!$A:$AE,AP$5,0)),0,1/VLOOKUP($N241,Capa!$A:$AE,AP$5,0))))</f>
        <v>-0.1476499838</v>
      </c>
      <c r="AQ241" s="118">
        <f>IF(AQ$6="","",IF(AQ$3="Maior",IFERROR(IF(VLOOKUP($N241,Capa!$A:$AE,AQ$5,0)="",0,VLOOKUP($N241,Capa!$A:$AE,AQ$5,0)),0),IF(ISERROR(1/VLOOKUP($N241,Capa!$A:$AE,AQ$5,0)),0,1/VLOOKUP($N241,Capa!$A:$AE,AQ$5,0))))</f>
        <v>-7.7</v>
      </c>
      <c r="AR241" s="118">
        <f>IF(AR$6="","",IF(AR$3="Maior",IFERROR(IF(VLOOKUP($N241,Capa!$A:$AE,AR$5,0)="",0,VLOOKUP($N241,Capa!$A:$AE,AR$5,0)),0),IF(ISERROR(1/VLOOKUP($N241,Capa!$A:$AE,AR$5,0)),0,1/VLOOKUP($N241,Capa!$A:$AE,AR$5,0))))</f>
        <v>0</v>
      </c>
      <c r="AS241" s="118" t="str">
        <f>IF(AS$6="","",IF(AS$3="Maior",IFERROR(IF(VLOOKUP($N241,Capa!$A:$AE,AS$5,0)="",0,VLOOKUP($N241,Capa!$A:$AE,AS$5,0)),0),IF(ISERROR(1/VLOOKUP($N241,Capa!$A:$AE,AS$5,0)),0,1/VLOOKUP($N241,Capa!$A:$AE,AS$5,0))))</f>
        <v/>
      </c>
      <c r="AT241" s="118" t="str">
        <f>IF(AT$6="","",IF(AT$3="Maior",IFERROR(IF(VLOOKUP($N241,Capa!$A:$AE,AT$5,0)="",0,VLOOKUP($N241,Capa!$A:$AE,AT$5,0)),0),IF(ISERROR(1/VLOOKUP($N241,Capa!$A:$AE,AT$5,0)),0,1/VLOOKUP($N241,Capa!$A:$AE,AT$5,0))))</f>
        <v/>
      </c>
      <c r="AU241" s="118" t="str">
        <f>IF(AU$6="","",IF(AU$3="Maior",IFERROR(IF(VLOOKUP($N241,Capa!$A:$AE,AU$5,0)="",0,VLOOKUP($N241,Capa!$A:$AE,AU$5,0)),0),IF(ISERROR(1/VLOOKUP($N241,Capa!$A:$AE,AU$5,0)),0,1/VLOOKUP($N241,Capa!$A:$AE,AU$5,0))))</f>
        <v/>
      </c>
      <c r="AV241" s="118" t="str">
        <f>IF(AV$6="","",IF(AV$3="Maior",IFERROR(IF(VLOOKUP($N241,Capa!$A:$AE,AV$5,0)="",0,VLOOKUP($N241,Capa!$A:$AE,AV$5,0)),0),IF(ISERROR(1/VLOOKUP($N241,Capa!$A:$AE,AV$5,0)),0,1/VLOOKUP($N241,Capa!$A:$AE,AV$5,0))))</f>
        <v/>
      </c>
      <c r="AW241" s="118" t="str">
        <f>IF(AW$6="","",IF(AW$3="Maior",IFERROR(IF(VLOOKUP($N241,Capa!$A:$AE,AW$5,0)="",0,VLOOKUP($N241,Capa!$A:$AE,AW$5,0)),0),IF(ISERROR(1/VLOOKUP($N241,Capa!$A:$AE,AW$5,0)),0,1/VLOOKUP($N241,Capa!$A:$AE,AW$5,0))))</f>
        <v/>
      </c>
      <c r="AX241" s="118" t="str">
        <f>IF(AX$6="","",IF(AX$3="Maior",IFERROR(IF(VLOOKUP($N241,Capa!$A:$AE,AX$5,0)="",0,VLOOKUP($N241,Capa!$A:$AE,AX$5,0)),0),IF(ISERROR(1/VLOOKUP($N241,Capa!$A:$AE,AX$5,0)),0,1/VLOOKUP($N241,Capa!$A:$AE,AX$5,0))))</f>
        <v/>
      </c>
      <c r="AY241" s="118" t="str">
        <f>IF(AY$6="","",IF(AY$3="Maior",IFERROR(IF(VLOOKUP($N241,Capa!$A:$AE,AY$5,0)="",0,VLOOKUP($N241,Capa!$A:$AE,AY$5,0)),0),IF(ISERROR(1/VLOOKUP($N241,Capa!$A:$AE,AY$5,0)),0,1/VLOOKUP($N241,Capa!$A:$AE,AY$5,0))))</f>
        <v/>
      </c>
      <c r="AZ241" s="118" t="str">
        <f>IF(AZ$6="","",IF(AZ$3="Maior",IFERROR(IF(VLOOKUP($N241,Capa!$A:$AE,AZ$5,0)="",0,VLOOKUP($N241,Capa!$A:$AE,AZ$5,0)),0),IF(ISERROR(1/VLOOKUP($N241,Capa!$A:$AE,AZ$5,0)),0,1/VLOOKUP($N241,Capa!$A:$AE,AZ$5,0))))</f>
        <v/>
      </c>
      <c r="BA241" s="118" t="str">
        <f>IF(BA$6="","",IF(BA$3="Maior",IFERROR(IF(VLOOKUP($N241,Capa!$A:$AE,BA$5,0)="",0,VLOOKUP($N241,Capa!$A:$AE,BA$5,0)),0),IF(ISERROR(1/VLOOKUP($N241,Capa!$A:$AE,BA$5,0)),0,1/VLOOKUP($N241,Capa!$A:$AE,BA$5,0))))</f>
        <v/>
      </c>
      <c r="BB241" s="118" t="str">
        <f>IF(BB$6="","",IF(BB$3="Maior",IFERROR(IF(VLOOKUP($N241,Capa!$A:$AE,BB$5,0)="",0,VLOOKUP($N241,Capa!$A:$AE,BB$5,0)),0),IF(ISERROR(1/VLOOKUP($N241,Capa!$A:$AE,BB$5,0)),0,1/VLOOKUP($N241,Capa!$A:$AE,BB$5,0))))</f>
        <v/>
      </c>
      <c r="BC241" s="118" t="str">
        <f>IF(BC$6="","",IF(BC$3="Maior",IFERROR(IF(VLOOKUP($N241,Capa!$A:$AE,BC$5,0)="",0,VLOOKUP($N241,Capa!$A:$AE,BC$5,0)),0),IF(ISERROR(1/VLOOKUP($N241,Capa!$A:$AE,BC$5,0)),0,1/VLOOKUP($N241,Capa!$A:$AE,BC$5,0))))</f>
        <v/>
      </c>
      <c r="BD241" s="118" t="str">
        <f>IF(BD$6="","",IF(BD$3="Maior",IFERROR(IF(VLOOKUP($N241,Capa!$A:$AE,BD$5,0)="",0,VLOOKUP($N241,Capa!$A:$AE,BD$5,0)),0),IF(ISERROR(1/VLOOKUP($N241,Capa!$A:$AE,BD$5,0)),0,1/VLOOKUP($N241,Capa!$A:$AE,BD$5,0))))</f>
        <v/>
      </c>
      <c r="BE241" s="118" t="str">
        <f>IF(BE$6="","",IF(BE$3="Maior",IFERROR(IF(VLOOKUP($N241,Capa!$A:$AE,BE$5,0)="",0,VLOOKUP($N241,Capa!$A:$AE,BE$5,0)),0),IF(ISERROR(1/VLOOKUP($N241,Capa!$A:$AE,BE$5,0)),0,1/VLOOKUP($N241,Capa!$A:$AE,BE$5,0))))</f>
        <v/>
      </c>
      <c r="BF241" s="118" t="str">
        <f>IF(BF$6="","",IF(BF$3="Maior",IFERROR(IF(VLOOKUP($N241,Capa!$A:$AE,BF$5,0)="",0,VLOOKUP($N241,Capa!$A:$AE,BF$5,0)),0),IF(ISERROR(1/VLOOKUP($N241,Capa!$A:$AE,BF$5,0)),0,1/VLOOKUP($N241,Capa!$A:$AE,BF$5,0))))</f>
        <v/>
      </c>
      <c r="BG241" s="118" t="str">
        <f>IF(BG$6="","",IF(BG$3="Maior",IFERROR(IF(VLOOKUP($N241,Capa!$A:$AE,BG$5,0)="",0,VLOOKUP($N241,Capa!$A:$AE,BG$5,0)),0),IF(ISERROR(1/VLOOKUP($N241,Capa!$A:$AE,BG$5,0)),0,1/VLOOKUP($N241,Capa!$A:$AE,BG$5,0))))</f>
        <v/>
      </c>
      <c r="BH241" s="118" t="str">
        <f>IF(BH$6="","",IF(BH$3="Maior",IFERROR(IF(VLOOKUP($N241,Capa!$A:$AE,BH$5,0)="",0,VLOOKUP($N241,Capa!$A:$AE,BH$5,0)),0),IF(ISERROR(1/VLOOKUP($N241,Capa!$A:$AE,BH$5,0)),0,1/VLOOKUP($N241,Capa!$A:$AE,BH$5,0))))</f>
        <v/>
      </c>
      <c r="BI241" s="118" t="str">
        <f>IF(BI$6="","",IF(BI$3="Maior",IFERROR(IF(VLOOKUP($N241,Capa!$A:$AE,BI$5,0)="",0,VLOOKUP($N241,Capa!$A:$AE,BI$5,0)),0),IF(ISERROR(1/VLOOKUP($N241,Capa!$A:$AE,BI$5,0)),0,1/VLOOKUP($N241,Capa!$A:$AE,BI$5,0))))</f>
        <v/>
      </c>
      <c r="BJ241" s="118" t="str">
        <f>IF(BJ$6="","",IF(BJ$3="Maior",IFERROR(IF(VLOOKUP($N241,Capa!$A:$AE,BJ$5,0)="",0,VLOOKUP($N241,Capa!$A:$AE,BJ$5,0)),0),IF(ISERROR(1/VLOOKUP($N241,Capa!$A:$AE,BJ$5,0)),0,1/VLOOKUP($N241,Capa!$A:$AE,BJ$5,0))))</f>
        <v/>
      </c>
      <c r="BK241" s="118" t="str">
        <f>IF(BK$6="","",IF(BK$3="Maior",IFERROR(IF(VLOOKUP($N241,Capa!$A:$AE,BK$5,0)="",0,VLOOKUP($N241,Capa!$A:$AE,BK$5,0)),0),IF(ISERROR(1/VLOOKUP($N241,Capa!$A:$AE,BK$5,0)),0,1/VLOOKUP($N241,Capa!$A:$AE,BK$5,0))))</f>
        <v/>
      </c>
      <c r="BL241" s="118" t="str">
        <f>IF(BL$6="","",IF(BL$3="Maior",IFERROR(IF(VLOOKUP($N241,Capa!$A:$AE,BL$5,0)="",0,VLOOKUP($N241,Capa!$A:$AE,BL$5,0)),0),IF(ISERROR(1/VLOOKUP($N241,Capa!$A:$AE,BL$5,0)),0,1/VLOOKUP($N241,Capa!$A:$AE,BL$5,0))))</f>
        <v/>
      </c>
      <c r="BM241" s="118" t="str">
        <f>IF(BM$6="","",IF(BM$3="Maior",IFERROR(IF(VLOOKUP($N241,Capa!$A:$AE,BM$5,0)="",0,VLOOKUP($N241,Capa!$A:$AE,BM$5,0)),0),IF(ISERROR(1/VLOOKUP($N241,Capa!$A:$AE,BM$5,0)),0,1/VLOOKUP($N241,Capa!$A:$AE,BM$5,0))))</f>
        <v/>
      </c>
      <c r="BN241" s="118" t="str">
        <f>IF(BN$6="","",IF(BN$3="Maior",IFERROR(IF(VLOOKUP($N241,Capa!$A:$AE,BN$5,0)="",0,VLOOKUP($N241,Capa!$A:$AE,BN$5,0)),0),IF(ISERROR(1/VLOOKUP($N241,Capa!$A:$AE,BN$5,0)),0,1/VLOOKUP($N241,Capa!$A:$AE,BN$5,0))))</f>
        <v/>
      </c>
      <c r="BO241" s="92"/>
    </row>
    <row r="242">
      <c r="G242" s="11"/>
      <c r="H242" s="11"/>
      <c r="I242" s="8"/>
      <c r="J242" s="132"/>
      <c r="K242" s="11"/>
      <c r="L242" s="11"/>
      <c r="M242" s="11"/>
      <c r="N242" s="10" t="s">
        <v>288</v>
      </c>
      <c r="O242" s="113">
        <f t="shared" si="8"/>
        <v>2096.0423</v>
      </c>
      <c r="P242" s="114">
        <f>VLOOKUP(N242,'Dados StatusInvest'!A:Z,26,0)</f>
        <v>2784694.75</v>
      </c>
      <c r="Q242" s="115">
        <f t="shared" si="9"/>
        <v>423.0423</v>
      </c>
      <c r="R242" s="116">
        <f t="shared" ref="R242:AO242" si="245">IF(AQ242="","", RANK(AQ242,AQ$7:AQ$503,0))</f>
        <v>454</v>
      </c>
      <c r="S242" s="115">
        <f t="shared" si="245"/>
        <v>219</v>
      </c>
      <c r="T242" s="115" t="str">
        <f t="shared" si="245"/>
        <v/>
      </c>
      <c r="U242" s="115" t="str">
        <f t="shared" si="245"/>
        <v/>
      </c>
      <c r="V242" s="115" t="str">
        <f t="shared" si="245"/>
        <v/>
      </c>
      <c r="W242" s="115" t="str">
        <f t="shared" si="245"/>
        <v/>
      </c>
      <c r="X242" s="115" t="str">
        <f t="shared" si="245"/>
        <v/>
      </c>
      <c r="Y242" s="115" t="str">
        <f t="shared" si="245"/>
        <v/>
      </c>
      <c r="Z242" s="115" t="str">
        <f t="shared" si="245"/>
        <v/>
      </c>
      <c r="AA242" s="115" t="str">
        <f t="shared" si="245"/>
        <v/>
      </c>
      <c r="AB242" s="115" t="str">
        <f t="shared" si="245"/>
        <v/>
      </c>
      <c r="AC242" s="115" t="str">
        <f t="shared" si="245"/>
        <v/>
      </c>
      <c r="AD242" s="115" t="str">
        <f t="shared" si="245"/>
        <v/>
      </c>
      <c r="AE242" s="115" t="str">
        <f t="shared" si="245"/>
        <v/>
      </c>
      <c r="AF242" s="115" t="str">
        <f t="shared" si="245"/>
        <v/>
      </c>
      <c r="AG242" s="115" t="str">
        <f t="shared" si="245"/>
        <v/>
      </c>
      <c r="AH242" s="115" t="str">
        <f t="shared" si="245"/>
        <v/>
      </c>
      <c r="AI242" s="115" t="str">
        <f t="shared" si="245"/>
        <v/>
      </c>
      <c r="AJ242" s="115" t="str">
        <f t="shared" si="245"/>
        <v/>
      </c>
      <c r="AK242" s="115" t="str">
        <f t="shared" si="245"/>
        <v/>
      </c>
      <c r="AL242" s="115" t="str">
        <f t="shared" si="245"/>
        <v/>
      </c>
      <c r="AM242" s="115" t="str">
        <f t="shared" si="245"/>
        <v/>
      </c>
      <c r="AN242" s="115" t="str">
        <f t="shared" si="245"/>
        <v/>
      </c>
      <c r="AO242" s="115" t="str">
        <f t="shared" si="245"/>
        <v/>
      </c>
      <c r="AP242" s="117">
        <f>IF(AP$6="","",IF(AP$3="Maior",IFERROR(IF(VLOOKUP($N242,Capa!$A:$AE,AP$5,0)="",0,VLOOKUP($N242,Capa!$A:$AE,AP$5,0)),0),IF(ISERROR(1/VLOOKUP($N242,Capa!$A:$AE,AP$5,0)),0,1/VLOOKUP($N242,Capa!$A:$AE,AP$5,0))))</f>
        <v>-0.02863002744</v>
      </c>
      <c r="AQ242" s="118">
        <f>IF(AQ$6="","",IF(AQ$3="Maior",IFERROR(IF(VLOOKUP($N242,Capa!$A:$AE,AQ$5,0)="",0,VLOOKUP($N242,Capa!$A:$AE,AQ$5,0)),0),IF(ISERROR(1/VLOOKUP($N242,Capa!$A:$AE,AQ$5,0)),0,1/VLOOKUP($N242,Capa!$A:$AE,AQ$5,0))))</f>
        <v>-7.31</v>
      </c>
      <c r="AR242" s="118">
        <f>IF(AR$6="","",IF(AR$3="Maior",IFERROR(IF(VLOOKUP($N242,Capa!$A:$AE,AR$5,0)="",0,VLOOKUP($N242,Capa!$A:$AE,AR$5,0)),0),IF(ISERROR(1/VLOOKUP($N242,Capa!$A:$AE,AR$5,0)),0,1/VLOOKUP($N242,Capa!$A:$AE,AR$5,0))))</f>
        <v>0</v>
      </c>
      <c r="AS242" s="118" t="str">
        <f>IF(AS$6="","",IF(AS$3="Maior",IFERROR(IF(VLOOKUP($N242,Capa!$A:$AE,AS$5,0)="",0,VLOOKUP($N242,Capa!$A:$AE,AS$5,0)),0),IF(ISERROR(1/VLOOKUP($N242,Capa!$A:$AE,AS$5,0)),0,1/VLOOKUP($N242,Capa!$A:$AE,AS$5,0))))</f>
        <v/>
      </c>
      <c r="AT242" s="118" t="str">
        <f>IF(AT$6="","",IF(AT$3="Maior",IFERROR(IF(VLOOKUP($N242,Capa!$A:$AE,AT$5,0)="",0,VLOOKUP($N242,Capa!$A:$AE,AT$5,0)),0),IF(ISERROR(1/VLOOKUP($N242,Capa!$A:$AE,AT$5,0)),0,1/VLOOKUP($N242,Capa!$A:$AE,AT$5,0))))</f>
        <v/>
      </c>
      <c r="AU242" s="118" t="str">
        <f>IF(AU$6="","",IF(AU$3="Maior",IFERROR(IF(VLOOKUP($N242,Capa!$A:$AE,AU$5,0)="",0,VLOOKUP($N242,Capa!$A:$AE,AU$5,0)),0),IF(ISERROR(1/VLOOKUP($N242,Capa!$A:$AE,AU$5,0)),0,1/VLOOKUP($N242,Capa!$A:$AE,AU$5,0))))</f>
        <v/>
      </c>
      <c r="AV242" s="118" t="str">
        <f>IF(AV$6="","",IF(AV$3="Maior",IFERROR(IF(VLOOKUP($N242,Capa!$A:$AE,AV$5,0)="",0,VLOOKUP($N242,Capa!$A:$AE,AV$5,0)),0),IF(ISERROR(1/VLOOKUP($N242,Capa!$A:$AE,AV$5,0)),0,1/VLOOKUP($N242,Capa!$A:$AE,AV$5,0))))</f>
        <v/>
      </c>
      <c r="AW242" s="118" t="str">
        <f>IF(AW$6="","",IF(AW$3="Maior",IFERROR(IF(VLOOKUP($N242,Capa!$A:$AE,AW$5,0)="",0,VLOOKUP($N242,Capa!$A:$AE,AW$5,0)),0),IF(ISERROR(1/VLOOKUP($N242,Capa!$A:$AE,AW$5,0)),0,1/VLOOKUP($N242,Capa!$A:$AE,AW$5,0))))</f>
        <v/>
      </c>
      <c r="AX242" s="118" t="str">
        <f>IF(AX$6="","",IF(AX$3="Maior",IFERROR(IF(VLOOKUP($N242,Capa!$A:$AE,AX$5,0)="",0,VLOOKUP($N242,Capa!$A:$AE,AX$5,0)),0),IF(ISERROR(1/VLOOKUP($N242,Capa!$A:$AE,AX$5,0)),0,1/VLOOKUP($N242,Capa!$A:$AE,AX$5,0))))</f>
        <v/>
      </c>
      <c r="AY242" s="118" t="str">
        <f>IF(AY$6="","",IF(AY$3="Maior",IFERROR(IF(VLOOKUP($N242,Capa!$A:$AE,AY$5,0)="",0,VLOOKUP($N242,Capa!$A:$AE,AY$5,0)),0),IF(ISERROR(1/VLOOKUP($N242,Capa!$A:$AE,AY$5,0)),0,1/VLOOKUP($N242,Capa!$A:$AE,AY$5,0))))</f>
        <v/>
      </c>
      <c r="AZ242" s="118" t="str">
        <f>IF(AZ$6="","",IF(AZ$3="Maior",IFERROR(IF(VLOOKUP($N242,Capa!$A:$AE,AZ$5,0)="",0,VLOOKUP($N242,Capa!$A:$AE,AZ$5,0)),0),IF(ISERROR(1/VLOOKUP($N242,Capa!$A:$AE,AZ$5,0)),0,1/VLOOKUP($N242,Capa!$A:$AE,AZ$5,0))))</f>
        <v/>
      </c>
      <c r="BA242" s="118" t="str">
        <f>IF(BA$6="","",IF(BA$3="Maior",IFERROR(IF(VLOOKUP($N242,Capa!$A:$AE,BA$5,0)="",0,VLOOKUP($N242,Capa!$A:$AE,BA$5,0)),0),IF(ISERROR(1/VLOOKUP($N242,Capa!$A:$AE,BA$5,0)),0,1/VLOOKUP($N242,Capa!$A:$AE,BA$5,0))))</f>
        <v/>
      </c>
      <c r="BB242" s="118" t="str">
        <f>IF(BB$6="","",IF(BB$3="Maior",IFERROR(IF(VLOOKUP($N242,Capa!$A:$AE,BB$5,0)="",0,VLOOKUP($N242,Capa!$A:$AE,BB$5,0)),0),IF(ISERROR(1/VLOOKUP($N242,Capa!$A:$AE,BB$5,0)),0,1/VLOOKUP($N242,Capa!$A:$AE,BB$5,0))))</f>
        <v/>
      </c>
      <c r="BC242" s="118" t="str">
        <f>IF(BC$6="","",IF(BC$3="Maior",IFERROR(IF(VLOOKUP($N242,Capa!$A:$AE,BC$5,0)="",0,VLOOKUP($N242,Capa!$A:$AE,BC$5,0)),0),IF(ISERROR(1/VLOOKUP($N242,Capa!$A:$AE,BC$5,0)),0,1/VLOOKUP($N242,Capa!$A:$AE,BC$5,0))))</f>
        <v/>
      </c>
      <c r="BD242" s="118" t="str">
        <f>IF(BD$6="","",IF(BD$3="Maior",IFERROR(IF(VLOOKUP($N242,Capa!$A:$AE,BD$5,0)="",0,VLOOKUP($N242,Capa!$A:$AE,BD$5,0)),0),IF(ISERROR(1/VLOOKUP($N242,Capa!$A:$AE,BD$5,0)),0,1/VLOOKUP($N242,Capa!$A:$AE,BD$5,0))))</f>
        <v/>
      </c>
      <c r="BE242" s="118" t="str">
        <f>IF(BE$6="","",IF(BE$3="Maior",IFERROR(IF(VLOOKUP($N242,Capa!$A:$AE,BE$5,0)="",0,VLOOKUP($N242,Capa!$A:$AE,BE$5,0)),0),IF(ISERROR(1/VLOOKUP($N242,Capa!$A:$AE,BE$5,0)),0,1/VLOOKUP($N242,Capa!$A:$AE,BE$5,0))))</f>
        <v/>
      </c>
      <c r="BF242" s="118" t="str">
        <f>IF(BF$6="","",IF(BF$3="Maior",IFERROR(IF(VLOOKUP($N242,Capa!$A:$AE,BF$5,0)="",0,VLOOKUP($N242,Capa!$A:$AE,BF$5,0)),0),IF(ISERROR(1/VLOOKUP($N242,Capa!$A:$AE,BF$5,0)),0,1/VLOOKUP($N242,Capa!$A:$AE,BF$5,0))))</f>
        <v/>
      </c>
      <c r="BG242" s="118" t="str">
        <f>IF(BG$6="","",IF(BG$3="Maior",IFERROR(IF(VLOOKUP($N242,Capa!$A:$AE,BG$5,0)="",0,VLOOKUP($N242,Capa!$A:$AE,BG$5,0)),0),IF(ISERROR(1/VLOOKUP($N242,Capa!$A:$AE,BG$5,0)),0,1/VLOOKUP($N242,Capa!$A:$AE,BG$5,0))))</f>
        <v/>
      </c>
      <c r="BH242" s="118" t="str">
        <f>IF(BH$6="","",IF(BH$3="Maior",IFERROR(IF(VLOOKUP($N242,Capa!$A:$AE,BH$5,0)="",0,VLOOKUP($N242,Capa!$A:$AE,BH$5,0)),0),IF(ISERROR(1/VLOOKUP($N242,Capa!$A:$AE,BH$5,0)),0,1/VLOOKUP($N242,Capa!$A:$AE,BH$5,0))))</f>
        <v/>
      </c>
      <c r="BI242" s="118" t="str">
        <f>IF(BI$6="","",IF(BI$3="Maior",IFERROR(IF(VLOOKUP($N242,Capa!$A:$AE,BI$5,0)="",0,VLOOKUP($N242,Capa!$A:$AE,BI$5,0)),0),IF(ISERROR(1/VLOOKUP($N242,Capa!$A:$AE,BI$5,0)),0,1/VLOOKUP($N242,Capa!$A:$AE,BI$5,0))))</f>
        <v/>
      </c>
      <c r="BJ242" s="118" t="str">
        <f>IF(BJ$6="","",IF(BJ$3="Maior",IFERROR(IF(VLOOKUP($N242,Capa!$A:$AE,BJ$5,0)="",0,VLOOKUP($N242,Capa!$A:$AE,BJ$5,0)),0),IF(ISERROR(1/VLOOKUP($N242,Capa!$A:$AE,BJ$5,0)),0,1/VLOOKUP($N242,Capa!$A:$AE,BJ$5,0))))</f>
        <v/>
      </c>
      <c r="BK242" s="118" t="str">
        <f>IF(BK$6="","",IF(BK$3="Maior",IFERROR(IF(VLOOKUP($N242,Capa!$A:$AE,BK$5,0)="",0,VLOOKUP($N242,Capa!$A:$AE,BK$5,0)),0),IF(ISERROR(1/VLOOKUP($N242,Capa!$A:$AE,BK$5,0)),0,1/VLOOKUP($N242,Capa!$A:$AE,BK$5,0))))</f>
        <v/>
      </c>
      <c r="BL242" s="118" t="str">
        <f>IF(BL$6="","",IF(BL$3="Maior",IFERROR(IF(VLOOKUP($N242,Capa!$A:$AE,BL$5,0)="",0,VLOOKUP($N242,Capa!$A:$AE,BL$5,0)),0),IF(ISERROR(1/VLOOKUP($N242,Capa!$A:$AE,BL$5,0)),0,1/VLOOKUP($N242,Capa!$A:$AE,BL$5,0))))</f>
        <v/>
      </c>
      <c r="BM242" s="118" t="str">
        <f>IF(BM$6="","",IF(BM$3="Maior",IFERROR(IF(VLOOKUP($N242,Capa!$A:$AE,BM$5,0)="",0,VLOOKUP($N242,Capa!$A:$AE,BM$5,0)),0),IF(ISERROR(1/VLOOKUP($N242,Capa!$A:$AE,BM$5,0)),0,1/VLOOKUP($N242,Capa!$A:$AE,BM$5,0))))</f>
        <v/>
      </c>
      <c r="BN242" s="118" t="str">
        <f>IF(BN$6="","",IF(BN$3="Maior",IFERROR(IF(VLOOKUP($N242,Capa!$A:$AE,BN$5,0)="",0,VLOOKUP($N242,Capa!$A:$AE,BN$5,0)),0),IF(ISERROR(1/VLOOKUP($N242,Capa!$A:$AE,BN$5,0)),0,1/VLOOKUP($N242,Capa!$A:$AE,BN$5,0))))</f>
        <v/>
      </c>
      <c r="BO242" s="92"/>
    </row>
    <row r="243">
      <c r="G243" s="11"/>
      <c r="H243" s="11"/>
      <c r="I243" s="8"/>
      <c r="J243" s="132"/>
      <c r="K243" s="11"/>
      <c r="L243" s="11"/>
      <c r="M243" s="11"/>
      <c r="N243" s="10" t="s">
        <v>289</v>
      </c>
      <c r="O243" s="113">
        <f t="shared" si="8"/>
        <v>1675.0278</v>
      </c>
      <c r="P243" s="114">
        <f>VLOOKUP(N243,'Dados StatusInvest'!A:Z,26,0)</f>
        <v>3862646.96</v>
      </c>
      <c r="Q243" s="115">
        <f t="shared" si="9"/>
        <v>278.0278</v>
      </c>
      <c r="R243" s="116">
        <f t="shared" ref="R243:AO243" si="246">IF(AQ243="","", RANK(AQ243,AQ$7:AQ$503,0))</f>
        <v>178</v>
      </c>
      <c r="S243" s="115">
        <f t="shared" si="246"/>
        <v>219</v>
      </c>
      <c r="T243" s="115" t="str">
        <f t="shared" si="246"/>
        <v/>
      </c>
      <c r="U243" s="115" t="str">
        <f t="shared" si="246"/>
        <v/>
      </c>
      <c r="V243" s="115" t="str">
        <f t="shared" si="246"/>
        <v/>
      </c>
      <c r="W243" s="115" t="str">
        <f t="shared" si="246"/>
        <v/>
      </c>
      <c r="X243" s="115" t="str">
        <f t="shared" si="246"/>
        <v/>
      </c>
      <c r="Y243" s="115" t="str">
        <f t="shared" si="246"/>
        <v/>
      </c>
      <c r="Z243" s="115" t="str">
        <f t="shared" si="246"/>
        <v/>
      </c>
      <c r="AA243" s="115" t="str">
        <f t="shared" si="246"/>
        <v/>
      </c>
      <c r="AB243" s="115" t="str">
        <f t="shared" si="246"/>
        <v/>
      </c>
      <c r="AC243" s="115" t="str">
        <f t="shared" si="246"/>
        <v/>
      </c>
      <c r="AD243" s="115" t="str">
        <f t="shared" si="246"/>
        <v/>
      </c>
      <c r="AE243" s="115" t="str">
        <f t="shared" si="246"/>
        <v/>
      </c>
      <c r="AF243" s="115" t="str">
        <f t="shared" si="246"/>
        <v/>
      </c>
      <c r="AG243" s="115" t="str">
        <f t="shared" si="246"/>
        <v/>
      </c>
      <c r="AH243" s="115" t="str">
        <f t="shared" si="246"/>
        <v/>
      </c>
      <c r="AI243" s="115" t="str">
        <f t="shared" si="246"/>
        <v/>
      </c>
      <c r="AJ243" s="115" t="str">
        <f t="shared" si="246"/>
        <v/>
      </c>
      <c r="AK243" s="115" t="str">
        <f t="shared" si="246"/>
        <v/>
      </c>
      <c r="AL243" s="115" t="str">
        <f t="shared" si="246"/>
        <v/>
      </c>
      <c r="AM243" s="115" t="str">
        <f t="shared" si="246"/>
        <v/>
      </c>
      <c r="AN243" s="115" t="str">
        <f t="shared" si="246"/>
        <v/>
      </c>
      <c r="AO243" s="115" t="str">
        <f t="shared" si="246"/>
        <v/>
      </c>
      <c r="AP243" s="117">
        <f>IF(AP$6="","",IF(AP$3="Maior",IFERROR(IF(VLOOKUP($N243,Capa!$A:$AE,AP$5,0)="",0,VLOOKUP($N243,Capa!$A:$AE,AP$5,0)),0),IF(ISERROR(1/VLOOKUP($N243,Capa!$A:$AE,AP$5,0)),0,1/VLOOKUP($N243,Capa!$A:$AE,AP$5,0))))</f>
        <v>0.06615219162</v>
      </c>
      <c r="AQ243" s="118">
        <f>IF(AQ$6="","",IF(AQ$3="Maior",IFERROR(IF(VLOOKUP($N243,Capa!$A:$AE,AQ$5,0)="",0,VLOOKUP($N243,Capa!$A:$AE,AQ$5,0)),0),IF(ISERROR(1/VLOOKUP($N243,Capa!$A:$AE,AQ$5,0)),0,1/VLOOKUP($N243,Capa!$A:$AE,AQ$5,0))))</f>
        <v>12.55</v>
      </c>
      <c r="AR243" s="118">
        <f>IF(AR$6="","",IF(AR$3="Maior",IFERROR(IF(VLOOKUP($N243,Capa!$A:$AE,AR$5,0)="",0,VLOOKUP($N243,Capa!$A:$AE,AR$5,0)),0),IF(ISERROR(1/VLOOKUP($N243,Capa!$A:$AE,AR$5,0)),0,1/VLOOKUP($N243,Capa!$A:$AE,AR$5,0))))</f>
        <v>0</v>
      </c>
      <c r="AS243" s="118" t="str">
        <f>IF(AS$6="","",IF(AS$3="Maior",IFERROR(IF(VLOOKUP($N243,Capa!$A:$AE,AS$5,0)="",0,VLOOKUP($N243,Capa!$A:$AE,AS$5,0)),0),IF(ISERROR(1/VLOOKUP($N243,Capa!$A:$AE,AS$5,0)),0,1/VLOOKUP($N243,Capa!$A:$AE,AS$5,0))))</f>
        <v/>
      </c>
      <c r="AT243" s="118" t="str">
        <f>IF(AT$6="","",IF(AT$3="Maior",IFERROR(IF(VLOOKUP($N243,Capa!$A:$AE,AT$5,0)="",0,VLOOKUP($N243,Capa!$A:$AE,AT$5,0)),0),IF(ISERROR(1/VLOOKUP($N243,Capa!$A:$AE,AT$5,0)),0,1/VLOOKUP($N243,Capa!$A:$AE,AT$5,0))))</f>
        <v/>
      </c>
      <c r="AU243" s="118" t="str">
        <f>IF(AU$6="","",IF(AU$3="Maior",IFERROR(IF(VLOOKUP($N243,Capa!$A:$AE,AU$5,0)="",0,VLOOKUP($N243,Capa!$A:$AE,AU$5,0)),0),IF(ISERROR(1/VLOOKUP($N243,Capa!$A:$AE,AU$5,0)),0,1/VLOOKUP($N243,Capa!$A:$AE,AU$5,0))))</f>
        <v/>
      </c>
      <c r="AV243" s="118" t="str">
        <f>IF(AV$6="","",IF(AV$3="Maior",IFERROR(IF(VLOOKUP($N243,Capa!$A:$AE,AV$5,0)="",0,VLOOKUP($N243,Capa!$A:$AE,AV$5,0)),0),IF(ISERROR(1/VLOOKUP($N243,Capa!$A:$AE,AV$5,0)),0,1/VLOOKUP($N243,Capa!$A:$AE,AV$5,0))))</f>
        <v/>
      </c>
      <c r="AW243" s="118" t="str">
        <f>IF(AW$6="","",IF(AW$3="Maior",IFERROR(IF(VLOOKUP($N243,Capa!$A:$AE,AW$5,0)="",0,VLOOKUP($N243,Capa!$A:$AE,AW$5,0)),0),IF(ISERROR(1/VLOOKUP($N243,Capa!$A:$AE,AW$5,0)),0,1/VLOOKUP($N243,Capa!$A:$AE,AW$5,0))))</f>
        <v/>
      </c>
      <c r="AX243" s="118" t="str">
        <f>IF(AX$6="","",IF(AX$3="Maior",IFERROR(IF(VLOOKUP($N243,Capa!$A:$AE,AX$5,0)="",0,VLOOKUP($N243,Capa!$A:$AE,AX$5,0)),0),IF(ISERROR(1/VLOOKUP($N243,Capa!$A:$AE,AX$5,0)),0,1/VLOOKUP($N243,Capa!$A:$AE,AX$5,0))))</f>
        <v/>
      </c>
      <c r="AY243" s="118" t="str">
        <f>IF(AY$6="","",IF(AY$3="Maior",IFERROR(IF(VLOOKUP($N243,Capa!$A:$AE,AY$5,0)="",0,VLOOKUP($N243,Capa!$A:$AE,AY$5,0)),0),IF(ISERROR(1/VLOOKUP($N243,Capa!$A:$AE,AY$5,0)),0,1/VLOOKUP($N243,Capa!$A:$AE,AY$5,0))))</f>
        <v/>
      </c>
      <c r="AZ243" s="118" t="str">
        <f>IF(AZ$6="","",IF(AZ$3="Maior",IFERROR(IF(VLOOKUP($N243,Capa!$A:$AE,AZ$5,0)="",0,VLOOKUP($N243,Capa!$A:$AE,AZ$5,0)),0),IF(ISERROR(1/VLOOKUP($N243,Capa!$A:$AE,AZ$5,0)),0,1/VLOOKUP($N243,Capa!$A:$AE,AZ$5,0))))</f>
        <v/>
      </c>
      <c r="BA243" s="118" t="str">
        <f>IF(BA$6="","",IF(BA$3="Maior",IFERROR(IF(VLOOKUP($N243,Capa!$A:$AE,BA$5,0)="",0,VLOOKUP($N243,Capa!$A:$AE,BA$5,0)),0),IF(ISERROR(1/VLOOKUP($N243,Capa!$A:$AE,BA$5,0)),0,1/VLOOKUP($N243,Capa!$A:$AE,BA$5,0))))</f>
        <v/>
      </c>
      <c r="BB243" s="118" t="str">
        <f>IF(BB$6="","",IF(BB$3="Maior",IFERROR(IF(VLOOKUP($N243,Capa!$A:$AE,BB$5,0)="",0,VLOOKUP($N243,Capa!$A:$AE,BB$5,0)),0),IF(ISERROR(1/VLOOKUP($N243,Capa!$A:$AE,BB$5,0)),0,1/VLOOKUP($N243,Capa!$A:$AE,BB$5,0))))</f>
        <v/>
      </c>
      <c r="BC243" s="118" t="str">
        <f>IF(BC$6="","",IF(BC$3="Maior",IFERROR(IF(VLOOKUP($N243,Capa!$A:$AE,BC$5,0)="",0,VLOOKUP($N243,Capa!$A:$AE,BC$5,0)),0),IF(ISERROR(1/VLOOKUP($N243,Capa!$A:$AE,BC$5,0)),0,1/VLOOKUP($N243,Capa!$A:$AE,BC$5,0))))</f>
        <v/>
      </c>
      <c r="BD243" s="118" t="str">
        <f>IF(BD$6="","",IF(BD$3="Maior",IFERROR(IF(VLOOKUP($N243,Capa!$A:$AE,BD$5,0)="",0,VLOOKUP($N243,Capa!$A:$AE,BD$5,0)),0),IF(ISERROR(1/VLOOKUP($N243,Capa!$A:$AE,BD$5,0)),0,1/VLOOKUP($N243,Capa!$A:$AE,BD$5,0))))</f>
        <v/>
      </c>
      <c r="BE243" s="118" t="str">
        <f>IF(BE$6="","",IF(BE$3="Maior",IFERROR(IF(VLOOKUP($N243,Capa!$A:$AE,BE$5,0)="",0,VLOOKUP($N243,Capa!$A:$AE,BE$5,0)),0),IF(ISERROR(1/VLOOKUP($N243,Capa!$A:$AE,BE$5,0)),0,1/VLOOKUP($N243,Capa!$A:$AE,BE$5,0))))</f>
        <v/>
      </c>
      <c r="BF243" s="118" t="str">
        <f>IF(BF$6="","",IF(BF$3="Maior",IFERROR(IF(VLOOKUP($N243,Capa!$A:$AE,BF$5,0)="",0,VLOOKUP($N243,Capa!$A:$AE,BF$5,0)),0),IF(ISERROR(1/VLOOKUP($N243,Capa!$A:$AE,BF$5,0)),0,1/VLOOKUP($N243,Capa!$A:$AE,BF$5,0))))</f>
        <v/>
      </c>
      <c r="BG243" s="118" t="str">
        <f>IF(BG$6="","",IF(BG$3="Maior",IFERROR(IF(VLOOKUP($N243,Capa!$A:$AE,BG$5,0)="",0,VLOOKUP($N243,Capa!$A:$AE,BG$5,0)),0),IF(ISERROR(1/VLOOKUP($N243,Capa!$A:$AE,BG$5,0)),0,1/VLOOKUP($N243,Capa!$A:$AE,BG$5,0))))</f>
        <v/>
      </c>
      <c r="BH243" s="118" t="str">
        <f>IF(BH$6="","",IF(BH$3="Maior",IFERROR(IF(VLOOKUP($N243,Capa!$A:$AE,BH$5,0)="",0,VLOOKUP($N243,Capa!$A:$AE,BH$5,0)),0),IF(ISERROR(1/VLOOKUP($N243,Capa!$A:$AE,BH$5,0)),0,1/VLOOKUP($N243,Capa!$A:$AE,BH$5,0))))</f>
        <v/>
      </c>
      <c r="BI243" s="118" t="str">
        <f>IF(BI$6="","",IF(BI$3="Maior",IFERROR(IF(VLOOKUP($N243,Capa!$A:$AE,BI$5,0)="",0,VLOOKUP($N243,Capa!$A:$AE,BI$5,0)),0),IF(ISERROR(1/VLOOKUP($N243,Capa!$A:$AE,BI$5,0)),0,1/VLOOKUP($N243,Capa!$A:$AE,BI$5,0))))</f>
        <v/>
      </c>
      <c r="BJ243" s="118" t="str">
        <f>IF(BJ$6="","",IF(BJ$3="Maior",IFERROR(IF(VLOOKUP($N243,Capa!$A:$AE,BJ$5,0)="",0,VLOOKUP($N243,Capa!$A:$AE,BJ$5,0)),0),IF(ISERROR(1/VLOOKUP($N243,Capa!$A:$AE,BJ$5,0)),0,1/VLOOKUP($N243,Capa!$A:$AE,BJ$5,0))))</f>
        <v/>
      </c>
      <c r="BK243" s="118" t="str">
        <f>IF(BK$6="","",IF(BK$3="Maior",IFERROR(IF(VLOOKUP($N243,Capa!$A:$AE,BK$5,0)="",0,VLOOKUP($N243,Capa!$A:$AE,BK$5,0)),0),IF(ISERROR(1/VLOOKUP($N243,Capa!$A:$AE,BK$5,0)),0,1/VLOOKUP($N243,Capa!$A:$AE,BK$5,0))))</f>
        <v/>
      </c>
      <c r="BL243" s="118" t="str">
        <f>IF(BL$6="","",IF(BL$3="Maior",IFERROR(IF(VLOOKUP($N243,Capa!$A:$AE,BL$5,0)="",0,VLOOKUP($N243,Capa!$A:$AE,BL$5,0)),0),IF(ISERROR(1/VLOOKUP($N243,Capa!$A:$AE,BL$5,0)),0,1/VLOOKUP($N243,Capa!$A:$AE,BL$5,0))))</f>
        <v/>
      </c>
      <c r="BM243" s="118" t="str">
        <f>IF(BM$6="","",IF(BM$3="Maior",IFERROR(IF(VLOOKUP($N243,Capa!$A:$AE,BM$5,0)="",0,VLOOKUP($N243,Capa!$A:$AE,BM$5,0)),0),IF(ISERROR(1/VLOOKUP($N243,Capa!$A:$AE,BM$5,0)),0,1/VLOOKUP($N243,Capa!$A:$AE,BM$5,0))))</f>
        <v/>
      </c>
      <c r="BN243" s="118" t="str">
        <f>IF(BN$6="","",IF(BN$3="Maior",IFERROR(IF(VLOOKUP($N243,Capa!$A:$AE,BN$5,0)="",0,VLOOKUP($N243,Capa!$A:$AE,BN$5,0)),0),IF(ISERROR(1/VLOOKUP($N243,Capa!$A:$AE,BN$5,0)),0,1/VLOOKUP($N243,Capa!$A:$AE,BN$5,0))))</f>
        <v/>
      </c>
      <c r="BO243" s="92"/>
    </row>
    <row r="244">
      <c r="G244" s="11"/>
      <c r="H244" s="11"/>
      <c r="I244" s="8"/>
      <c r="J244" s="132"/>
      <c r="K244" s="11"/>
      <c r="L244" s="11"/>
      <c r="M244" s="11"/>
      <c r="N244" s="10" t="s">
        <v>290</v>
      </c>
      <c r="O244" s="113">
        <f t="shared" si="8"/>
        <v>1660.0212</v>
      </c>
      <c r="P244" s="114">
        <f>VLOOKUP(N244,'Dados StatusInvest'!A:Z,26,0)</f>
        <v>5035710.83</v>
      </c>
      <c r="Q244" s="115">
        <f t="shared" si="9"/>
        <v>212.0212</v>
      </c>
      <c r="R244" s="116">
        <f t="shared" ref="R244:AO244" si="247">IF(AQ244="","", RANK(AQ244,AQ$7:AQ$503,0))</f>
        <v>299</v>
      </c>
      <c r="S244" s="115">
        <f t="shared" si="247"/>
        <v>149</v>
      </c>
      <c r="T244" s="115" t="str">
        <f t="shared" si="247"/>
        <v/>
      </c>
      <c r="U244" s="115" t="str">
        <f t="shared" si="247"/>
        <v/>
      </c>
      <c r="V244" s="115" t="str">
        <f t="shared" si="247"/>
        <v/>
      </c>
      <c r="W244" s="115" t="str">
        <f t="shared" si="247"/>
        <v/>
      </c>
      <c r="X244" s="115" t="str">
        <f t="shared" si="247"/>
        <v/>
      </c>
      <c r="Y244" s="115" t="str">
        <f t="shared" si="247"/>
        <v/>
      </c>
      <c r="Z244" s="115" t="str">
        <f t="shared" si="247"/>
        <v/>
      </c>
      <c r="AA244" s="115" t="str">
        <f t="shared" si="247"/>
        <v/>
      </c>
      <c r="AB244" s="115" t="str">
        <f t="shared" si="247"/>
        <v/>
      </c>
      <c r="AC244" s="115" t="str">
        <f t="shared" si="247"/>
        <v/>
      </c>
      <c r="AD244" s="115" t="str">
        <f t="shared" si="247"/>
        <v/>
      </c>
      <c r="AE244" s="115" t="str">
        <f t="shared" si="247"/>
        <v/>
      </c>
      <c r="AF244" s="115" t="str">
        <f t="shared" si="247"/>
        <v/>
      </c>
      <c r="AG244" s="115" t="str">
        <f t="shared" si="247"/>
        <v/>
      </c>
      <c r="AH244" s="115" t="str">
        <f t="shared" si="247"/>
        <v/>
      </c>
      <c r="AI244" s="115" t="str">
        <f t="shared" si="247"/>
        <v/>
      </c>
      <c r="AJ244" s="115" t="str">
        <f t="shared" si="247"/>
        <v/>
      </c>
      <c r="AK244" s="115" t="str">
        <f t="shared" si="247"/>
        <v/>
      </c>
      <c r="AL244" s="115" t="str">
        <f t="shared" si="247"/>
        <v/>
      </c>
      <c r="AM244" s="115" t="str">
        <f t="shared" si="247"/>
        <v/>
      </c>
      <c r="AN244" s="115" t="str">
        <f t="shared" si="247"/>
        <v/>
      </c>
      <c r="AO244" s="115" t="str">
        <f t="shared" si="247"/>
        <v/>
      </c>
      <c r="AP244" s="117">
        <f>IF(AP$6="","",IF(AP$3="Maior",IFERROR(IF(VLOOKUP($N244,Capa!$A:$AE,AP$5,0)="",0,VLOOKUP($N244,Capa!$A:$AE,AP$5,0)),0),IF(ISERROR(1/VLOOKUP($N244,Capa!$A:$AE,AP$5,0)),0,1/VLOOKUP($N244,Capa!$A:$AE,AP$5,0))))</f>
        <v>0.1000350023</v>
      </c>
      <c r="AQ244" s="118">
        <f>IF(AQ$6="","",IF(AQ$3="Maior",IFERROR(IF(VLOOKUP($N244,Capa!$A:$AE,AQ$5,0)="",0,VLOOKUP($N244,Capa!$A:$AE,AQ$5,0)),0),IF(ISERROR(1/VLOOKUP($N244,Capa!$A:$AE,AQ$5,0)),0,1/VLOOKUP($N244,Capa!$A:$AE,AQ$5,0))))</f>
        <v>4.92</v>
      </c>
      <c r="AR244" s="118">
        <f>IF(AR$6="","",IF(AR$3="Maior",IFERROR(IF(VLOOKUP($N244,Capa!$A:$AE,AR$5,0)="",0,VLOOKUP($N244,Capa!$A:$AE,AR$5,0)),0),IF(ISERROR(1/VLOOKUP($N244,Capa!$A:$AE,AR$5,0)),0,1/VLOOKUP($N244,Capa!$A:$AE,AR$5,0))))</f>
        <v>15.35</v>
      </c>
      <c r="AS244" s="118" t="str">
        <f>IF(AS$6="","",IF(AS$3="Maior",IFERROR(IF(VLOOKUP($N244,Capa!$A:$AE,AS$5,0)="",0,VLOOKUP($N244,Capa!$A:$AE,AS$5,0)),0),IF(ISERROR(1/VLOOKUP($N244,Capa!$A:$AE,AS$5,0)),0,1/VLOOKUP($N244,Capa!$A:$AE,AS$5,0))))</f>
        <v/>
      </c>
      <c r="AT244" s="118" t="str">
        <f>IF(AT$6="","",IF(AT$3="Maior",IFERROR(IF(VLOOKUP($N244,Capa!$A:$AE,AT$5,0)="",0,VLOOKUP($N244,Capa!$A:$AE,AT$5,0)),0),IF(ISERROR(1/VLOOKUP($N244,Capa!$A:$AE,AT$5,0)),0,1/VLOOKUP($N244,Capa!$A:$AE,AT$5,0))))</f>
        <v/>
      </c>
      <c r="AU244" s="118" t="str">
        <f>IF(AU$6="","",IF(AU$3="Maior",IFERROR(IF(VLOOKUP($N244,Capa!$A:$AE,AU$5,0)="",0,VLOOKUP($N244,Capa!$A:$AE,AU$5,0)),0),IF(ISERROR(1/VLOOKUP($N244,Capa!$A:$AE,AU$5,0)),0,1/VLOOKUP($N244,Capa!$A:$AE,AU$5,0))))</f>
        <v/>
      </c>
      <c r="AV244" s="118" t="str">
        <f>IF(AV$6="","",IF(AV$3="Maior",IFERROR(IF(VLOOKUP($N244,Capa!$A:$AE,AV$5,0)="",0,VLOOKUP($N244,Capa!$A:$AE,AV$5,0)),0),IF(ISERROR(1/VLOOKUP($N244,Capa!$A:$AE,AV$5,0)),0,1/VLOOKUP($N244,Capa!$A:$AE,AV$5,0))))</f>
        <v/>
      </c>
      <c r="AW244" s="118" t="str">
        <f>IF(AW$6="","",IF(AW$3="Maior",IFERROR(IF(VLOOKUP($N244,Capa!$A:$AE,AW$5,0)="",0,VLOOKUP($N244,Capa!$A:$AE,AW$5,0)),0),IF(ISERROR(1/VLOOKUP($N244,Capa!$A:$AE,AW$5,0)),0,1/VLOOKUP($N244,Capa!$A:$AE,AW$5,0))))</f>
        <v/>
      </c>
      <c r="AX244" s="118" t="str">
        <f>IF(AX$6="","",IF(AX$3="Maior",IFERROR(IF(VLOOKUP($N244,Capa!$A:$AE,AX$5,0)="",0,VLOOKUP($N244,Capa!$A:$AE,AX$5,0)),0),IF(ISERROR(1/VLOOKUP($N244,Capa!$A:$AE,AX$5,0)),0,1/VLOOKUP($N244,Capa!$A:$AE,AX$5,0))))</f>
        <v/>
      </c>
      <c r="AY244" s="118" t="str">
        <f>IF(AY$6="","",IF(AY$3="Maior",IFERROR(IF(VLOOKUP($N244,Capa!$A:$AE,AY$5,0)="",0,VLOOKUP($N244,Capa!$A:$AE,AY$5,0)),0),IF(ISERROR(1/VLOOKUP($N244,Capa!$A:$AE,AY$5,0)),0,1/VLOOKUP($N244,Capa!$A:$AE,AY$5,0))))</f>
        <v/>
      </c>
      <c r="AZ244" s="118" t="str">
        <f>IF(AZ$6="","",IF(AZ$3="Maior",IFERROR(IF(VLOOKUP($N244,Capa!$A:$AE,AZ$5,0)="",0,VLOOKUP($N244,Capa!$A:$AE,AZ$5,0)),0),IF(ISERROR(1/VLOOKUP($N244,Capa!$A:$AE,AZ$5,0)),0,1/VLOOKUP($N244,Capa!$A:$AE,AZ$5,0))))</f>
        <v/>
      </c>
      <c r="BA244" s="118" t="str">
        <f>IF(BA$6="","",IF(BA$3="Maior",IFERROR(IF(VLOOKUP($N244,Capa!$A:$AE,BA$5,0)="",0,VLOOKUP($N244,Capa!$A:$AE,BA$5,0)),0),IF(ISERROR(1/VLOOKUP($N244,Capa!$A:$AE,BA$5,0)),0,1/VLOOKUP($N244,Capa!$A:$AE,BA$5,0))))</f>
        <v/>
      </c>
      <c r="BB244" s="118" t="str">
        <f>IF(BB$6="","",IF(BB$3="Maior",IFERROR(IF(VLOOKUP($N244,Capa!$A:$AE,BB$5,0)="",0,VLOOKUP($N244,Capa!$A:$AE,BB$5,0)),0),IF(ISERROR(1/VLOOKUP($N244,Capa!$A:$AE,BB$5,0)),0,1/VLOOKUP($N244,Capa!$A:$AE,BB$5,0))))</f>
        <v/>
      </c>
      <c r="BC244" s="118" t="str">
        <f>IF(BC$6="","",IF(BC$3="Maior",IFERROR(IF(VLOOKUP($N244,Capa!$A:$AE,BC$5,0)="",0,VLOOKUP($N244,Capa!$A:$AE,BC$5,0)),0),IF(ISERROR(1/VLOOKUP($N244,Capa!$A:$AE,BC$5,0)),0,1/VLOOKUP($N244,Capa!$A:$AE,BC$5,0))))</f>
        <v/>
      </c>
      <c r="BD244" s="118" t="str">
        <f>IF(BD$6="","",IF(BD$3="Maior",IFERROR(IF(VLOOKUP($N244,Capa!$A:$AE,BD$5,0)="",0,VLOOKUP($N244,Capa!$A:$AE,BD$5,0)),0),IF(ISERROR(1/VLOOKUP($N244,Capa!$A:$AE,BD$5,0)),0,1/VLOOKUP($N244,Capa!$A:$AE,BD$5,0))))</f>
        <v/>
      </c>
      <c r="BE244" s="118" t="str">
        <f>IF(BE$6="","",IF(BE$3="Maior",IFERROR(IF(VLOOKUP($N244,Capa!$A:$AE,BE$5,0)="",0,VLOOKUP($N244,Capa!$A:$AE,BE$5,0)),0),IF(ISERROR(1/VLOOKUP($N244,Capa!$A:$AE,BE$5,0)),0,1/VLOOKUP($N244,Capa!$A:$AE,BE$5,0))))</f>
        <v/>
      </c>
      <c r="BF244" s="118" t="str">
        <f>IF(BF$6="","",IF(BF$3="Maior",IFERROR(IF(VLOOKUP($N244,Capa!$A:$AE,BF$5,0)="",0,VLOOKUP($N244,Capa!$A:$AE,BF$5,0)),0),IF(ISERROR(1/VLOOKUP($N244,Capa!$A:$AE,BF$5,0)),0,1/VLOOKUP($N244,Capa!$A:$AE,BF$5,0))))</f>
        <v/>
      </c>
      <c r="BG244" s="118" t="str">
        <f>IF(BG$6="","",IF(BG$3="Maior",IFERROR(IF(VLOOKUP($N244,Capa!$A:$AE,BG$5,0)="",0,VLOOKUP($N244,Capa!$A:$AE,BG$5,0)),0),IF(ISERROR(1/VLOOKUP($N244,Capa!$A:$AE,BG$5,0)),0,1/VLOOKUP($N244,Capa!$A:$AE,BG$5,0))))</f>
        <v/>
      </c>
      <c r="BH244" s="118" t="str">
        <f>IF(BH$6="","",IF(BH$3="Maior",IFERROR(IF(VLOOKUP($N244,Capa!$A:$AE,BH$5,0)="",0,VLOOKUP($N244,Capa!$A:$AE,BH$5,0)),0),IF(ISERROR(1/VLOOKUP($N244,Capa!$A:$AE,BH$5,0)),0,1/VLOOKUP($N244,Capa!$A:$AE,BH$5,0))))</f>
        <v/>
      </c>
      <c r="BI244" s="118" t="str">
        <f>IF(BI$6="","",IF(BI$3="Maior",IFERROR(IF(VLOOKUP($N244,Capa!$A:$AE,BI$5,0)="",0,VLOOKUP($N244,Capa!$A:$AE,BI$5,0)),0),IF(ISERROR(1/VLOOKUP($N244,Capa!$A:$AE,BI$5,0)),0,1/VLOOKUP($N244,Capa!$A:$AE,BI$5,0))))</f>
        <v/>
      </c>
      <c r="BJ244" s="118" t="str">
        <f>IF(BJ$6="","",IF(BJ$3="Maior",IFERROR(IF(VLOOKUP($N244,Capa!$A:$AE,BJ$5,0)="",0,VLOOKUP($N244,Capa!$A:$AE,BJ$5,0)),0),IF(ISERROR(1/VLOOKUP($N244,Capa!$A:$AE,BJ$5,0)),0,1/VLOOKUP($N244,Capa!$A:$AE,BJ$5,0))))</f>
        <v/>
      </c>
      <c r="BK244" s="118" t="str">
        <f>IF(BK$6="","",IF(BK$3="Maior",IFERROR(IF(VLOOKUP($N244,Capa!$A:$AE,BK$5,0)="",0,VLOOKUP($N244,Capa!$A:$AE,BK$5,0)),0),IF(ISERROR(1/VLOOKUP($N244,Capa!$A:$AE,BK$5,0)),0,1/VLOOKUP($N244,Capa!$A:$AE,BK$5,0))))</f>
        <v/>
      </c>
      <c r="BL244" s="118" t="str">
        <f>IF(BL$6="","",IF(BL$3="Maior",IFERROR(IF(VLOOKUP($N244,Capa!$A:$AE,BL$5,0)="",0,VLOOKUP($N244,Capa!$A:$AE,BL$5,0)),0),IF(ISERROR(1/VLOOKUP($N244,Capa!$A:$AE,BL$5,0)),0,1/VLOOKUP($N244,Capa!$A:$AE,BL$5,0))))</f>
        <v/>
      </c>
      <c r="BM244" s="118" t="str">
        <f>IF(BM$6="","",IF(BM$3="Maior",IFERROR(IF(VLOOKUP($N244,Capa!$A:$AE,BM$5,0)="",0,VLOOKUP($N244,Capa!$A:$AE,BM$5,0)),0),IF(ISERROR(1/VLOOKUP($N244,Capa!$A:$AE,BM$5,0)),0,1/VLOOKUP($N244,Capa!$A:$AE,BM$5,0))))</f>
        <v/>
      </c>
      <c r="BN244" s="118" t="str">
        <f>IF(BN$6="","",IF(BN$3="Maior",IFERROR(IF(VLOOKUP($N244,Capa!$A:$AE,BN$5,0)="",0,VLOOKUP($N244,Capa!$A:$AE,BN$5,0)),0),IF(ISERROR(1/VLOOKUP($N244,Capa!$A:$AE,BN$5,0)),0,1/VLOOKUP($N244,Capa!$A:$AE,BN$5,0))))</f>
        <v/>
      </c>
      <c r="BO244" s="92"/>
    </row>
    <row r="245">
      <c r="G245" s="11"/>
      <c r="H245" s="11"/>
      <c r="I245" s="8"/>
      <c r="J245" s="132"/>
      <c r="K245" s="11"/>
      <c r="L245" s="11"/>
      <c r="M245" s="11"/>
      <c r="N245" s="10" t="s">
        <v>291</v>
      </c>
      <c r="O245" s="113">
        <f t="shared" si="8"/>
        <v>2182.0484</v>
      </c>
      <c r="P245" s="114">
        <f>VLOOKUP(N245,'Dados StatusInvest'!A:Z,26,0)</f>
        <v>3280457.13</v>
      </c>
      <c r="Q245" s="115">
        <f t="shared" si="9"/>
        <v>484.0484</v>
      </c>
      <c r="R245" s="116">
        <f t="shared" ref="R245:AO245" si="248">IF(AQ245="","", RANK(AQ245,AQ$7:AQ$503,0))</f>
        <v>479</v>
      </c>
      <c r="S245" s="115">
        <f t="shared" si="248"/>
        <v>219</v>
      </c>
      <c r="T245" s="115" t="str">
        <f t="shared" si="248"/>
        <v/>
      </c>
      <c r="U245" s="115" t="str">
        <f t="shared" si="248"/>
        <v/>
      </c>
      <c r="V245" s="115" t="str">
        <f t="shared" si="248"/>
        <v/>
      </c>
      <c r="W245" s="115" t="str">
        <f t="shared" si="248"/>
        <v/>
      </c>
      <c r="X245" s="115" t="str">
        <f t="shared" si="248"/>
        <v/>
      </c>
      <c r="Y245" s="115" t="str">
        <f t="shared" si="248"/>
        <v/>
      </c>
      <c r="Z245" s="115" t="str">
        <f t="shared" si="248"/>
        <v/>
      </c>
      <c r="AA245" s="115" t="str">
        <f t="shared" si="248"/>
        <v/>
      </c>
      <c r="AB245" s="115" t="str">
        <f t="shared" si="248"/>
        <v/>
      </c>
      <c r="AC245" s="115" t="str">
        <f t="shared" si="248"/>
        <v/>
      </c>
      <c r="AD245" s="115" t="str">
        <f t="shared" si="248"/>
        <v/>
      </c>
      <c r="AE245" s="115" t="str">
        <f t="shared" si="248"/>
        <v/>
      </c>
      <c r="AF245" s="115" t="str">
        <f t="shared" si="248"/>
        <v/>
      </c>
      <c r="AG245" s="115" t="str">
        <f t="shared" si="248"/>
        <v/>
      </c>
      <c r="AH245" s="115" t="str">
        <f t="shared" si="248"/>
        <v/>
      </c>
      <c r="AI245" s="115" t="str">
        <f t="shared" si="248"/>
        <v/>
      </c>
      <c r="AJ245" s="115" t="str">
        <f t="shared" si="248"/>
        <v/>
      </c>
      <c r="AK245" s="115" t="str">
        <f t="shared" si="248"/>
        <v/>
      </c>
      <c r="AL245" s="115" t="str">
        <f t="shared" si="248"/>
        <v/>
      </c>
      <c r="AM245" s="115" t="str">
        <f t="shared" si="248"/>
        <v/>
      </c>
      <c r="AN245" s="115" t="str">
        <f t="shared" si="248"/>
        <v/>
      </c>
      <c r="AO245" s="115" t="str">
        <f t="shared" si="248"/>
        <v/>
      </c>
      <c r="AP245" s="117">
        <f>IF(AP$6="","",IF(AP$3="Maior",IFERROR(IF(VLOOKUP($N245,Capa!$A:$AE,AP$5,0)="",0,VLOOKUP($N245,Capa!$A:$AE,AP$5,0)),0),IF(ISERROR(1/VLOOKUP($N245,Capa!$A:$AE,AP$5,0)),0,1/VLOOKUP($N245,Capa!$A:$AE,AP$5,0))))</f>
        <v>-0.2778364131</v>
      </c>
      <c r="AQ245" s="118">
        <f>IF(AQ$6="","",IF(AQ$3="Maior",IFERROR(IF(VLOOKUP($N245,Capa!$A:$AE,AQ$5,0)="",0,VLOOKUP($N245,Capa!$A:$AE,AQ$5,0)),0),IF(ISERROR(1/VLOOKUP($N245,Capa!$A:$AE,AQ$5,0)),0,1/VLOOKUP($N245,Capa!$A:$AE,AQ$5,0))))</f>
        <v>-28.42</v>
      </c>
      <c r="AR245" s="118">
        <f>IF(AR$6="","",IF(AR$3="Maior",IFERROR(IF(VLOOKUP($N245,Capa!$A:$AE,AR$5,0)="",0,VLOOKUP($N245,Capa!$A:$AE,AR$5,0)),0),IF(ISERROR(1/VLOOKUP($N245,Capa!$A:$AE,AR$5,0)),0,1/VLOOKUP($N245,Capa!$A:$AE,AR$5,0))))</f>
        <v>0</v>
      </c>
      <c r="AS245" s="118" t="str">
        <f>IF(AS$6="","",IF(AS$3="Maior",IFERROR(IF(VLOOKUP($N245,Capa!$A:$AE,AS$5,0)="",0,VLOOKUP($N245,Capa!$A:$AE,AS$5,0)),0),IF(ISERROR(1/VLOOKUP($N245,Capa!$A:$AE,AS$5,0)),0,1/VLOOKUP($N245,Capa!$A:$AE,AS$5,0))))</f>
        <v/>
      </c>
      <c r="AT245" s="118" t="str">
        <f>IF(AT$6="","",IF(AT$3="Maior",IFERROR(IF(VLOOKUP($N245,Capa!$A:$AE,AT$5,0)="",0,VLOOKUP($N245,Capa!$A:$AE,AT$5,0)),0),IF(ISERROR(1/VLOOKUP($N245,Capa!$A:$AE,AT$5,0)),0,1/VLOOKUP($N245,Capa!$A:$AE,AT$5,0))))</f>
        <v/>
      </c>
      <c r="AU245" s="118" t="str">
        <f>IF(AU$6="","",IF(AU$3="Maior",IFERROR(IF(VLOOKUP($N245,Capa!$A:$AE,AU$5,0)="",0,VLOOKUP($N245,Capa!$A:$AE,AU$5,0)),0),IF(ISERROR(1/VLOOKUP($N245,Capa!$A:$AE,AU$5,0)),0,1/VLOOKUP($N245,Capa!$A:$AE,AU$5,0))))</f>
        <v/>
      </c>
      <c r="AV245" s="118" t="str">
        <f>IF(AV$6="","",IF(AV$3="Maior",IFERROR(IF(VLOOKUP($N245,Capa!$A:$AE,AV$5,0)="",0,VLOOKUP($N245,Capa!$A:$AE,AV$5,0)),0),IF(ISERROR(1/VLOOKUP($N245,Capa!$A:$AE,AV$5,0)),0,1/VLOOKUP($N245,Capa!$A:$AE,AV$5,0))))</f>
        <v/>
      </c>
      <c r="AW245" s="118" t="str">
        <f>IF(AW$6="","",IF(AW$3="Maior",IFERROR(IF(VLOOKUP($N245,Capa!$A:$AE,AW$5,0)="",0,VLOOKUP($N245,Capa!$A:$AE,AW$5,0)),0),IF(ISERROR(1/VLOOKUP($N245,Capa!$A:$AE,AW$5,0)),0,1/VLOOKUP($N245,Capa!$A:$AE,AW$5,0))))</f>
        <v/>
      </c>
      <c r="AX245" s="118" t="str">
        <f>IF(AX$6="","",IF(AX$3="Maior",IFERROR(IF(VLOOKUP($N245,Capa!$A:$AE,AX$5,0)="",0,VLOOKUP($N245,Capa!$A:$AE,AX$5,0)),0),IF(ISERROR(1/VLOOKUP($N245,Capa!$A:$AE,AX$5,0)),0,1/VLOOKUP($N245,Capa!$A:$AE,AX$5,0))))</f>
        <v/>
      </c>
      <c r="AY245" s="118" t="str">
        <f>IF(AY$6="","",IF(AY$3="Maior",IFERROR(IF(VLOOKUP($N245,Capa!$A:$AE,AY$5,0)="",0,VLOOKUP($N245,Capa!$A:$AE,AY$5,0)),0),IF(ISERROR(1/VLOOKUP($N245,Capa!$A:$AE,AY$5,0)),0,1/VLOOKUP($N245,Capa!$A:$AE,AY$5,0))))</f>
        <v/>
      </c>
      <c r="AZ245" s="118" t="str">
        <f>IF(AZ$6="","",IF(AZ$3="Maior",IFERROR(IF(VLOOKUP($N245,Capa!$A:$AE,AZ$5,0)="",0,VLOOKUP($N245,Capa!$A:$AE,AZ$5,0)),0),IF(ISERROR(1/VLOOKUP($N245,Capa!$A:$AE,AZ$5,0)),0,1/VLOOKUP($N245,Capa!$A:$AE,AZ$5,0))))</f>
        <v/>
      </c>
      <c r="BA245" s="118" t="str">
        <f>IF(BA$6="","",IF(BA$3="Maior",IFERROR(IF(VLOOKUP($N245,Capa!$A:$AE,BA$5,0)="",0,VLOOKUP($N245,Capa!$A:$AE,BA$5,0)),0),IF(ISERROR(1/VLOOKUP($N245,Capa!$A:$AE,BA$5,0)),0,1/VLOOKUP($N245,Capa!$A:$AE,BA$5,0))))</f>
        <v/>
      </c>
      <c r="BB245" s="118" t="str">
        <f>IF(BB$6="","",IF(BB$3="Maior",IFERROR(IF(VLOOKUP($N245,Capa!$A:$AE,BB$5,0)="",0,VLOOKUP($N245,Capa!$A:$AE,BB$5,0)),0),IF(ISERROR(1/VLOOKUP($N245,Capa!$A:$AE,BB$5,0)),0,1/VLOOKUP($N245,Capa!$A:$AE,BB$5,0))))</f>
        <v/>
      </c>
      <c r="BC245" s="118" t="str">
        <f>IF(BC$6="","",IF(BC$3="Maior",IFERROR(IF(VLOOKUP($N245,Capa!$A:$AE,BC$5,0)="",0,VLOOKUP($N245,Capa!$A:$AE,BC$5,0)),0),IF(ISERROR(1/VLOOKUP($N245,Capa!$A:$AE,BC$5,0)),0,1/VLOOKUP($N245,Capa!$A:$AE,BC$5,0))))</f>
        <v/>
      </c>
      <c r="BD245" s="118" t="str">
        <f>IF(BD$6="","",IF(BD$3="Maior",IFERROR(IF(VLOOKUP($N245,Capa!$A:$AE,BD$5,0)="",0,VLOOKUP($N245,Capa!$A:$AE,BD$5,0)),0),IF(ISERROR(1/VLOOKUP($N245,Capa!$A:$AE,BD$5,0)),0,1/VLOOKUP($N245,Capa!$A:$AE,BD$5,0))))</f>
        <v/>
      </c>
      <c r="BE245" s="118" t="str">
        <f>IF(BE$6="","",IF(BE$3="Maior",IFERROR(IF(VLOOKUP($N245,Capa!$A:$AE,BE$5,0)="",0,VLOOKUP($N245,Capa!$A:$AE,BE$5,0)),0),IF(ISERROR(1/VLOOKUP($N245,Capa!$A:$AE,BE$5,0)),0,1/VLOOKUP($N245,Capa!$A:$AE,BE$5,0))))</f>
        <v/>
      </c>
      <c r="BF245" s="118" t="str">
        <f>IF(BF$6="","",IF(BF$3="Maior",IFERROR(IF(VLOOKUP($N245,Capa!$A:$AE,BF$5,0)="",0,VLOOKUP($N245,Capa!$A:$AE,BF$5,0)),0),IF(ISERROR(1/VLOOKUP($N245,Capa!$A:$AE,BF$5,0)),0,1/VLOOKUP($N245,Capa!$A:$AE,BF$5,0))))</f>
        <v/>
      </c>
      <c r="BG245" s="118" t="str">
        <f>IF(BG$6="","",IF(BG$3="Maior",IFERROR(IF(VLOOKUP($N245,Capa!$A:$AE,BG$5,0)="",0,VLOOKUP($N245,Capa!$A:$AE,BG$5,0)),0),IF(ISERROR(1/VLOOKUP($N245,Capa!$A:$AE,BG$5,0)),0,1/VLOOKUP($N245,Capa!$A:$AE,BG$5,0))))</f>
        <v/>
      </c>
      <c r="BH245" s="118" t="str">
        <f>IF(BH$6="","",IF(BH$3="Maior",IFERROR(IF(VLOOKUP($N245,Capa!$A:$AE,BH$5,0)="",0,VLOOKUP($N245,Capa!$A:$AE,BH$5,0)),0),IF(ISERROR(1/VLOOKUP($N245,Capa!$A:$AE,BH$5,0)),0,1/VLOOKUP($N245,Capa!$A:$AE,BH$5,0))))</f>
        <v/>
      </c>
      <c r="BI245" s="118" t="str">
        <f>IF(BI$6="","",IF(BI$3="Maior",IFERROR(IF(VLOOKUP($N245,Capa!$A:$AE,BI$5,0)="",0,VLOOKUP($N245,Capa!$A:$AE,BI$5,0)),0),IF(ISERROR(1/VLOOKUP($N245,Capa!$A:$AE,BI$5,0)),0,1/VLOOKUP($N245,Capa!$A:$AE,BI$5,0))))</f>
        <v/>
      </c>
      <c r="BJ245" s="118" t="str">
        <f>IF(BJ$6="","",IF(BJ$3="Maior",IFERROR(IF(VLOOKUP($N245,Capa!$A:$AE,BJ$5,0)="",0,VLOOKUP($N245,Capa!$A:$AE,BJ$5,0)),0),IF(ISERROR(1/VLOOKUP($N245,Capa!$A:$AE,BJ$5,0)),0,1/VLOOKUP($N245,Capa!$A:$AE,BJ$5,0))))</f>
        <v/>
      </c>
      <c r="BK245" s="118" t="str">
        <f>IF(BK$6="","",IF(BK$3="Maior",IFERROR(IF(VLOOKUP($N245,Capa!$A:$AE,BK$5,0)="",0,VLOOKUP($N245,Capa!$A:$AE,BK$5,0)),0),IF(ISERROR(1/VLOOKUP($N245,Capa!$A:$AE,BK$5,0)),0,1/VLOOKUP($N245,Capa!$A:$AE,BK$5,0))))</f>
        <v/>
      </c>
      <c r="BL245" s="118" t="str">
        <f>IF(BL$6="","",IF(BL$3="Maior",IFERROR(IF(VLOOKUP($N245,Capa!$A:$AE,BL$5,0)="",0,VLOOKUP($N245,Capa!$A:$AE,BL$5,0)),0),IF(ISERROR(1/VLOOKUP($N245,Capa!$A:$AE,BL$5,0)),0,1/VLOOKUP($N245,Capa!$A:$AE,BL$5,0))))</f>
        <v/>
      </c>
      <c r="BM245" s="118" t="str">
        <f>IF(BM$6="","",IF(BM$3="Maior",IFERROR(IF(VLOOKUP($N245,Capa!$A:$AE,BM$5,0)="",0,VLOOKUP($N245,Capa!$A:$AE,BM$5,0)),0),IF(ISERROR(1/VLOOKUP($N245,Capa!$A:$AE,BM$5,0)),0,1/VLOOKUP($N245,Capa!$A:$AE,BM$5,0))))</f>
        <v/>
      </c>
      <c r="BN245" s="118" t="str">
        <f>IF(BN$6="","",IF(BN$3="Maior",IFERROR(IF(VLOOKUP($N245,Capa!$A:$AE,BN$5,0)="",0,VLOOKUP($N245,Capa!$A:$AE,BN$5,0)),0),IF(ISERROR(1/VLOOKUP($N245,Capa!$A:$AE,BN$5,0)),0,1/VLOOKUP($N245,Capa!$A:$AE,BN$5,0))))</f>
        <v/>
      </c>
      <c r="BO245" s="92"/>
    </row>
    <row r="246">
      <c r="G246" s="11"/>
      <c r="H246" s="11"/>
      <c r="I246" s="8"/>
      <c r="J246" s="132"/>
      <c r="K246" s="11"/>
      <c r="L246" s="11"/>
      <c r="M246" s="11"/>
      <c r="N246" s="10" t="s">
        <v>292</v>
      </c>
      <c r="O246" s="113">
        <f t="shared" si="8"/>
        <v>2206.0495</v>
      </c>
      <c r="P246" s="114">
        <f>VLOOKUP(N246,'Dados StatusInvest'!A:Z,26,0)</f>
        <v>2803750.96</v>
      </c>
      <c r="Q246" s="115">
        <f t="shared" si="9"/>
        <v>495.0495</v>
      </c>
      <c r="R246" s="116">
        <f t="shared" ref="R246:AO246" si="249">IF(AQ246="","", RANK(AQ246,AQ$7:AQ$503,0))</f>
        <v>492</v>
      </c>
      <c r="S246" s="115">
        <f t="shared" si="249"/>
        <v>219</v>
      </c>
      <c r="T246" s="115" t="str">
        <f t="shared" si="249"/>
        <v/>
      </c>
      <c r="U246" s="115" t="str">
        <f t="shared" si="249"/>
        <v/>
      </c>
      <c r="V246" s="115" t="str">
        <f t="shared" si="249"/>
        <v/>
      </c>
      <c r="W246" s="115" t="str">
        <f t="shared" si="249"/>
        <v/>
      </c>
      <c r="X246" s="115" t="str">
        <f t="shared" si="249"/>
        <v/>
      </c>
      <c r="Y246" s="115" t="str">
        <f t="shared" si="249"/>
        <v/>
      </c>
      <c r="Z246" s="115" t="str">
        <f t="shared" si="249"/>
        <v/>
      </c>
      <c r="AA246" s="115" t="str">
        <f t="shared" si="249"/>
        <v/>
      </c>
      <c r="AB246" s="115" t="str">
        <f t="shared" si="249"/>
        <v/>
      </c>
      <c r="AC246" s="115" t="str">
        <f t="shared" si="249"/>
        <v/>
      </c>
      <c r="AD246" s="115" t="str">
        <f t="shared" si="249"/>
        <v/>
      </c>
      <c r="AE246" s="115" t="str">
        <f t="shared" si="249"/>
        <v/>
      </c>
      <c r="AF246" s="115" t="str">
        <f t="shared" si="249"/>
        <v/>
      </c>
      <c r="AG246" s="115" t="str">
        <f t="shared" si="249"/>
        <v/>
      </c>
      <c r="AH246" s="115" t="str">
        <f t="shared" si="249"/>
        <v/>
      </c>
      <c r="AI246" s="115" t="str">
        <f t="shared" si="249"/>
        <v/>
      </c>
      <c r="AJ246" s="115" t="str">
        <f t="shared" si="249"/>
        <v/>
      </c>
      <c r="AK246" s="115" t="str">
        <f t="shared" si="249"/>
        <v/>
      </c>
      <c r="AL246" s="115" t="str">
        <f t="shared" si="249"/>
        <v/>
      </c>
      <c r="AM246" s="115" t="str">
        <f t="shared" si="249"/>
        <v/>
      </c>
      <c r="AN246" s="115" t="str">
        <f t="shared" si="249"/>
        <v/>
      </c>
      <c r="AO246" s="115" t="str">
        <f t="shared" si="249"/>
        <v/>
      </c>
      <c r="AP246" s="117">
        <f>IF(AP$6="","",IF(AP$3="Maior",IFERROR(IF(VLOOKUP($N246,Capa!$A:$AE,AP$5,0)="",0,VLOOKUP($N246,Capa!$A:$AE,AP$5,0)),0),IF(ISERROR(1/VLOOKUP($N246,Capa!$A:$AE,AP$5,0)),0,1/VLOOKUP($N246,Capa!$A:$AE,AP$5,0))))</f>
        <v>-0.9485251591</v>
      </c>
      <c r="AQ246" s="118">
        <f>IF(AQ$6="","",IF(AQ$3="Maior",IFERROR(IF(VLOOKUP($N246,Capa!$A:$AE,AQ$5,0)="",0,VLOOKUP($N246,Capa!$A:$AE,AQ$5,0)),0),IF(ISERROR(1/VLOOKUP($N246,Capa!$A:$AE,AQ$5,0)),0,1/VLOOKUP($N246,Capa!$A:$AE,AQ$5,0))))</f>
        <v>-232.34</v>
      </c>
      <c r="AR246" s="118">
        <f>IF(AR$6="","",IF(AR$3="Maior",IFERROR(IF(VLOOKUP($N246,Capa!$A:$AE,AR$5,0)="",0,VLOOKUP($N246,Capa!$A:$AE,AR$5,0)),0),IF(ISERROR(1/VLOOKUP($N246,Capa!$A:$AE,AR$5,0)),0,1/VLOOKUP($N246,Capa!$A:$AE,AR$5,0))))</f>
        <v>0</v>
      </c>
      <c r="AS246" s="118" t="str">
        <f>IF(AS$6="","",IF(AS$3="Maior",IFERROR(IF(VLOOKUP($N246,Capa!$A:$AE,AS$5,0)="",0,VLOOKUP($N246,Capa!$A:$AE,AS$5,0)),0),IF(ISERROR(1/VLOOKUP($N246,Capa!$A:$AE,AS$5,0)),0,1/VLOOKUP($N246,Capa!$A:$AE,AS$5,0))))</f>
        <v/>
      </c>
      <c r="AT246" s="118" t="str">
        <f>IF(AT$6="","",IF(AT$3="Maior",IFERROR(IF(VLOOKUP($N246,Capa!$A:$AE,AT$5,0)="",0,VLOOKUP($N246,Capa!$A:$AE,AT$5,0)),0),IF(ISERROR(1/VLOOKUP($N246,Capa!$A:$AE,AT$5,0)),0,1/VLOOKUP($N246,Capa!$A:$AE,AT$5,0))))</f>
        <v/>
      </c>
      <c r="AU246" s="118" t="str">
        <f>IF(AU$6="","",IF(AU$3="Maior",IFERROR(IF(VLOOKUP($N246,Capa!$A:$AE,AU$5,0)="",0,VLOOKUP($N246,Capa!$A:$AE,AU$5,0)),0),IF(ISERROR(1/VLOOKUP($N246,Capa!$A:$AE,AU$5,0)),0,1/VLOOKUP($N246,Capa!$A:$AE,AU$5,0))))</f>
        <v/>
      </c>
      <c r="AV246" s="118" t="str">
        <f>IF(AV$6="","",IF(AV$3="Maior",IFERROR(IF(VLOOKUP($N246,Capa!$A:$AE,AV$5,0)="",0,VLOOKUP($N246,Capa!$A:$AE,AV$5,0)),0),IF(ISERROR(1/VLOOKUP($N246,Capa!$A:$AE,AV$5,0)),0,1/VLOOKUP($N246,Capa!$A:$AE,AV$5,0))))</f>
        <v/>
      </c>
      <c r="AW246" s="118" t="str">
        <f>IF(AW$6="","",IF(AW$3="Maior",IFERROR(IF(VLOOKUP($N246,Capa!$A:$AE,AW$5,0)="",0,VLOOKUP($N246,Capa!$A:$AE,AW$5,0)),0),IF(ISERROR(1/VLOOKUP($N246,Capa!$A:$AE,AW$5,0)),0,1/VLOOKUP($N246,Capa!$A:$AE,AW$5,0))))</f>
        <v/>
      </c>
      <c r="AX246" s="118" t="str">
        <f>IF(AX$6="","",IF(AX$3="Maior",IFERROR(IF(VLOOKUP($N246,Capa!$A:$AE,AX$5,0)="",0,VLOOKUP($N246,Capa!$A:$AE,AX$5,0)),0),IF(ISERROR(1/VLOOKUP($N246,Capa!$A:$AE,AX$5,0)),0,1/VLOOKUP($N246,Capa!$A:$AE,AX$5,0))))</f>
        <v/>
      </c>
      <c r="AY246" s="118" t="str">
        <f>IF(AY$6="","",IF(AY$3="Maior",IFERROR(IF(VLOOKUP($N246,Capa!$A:$AE,AY$5,0)="",0,VLOOKUP($N246,Capa!$A:$AE,AY$5,0)),0),IF(ISERROR(1/VLOOKUP($N246,Capa!$A:$AE,AY$5,0)),0,1/VLOOKUP($N246,Capa!$A:$AE,AY$5,0))))</f>
        <v/>
      </c>
      <c r="AZ246" s="118" t="str">
        <f>IF(AZ$6="","",IF(AZ$3="Maior",IFERROR(IF(VLOOKUP($N246,Capa!$A:$AE,AZ$5,0)="",0,VLOOKUP($N246,Capa!$A:$AE,AZ$5,0)),0),IF(ISERROR(1/VLOOKUP($N246,Capa!$A:$AE,AZ$5,0)),0,1/VLOOKUP($N246,Capa!$A:$AE,AZ$5,0))))</f>
        <v/>
      </c>
      <c r="BA246" s="118" t="str">
        <f>IF(BA$6="","",IF(BA$3="Maior",IFERROR(IF(VLOOKUP($N246,Capa!$A:$AE,BA$5,0)="",0,VLOOKUP($N246,Capa!$A:$AE,BA$5,0)),0),IF(ISERROR(1/VLOOKUP($N246,Capa!$A:$AE,BA$5,0)),0,1/VLOOKUP($N246,Capa!$A:$AE,BA$5,0))))</f>
        <v/>
      </c>
      <c r="BB246" s="118" t="str">
        <f>IF(BB$6="","",IF(BB$3="Maior",IFERROR(IF(VLOOKUP($N246,Capa!$A:$AE,BB$5,0)="",0,VLOOKUP($N246,Capa!$A:$AE,BB$5,0)),0),IF(ISERROR(1/VLOOKUP($N246,Capa!$A:$AE,BB$5,0)),0,1/VLOOKUP($N246,Capa!$A:$AE,BB$5,0))))</f>
        <v/>
      </c>
      <c r="BC246" s="118" t="str">
        <f>IF(BC$6="","",IF(BC$3="Maior",IFERROR(IF(VLOOKUP($N246,Capa!$A:$AE,BC$5,0)="",0,VLOOKUP($N246,Capa!$A:$AE,BC$5,0)),0),IF(ISERROR(1/VLOOKUP($N246,Capa!$A:$AE,BC$5,0)),0,1/VLOOKUP($N246,Capa!$A:$AE,BC$5,0))))</f>
        <v/>
      </c>
      <c r="BD246" s="118" t="str">
        <f>IF(BD$6="","",IF(BD$3="Maior",IFERROR(IF(VLOOKUP($N246,Capa!$A:$AE,BD$5,0)="",0,VLOOKUP($N246,Capa!$A:$AE,BD$5,0)),0),IF(ISERROR(1/VLOOKUP($N246,Capa!$A:$AE,BD$5,0)),0,1/VLOOKUP($N246,Capa!$A:$AE,BD$5,0))))</f>
        <v/>
      </c>
      <c r="BE246" s="118" t="str">
        <f>IF(BE$6="","",IF(BE$3="Maior",IFERROR(IF(VLOOKUP($N246,Capa!$A:$AE,BE$5,0)="",0,VLOOKUP($N246,Capa!$A:$AE,BE$5,0)),0),IF(ISERROR(1/VLOOKUP($N246,Capa!$A:$AE,BE$5,0)),0,1/VLOOKUP($N246,Capa!$A:$AE,BE$5,0))))</f>
        <v/>
      </c>
      <c r="BF246" s="118" t="str">
        <f>IF(BF$6="","",IF(BF$3="Maior",IFERROR(IF(VLOOKUP($N246,Capa!$A:$AE,BF$5,0)="",0,VLOOKUP($N246,Capa!$A:$AE,BF$5,0)),0),IF(ISERROR(1/VLOOKUP($N246,Capa!$A:$AE,BF$5,0)),0,1/VLOOKUP($N246,Capa!$A:$AE,BF$5,0))))</f>
        <v/>
      </c>
      <c r="BG246" s="118" t="str">
        <f>IF(BG$6="","",IF(BG$3="Maior",IFERROR(IF(VLOOKUP($N246,Capa!$A:$AE,BG$5,0)="",0,VLOOKUP($N246,Capa!$A:$AE,BG$5,0)),0),IF(ISERROR(1/VLOOKUP($N246,Capa!$A:$AE,BG$5,0)),0,1/VLOOKUP($N246,Capa!$A:$AE,BG$5,0))))</f>
        <v/>
      </c>
      <c r="BH246" s="118" t="str">
        <f>IF(BH$6="","",IF(BH$3="Maior",IFERROR(IF(VLOOKUP($N246,Capa!$A:$AE,BH$5,0)="",0,VLOOKUP($N246,Capa!$A:$AE,BH$5,0)),0),IF(ISERROR(1/VLOOKUP($N246,Capa!$A:$AE,BH$5,0)),0,1/VLOOKUP($N246,Capa!$A:$AE,BH$5,0))))</f>
        <v/>
      </c>
      <c r="BI246" s="118" t="str">
        <f>IF(BI$6="","",IF(BI$3="Maior",IFERROR(IF(VLOOKUP($N246,Capa!$A:$AE,BI$5,0)="",0,VLOOKUP($N246,Capa!$A:$AE,BI$5,0)),0),IF(ISERROR(1/VLOOKUP($N246,Capa!$A:$AE,BI$5,0)),0,1/VLOOKUP($N246,Capa!$A:$AE,BI$5,0))))</f>
        <v/>
      </c>
      <c r="BJ246" s="118" t="str">
        <f>IF(BJ$6="","",IF(BJ$3="Maior",IFERROR(IF(VLOOKUP($N246,Capa!$A:$AE,BJ$5,0)="",0,VLOOKUP($N246,Capa!$A:$AE,BJ$5,0)),0),IF(ISERROR(1/VLOOKUP($N246,Capa!$A:$AE,BJ$5,0)),0,1/VLOOKUP($N246,Capa!$A:$AE,BJ$5,0))))</f>
        <v/>
      </c>
      <c r="BK246" s="118" t="str">
        <f>IF(BK$6="","",IF(BK$3="Maior",IFERROR(IF(VLOOKUP($N246,Capa!$A:$AE,BK$5,0)="",0,VLOOKUP($N246,Capa!$A:$AE,BK$5,0)),0),IF(ISERROR(1/VLOOKUP($N246,Capa!$A:$AE,BK$5,0)),0,1/VLOOKUP($N246,Capa!$A:$AE,BK$5,0))))</f>
        <v/>
      </c>
      <c r="BL246" s="118" t="str">
        <f>IF(BL$6="","",IF(BL$3="Maior",IFERROR(IF(VLOOKUP($N246,Capa!$A:$AE,BL$5,0)="",0,VLOOKUP($N246,Capa!$A:$AE,BL$5,0)),0),IF(ISERROR(1/VLOOKUP($N246,Capa!$A:$AE,BL$5,0)),0,1/VLOOKUP($N246,Capa!$A:$AE,BL$5,0))))</f>
        <v/>
      </c>
      <c r="BM246" s="118" t="str">
        <f>IF(BM$6="","",IF(BM$3="Maior",IFERROR(IF(VLOOKUP($N246,Capa!$A:$AE,BM$5,0)="",0,VLOOKUP($N246,Capa!$A:$AE,BM$5,0)),0),IF(ISERROR(1/VLOOKUP($N246,Capa!$A:$AE,BM$5,0)),0,1/VLOOKUP($N246,Capa!$A:$AE,BM$5,0))))</f>
        <v/>
      </c>
      <c r="BN246" s="118" t="str">
        <f>IF(BN$6="","",IF(BN$3="Maior",IFERROR(IF(VLOOKUP($N246,Capa!$A:$AE,BN$5,0)="",0,VLOOKUP($N246,Capa!$A:$AE,BN$5,0)),0),IF(ISERROR(1/VLOOKUP($N246,Capa!$A:$AE,BN$5,0)),0,1/VLOOKUP($N246,Capa!$A:$AE,BN$5,0))))</f>
        <v/>
      </c>
      <c r="BO246" s="92"/>
    </row>
    <row r="247">
      <c r="G247" s="11"/>
      <c r="H247" s="11"/>
      <c r="I247" s="8"/>
      <c r="J247" s="132"/>
      <c r="K247" s="11"/>
      <c r="L247" s="11"/>
      <c r="M247" s="11"/>
      <c r="N247" s="10" t="s">
        <v>293</v>
      </c>
      <c r="O247" s="113">
        <f t="shared" si="8"/>
        <v>1693.0233</v>
      </c>
      <c r="P247" s="114">
        <f>VLOOKUP(N247,'Dados StatusInvest'!A:Z,26,0)</f>
        <v>3522547.67</v>
      </c>
      <c r="Q247" s="115">
        <f t="shared" si="9"/>
        <v>233.0233</v>
      </c>
      <c r="R247" s="116">
        <f t="shared" ref="R247:AO247" si="250">IF(AQ247="","", RANK(AQ247,AQ$7:AQ$503,0))</f>
        <v>241</v>
      </c>
      <c r="S247" s="115">
        <f t="shared" si="250"/>
        <v>219</v>
      </c>
      <c r="T247" s="115" t="str">
        <f t="shared" si="250"/>
        <v/>
      </c>
      <c r="U247" s="115" t="str">
        <f t="shared" si="250"/>
        <v/>
      </c>
      <c r="V247" s="115" t="str">
        <f t="shared" si="250"/>
        <v/>
      </c>
      <c r="W247" s="115" t="str">
        <f t="shared" si="250"/>
        <v/>
      </c>
      <c r="X247" s="115" t="str">
        <f t="shared" si="250"/>
        <v/>
      </c>
      <c r="Y247" s="115" t="str">
        <f t="shared" si="250"/>
        <v/>
      </c>
      <c r="Z247" s="115" t="str">
        <f t="shared" si="250"/>
        <v/>
      </c>
      <c r="AA247" s="115" t="str">
        <f t="shared" si="250"/>
        <v/>
      </c>
      <c r="AB247" s="115" t="str">
        <f t="shared" si="250"/>
        <v/>
      </c>
      <c r="AC247" s="115" t="str">
        <f t="shared" si="250"/>
        <v/>
      </c>
      <c r="AD247" s="115" t="str">
        <f t="shared" si="250"/>
        <v/>
      </c>
      <c r="AE247" s="115" t="str">
        <f t="shared" si="250"/>
        <v/>
      </c>
      <c r="AF247" s="115" t="str">
        <f t="shared" si="250"/>
        <v/>
      </c>
      <c r="AG247" s="115" t="str">
        <f t="shared" si="250"/>
        <v/>
      </c>
      <c r="AH247" s="115" t="str">
        <f t="shared" si="250"/>
        <v/>
      </c>
      <c r="AI247" s="115" t="str">
        <f t="shared" si="250"/>
        <v/>
      </c>
      <c r="AJ247" s="115" t="str">
        <f t="shared" si="250"/>
        <v/>
      </c>
      <c r="AK247" s="115" t="str">
        <f t="shared" si="250"/>
        <v/>
      </c>
      <c r="AL247" s="115" t="str">
        <f t="shared" si="250"/>
        <v/>
      </c>
      <c r="AM247" s="115" t="str">
        <f t="shared" si="250"/>
        <v/>
      </c>
      <c r="AN247" s="115" t="str">
        <f t="shared" si="250"/>
        <v/>
      </c>
      <c r="AO247" s="115" t="str">
        <f t="shared" si="250"/>
        <v/>
      </c>
      <c r="AP247" s="117">
        <f>IF(AP$6="","",IF(AP$3="Maior",IFERROR(IF(VLOOKUP($N247,Capa!$A:$AE,AP$5,0)="",0,VLOOKUP($N247,Capa!$A:$AE,AP$5,0)),0),IF(ISERROR(1/VLOOKUP($N247,Capa!$A:$AE,AP$5,0)),0,1/VLOOKUP($N247,Capa!$A:$AE,AP$5,0))))</f>
        <v>0.08631919268</v>
      </c>
      <c r="AQ247" s="118">
        <f>IF(AQ$6="","",IF(AQ$3="Maior",IFERROR(IF(VLOOKUP($N247,Capa!$A:$AE,AQ$5,0)="",0,VLOOKUP($N247,Capa!$A:$AE,AQ$5,0)),0),IF(ISERROR(1/VLOOKUP($N247,Capa!$A:$AE,AQ$5,0)),0,1/VLOOKUP($N247,Capa!$A:$AE,AQ$5,0))))</f>
        <v>8.48</v>
      </c>
      <c r="AR247" s="118">
        <f>IF(AR$6="","",IF(AR$3="Maior",IFERROR(IF(VLOOKUP($N247,Capa!$A:$AE,AR$5,0)="",0,VLOOKUP($N247,Capa!$A:$AE,AR$5,0)),0),IF(ISERROR(1/VLOOKUP($N247,Capa!$A:$AE,AR$5,0)),0,1/VLOOKUP($N247,Capa!$A:$AE,AR$5,0))))</f>
        <v>0</v>
      </c>
      <c r="AS247" s="118" t="str">
        <f>IF(AS$6="","",IF(AS$3="Maior",IFERROR(IF(VLOOKUP($N247,Capa!$A:$AE,AS$5,0)="",0,VLOOKUP($N247,Capa!$A:$AE,AS$5,0)),0),IF(ISERROR(1/VLOOKUP($N247,Capa!$A:$AE,AS$5,0)),0,1/VLOOKUP($N247,Capa!$A:$AE,AS$5,0))))</f>
        <v/>
      </c>
      <c r="AT247" s="118" t="str">
        <f>IF(AT$6="","",IF(AT$3="Maior",IFERROR(IF(VLOOKUP($N247,Capa!$A:$AE,AT$5,0)="",0,VLOOKUP($N247,Capa!$A:$AE,AT$5,0)),0),IF(ISERROR(1/VLOOKUP($N247,Capa!$A:$AE,AT$5,0)),0,1/VLOOKUP($N247,Capa!$A:$AE,AT$5,0))))</f>
        <v/>
      </c>
      <c r="AU247" s="118" t="str">
        <f>IF(AU$6="","",IF(AU$3="Maior",IFERROR(IF(VLOOKUP($N247,Capa!$A:$AE,AU$5,0)="",0,VLOOKUP($N247,Capa!$A:$AE,AU$5,0)),0),IF(ISERROR(1/VLOOKUP($N247,Capa!$A:$AE,AU$5,0)),0,1/VLOOKUP($N247,Capa!$A:$AE,AU$5,0))))</f>
        <v/>
      </c>
      <c r="AV247" s="118" t="str">
        <f>IF(AV$6="","",IF(AV$3="Maior",IFERROR(IF(VLOOKUP($N247,Capa!$A:$AE,AV$5,0)="",0,VLOOKUP($N247,Capa!$A:$AE,AV$5,0)),0),IF(ISERROR(1/VLOOKUP($N247,Capa!$A:$AE,AV$5,0)),0,1/VLOOKUP($N247,Capa!$A:$AE,AV$5,0))))</f>
        <v/>
      </c>
      <c r="AW247" s="118" t="str">
        <f>IF(AW$6="","",IF(AW$3="Maior",IFERROR(IF(VLOOKUP($N247,Capa!$A:$AE,AW$5,0)="",0,VLOOKUP($N247,Capa!$A:$AE,AW$5,0)),0),IF(ISERROR(1/VLOOKUP($N247,Capa!$A:$AE,AW$5,0)),0,1/VLOOKUP($N247,Capa!$A:$AE,AW$5,0))))</f>
        <v/>
      </c>
      <c r="AX247" s="118" t="str">
        <f>IF(AX$6="","",IF(AX$3="Maior",IFERROR(IF(VLOOKUP($N247,Capa!$A:$AE,AX$5,0)="",0,VLOOKUP($N247,Capa!$A:$AE,AX$5,0)),0),IF(ISERROR(1/VLOOKUP($N247,Capa!$A:$AE,AX$5,0)),0,1/VLOOKUP($N247,Capa!$A:$AE,AX$5,0))))</f>
        <v/>
      </c>
      <c r="AY247" s="118" t="str">
        <f>IF(AY$6="","",IF(AY$3="Maior",IFERROR(IF(VLOOKUP($N247,Capa!$A:$AE,AY$5,0)="",0,VLOOKUP($N247,Capa!$A:$AE,AY$5,0)),0),IF(ISERROR(1/VLOOKUP($N247,Capa!$A:$AE,AY$5,0)),0,1/VLOOKUP($N247,Capa!$A:$AE,AY$5,0))))</f>
        <v/>
      </c>
      <c r="AZ247" s="118" t="str">
        <f>IF(AZ$6="","",IF(AZ$3="Maior",IFERROR(IF(VLOOKUP($N247,Capa!$A:$AE,AZ$5,0)="",0,VLOOKUP($N247,Capa!$A:$AE,AZ$5,0)),0),IF(ISERROR(1/VLOOKUP($N247,Capa!$A:$AE,AZ$5,0)),0,1/VLOOKUP($N247,Capa!$A:$AE,AZ$5,0))))</f>
        <v/>
      </c>
      <c r="BA247" s="118" t="str">
        <f>IF(BA$6="","",IF(BA$3="Maior",IFERROR(IF(VLOOKUP($N247,Capa!$A:$AE,BA$5,0)="",0,VLOOKUP($N247,Capa!$A:$AE,BA$5,0)),0),IF(ISERROR(1/VLOOKUP($N247,Capa!$A:$AE,BA$5,0)),0,1/VLOOKUP($N247,Capa!$A:$AE,BA$5,0))))</f>
        <v/>
      </c>
      <c r="BB247" s="118" t="str">
        <f>IF(BB$6="","",IF(BB$3="Maior",IFERROR(IF(VLOOKUP($N247,Capa!$A:$AE,BB$5,0)="",0,VLOOKUP($N247,Capa!$A:$AE,BB$5,0)),0),IF(ISERROR(1/VLOOKUP($N247,Capa!$A:$AE,BB$5,0)),0,1/VLOOKUP($N247,Capa!$A:$AE,BB$5,0))))</f>
        <v/>
      </c>
      <c r="BC247" s="118" t="str">
        <f>IF(BC$6="","",IF(BC$3="Maior",IFERROR(IF(VLOOKUP($N247,Capa!$A:$AE,BC$5,0)="",0,VLOOKUP($N247,Capa!$A:$AE,BC$5,0)),0),IF(ISERROR(1/VLOOKUP($N247,Capa!$A:$AE,BC$5,0)),0,1/VLOOKUP($N247,Capa!$A:$AE,BC$5,0))))</f>
        <v/>
      </c>
      <c r="BD247" s="118" t="str">
        <f>IF(BD$6="","",IF(BD$3="Maior",IFERROR(IF(VLOOKUP($N247,Capa!$A:$AE,BD$5,0)="",0,VLOOKUP($N247,Capa!$A:$AE,BD$5,0)),0),IF(ISERROR(1/VLOOKUP($N247,Capa!$A:$AE,BD$5,0)),0,1/VLOOKUP($N247,Capa!$A:$AE,BD$5,0))))</f>
        <v/>
      </c>
      <c r="BE247" s="118" t="str">
        <f>IF(BE$6="","",IF(BE$3="Maior",IFERROR(IF(VLOOKUP($N247,Capa!$A:$AE,BE$5,0)="",0,VLOOKUP($N247,Capa!$A:$AE,BE$5,0)),0),IF(ISERROR(1/VLOOKUP($N247,Capa!$A:$AE,BE$5,0)),0,1/VLOOKUP($N247,Capa!$A:$AE,BE$5,0))))</f>
        <v/>
      </c>
      <c r="BF247" s="118" t="str">
        <f>IF(BF$6="","",IF(BF$3="Maior",IFERROR(IF(VLOOKUP($N247,Capa!$A:$AE,BF$5,0)="",0,VLOOKUP($N247,Capa!$A:$AE,BF$5,0)),0),IF(ISERROR(1/VLOOKUP($N247,Capa!$A:$AE,BF$5,0)),0,1/VLOOKUP($N247,Capa!$A:$AE,BF$5,0))))</f>
        <v/>
      </c>
      <c r="BG247" s="118" t="str">
        <f>IF(BG$6="","",IF(BG$3="Maior",IFERROR(IF(VLOOKUP($N247,Capa!$A:$AE,BG$5,0)="",0,VLOOKUP($N247,Capa!$A:$AE,BG$5,0)),0),IF(ISERROR(1/VLOOKUP($N247,Capa!$A:$AE,BG$5,0)),0,1/VLOOKUP($N247,Capa!$A:$AE,BG$5,0))))</f>
        <v/>
      </c>
      <c r="BH247" s="118" t="str">
        <f>IF(BH$6="","",IF(BH$3="Maior",IFERROR(IF(VLOOKUP($N247,Capa!$A:$AE,BH$5,0)="",0,VLOOKUP($N247,Capa!$A:$AE,BH$5,0)),0),IF(ISERROR(1/VLOOKUP($N247,Capa!$A:$AE,BH$5,0)),0,1/VLOOKUP($N247,Capa!$A:$AE,BH$5,0))))</f>
        <v/>
      </c>
      <c r="BI247" s="118" t="str">
        <f>IF(BI$6="","",IF(BI$3="Maior",IFERROR(IF(VLOOKUP($N247,Capa!$A:$AE,BI$5,0)="",0,VLOOKUP($N247,Capa!$A:$AE,BI$5,0)),0),IF(ISERROR(1/VLOOKUP($N247,Capa!$A:$AE,BI$5,0)),0,1/VLOOKUP($N247,Capa!$A:$AE,BI$5,0))))</f>
        <v/>
      </c>
      <c r="BJ247" s="118" t="str">
        <f>IF(BJ$6="","",IF(BJ$3="Maior",IFERROR(IF(VLOOKUP($N247,Capa!$A:$AE,BJ$5,0)="",0,VLOOKUP($N247,Capa!$A:$AE,BJ$5,0)),0),IF(ISERROR(1/VLOOKUP($N247,Capa!$A:$AE,BJ$5,0)),0,1/VLOOKUP($N247,Capa!$A:$AE,BJ$5,0))))</f>
        <v/>
      </c>
      <c r="BK247" s="118" t="str">
        <f>IF(BK$6="","",IF(BK$3="Maior",IFERROR(IF(VLOOKUP($N247,Capa!$A:$AE,BK$5,0)="",0,VLOOKUP($N247,Capa!$A:$AE,BK$5,0)),0),IF(ISERROR(1/VLOOKUP($N247,Capa!$A:$AE,BK$5,0)),0,1/VLOOKUP($N247,Capa!$A:$AE,BK$5,0))))</f>
        <v/>
      </c>
      <c r="BL247" s="118" t="str">
        <f>IF(BL$6="","",IF(BL$3="Maior",IFERROR(IF(VLOOKUP($N247,Capa!$A:$AE,BL$5,0)="",0,VLOOKUP($N247,Capa!$A:$AE,BL$5,0)),0),IF(ISERROR(1/VLOOKUP($N247,Capa!$A:$AE,BL$5,0)),0,1/VLOOKUP($N247,Capa!$A:$AE,BL$5,0))))</f>
        <v/>
      </c>
      <c r="BM247" s="118" t="str">
        <f>IF(BM$6="","",IF(BM$3="Maior",IFERROR(IF(VLOOKUP($N247,Capa!$A:$AE,BM$5,0)="",0,VLOOKUP($N247,Capa!$A:$AE,BM$5,0)),0),IF(ISERROR(1/VLOOKUP($N247,Capa!$A:$AE,BM$5,0)),0,1/VLOOKUP($N247,Capa!$A:$AE,BM$5,0))))</f>
        <v/>
      </c>
      <c r="BN247" s="118" t="str">
        <f>IF(BN$6="","",IF(BN$3="Maior",IFERROR(IF(VLOOKUP($N247,Capa!$A:$AE,BN$5,0)="",0,VLOOKUP($N247,Capa!$A:$AE,BN$5,0)),0),IF(ISERROR(1/VLOOKUP($N247,Capa!$A:$AE,BN$5,0)),0,1/VLOOKUP($N247,Capa!$A:$AE,BN$5,0))))</f>
        <v/>
      </c>
      <c r="BO247" s="92"/>
    </row>
    <row r="248">
      <c r="G248" s="11"/>
      <c r="H248" s="11"/>
      <c r="I248" s="8"/>
      <c r="J248" s="132"/>
      <c r="K248" s="11"/>
      <c r="L248" s="11"/>
      <c r="M248" s="11"/>
      <c r="N248" s="10" t="s">
        <v>294</v>
      </c>
      <c r="O248" s="113">
        <f t="shared" si="8"/>
        <v>2054.0392</v>
      </c>
      <c r="P248" s="114">
        <f>VLOOKUP(N248,'Dados StatusInvest'!A:Z,26,0)</f>
        <v>2989293.17</v>
      </c>
      <c r="Q248" s="115">
        <f t="shared" si="9"/>
        <v>392.0392</v>
      </c>
      <c r="R248" s="116">
        <f t="shared" ref="R248:AO248" si="251">IF(AQ248="","", RANK(AQ248,AQ$7:AQ$503,0))</f>
        <v>443</v>
      </c>
      <c r="S248" s="115">
        <f t="shared" si="251"/>
        <v>219</v>
      </c>
      <c r="T248" s="115" t="str">
        <f t="shared" si="251"/>
        <v/>
      </c>
      <c r="U248" s="115" t="str">
        <f t="shared" si="251"/>
        <v/>
      </c>
      <c r="V248" s="115" t="str">
        <f t="shared" si="251"/>
        <v/>
      </c>
      <c r="W248" s="115" t="str">
        <f t="shared" si="251"/>
        <v/>
      </c>
      <c r="X248" s="115" t="str">
        <f t="shared" si="251"/>
        <v/>
      </c>
      <c r="Y248" s="115" t="str">
        <f t="shared" si="251"/>
        <v/>
      </c>
      <c r="Z248" s="115" t="str">
        <f t="shared" si="251"/>
        <v/>
      </c>
      <c r="AA248" s="115" t="str">
        <f t="shared" si="251"/>
        <v/>
      </c>
      <c r="AB248" s="115" t="str">
        <f t="shared" si="251"/>
        <v/>
      </c>
      <c r="AC248" s="115" t="str">
        <f t="shared" si="251"/>
        <v/>
      </c>
      <c r="AD248" s="115" t="str">
        <f t="shared" si="251"/>
        <v/>
      </c>
      <c r="AE248" s="115" t="str">
        <f t="shared" si="251"/>
        <v/>
      </c>
      <c r="AF248" s="115" t="str">
        <f t="shared" si="251"/>
        <v/>
      </c>
      <c r="AG248" s="115" t="str">
        <f t="shared" si="251"/>
        <v/>
      </c>
      <c r="AH248" s="115" t="str">
        <f t="shared" si="251"/>
        <v/>
      </c>
      <c r="AI248" s="115" t="str">
        <f t="shared" si="251"/>
        <v/>
      </c>
      <c r="AJ248" s="115" t="str">
        <f t="shared" si="251"/>
        <v/>
      </c>
      <c r="AK248" s="115" t="str">
        <f t="shared" si="251"/>
        <v/>
      </c>
      <c r="AL248" s="115" t="str">
        <f t="shared" si="251"/>
        <v/>
      </c>
      <c r="AM248" s="115" t="str">
        <f t="shared" si="251"/>
        <v/>
      </c>
      <c r="AN248" s="115" t="str">
        <f t="shared" si="251"/>
        <v/>
      </c>
      <c r="AO248" s="115" t="str">
        <f t="shared" si="251"/>
        <v/>
      </c>
      <c r="AP248" s="117">
        <f>IF(AP$6="","",IF(AP$3="Maior",IFERROR(IF(VLOOKUP($N248,Capa!$A:$AE,AP$5,0)="",0,VLOOKUP($N248,Capa!$A:$AE,AP$5,0)),0),IF(ISERROR(1/VLOOKUP($N248,Capa!$A:$AE,AP$5,0)),0,1/VLOOKUP($N248,Capa!$A:$AE,AP$5,0))))</f>
        <v>0.01007252216</v>
      </c>
      <c r="AQ248" s="118">
        <f>IF(AQ$6="","",IF(AQ$3="Maior",IFERROR(IF(VLOOKUP($N248,Capa!$A:$AE,AQ$5,0)="",0,VLOOKUP($N248,Capa!$A:$AE,AQ$5,0)),0),IF(ISERROR(1/VLOOKUP($N248,Capa!$A:$AE,AQ$5,0)),0,1/VLOOKUP($N248,Capa!$A:$AE,AQ$5,0))))</f>
        <v>-4.29</v>
      </c>
      <c r="AR248" s="118">
        <f>IF(AR$6="","",IF(AR$3="Maior",IFERROR(IF(VLOOKUP($N248,Capa!$A:$AE,AR$5,0)="",0,VLOOKUP($N248,Capa!$A:$AE,AR$5,0)),0),IF(ISERROR(1/VLOOKUP($N248,Capa!$A:$AE,AR$5,0)),0,1/VLOOKUP($N248,Capa!$A:$AE,AR$5,0))))</f>
        <v>0</v>
      </c>
      <c r="AS248" s="118" t="str">
        <f>IF(AS$6="","",IF(AS$3="Maior",IFERROR(IF(VLOOKUP($N248,Capa!$A:$AE,AS$5,0)="",0,VLOOKUP($N248,Capa!$A:$AE,AS$5,0)),0),IF(ISERROR(1/VLOOKUP($N248,Capa!$A:$AE,AS$5,0)),0,1/VLOOKUP($N248,Capa!$A:$AE,AS$5,0))))</f>
        <v/>
      </c>
      <c r="AT248" s="118" t="str">
        <f>IF(AT$6="","",IF(AT$3="Maior",IFERROR(IF(VLOOKUP($N248,Capa!$A:$AE,AT$5,0)="",0,VLOOKUP($N248,Capa!$A:$AE,AT$5,0)),0),IF(ISERROR(1/VLOOKUP($N248,Capa!$A:$AE,AT$5,0)),0,1/VLOOKUP($N248,Capa!$A:$AE,AT$5,0))))</f>
        <v/>
      </c>
      <c r="AU248" s="118" t="str">
        <f>IF(AU$6="","",IF(AU$3="Maior",IFERROR(IF(VLOOKUP($N248,Capa!$A:$AE,AU$5,0)="",0,VLOOKUP($N248,Capa!$A:$AE,AU$5,0)),0),IF(ISERROR(1/VLOOKUP($N248,Capa!$A:$AE,AU$5,0)),0,1/VLOOKUP($N248,Capa!$A:$AE,AU$5,0))))</f>
        <v/>
      </c>
      <c r="AV248" s="118" t="str">
        <f>IF(AV$6="","",IF(AV$3="Maior",IFERROR(IF(VLOOKUP($N248,Capa!$A:$AE,AV$5,0)="",0,VLOOKUP($N248,Capa!$A:$AE,AV$5,0)),0),IF(ISERROR(1/VLOOKUP($N248,Capa!$A:$AE,AV$5,0)),0,1/VLOOKUP($N248,Capa!$A:$AE,AV$5,0))))</f>
        <v/>
      </c>
      <c r="AW248" s="118" t="str">
        <f>IF(AW$6="","",IF(AW$3="Maior",IFERROR(IF(VLOOKUP($N248,Capa!$A:$AE,AW$5,0)="",0,VLOOKUP($N248,Capa!$A:$AE,AW$5,0)),0),IF(ISERROR(1/VLOOKUP($N248,Capa!$A:$AE,AW$5,0)),0,1/VLOOKUP($N248,Capa!$A:$AE,AW$5,0))))</f>
        <v/>
      </c>
      <c r="AX248" s="118" t="str">
        <f>IF(AX$6="","",IF(AX$3="Maior",IFERROR(IF(VLOOKUP($N248,Capa!$A:$AE,AX$5,0)="",0,VLOOKUP($N248,Capa!$A:$AE,AX$5,0)),0),IF(ISERROR(1/VLOOKUP($N248,Capa!$A:$AE,AX$5,0)),0,1/VLOOKUP($N248,Capa!$A:$AE,AX$5,0))))</f>
        <v/>
      </c>
      <c r="AY248" s="118" t="str">
        <f>IF(AY$6="","",IF(AY$3="Maior",IFERROR(IF(VLOOKUP($N248,Capa!$A:$AE,AY$5,0)="",0,VLOOKUP($N248,Capa!$A:$AE,AY$5,0)),0),IF(ISERROR(1/VLOOKUP($N248,Capa!$A:$AE,AY$5,0)),0,1/VLOOKUP($N248,Capa!$A:$AE,AY$5,0))))</f>
        <v/>
      </c>
      <c r="AZ248" s="118" t="str">
        <f>IF(AZ$6="","",IF(AZ$3="Maior",IFERROR(IF(VLOOKUP($N248,Capa!$A:$AE,AZ$5,0)="",0,VLOOKUP($N248,Capa!$A:$AE,AZ$5,0)),0),IF(ISERROR(1/VLOOKUP($N248,Capa!$A:$AE,AZ$5,0)),0,1/VLOOKUP($N248,Capa!$A:$AE,AZ$5,0))))</f>
        <v/>
      </c>
      <c r="BA248" s="118" t="str">
        <f>IF(BA$6="","",IF(BA$3="Maior",IFERROR(IF(VLOOKUP($N248,Capa!$A:$AE,BA$5,0)="",0,VLOOKUP($N248,Capa!$A:$AE,BA$5,0)),0),IF(ISERROR(1/VLOOKUP($N248,Capa!$A:$AE,BA$5,0)),0,1/VLOOKUP($N248,Capa!$A:$AE,BA$5,0))))</f>
        <v/>
      </c>
      <c r="BB248" s="118" t="str">
        <f>IF(BB$6="","",IF(BB$3="Maior",IFERROR(IF(VLOOKUP($N248,Capa!$A:$AE,BB$5,0)="",0,VLOOKUP($N248,Capa!$A:$AE,BB$5,0)),0),IF(ISERROR(1/VLOOKUP($N248,Capa!$A:$AE,BB$5,0)),0,1/VLOOKUP($N248,Capa!$A:$AE,BB$5,0))))</f>
        <v/>
      </c>
      <c r="BC248" s="118" t="str">
        <f>IF(BC$6="","",IF(BC$3="Maior",IFERROR(IF(VLOOKUP($N248,Capa!$A:$AE,BC$5,0)="",0,VLOOKUP($N248,Capa!$A:$AE,BC$5,0)),0),IF(ISERROR(1/VLOOKUP($N248,Capa!$A:$AE,BC$5,0)),0,1/VLOOKUP($N248,Capa!$A:$AE,BC$5,0))))</f>
        <v/>
      </c>
      <c r="BD248" s="118" t="str">
        <f>IF(BD$6="","",IF(BD$3="Maior",IFERROR(IF(VLOOKUP($N248,Capa!$A:$AE,BD$5,0)="",0,VLOOKUP($N248,Capa!$A:$AE,BD$5,0)),0),IF(ISERROR(1/VLOOKUP($N248,Capa!$A:$AE,BD$5,0)),0,1/VLOOKUP($N248,Capa!$A:$AE,BD$5,0))))</f>
        <v/>
      </c>
      <c r="BE248" s="118" t="str">
        <f>IF(BE$6="","",IF(BE$3="Maior",IFERROR(IF(VLOOKUP($N248,Capa!$A:$AE,BE$5,0)="",0,VLOOKUP($N248,Capa!$A:$AE,BE$5,0)),0),IF(ISERROR(1/VLOOKUP($N248,Capa!$A:$AE,BE$5,0)),0,1/VLOOKUP($N248,Capa!$A:$AE,BE$5,0))))</f>
        <v/>
      </c>
      <c r="BF248" s="118" t="str">
        <f>IF(BF$6="","",IF(BF$3="Maior",IFERROR(IF(VLOOKUP($N248,Capa!$A:$AE,BF$5,0)="",0,VLOOKUP($N248,Capa!$A:$AE,BF$5,0)),0),IF(ISERROR(1/VLOOKUP($N248,Capa!$A:$AE,BF$5,0)),0,1/VLOOKUP($N248,Capa!$A:$AE,BF$5,0))))</f>
        <v/>
      </c>
      <c r="BG248" s="118" t="str">
        <f>IF(BG$6="","",IF(BG$3="Maior",IFERROR(IF(VLOOKUP($N248,Capa!$A:$AE,BG$5,0)="",0,VLOOKUP($N248,Capa!$A:$AE,BG$5,0)),0),IF(ISERROR(1/VLOOKUP($N248,Capa!$A:$AE,BG$5,0)),0,1/VLOOKUP($N248,Capa!$A:$AE,BG$5,0))))</f>
        <v/>
      </c>
      <c r="BH248" s="118" t="str">
        <f>IF(BH$6="","",IF(BH$3="Maior",IFERROR(IF(VLOOKUP($N248,Capa!$A:$AE,BH$5,0)="",0,VLOOKUP($N248,Capa!$A:$AE,BH$5,0)),0),IF(ISERROR(1/VLOOKUP($N248,Capa!$A:$AE,BH$5,0)),0,1/VLOOKUP($N248,Capa!$A:$AE,BH$5,0))))</f>
        <v/>
      </c>
      <c r="BI248" s="118" t="str">
        <f>IF(BI$6="","",IF(BI$3="Maior",IFERROR(IF(VLOOKUP($N248,Capa!$A:$AE,BI$5,0)="",0,VLOOKUP($N248,Capa!$A:$AE,BI$5,0)),0),IF(ISERROR(1/VLOOKUP($N248,Capa!$A:$AE,BI$5,0)),0,1/VLOOKUP($N248,Capa!$A:$AE,BI$5,0))))</f>
        <v/>
      </c>
      <c r="BJ248" s="118" t="str">
        <f>IF(BJ$6="","",IF(BJ$3="Maior",IFERROR(IF(VLOOKUP($N248,Capa!$A:$AE,BJ$5,0)="",0,VLOOKUP($N248,Capa!$A:$AE,BJ$5,0)),0),IF(ISERROR(1/VLOOKUP($N248,Capa!$A:$AE,BJ$5,0)),0,1/VLOOKUP($N248,Capa!$A:$AE,BJ$5,0))))</f>
        <v/>
      </c>
      <c r="BK248" s="118" t="str">
        <f>IF(BK$6="","",IF(BK$3="Maior",IFERROR(IF(VLOOKUP($N248,Capa!$A:$AE,BK$5,0)="",0,VLOOKUP($N248,Capa!$A:$AE,BK$5,0)),0),IF(ISERROR(1/VLOOKUP($N248,Capa!$A:$AE,BK$5,0)),0,1/VLOOKUP($N248,Capa!$A:$AE,BK$5,0))))</f>
        <v/>
      </c>
      <c r="BL248" s="118" t="str">
        <f>IF(BL$6="","",IF(BL$3="Maior",IFERROR(IF(VLOOKUP($N248,Capa!$A:$AE,BL$5,0)="",0,VLOOKUP($N248,Capa!$A:$AE,BL$5,0)),0),IF(ISERROR(1/VLOOKUP($N248,Capa!$A:$AE,BL$5,0)),0,1/VLOOKUP($N248,Capa!$A:$AE,BL$5,0))))</f>
        <v/>
      </c>
      <c r="BM248" s="118" t="str">
        <f>IF(BM$6="","",IF(BM$3="Maior",IFERROR(IF(VLOOKUP($N248,Capa!$A:$AE,BM$5,0)="",0,VLOOKUP($N248,Capa!$A:$AE,BM$5,0)),0),IF(ISERROR(1/VLOOKUP($N248,Capa!$A:$AE,BM$5,0)),0,1/VLOOKUP($N248,Capa!$A:$AE,BM$5,0))))</f>
        <v/>
      </c>
      <c r="BN248" s="118" t="str">
        <f>IF(BN$6="","",IF(BN$3="Maior",IFERROR(IF(VLOOKUP($N248,Capa!$A:$AE,BN$5,0)="",0,VLOOKUP($N248,Capa!$A:$AE,BN$5,0)),0),IF(ISERROR(1/VLOOKUP($N248,Capa!$A:$AE,BN$5,0)),0,1/VLOOKUP($N248,Capa!$A:$AE,BN$5,0))))</f>
        <v/>
      </c>
      <c r="BO248" s="92"/>
    </row>
    <row r="249">
      <c r="G249" s="11"/>
      <c r="H249" s="11"/>
      <c r="I249" s="8"/>
      <c r="J249" s="132"/>
      <c r="K249" s="11"/>
      <c r="L249" s="11"/>
      <c r="M249" s="11"/>
      <c r="N249" s="10" t="s">
        <v>295</v>
      </c>
      <c r="O249" s="113">
        <f t="shared" si="8"/>
        <v>1951.0364</v>
      </c>
      <c r="P249" s="114">
        <f>VLOOKUP(N249,'Dados StatusInvest'!A:Z,26,0)</f>
        <v>2657956.79</v>
      </c>
      <c r="Q249" s="115">
        <f t="shared" si="9"/>
        <v>364.0364</v>
      </c>
      <c r="R249" s="116">
        <f t="shared" ref="R249:AO249" si="252">IF(AQ249="","", RANK(AQ249,AQ$7:AQ$503,0))</f>
        <v>368</v>
      </c>
      <c r="S249" s="115">
        <f t="shared" si="252"/>
        <v>219</v>
      </c>
      <c r="T249" s="115" t="str">
        <f t="shared" si="252"/>
        <v/>
      </c>
      <c r="U249" s="115" t="str">
        <f t="shared" si="252"/>
        <v/>
      </c>
      <c r="V249" s="115" t="str">
        <f t="shared" si="252"/>
        <v/>
      </c>
      <c r="W249" s="115" t="str">
        <f t="shared" si="252"/>
        <v/>
      </c>
      <c r="X249" s="115" t="str">
        <f t="shared" si="252"/>
        <v/>
      </c>
      <c r="Y249" s="115" t="str">
        <f t="shared" si="252"/>
        <v/>
      </c>
      <c r="Z249" s="115" t="str">
        <f t="shared" si="252"/>
        <v/>
      </c>
      <c r="AA249" s="115" t="str">
        <f t="shared" si="252"/>
        <v/>
      </c>
      <c r="AB249" s="115" t="str">
        <f t="shared" si="252"/>
        <v/>
      </c>
      <c r="AC249" s="115" t="str">
        <f t="shared" si="252"/>
        <v/>
      </c>
      <c r="AD249" s="115" t="str">
        <f t="shared" si="252"/>
        <v/>
      </c>
      <c r="AE249" s="115" t="str">
        <f t="shared" si="252"/>
        <v/>
      </c>
      <c r="AF249" s="115" t="str">
        <f t="shared" si="252"/>
        <v/>
      </c>
      <c r="AG249" s="115" t="str">
        <f t="shared" si="252"/>
        <v/>
      </c>
      <c r="AH249" s="115" t="str">
        <f t="shared" si="252"/>
        <v/>
      </c>
      <c r="AI249" s="115" t="str">
        <f t="shared" si="252"/>
        <v/>
      </c>
      <c r="AJ249" s="115" t="str">
        <f t="shared" si="252"/>
        <v/>
      </c>
      <c r="AK249" s="115" t="str">
        <f t="shared" si="252"/>
        <v/>
      </c>
      <c r="AL249" s="115" t="str">
        <f t="shared" si="252"/>
        <v/>
      </c>
      <c r="AM249" s="115" t="str">
        <f t="shared" si="252"/>
        <v/>
      </c>
      <c r="AN249" s="115" t="str">
        <f t="shared" si="252"/>
        <v/>
      </c>
      <c r="AO249" s="115" t="str">
        <f t="shared" si="252"/>
        <v/>
      </c>
      <c r="AP249" s="117">
        <f>IF(AP$6="","",IF(AP$3="Maior",IFERROR(IF(VLOOKUP($N249,Capa!$A:$AE,AP$5,0)="",0,VLOOKUP($N249,Capa!$A:$AE,AP$5,0)),0),IF(ISERROR(1/VLOOKUP($N249,Capa!$A:$AE,AP$5,0)),0,1/VLOOKUP($N249,Capa!$A:$AE,AP$5,0))))</f>
        <v>0.02231960527</v>
      </c>
      <c r="AQ249" s="118">
        <f>IF(AQ$6="","",IF(AQ$3="Maior",IFERROR(IF(VLOOKUP($N249,Capa!$A:$AE,AQ$5,0)="",0,VLOOKUP($N249,Capa!$A:$AE,AQ$5,0)),0),IF(ISERROR(1/VLOOKUP($N249,Capa!$A:$AE,AQ$5,0)),0,1/VLOOKUP($N249,Capa!$A:$AE,AQ$5,0))))</f>
        <v>1.02</v>
      </c>
      <c r="AR249" s="118">
        <f>IF(AR$6="","",IF(AR$3="Maior",IFERROR(IF(VLOOKUP($N249,Capa!$A:$AE,AR$5,0)="",0,VLOOKUP($N249,Capa!$A:$AE,AR$5,0)),0),IF(ISERROR(1/VLOOKUP($N249,Capa!$A:$AE,AR$5,0)),0,1/VLOOKUP($N249,Capa!$A:$AE,AR$5,0))))</f>
        <v>0</v>
      </c>
      <c r="AS249" s="118" t="str">
        <f>IF(AS$6="","",IF(AS$3="Maior",IFERROR(IF(VLOOKUP($N249,Capa!$A:$AE,AS$5,0)="",0,VLOOKUP($N249,Capa!$A:$AE,AS$5,0)),0),IF(ISERROR(1/VLOOKUP($N249,Capa!$A:$AE,AS$5,0)),0,1/VLOOKUP($N249,Capa!$A:$AE,AS$5,0))))</f>
        <v/>
      </c>
      <c r="AT249" s="118" t="str">
        <f>IF(AT$6="","",IF(AT$3="Maior",IFERROR(IF(VLOOKUP($N249,Capa!$A:$AE,AT$5,0)="",0,VLOOKUP($N249,Capa!$A:$AE,AT$5,0)),0),IF(ISERROR(1/VLOOKUP($N249,Capa!$A:$AE,AT$5,0)),0,1/VLOOKUP($N249,Capa!$A:$AE,AT$5,0))))</f>
        <v/>
      </c>
      <c r="AU249" s="118" t="str">
        <f>IF(AU$6="","",IF(AU$3="Maior",IFERROR(IF(VLOOKUP($N249,Capa!$A:$AE,AU$5,0)="",0,VLOOKUP($N249,Capa!$A:$AE,AU$5,0)),0),IF(ISERROR(1/VLOOKUP($N249,Capa!$A:$AE,AU$5,0)),0,1/VLOOKUP($N249,Capa!$A:$AE,AU$5,0))))</f>
        <v/>
      </c>
      <c r="AV249" s="118" t="str">
        <f>IF(AV$6="","",IF(AV$3="Maior",IFERROR(IF(VLOOKUP($N249,Capa!$A:$AE,AV$5,0)="",0,VLOOKUP($N249,Capa!$A:$AE,AV$5,0)),0),IF(ISERROR(1/VLOOKUP($N249,Capa!$A:$AE,AV$5,0)),0,1/VLOOKUP($N249,Capa!$A:$AE,AV$5,0))))</f>
        <v/>
      </c>
      <c r="AW249" s="118" t="str">
        <f>IF(AW$6="","",IF(AW$3="Maior",IFERROR(IF(VLOOKUP($N249,Capa!$A:$AE,AW$5,0)="",0,VLOOKUP($N249,Capa!$A:$AE,AW$5,0)),0),IF(ISERROR(1/VLOOKUP($N249,Capa!$A:$AE,AW$5,0)),0,1/VLOOKUP($N249,Capa!$A:$AE,AW$5,0))))</f>
        <v/>
      </c>
      <c r="AX249" s="118" t="str">
        <f>IF(AX$6="","",IF(AX$3="Maior",IFERROR(IF(VLOOKUP($N249,Capa!$A:$AE,AX$5,0)="",0,VLOOKUP($N249,Capa!$A:$AE,AX$5,0)),0),IF(ISERROR(1/VLOOKUP($N249,Capa!$A:$AE,AX$5,0)),0,1/VLOOKUP($N249,Capa!$A:$AE,AX$5,0))))</f>
        <v/>
      </c>
      <c r="AY249" s="118" t="str">
        <f>IF(AY$6="","",IF(AY$3="Maior",IFERROR(IF(VLOOKUP($N249,Capa!$A:$AE,AY$5,0)="",0,VLOOKUP($N249,Capa!$A:$AE,AY$5,0)),0),IF(ISERROR(1/VLOOKUP($N249,Capa!$A:$AE,AY$5,0)),0,1/VLOOKUP($N249,Capa!$A:$AE,AY$5,0))))</f>
        <v/>
      </c>
      <c r="AZ249" s="118" t="str">
        <f>IF(AZ$6="","",IF(AZ$3="Maior",IFERROR(IF(VLOOKUP($N249,Capa!$A:$AE,AZ$5,0)="",0,VLOOKUP($N249,Capa!$A:$AE,AZ$5,0)),0),IF(ISERROR(1/VLOOKUP($N249,Capa!$A:$AE,AZ$5,0)),0,1/VLOOKUP($N249,Capa!$A:$AE,AZ$5,0))))</f>
        <v/>
      </c>
      <c r="BA249" s="118" t="str">
        <f>IF(BA$6="","",IF(BA$3="Maior",IFERROR(IF(VLOOKUP($N249,Capa!$A:$AE,BA$5,0)="",0,VLOOKUP($N249,Capa!$A:$AE,BA$5,0)),0),IF(ISERROR(1/VLOOKUP($N249,Capa!$A:$AE,BA$5,0)),0,1/VLOOKUP($N249,Capa!$A:$AE,BA$5,0))))</f>
        <v/>
      </c>
      <c r="BB249" s="118" t="str">
        <f>IF(BB$6="","",IF(BB$3="Maior",IFERROR(IF(VLOOKUP($N249,Capa!$A:$AE,BB$5,0)="",0,VLOOKUP($N249,Capa!$A:$AE,BB$5,0)),0),IF(ISERROR(1/VLOOKUP($N249,Capa!$A:$AE,BB$5,0)),0,1/VLOOKUP($N249,Capa!$A:$AE,BB$5,0))))</f>
        <v/>
      </c>
      <c r="BC249" s="118" t="str">
        <f>IF(BC$6="","",IF(BC$3="Maior",IFERROR(IF(VLOOKUP($N249,Capa!$A:$AE,BC$5,0)="",0,VLOOKUP($N249,Capa!$A:$AE,BC$5,0)),0),IF(ISERROR(1/VLOOKUP($N249,Capa!$A:$AE,BC$5,0)),0,1/VLOOKUP($N249,Capa!$A:$AE,BC$5,0))))</f>
        <v/>
      </c>
      <c r="BD249" s="118" t="str">
        <f>IF(BD$6="","",IF(BD$3="Maior",IFERROR(IF(VLOOKUP($N249,Capa!$A:$AE,BD$5,0)="",0,VLOOKUP($N249,Capa!$A:$AE,BD$5,0)),0),IF(ISERROR(1/VLOOKUP($N249,Capa!$A:$AE,BD$5,0)),0,1/VLOOKUP($N249,Capa!$A:$AE,BD$5,0))))</f>
        <v/>
      </c>
      <c r="BE249" s="118" t="str">
        <f>IF(BE$6="","",IF(BE$3="Maior",IFERROR(IF(VLOOKUP($N249,Capa!$A:$AE,BE$5,0)="",0,VLOOKUP($N249,Capa!$A:$AE,BE$5,0)),0),IF(ISERROR(1/VLOOKUP($N249,Capa!$A:$AE,BE$5,0)),0,1/VLOOKUP($N249,Capa!$A:$AE,BE$5,0))))</f>
        <v/>
      </c>
      <c r="BF249" s="118" t="str">
        <f>IF(BF$6="","",IF(BF$3="Maior",IFERROR(IF(VLOOKUP($N249,Capa!$A:$AE,BF$5,0)="",0,VLOOKUP($N249,Capa!$A:$AE,BF$5,0)),0),IF(ISERROR(1/VLOOKUP($N249,Capa!$A:$AE,BF$5,0)),0,1/VLOOKUP($N249,Capa!$A:$AE,BF$5,0))))</f>
        <v/>
      </c>
      <c r="BG249" s="118" t="str">
        <f>IF(BG$6="","",IF(BG$3="Maior",IFERROR(IF(VLOOKUP($N249,Capa!$A:$AE,BG$5,0)="",0,VLOOKUP($N249,Capa!$A:$AE,BG$5,0)),0),IF(ISERROR(1/VLOOKUP($N249,Capa!$A:$AE,BG$5,0)),0,1/VLOOKUP($N249,Capa!$A:$AE,BG$5,0))))</f>
        <v/>
      </c>
      <c r="BH249" s="118" t="str">
        <f>IF(BH$6="","",IF(BH$3="Maior",IFERROR(IF(VLOOKUP($N249,Capa!$A:$AE,BH$5,0)="",0,VLOOKUP($N249,Capa!$A:$AE,BH$5,0)),0),IF(ISERROR(1/VLOOKUP($N249,Capa!$A:$AE,BH$5,0)),0,1/VLOOKUP($N249,Capa!$A:$AE,BH$5,0))))</f>
        <v/>
      </c>
      <c r="BI249" s="118" t="str">
        <f>IF(BI$6="","",IF(BI$3="Maior",IFERROR(IF(VLOOKUP($N249,Capa!$A:$AE,BI$5,0)="",0,VLOOKUP($N249,Capa!$A:$AE,BI$5,0)),0),IF(ISERROR(1/VLOOKUP($N249,Capa!$A:$AE,BI$5,0)),0,1/VLOOKUP($N249,Capa!$A:$AE,BI$5,0))))</f>
        <v/>
      </c>
      <c r="BJ249" s="118" t="str">
        <f>IF(BJ$6="","",IF(BJ$3="Maior",IFERROR(IF(VLOOKUP($N249,Capa!$A:$AE,BJ$5,0)="",0,VLOOKUP($N249,Capa!$A:$AE,BJ$5,0)),0),IF(ISERROR(1/VLOOKUP($N249,Capa!$A:$AE,BJ$5,0)),0,1/VLOOKUP($N249,Capa!$A:$AE,BJ$5,0))))</f>
        <v/>
      </c>
      <c r="BK249" s="118" t="str">
        <f>IF(BK$6="","",IF(BK$3="Maior",IFERROR(IF(VLOOKUP($N249,Capa!$A:$AE,BK$5,0)="",0,VLOOKUP($N249,Capa!$A:$AE,BK$5,0)),0),IF(ISERROR(1/VLOOKUP($N249,Capa!$A:$AE,BK$5,0)),0,1/VLOOKUP($N249,Capa!$A:$AE,BK$5,0))))</f>
        <v/>
      </c>
      <c r="BL249" s="118" t="str">
        <f>IF(BL$6="","",IF(BL$3="Maior",IFERROR(IF(VLOOKUP($N249,Capa!$A:$AE,BL$5,0)="",0,VLOOKUP($N249,Capa!$A:$AE,BL$5,0)),0),IF(ISERROR(1/VLOOKUP($N249,Capa!$A:$AE,BL$5,0)),0,1/VLOOKUP($N249,Capa!$A:$AE,BL$5,0))))</f>
        <v/>
      </c>
      <c r="BM249" s="118" t="str">
        <f>IF(BM$6="","",IF(BM$3="Maior",IFERROR(IF(VLOOKUP($N249,Capa!$A:$AE,BM$5,0)="",0,VLOOKUP($N249,Capa!$A:$AE,BM$5,0)),0),IF(ISERROR(1/VLOOKUP($N249,Capa!$A:$AE,BM$5,0)),0,1/VLOOKUP($N249,Capa!$A:$AE,BM$5,0))))</f>
        <v/>
      </c>
      <c r="BN249" s="118" t="str">
        <f>IF(BN$6="","",IF(BN$3="Maior",IFERROR(IF(VLOOKUP($N249,Capa!$A:$AE,BN$5,0)="",0,VLOOKUP($N249,Capa!$A:$AE,BN$5,0)),0),IF(ISERROR(1/VLOOKUP($N249,Capa!$A:$AE,BN$5,0)),0,1/VLOOKUP($N249,Capa!$A:$AE,BN$5,0))))</f>
        <v/>
      </c>
      <c r="BO249" s="92"/>
    </row>
    <row r="250">
      <c r="G250" s="11"/>
      <c r="H250" s="11"/>
      <c r="I250" s="8"/>
      <c r="J250" s="132"/>
      <c r="K250" s="11"/>
      <c r="L250" s="11"/>
      <c r="M250" s="11"/>
      <c r="N250" s="10" t="s">
        <v>296</v>
      </c>
      <c r="O250" s="113">
        <f t="shared" si="8"/>
        <v>1481.0202</v>
      </c>
      <c r="P250" s="114">
        <f>VLOOKUP(N250,'Dados StatusInvest'!A:Z,26,0)</f>
        <v>2920497</v>
      </c>
      <c r="Q250" s="115">
        <f t="shared" si="9"/>
        <v>202.0202</v>
      </c>
      <c r="R250" s="116">
        <f t="shared" ref="R250:AO250" si="253">IF(AQ250="","", RANK(AQ250,AQ$7:AQ$503,0))</f>
        <v>60</v>
      </c>
      <c r="S250" s="115">
        <f t="shared" si="253"/>
        <v>219</v>
      </c>
      <c r="T250" s="115" t="str">
        <f t="shared" si="253"/>
        <v/>
      </c>
      <c r="U250" s="115" t="str">
        <f t="shared" si="253"/>
        <v/>
      </c>
      <c r="V250" s="115" t="str">
        <f t="shared" si="253"/>
        <v/>
      </c>
      <c r="W250" s="115" t="str">
        <f t="shared" si="253"/>
        <v/>
      </c>
      <c r="X250" s="115" t="str">
        <f t="shared" si="253"/>
        <v/>
      </c>
      <c r="Y250" s="115" t="str">
        <f t="shared" si="253"/>
        <v/>
      </c>
      <c r="Z250" s="115" t="str">
        <f t="shared" si="253"/>
        <v/>
      </c>
      <c r="AA250" s="115" t="str">
        <f t="shared" si="253"/>
        <v/>
      </c>
      <c r="AB250" s="115" t="str">
        <f t="shared" si="253"/>
        <v/>
      </c>
      <c r="AC250" s="115" t="str">
        <f t="shared" si="253"/>
        <v/>
      </c>
      <c r="AD250" s="115" t="str">
        <f t="shared" si="253"/>
        <v/>
      </c>
      <c r="AE250" s="115" t="str">
        <f t="shared" si="253"/>
        <v/>
      </c>
      <c r="AF250" s="115" t="str">
        <f t="shared" si="253"/>
        <v/>
      </c>
      <c r="AG250" s="115" t="str">
        <f t="shared" si="253"/>
        <v/>
      </c>
      <c r="AH250" s="115" t="str">
        <f t="shared" si="253"/>
        <v/>
      </c>
      <c r="AI250" s="115" t="str">
        <f t="shared" si="253"/>
        <v/>
      </c>
      <c r="AJ250" s="115" t="str">
        <f t="shared" si="253"/>
        <v/>
      </c>
      <c r="AK250" s="115" t="str">
        <f t="shared" si="253"/>
        <v/>
      </c>
      <c r="AL250" s="115" t="str">
        <f t="shared" si="253"/>
        <v/>
      </c>
      <c r="AM250" s="115" t="str">
        <f t="shared" si="253"/>
        <v/>
      </c>
      <c r="AN250" s="115" t="str">
        <f t="shared" si="253"/>
        <v/>
      </c>
      <c r="AO250" s="115" t="str">
        <f t="shared" si="253"/>
        <v/>
      </c>
      <c r="AP250" s="117">
        <f>IF(AP$6="","",IF(AP$3="Maior",IFERROR(IF(VLOOKUP($N250,Capa!$A:$AE,AP$5,0)="",0,VLOOKUP($N250,Capa!$A:$AE,AP$5,0)),0),IF(ISERROR(1/VLOOKUP($N250,Capa!$A:$AE,AP$5,0)),0,1/VLOOKUP($N250,Capa!$A:$AE,AP$5,0))))</f>
        <v>0.1062056576</v>
      </c>
      <c r="AQ250" s="118">
        <f>IF(AQ$6="","",IF(AQ$3="Maior",IFERROR(IF(VLOOKUP($N250,Capa!$A:$AE,AQ$5,0)="",0,VLOOKUP($N250,Capa!$A:$AE,AQ$5,0)),0),IF(ISERROR(1/VLOOKUP($N250,Capa!$A:$AE,AQ$5,0)),0,1/VLOOKUP($N250,Capa!$A:$AE,AQ$5,0))))</f>
        <v>23.94</v>
      </c>
      <c r="AR250" s="118">
        <f>IF(AR$6="","",IF(AR$3="Maior",IFERROR(IF(VLOOKUP($N250,Capa!$A:$AE,AR$5,0)="",0,VLOOKUP($N250,Capa!$A:$AE,AR$5,0)),0),IF(ISERROR(1/VLOOKUP($N250,Capa!$A:$AE,AR$5,0)),0,1/VLOOKUP($N250,Capa!$A:$AE,AR$5,0))))</f>
        <v>0</v>
      </c>
      <c r="AS250" s="118" t="str">
        <f>IF(AS$6="","",IF(AS$3="Maior",IFERROR(IF(VLOOKUP($N250,Capa!$A:$AE,AS$5,0)="",0,VLOOKUP($N250,Capa!$A:$AE,AS$5,0)),0),IF(ISERROR(1/VLOOKUP($N250,Capa!$A:$AE,AS$5,0)),0,1/VLOOKUP($N250,Capa!$A:$AE,AS$5,0))))</f>
        <v/>
      </c>
      <c r="AT250" s="118" t="str">
        <f>IF(AT$6="","",IF(AT$3="Maior",IFERROR(IF(VLOOKUP($N250,Capa!$A:$AE,AT$5,0)="",0,VLOOKUP($N250,Capa!$A:$AE,AT$5,0)),0),IF(ISERROR(1/VLOOKUP($N250,Capa!$A:$AE,AT$5,0)),0,1/VLOOKUP($N250,Capa!$A:$AE,AT$5,0))))</f>
        <v/>
      </c>
      <c r="AU250" s="118" t="str">
        <f>IF(AU$6="","",IF(AU$3="Maior",IFERROR(IF(VLOOKUP($N250,Capa!$A:$AE,AU$5,0)="",0,VLOOKUP($N250,Capa!$A:$AE,AU$5,0)),0),IF(ISERROR(1/VLOOKUP($N250,Capa!$A:$AE,AU$5,0)),0,1/VLOOKUP($N250,Capa!$A:$AE,AU$5,0))))</f>
        <v/>
      </c>
      <c r="AV250" s="118" t="str">
        <f>IF(AV$6="","",IF(AV$3="Maior",IFERROR(IF(VLOOKUP($N250,Capa!$A:$AE,AV$5,0)="",0,VLOOKUP($N250,Capa!$A:$AE,AV$5,0)),0),IF(ISERROR(1/VLOOKUP($N250,Capa!$A:$AE,AV$5,0)),0,1/VLOOKUP($N250,Capa!$A:$AE,AV$5,0))))</f>
        <v/>
      </c>
      <c r="AW250" s="118" t="str">
        <f>IF(AW$6="","",IF(AW$3="Maior",IFERROR(IF(VLOOKUP($N250,Capa!$A:$AE,AW$5,0)="",0,VLOOKUP($N250,Capa!$A:$AE,AW$5,0)),0),IF(ISERROR(1/VLOOKUP($N250,Capa!$A:$AE,AW$5,0)),0,1/VLOOKUP($N250,Capa!$A:$AE,AW$5,0))))</f>
        <v/>
      </c>
      <c r="AX250" s="118" t="str">
        <f>IF(AX$6="","",IF(AX$3="Maior",IFERROR(IF(VLOOKUP($N250,Capa!$A:$AE,AX$5,0)="",0,VLOOKUP($N250,Capa!$A:$AE,AX$5,0)),0),IF(ISERROR(1/VLOOKUP($N250,Capa!$A:$AE,AX$5,0)),0,1/VLOOKUP($N250,Capa!$A:$AE,AX$5,0))))</f>
        <v/>
      </c>
      <c r="AY250" s="118" t="str">
        <f>IF(AY$6="","",IF(AY$3="Maior",IFERROR(IF(VLOOKUP($N250,Capa!$A:$AE,AY$5,0)="",0,VLOOKUP($N250,Capa!$A:$AE,AY$5,0)),0),IF(ISERROR(1/VLOOKUP($N250,Capa!$A:$AE,AY$5,0)),0,1/VLOOKUP($N250,Capa!$A:$AE,AY$5,0))))</f>
        <v/>
      </c>
      <c r="AZ250" s="118" t="str">
        <f>IF(AZ$6="","",IF(AZ$3="Maior",IFERROR(IF(VLOOKUP($N250,Capa!$A:$AE,AZ$5,0)="",0,VLOOKUP($N250,Capa!$A:$AE,AZ$5,0)),0),IF(ISERROR(1/VLOOKUP($N250,Capa!$A:$AE,AZ$5,0)),0,1/VLOOKUP($N250,Capa!$A:$AE,AZ$5,0))))</f>
        <v/>
      </c>
      <c r="BA250" s="118" t="str">
        <f>IF(BA$6="","",IF(BA$3="Maior",IFERROR(IF(VLOOKUP($N250,Capa!$A:$AE,BA$5,0)="",0,VLOOKUP($N250,Capa!$A:$AE,BA$5,0)),0),IF(ISERROR(1/VLOOKUP($N250,Capa!$A:$AE,BA$5,0)),0,1/VLOOKUP($N250,Capa!$A:$AE,BA$5,0))))</f>
        <v/>
      </c>
      <c r="BB250" s="118" t="str">
        <f>IF(BB$6="","",IF(BB$3="Maior",IFERROR(IF(VLOOKUP($N250,Capa!$A:$AE,BB$5,0)="",0,VLOOKUP($N250,Capa!$A:$AE,BB$5,0)),0),IF(ISERROR(1/VLOOKUP($N250,Capa!$A:$AE,BB$5,0)),0,1/VLOOKUP($N250,Capa!$A:$AE,BB$5,0))))</f>
        <v/>
      </c>
      <c r="BC250" s="118" t="str">
        <f>IF(BC$6="","",IF(BC$3="Maior",IFERROR(IF(VLOOKUP($N250,Capa!$A:$AE,BC$5,0)="",0,VLOOKUP($N250,Capa!$A:$AE,BC$5,0)),0),IF(ISERROR(1/VLOOKUP($N250,Capa!$A:$AE,BC$5,0)),0,1/VLOOKUP($N250,Capa!$A:$AE,BC$5,0))))</f>
        <v/>
      </c>
      <c r="BD250" s="118" t="str">
        <f>IF(BD$6="","",IF(BD$3="Maior",IFERROR(IF(VLOOKUP($N250,Capa!$A:$AE,BD$5,0)="",0,VLOOKUP($N250,Capa!$A:$AE,BD$5,0)),0),IF(ISERROR(1/VLOOKUP($N250,Capa!$A:$AE,BD$5,0)),0,1/VLOOKUP($N250,Capa!$A:$AE,BD$5,0))))</f>
        <v/>
      </c>
      <c r="BE250" s="118" t="str">
        <f>IF(BE$6="","",IF(BE$3="Maior",IFERROR(IF(VLOOKUP($N250,Capa!$A:$AE,BE$5,0)="",0,VLOOKUP($N250,Capa!$A:$AE,BE$5,0)),0),IF(ISERROR(1/VLOOKUP($N250,Capa!$A:$AE,BE$5,0)),0,1/VLOOKUP($N250,Capa!$A:$AE,BE$5,0))))</f>
        <v/>
      </c>
      <c r="BF250" s="118" t="str">
        <f>IF(BF$6="","",IF(BF$3="Maior",IFERROR(IF(VLOOKUP($N250,Capa!$A:$AE,BF$5,0)="",0,VLOOKUP($N250,Capa!$A:$AE,BF$5,0)),0),IF(ISERROR(1/VLOOKUP($N250,Capa!$A:$AE,BF$5,0)),0,1/VLOOKUP($N250,Capa!$A:$AE,BF$5,0))))</f>
        <v/>
      </c>
      <c r="BG250" s="118" t="str">
        <f>IF(BG$6="","",IF(BG$3="Maior",IFERROR(IF(VLOOKUP($N250,Capa!$A:$AE,BG$5,0)="",0,VLOOKUP($N250,Capa!$A:$AE,BG$5,0)),0),IF(ISERROR(1/VLOOKUP($N250,Capa!$A:$AE,BG$5,0)),0,1/VLOOKUP($N250,Capa!$A:$AE,BG$5,0))))</f>
        <v/>
      </c>
      <c r="BH250" s="118" t="str">
        <f>IF(BH$6="","",IF(BH$3="Maior",IFERROR(IF(VLOOKUP($N250,Capa!$A:$AE,BH$5,0)="",0,VLOOKUP($N250,Capa!$A:$AE,BH$5,0)),0),IF(ISERROR(1/VLOOKUP($N250,Capa!$A:$AE,BH$5,0)),0,1/VLOOKUP($N250,Capa!$A:$AE,BH$5,0))))</f>
        <v/>
      </c>
      <c r="BI250" s="118" t="str">
        <f>IF(BI$6="","",IF(BI$3="Maior",IFERROR(IF(VLOOKUP($N250,Capa!$A:$AE,BI$5,0)="",0,VLOOKUP($N250,Capa!$A:$AE,BI$5,0)),0),IF(ISERROR(1/VLOOKUP($N250,Capa!$A:$AE,BI$5,0)),0,1/VLOOKUP($N250,Capa!$A:$AE,BI$5,0))))</f>
        <v/>
      </c>
      <c r="BJ250" s="118" t="str">
        <f>IF(BJ$6="","",IF(BJ$3="Maior",IFERROR(IF(VLOOKUP($N250,Capa!$A:$AE,BJ$5,0)="",0,VLOOKUP($N250,Capa!$A:$AE,BJ$5,0)),0),IF(ISERROR(1/VLOOKUP($N250,Capa!$A:$AE,BJ$5,0)),0,1/VLOOKUP($N250,Capa!$A:$AE,BJ$5,0))))</f>
        <v/>
      </c>
      <c r="BK250" s="118" t="str">
        <f>IF(BK$6="","",IF(BK$3="Maior",IFERROR(IF(VLOOKUP($N250,Capa!$A:$AE,BK$5,0)="",0,VLOOKUP($N250,Capa!$A:$AE,BK$5,0)),0),IF(ISERROR(1/VLOOKUP($N250,Capa!$A:$AE,BK$5,0)),0,1/VLOOKUP($N250,Capa!$A:$AE,BK$5,0))))</f>
        <v/>
      </c>
      <c r="BL250" s="118" t="str">
        <f>IF(BL$6="","",IF(BL$3="Maior",IFERROR(IF(VLOOKUP($N250,Capa!$A:$AE,BL$5,0)="",0,VLOOKUP($N250,Capa!$A:$AE,BL$5,0)),0),IF(ISERROR(1/VLOOKUP($N250,Capa!$A:$AE,BL$5,0)),0,1/VLOOKUP($N250,Capa!$A:$AE,BL$5,0))))</f>
        <v/>
      </c>
      <c r="BM250" s="118" t="str">
        <f>IF(BM$6="","",IF(BM$3="Maior",IFERROR(IF(VLOOKUP($N250,Capa!$A:$AE,BM$5,0)="",0,VLOOKUP($N250,Capa!$A:$AE,BM$5,0)),0),IF(ISERROR(1/VLOOKUP($N250,Capa!$A:$AE,BM$5,0)),0,1/VLOOKUP($N250,Capa!$A:$AE,BM$5,0))))</f>
        <v/>
      </c>
      <c r="BN250" s="118" t="str">
        <f>IF(BN$6="","",IF(BN$3="Maior",IFERROR(IF(VLOOKUP($N250,Capa!$A:$AE,BN$5,0)="",0,VLOOKUP($N250,Capa!$A:$AE,BN$5,0)),0),IF(ISERROR(1/VLOOKUP($N250,Capa!$A:$AE,BN$5,0)),0,1/VLOOKUP($N250,Capa!$A:$AE,BN$5,0))))</f>
        <v/>
      </c>
      <c r="BO250" s="92"/>
    </row>
    <row r="251">
      <c r="G251" s="11"/>
      <c r="H251" s="11"/>
      <c r="I251" s="8"/>
      <c r="J251" s="132"/>
      <c r="K251" s="11"/>
      <c r="L251" s="11"/>
      <c r="M251" s="11"/>
      <c r="N251" s="10" t="s">
        <v>297</v>
      </c>
      <c r="O251" s="113">
        <f t="shared" si="8"/>
        <v>1835.0492</v>
      </c>
      <c r="P251" s="114">
        <f>VLOOKUP(N251,'Dados StatusInvest'!A:Z,26,0)</f>
        <v>5481450.79</v>
      </c>
      <c r="Q251" s="115">
        <f t="shared" si="9"/>
        <v>492.0492</v>
      </c>
      <c r="R251" s="116">
        <f t="shared" ref="R251:AO251" si="254">IF(AQ251="","", RANK(AQ251,AQ$7:AQ$503,0))</f>
        <v>124</v>
      </c>
      <c r="S251" s="115">
        <f t="shared" si="254"/>
        <v>219</v>
      </c>
      <c r="T251" s="115" t="str">
        <f t="shared" si="254"/>
        <v/>
      </c>
      <c r="U251" s="115" t="str">
        <f t="shared" si="254"/>
        <v/>
      </c>
      <c r="V251" s="115" t="str">
        <f t="shared" si="254"/>
        <v/>
      </c>
      <c r="W251" s="115" t="str">
        <f t="shared" si="254"/>
        <v/>
      </c>
      <c r="X251" s="115" t="str">
        <f t="shared" si="254"/>
        <v/>
      </c>
      <c r="Y251" s="115" t="str">
        <f t="shared" si="254"/>
        <v/>
      </c>
      <c r="Z251" s="115" t="str">
        <f t="shared" si="254"/>
        <v/>
      </c>
      <c r="AA251" s="115" t="str">
        <f t="shared" si="254"/>
        <v/>
      </c>
      <c r="AB251" s="115" t="str">
        <f t="shared" si="254"/>
        <v/>
      </c>
      <c r="AC251" s="115" t="str">
        <f t="shared" si="254"/>
        <v/>
      </c>
      <c r="AD251" s="115" t="str">
        <f t="shared" si="254"/>
        <v/>
      </c>
      <c r="AE251" s="115" t="str">
        <f t="shared" si="254"/>
        <v/>
      </c>
      <c r="AF251" s="115" t="str">
        <f t="shared" si="254"/>
        <v/>
      </c>
      <c r="AG251" s="115" t="str">
        <f t="shared" si="254"/>
        <v/>
      </c>
      <c r="AH251" s="115" t="str">
        <f t="shared" si="254"/>
        <v/>
      </c>
      <c r="AI251" s="115" t="str">
        <f t="shared" si="254"/>
        <v/>
      </c>
      <c r="AJ251" s="115" t="str">
        <f t="shared" si="254"/>
        <v/>
      </c>
      <c r="AK251" s="115" t="str">
        <f t="shared" si="254"/>
        <v/>
      </c>
      <c r="AL251" s="115" t="str">
        <f t="shared" si="254"/>
        <v/>
      </c>
      <c r="AM251" s="115" t="str">
        <f t="shared" si="254"/>
        <v/>
      </c>
      <c r="AN251" s="115" t="str">
        <f t="shared" si="254"/>
        <v/>
      </c>
      <c r="AO251" s="115" t="str">
        <f t="shared" si="254"/>
        <v/>
      </c>
      <c r="AP251" s="117">
        <f>IF(AP$6="","",IF(AP$3="Maior",IFERROR(IF(VLOOKUP($N251,Capa!$A:$AE,AP$5,0)="",0,VLOOKUP($N251,Capa!$A:$AE,AP$5,0)),0),IF(ISERROR(1/VLOOKUP($N251,Capa!$A:$AE,AP$5,0)),0,1/VLOOKUP($N251,Capa!$A:$AE,AP$5,0))))</f>
        <v>-0.7488639525</v>
      </c>
      <c r="AQ251" s="118">
        <f>IF(AQ$6="","",IF(AQ$3="Maior",IFERROR(IF(VLOOKUP($N251,Capa!$A:$AE,AQ$5,0)="",0,VLOOKUP($N251,Capa!$A:$AE,AQ$5,0)),0),IF(ISERROR(1/VLOOKUP($N251,Capa!$A:$AE,AQ$5,0)),0,1/VLOOKUP($N251,Capa!$A:$AE,AQ$5,0))))</f>
        <v>15.3</v>
      </c>
      <c r="AR251" s="118">
        <f>IF(AR$6="","",IF(AR$3="Maior",IFERROR(IF(VLOOKUP($N251,Capa!$A:$AE,AR$5,0)="",0,VLOOKUP($N251,Capa!$A:$AE,AR$5,0)),0),IF(ISERROR(1/VLOOKUP($N251,Capa!$A:$AE,AR$5,0)),0,1/VLOOKUP($N251,Capa!$A:$AE,AR$5,0))))</f>
        <v>0</v>
      </c>
      <c r="AS251" s="118" t="str">
        <f>IF(AS$6="","",IF(AS$3="Maior",IFERROR(IF(VLOOKUP($N251,Capa!$A:$AE,AS$5,0)="",0,VLOOKUP($N251,Capa!$A:$AE,AS$5,0)),0),IF(ISERROR(1/VLOOKUP($N251,Capa!$A:$AE,AS$5,0)),0,1/VLOOKUP($N251,Capa!$A:$AE,AS$5,0))))</f>
        <v/>
      </c>
      <c r="AT251" s="118" t="str">
        <f>IF(AT$6="","",IF(AT$3="Maior",IFERROR(IF(VLOOKUP($N251,Capa!$A:$AE,AT$5,0)="",0,VLOOKUP($N251,Capa!$A:$AE,AT$5,0)),0),IF(ISERROR(1/VLOOKUP($N251,Capa!$A:$AE,AT$5,0)),0,1/VLOOKUP($N251,Capa!$A:$AE,AT$5,0))))</f>
        <v/>
      </c>
      <c r="AU251" s="118" t="str">
        <f>IF(AU$6="","",IF(AU$3="Maior",IFERROR(IF(VLOOKUP($N251,Capa!$A:$AE,AU$5,0)="",0,VLOOKUP($N251,Capa!$A:$AE,AU$5,0)),0),IF(ISERROR(1/VLOOKUP($N251,Capa!$A:$AE,AU$5,0)),0,1/VLOOKUP($N251,Capa!$A:$AE,AU$5,0))))</f>
        <v/>
      </c>
      <c r="AV251" s="118" t="str">
        <f>IF(AV$6="","",IF(AV$3="Maior",IFERROR(IF(VLOOKUP($N251,Capa!$A:$AE,AV$5,0)="",0,VLOOKUP($N251,Capa!$A:$AE,AV$5,0)),0),IF(ISERROR(1/VLOOKUP($N251,Capa!$A:$AE,AV$5,0)),0,1/VLOOKUP($N251,Capa!$A:$AE,AV$5,0))))</f>
        <v/>
      </c>
      <c r="AW251" s="118" t="str">
        <f>IF(AW$6="","",IF(AW$3="Maior",IFERROR(IF(VLOOKUP($N251,Capa!$A:$AE,AW$5,0)="",0,VLOOKUP($N251,Capa!$A:$AE,AW$5,0)),0),IF(ISERROR(1/VLOOKUP($N251,Capa!$A:$AE,AW$5,0)),0,1/VLOOKUP($N251,Capa!$A:$AE,AW$5,0))))</f>
        <v/>
      </c>
      <c r="AX251" s="118" t="str">
        <f>IF(AX$6="","",IF(AX$3="Maior",IFERROR(IF(VLOOKUP($N251,Capa!$A:$AE,AX$5,0)="",0,VLOOKUP($N251,Capa!$A:$AE,AX$5,0)),0),IF(ISERROR(1/VLOOKUP($N251,Capa!$A:$AE,AX$5,0)),0,1/VLOOKUP($N251,Capa!$A:$AE,AX$5,0))))</f>
        <v/>
      </c>
      <c r="AY251" s="118" t="str">
        <f>IF(AY$6="","",IF(AY$3="Maior",IFERROR(IF(VLOOKUP($N251,Capa!$A:$AE,AY$5,0)="",0,VLOOKUP($N251,Capa!$A:$AE,AY$5,0)),0),IF(ISERROR(1/VLOOKUP($N251,Capa!$A:$AE,AY$5,0)),0,1/VLOOKUP($N251,Capa!$A:$AE,AY$5,0))))</f>
        <v/>
      </c>
      <c r="AZ251" s="118" t="str">
        <f>IF(AZ$6="","",IF(AZ$3="Maior",IFERROR(IF(VLOOKUP($N251,Capa!$A:$AE,AZ$5,0)="",0,VLOOKUP($N251,Capa!$A:$AE,AZ$5,0)),0),IF(ISERROR(1/VLOOKUP($N251,Capa!$A:$AE,AZ$5,0)),0,1/VLOOKUP($N251,Capa!$A:$AE,AZ$5,0))))</f>
        <v/>
      </c>
      <c r="BA251" s="118" t="str">
        <f>IF(BA$6="","",IF(BA$3="Maior",IFERROR(IF(VLOOKUP($N251,Capa!$A:$AE,BA$5,0)="",0,VLOOKUP($N251,Capa!$A:$AE,BA$5,0)),0),IF(ISERROR(1/VLOOKUP($N251,Capa!$A:$AE,BA$5,0)),0,1/VLOOKUP($N251,Capa!$A:$AE,BA$5,0))))</f>
        <v/>
      </c>
      <c r="BB251" s="118" t="str">
        <f>IF(BB$6="","",IF(BB$3="Maior",IFERROR(IF(VLOOKUP($N251,Capa!$A:$AE,BB$5,0)="",0,VLOOKUP($N251,Capa!$A:$AE,BB$5,0)),0),IF(ISERROR(1/VLOOKUP($N251,Capa!$A:$AE,BB$5,0)),0,1/VLOOKUP($N251,Capa!$A:$AE,BB$5,0))))</f>
        <v/>
      </c>
      <c r="BC251" s="118" t="str">
        <f>IF(BC$6="","",IF(BC$3="Maior",IFERROR(IF(VLOOKUP($N251,Capa!$A:$AE,BC$5,0)="",0,VLOOKUP($N251,Capa!$A:$AE,BC$5,0)),0),IF(ISERROR(1/VLOOKUP($N251,Capa!$A:$AE,BC$5,0)),0,1/VLOOKUP($N251,Capa!$A:$AE,BC$5,0))))</f>
        <v/>
      </c>
      <c r="BD251" s="118" t="str">
        <f>IF(BD$6="","",IF(BD$3="Maior",IFERROR(IF(VLOOKUP($N251,Capa!$A:$AE,BD$5,0)="",0,VLOOKUP($N251,Capa!$A:$AE,BD$5,0)),0),IF(ISERROR(1/VLOOKUP($N251,Capa!$A:$AE,BD$5,0)),0,1/VLOOKUP($N251,Capa!$A:$AE,BD$5,0))))</f>
        <v/>
      </c>
      <c r="BE251" s="118" t="str">
        <f>IF(BE$6="","",IF(BE$3="Maior",IFERROR(IF(VLOOKUP($N251,Capa!$A:$AE,BE$5,0)="",0,VLOOKUP($N251,Capa!$A:$AE,BE$5,0)),0),IF(ISERROR(1/VLOOKUP($N251,Capa!$A:$AE,BE$5,0)),0,1/VLOOKUP($N251,Capa!$A:$AE,BE$5,0))))</f>
        <v/>
      </c>
      <c r="BF251" s="118" t="str">
        <f>IF(BF$6="","",IF(BF$3="Maior",IFERROR(IF(VLOOKUP($N251,Capa!$A:$AE,BF$5,0)="",0,VLOOKUP($N251,Capa!$A:$AE,BF$5,0)),0),IF(ISERROR(1/VLOOKUP($N251,Capa!$A:$AE,BF$5,0)),0,1/VLOOKUP($N251,Capa!$A:$AE,BF$5,0))))</f>
        <v/>
      </c>
      <c r="BG251" s="118" t="str">
        <f>IF(BG$6="","",IF(BG$3="Maior",IFERROR(IF(VLOOKUP($N251,Capa!$A:$AE,BG$5,0)="",0,VLOOKUP($N251,Capa!$A:$AE,BG$5,0)),0),IF(ISERROR(1/VLOOKUP($N251,Capa!$A:$AE,BG$5,0)),0,1/VLOOKUP($N251,Capa!$A:$AE,BG$5,0))))</f>
        <v/>
      </c>
      <c r="BH251" s="118" t="str">
        <f>IF(BH$6="","",IF(BH$3="Maior",IFERROR(IF(VLOOKUP($N251,Capa!$A:$AE,BH$5,0)="",0,VLOOKUP($N251,Capa!$A:$AE,BH$5,0)),0),IF(ISERROR(1/VLOOKUP($N251,Capa!$A:$AE,BH$5,0)),0,1/VLOOKUP($N251,Capa!$A:$AE,BH$5,0))))</f>
        <v/>
      </c>
      <c r="BI251" s="118" t="str">
        <f>IF(BI$6="","",IF(BI$3="Maior",IFERROR(IF(VLOOKUP($N251,Capa!$A:$AE,BI$5,0)="",0,VLOOKUP($N251,Capa!$A:$AE,BI$5,0)),0),IF(ISERROR(1/VLOOKUP($N251,Capa!$A:$AE,BI$5,0)),0,1/VLOOKUP($N251,Capa!$A:$AE,BI$5,0))))</f>
        <v/>
      </c>
      <c r="BJ251" s="118" t="str">
        <f>IF(BJ$6="","",IF(BJ$3="Maior",IFERROR(IF(VLOOKUP($N251,Capa!$A:$AE,BJ$5,0)="",0,VLOOKUP($N251,Capa!$A:$AE,BJ$5,0)),0),IF(ISERROR(1/VLOOKUP($N251,Capa!$A:$AE,BJ$5,0)),0,1/VLOOKUP($N251,Capa!$A:$AE,BJ$5,0))))</f>
        <v/>
      </c>
      <c r="BK251" s="118" t="str">
        <f>IF(BK$6="","",IF(BK$3="Maior",IFERROR(IF(VLOOKUP($N251,Capa!$A:$AE,BK$5,0)="",0,VLOOKUP($N251,Capa!$A:$AE,BK$5,0)),0),IF(ISERROR(1/VLOOKUP($N251,Capa!$A:$AE,BK$5,0)),0,1/VLOOKUP($N251,Capa!$A:$AE,BK$5,0))))</f>
        <v/>
      </c>
      <c r="BL251" s="118" t="str">
        <f>IF(BL$6="","",IF(BL$3="Maior",IFERROR(IF(VLOOKUP($N251,Capa!$A:$AE,BL$5,0)="",0,VLOOKUP($N251,Capa!$A:$AE,BL$5,0)),0),IF(ISERROR(1/VLOOKUP($N251,Capa!$A:$AE,BL$5,0)),0,1/VLOOKUP($N251,Capa!$A:$AE,BL$5,0))))</f>
        <v/>
      </c>
      <c r="BM251" s="118" t="str">
        <f>IF(BM$6="","",IF(BM$3="Maior",IFERROR(IF(VLOOKUP($N251,Capa!$A:$AE,BM$5,0)="",0,VLOOKUP($N251,Capa!$A:$AE,BM$5,0)),0),IF(ISERROR(1/VLOOKUP($N251,Capa!$A:$AE,BM$5,0)),0,1/VLOOKUP($N251,Capa!$A:$AE,BM$5,0))))</f>
        <v/>
      </c>
      <c r="BN251" s="118" t="str">
        <f>IF(BN$6="","",IF(BN$3="Maior",IFERROR(IF(VLOOKUP($N251,Capa!$A:$AE,BN$5,0)="",0,VLOOKUP($N251,Capa!$A:$AE,BN$5,0)),0),IF(ISERROR(1/VLOOKUP($N251,Capa!$A:$AE,BN$5,0)),0,1/VLOOKUP($N251,Capa!$A:$AE,BN$5,0))))</f>
        <v/>
      </c>
      <c r="BO251" s="92"/>
    </row>
    <row r="252">
      <c r="G252" s="11"/>
      <c r="H252" s="11"/>
      <c r="I252" s="8"/>
      <c r="J252" s="132"/>
      <c r="K252" s="11"/>
      <c r="L252" s="11"/>
      <c r="M252" s="11"/>
      <c r="N252" s="10" t="s">
        <v>298</v>
      </c>
      <c r="O252" s="113">
        <f t="shared" si="8"/>
        <v>1329.0067</v>
      </c>
      <c r="P252" s="114">
        <f>VLOOKUP(N252,'Dados StatusInvest'!A:Z,26,0)</f>
        <v>3540864.79</v>
      </c>
      <c r="Q252" s="115">
        <f t="shared" si="9"/>
        <v>67.0067</v>
      </c>
      <c r="R252" s="116">
        <f t="shared" ref="R252:AO252" si="255">IF(AQ252="","", RANK(AQ252,AQ$7:AQ$503,0))</f>
        <v>43</v>
      </c>
      <c r="S252" s="115">
        <f t="shared" si="255"/>
        <v>219</v>
      </c>
      <c r="T252" s="115" t="str">
        <f t="shared" si="255"/>
        <v/>
      </c>
      <c r="U252" s="115" t="str">
        <f t="shared" si="255"/>
        <v/>
      </c>
      <c r="V252" s="115" t="str">
        <f t="shared" si="255"/>
        <v/>
      </c>
      <c r="W252" s="115" t="str">
        <f t="shared" si="255"/>
        <v/>
      </c>
      <c r="X252" s="115" t="str">
        <f t="shared" si="255"/>
        <v/>
      </c>
      <c r="Y252" s="115" t="str">
        <f t="shared" si="255"/>
        <v/>
      </c>
      <c r="Z252" s="115" t="str">
        <f t="shared" si="255"/>
        <v/>
      </c>
      <c r="AA252" s="115" t="str">
        <f t="shared" si="255"/>
        <v/>
      </c>
      <c r="AB252" s="115" t="str">
        <f t="shared" si="255"/>
        <v/>
      </c>
      <c r="AC252" s="115" t="str">
        <f t="shared" si="255"/>
        <v/>
      </c>
      <c r="AD252" s="115" t="str">
        <f t="shared" si="255"/>
        <v/>
      </c>
      <c r="AE252" s="115" t="str">
        <f t="shared" si="255"/>
        <v/>
      </c>
      <c r="AF252" s="115" t="str">
        <f t="shared" si="255"/>
        <v/>
      </c>
      <c r="AG252" s="115" t="str">
        <f t="shared" si="255"/>
        <v/>
      </c>
      <c r="AH252" s="115" t="str">
        <f t="shared" si="255"/>
        <v/>
      </c>
      <c r="AI252" s="115" t="str">
        <f t="shared" si="255"/>
        <v/>
      </c>
      <c r="AJ252" s="115" t="str">
        <f t="shared" si="255"/>
        <v/>
      </c>
      <c r="AK252" s="115" t="str">
        <f t="shared" si="255"/>
        <v/>
      </c>
      <c r="AL252" s="115" t="str">
        <f t="shared" si="255"/>
        <v/>
      </c>
      <c r="AM252" s="115" t="str">
        <f t="shared" si="255"/>
        <v/>
      </c>
      <c r="AN252" s="115" t="str">
        <f t="shared" si="255"/>
        <v/>
      </c>
      <c r="AO252" s="115" t="str">
        <f t="shared" si="255"/>
        <v/>
      </c>
      <c r="AP252" s="117">
        <f>IF(AP$6="","",IF(AP$3="Maior",IFERROR(IF(VLOOKUP($N252,Capa!$A:$AE,AP$5,0)="",0,VLOOKUP($N252,Capa!$A:$AE,AP$5,0)),0),IF(ISERROR(1/VLOOKUP($N252,Capa!$A:$AE,AP$5,0)),0,1/VLOOKUP($N252,Capa!$A:$AE,AP$5,0))))</f>
        <v>0.2252435395</v>
      </c>
      <c r="AQ252" s="118">
        <f>IF(AQ$6="","",IF(AQ$3="Maior",IFERROR(IF(VLOOKUP($N252,Capa!$A:$AE,AQ$5,0)="",0,VLOOKUP($N252,Capa!$A:$AE,AQ$5,0)),0),IF(ISERROR(1/VLOOKUP($N252,Capa!$A:$AE,AQ$5,0)),0,1/VLOOKUP($N252,Capa!$A:$AE,AQ$5,0))))</f>
        <v>29.88</v>
      </c>
      <c r="AR252" s="118">
        <f>IF(AR$6="","",IF(AR$3="Maior",IFERROR(IF(VLOOKUP($N252,Capa!$A:$AE,AR$5,0)="",0,VLOOKUP($N252,Capa!$A:$AE,AR$5,0)),0),IF(ISERROR(1/VLOOKUP($N252,Capa!$A:$AE,AR$5,0)),0,1/VLOOKUP($N252,Capa!$A:$AE,AR$5,0))))</f>
        <v>0</v>
      </c>
      <c r="AS252" s="118" t="str">
        <f>IF(AS$6="","",IF(AS$3="Maior",IFERROR(IF(VLOOKUP($N252,Capa!$A:$AE,AS$5,0)="",0,VLOOKUP($N252,Capa!$A:$AE,AS$5,0)),0),IF(ISERROR(1/VLOOKUP($N252,Capa!$A:$AE,AS$5,0)),0,1/VLOOKUP($N252,Capa!$A:$AE,AS$5,0))))</f>
        <v/>
      </c>
      <c r="AT252" s="118" t="str">
        <f>IF(AT$6="","",IF(AT$3="Maior",IFERROR(IF(VLOOKUP($N252,Capa!$A:$AE,AT$5,0)="",0,VLOOKUP($N252,Capa!$A:$AE,AT$5,0)),0),IF(ISERROR(1/VLOOKUP($N252,Capa!$A:$AE,AT$5,0)),0,1/VLOOKUP($N252,Capa!$A:$AE,AT$5,0))))</f>
        <v/>
      </c>
      <c r="AU252" s="118" t="str">
        <f>IF(AU$6="","",IF(AU$3="Maior",IFERROR(IF(VLOOKUP($N252,Capa!$A:$AE,AU$5,0)="",0,VLOOKUP($N252,Capa!$A:$AE,AU$5,0)),0),IF(ISERROR(1/VLOOKUP($N252,Capa!$A:$AE,AU$5,0)),0,1/VLOOKUP($N252,Capa!$A:$AE,AU$5,0))))</f>
        <v/>
      </c>
      <c r="AV252" s="118" t="str">
        <f>IF(AV$6="","",IF(AV$3="Maior",IFERROR(IF(VLOOKUP($N252,Capa!$A:$AE,AV$5,0)="",0,VLOOKUP($N252,Capa!$A:$AE,AV$5,0)),0),IF(ISERROR(1/VLOOKUP($N252,Capa!$A:$AE,AV$5,0)),0,1/VLOOKUP($N252,Capa!$A:$AE,AV$5,0))))</f>
        <v/>
      </c>
      <c r="AW252" s="118" t="str">
        <f>IF(AW$6="","",IF(AW$3="Maior",IFERROR(IF(VLOOKUP($N252,Capa!$A:$AE,AW$5,0)="",0,VLOOKUP($N252,Capa!$A:$AE,AW$5,0)),0),IF(ISERROR(1/VLOOKUP($N252,Capa!$A:$AE,AW$5,0)),0,1/VLOOKUP($N252,Capa!$A:$AE,AW$5,0))))</f>
        <v/>
      </c>
      <c r="AX252" s="118" t="str">
        <f>IF(AX$6="","",IF(AX$3="Maior",IFERROR(IF(VLOOKUP($N252,Capa!$A:$AE,AX$5,0)="",0,VLOOKUP($N252,Capa!$A:$AE,AX$5,0)),0),IF(ISERROR(1/VLOOKUP($N252,Capa!$A:$AE,AX$5,0)),0,1/VLOOKUP($N252,Capa!$A:$AE,AX$5,0))))</f>
        <v/>
      </c>
      <c r="AY252" s="118" t="str">
        <f>IF(AY$6="","",IF(AY$3="Maior",IFERROR(IF(VLOOKUP($N252,Capa!$A:$AE,AY$5,0)="",0,VLOOKUP($N252,Capa!$A:$AE,AY$5,0)),0),IF(ISERROR(1/VLOOKUP($N252,Capa!$A:$AE,AY$5,0)),0,1/VLOOKUP($N252,Capa!$A:$AE,AY$5,0))))</f>
        <v/>
      </c>
      <c r="AZ252" s="118" t="str">
        <f>IF(AZ$6="","",IF(AZ$3="Maior",IFERROR(IF(VLOOKUP($N252,Capa!$A:$AE,AZ$5,0)="",0,VLOOKUP($N252,Capa!$A:$AE,AZ$5,0)),0),IF(ISERROR(1/VLOOKUP($N252,Capa!$A:$AE,AZ$5,0)),0,1/VLOOKUP($N252,Capa!$A:$AE,AZ$5,0))))</f>
        <v/>
      </c>
      <c r="BA252" s="118" t="str">
        <f>IF(BA$6="","",IF(BA$3="Maior",IFERROR(IF(VLOOKUP($N252,Capa!$A:$AE,BA$5,0)="",0,VLOOKUP($N252,Capa!$A:$AE,BA$5,0)),0),IF(ISERROR(1/VLOOKUP($N252,Capa!$A:$AE,BA$5,0)),0,1/VLOOKUP($N252,Capa!$A:$AE,BA$5,0))))</f>
        <v/>
      </c>
      <c r="BB252" s="118" t="str">
        <f>IF(BB$6="","",IF(BB$3="Maior",IFERROR(IF(VLOOKUP($N252,Capa!$A:$AE,BB$5,0)="",0,VLOOKUP($N252,Capa!$A:$AE,BB$5,0)),0),IF(ISERROR(1/VLOOKUP($N252,Capa!$A:$AE,BB$5,0)),0,1/VLOOKUP($N252,Capa!$A:$AE,BB$5,0))))</f>
        <v/>
      </c>
      <c r="BC252" s="118" t="str">
        <f>IF(BC$6="","",IF(BC$3="Maior",IFERROR(IF(VLOOKUP($N252,Capa!$A:$AE,BC$5,0)="",0,VLOOKUP($N252,Capa!$A:$AE,BC$5,0)),0),IF(ISERROR(1/VLOOKUP($N252,Capa!$A:$AE,BC$5,0)),0,1/VLOOKUP($N252,Capa!$A:$AE,BC$5,0))))</f>
        <v/>
      </c>
      <c r="BD252" s="118" t="str">
        <f>IF(BD$6="","",IF(BD$3="Maior",IFERROR(IF(VLOOKUP($N252,Capa!$A:$AE,BD$5,0)="",0,VLOOKUP($N252,Capa!$A:$AE,BD$5,0)),0),IF(ISERROR(1/VLOOKUP($N252,Capa!$A:$AE,BD$5,0)),0,1/VLOOKUP($N252,Capa!$A:$AE,BD$5,0))))</f>
        <v/>
      </c>
      <c r="BE252" s="118" t="str">
        <f>IF(BE$6="","",IF(BE$3="Maior",IFERROR(IF(VLOOKUP($N252,Capa!$A:$AE,BE$5,0)="",0,VLOOKUP($N252,Capa!$A:$AE,BE$5,0)),0),IF(ISERROR(1/VLOOKUP($N252,Capa!$A:$AE,BE$5,0)),0,1/VLOOKUP($N252,Capa!$A:$AE,BE$5,0))))</f>
        <v/>
      </c>
      <c r="BF252" s="118" t="str">
        <f>IF(BF$6="","",IF(BF$3="Maior",IFERROR(IF(VLOOKUP($N252,Capa!$A:$AE,BF$5,0)="",0,VLOOKUP($N252,Capa!$A:$AE,BF$5,0)),0),IF(ISERROR(1/VLOOKUP($N252,Capa!$A:$AE,BF$5,0)),0,1/VLOOKUP($N252,Capa!$A:$AE,BF$5,0))))</f>
        <v/>
      </c>
      <c r="BG252" s="118" t="str">
        <f>IF(BG$6="","",IF(BG$3="Maior",IFERROR(IF(VLOOKUP($N252,Capa!$A:$AE,BG$5,0)="",0,VLOOKUP($N252,Capa!$A:$AE,BG$5,0)),0),IF(ISERROR(1/VLOOKUP($N252,Capa!$A:$AE,BG$5,0)),0,1/VLOOKUP($N252,Capa!$A:$AE,BG$5,0))))</f>
        <v/>
      </c>
      <c r="BH252" s="118" t="str">
        <f>IF(BH$6="","",IF(BH$3="Maior",IFERROR(IF(VLOOKUP($N252,Capa!$A:$AE,BH$5,0)="",0,VLOOKUP($N252,Capa!$A:$AE,BH$5,0)),0),IF(ISERROR(1/VLOOKUP($N252,Capa!$A:$AE,BH$5,0)),0,1/VLOOKUP($N252,Capa!$A:$AE,BH$5,0))))</f>
        <v/>
      </c>
      <c r="BI252" s="118" t="str">
        <f>IF(BI$6="","",IF(BI$3="Maior",IFERROR(IF(VLOOKUP($N252,Capa!$A:$AE,BI$5,0)="",0,VLOOKUP($N252,Capa!$A:$AE,BI$5,0)),0),IF(ISERROR(1/VLOOKUP($N252,Capa!$A:$AE,BI$5,0)),0,1/VLOOKUP($N252,Capa!$A:$AE,BI$5,0))))</f>
        <v/>
      </c>
      <c r="BJ252" s="118" t="str">
        <f>IF(BJ$6="","",IF(BJ$3="Maior",IFERROR(IF(VLOOKUP($N252,Capa!$A:$AE,BJ$5,0)="",0,VLOOKUP($N252,Capa!$A:$AE,BJ$5,0)),0),IF(ISERROR(1/VLOOKUP($N252,Capa!$A:$AE,BJ$5,0)),0,1/VLOOKUP($N252,Capa!$A:$AE,BJ$5,0))))</f>
        <v/>
      </c>
      <c r="BK252" s="118" t="str">
        <f>IF(BK$6="","",IF(BK$3="Maior",IFERROR(IF(VLOOKUP($N252,Capa!$A:$AE,BK$5,0)="",0,VLOOKUP($N252,Capa!$A:$AE,BK$5,0)),0),IF(ISERROR(1/VLOOKUP($N252,Capa!$A:$AE,BK$5,0)),0,1/VLOOKUP($N252,Capa!$A:$AE,BK$5,0))))</f>
        <v/>
      </c>
      <c r="BL252" s="118" t="str">
        <f>IF(BL$6="","",IF(BL$3="Maior",IFERROR(IF(VLOOKUP($N252,Capa!$A:$AE,BL$5,0)="",0,VLOOKUP($N252,Capa!$A:$AE,BL$5,0)),0),IF(ISERROR(1/VLOOKUP($N252,Capa!$A:$AE,BL$5,0)),0,1/VLOOKUP($N252,Capa!$A:$AE,BL$5,0))))</f>
        <v/>
      </c>
      <c r="BM252" s="118" t="str">
        <f>IF(BM$6="","",IF(BM$3="Maior",IFERROR(IF(VLOOKUP($N252,Capa!$A:$AE,BM$5,0)="",0,VLOOKUP($N252,Capa!$A:$AE,BM$5,0)),0),IF(ISERROR(1/VLOOKUP($N252,Capa!$A:$AE,BM$5,0)),0,1/VLOOKUP($N252,Capa!$A:$AE,BM$5,0))))</f>
        <v/>
      </c>
      <c r="BN252" s="118" t="str">
        <f>IF(BN$6="","",IF(BN$3="Maior",IFERROR(IF(VLOOKUP($N252,Capa!$A:$AE,BN$5,0)="",0,VLOOKUP($N252,Capa!$A:$AE,BN$5,0)),0),IF(ISERROR(1/VLOOKUP($N252,Capa!$A:$AE,BN$5,0)),0,1/VLOOKUP($N252,Capa!$A:$AE,BN$5,0))))</f>
        <v/>
      </c>
      <c r="BO252" s="92"/>
    </row>
    <row r="253">
      <c r="G253" s="11"/>
      <c r="H253" s="11"/>
      <c r="I253" s="8"/>
      <c r="J253" s="132"/>
      <c r="K253" s="11"/>
      <c r="L253" s="11"/>
      <c r="M253" s="11"/>
      <c r="N253" s="10" t="s">
        <v>299</v>
      </c>
      <c r="O253" s="113">
        <f t="shared" si="8"/>
        <v>1721.0163</v>
      </c>
      <c r="P253" s="114">
        <f>VLOOKUP(N253,'Dados StatusInvest'!A:Z,26,0)</f>
        <v>3581052.13</v>
      </c>
      <c r="Q253" s="115">
        <f t="shared" si="9"/>
        <v>163.0163</v>
      </c>
      <c r="R253" s="116">
        <f t="shared" ref="R253:AO253" si="256">IF(AQ253="","", RANK(AQ253,AQ$7:AQ$503,0))</f>
        <v>339</v>
      </c>
      <c r="S253" s="115">
        <f t="shared" si="256"/>
        <v>219</v>
      </c>
      <c r="T253" s="115" t="str">
        <f t="shared" si="256"/>
        <v/>
      </c>
      <c r="U253" s="115" t="str">
        <f t="shared" si="256"/>
        <v/>
      </c>
      <c r="V253" s="115" t="str">
        <f t="shared" si="256"/>
        <v/>
      </c>
      <c r="W253" s="115" t="str">
        <f t="shared" si="256"/>
        <v/>
      </c>
      <c r="X253" s="115" t="str">
        <f t="shared" si="256"/>
        <v/>
      </c>
      <c r="Y253" s="115" t="str">
        <f t="shared" si="256"/>
        <v/>
      </c>
      <c r="Z253" s="115" t="str">
        <f t="shared" si="256"/>
        <v/>
      </c>
      <c r="AA253" s="115" t="str">
        <f t="shared" si="256"/>
        <v/>
      </c>
      <c r="AB253" s="115" t="str">
        <f t="shared" si="256"/>
        <v/>
      </c>
      <c r="AC253" s="115" t="str">
        <f t="shared" si="256"/>
        <v/>
      </c>
      <c r="AD253" s="115" t="str">
        <f t="shared" si="256"/>
        <v/>
      </c>
      <c r="AE253" s="115" t="str">
        <f t="shared" si="256"/>
        <v/>
      </c>
      <c r="AF253" s="115" t="str">
        <f t="shared" si="256"/>
        <v/>
      </c>
      <c r="AG253" s="115" t="str">
        <f t="shared" si="256"/>
        <v/>
      </c>
      <c r="AH253" s="115" t="str">
        <f t="shared" si="256"/>
        <v/>
      </c>
      <c r="AI253" s="115" t="str">
        <f t="shared" si="256"/>
        <v/>
      </c>
      <c r="AJ253" s="115" t="str">
        <f t="shared" si="256"/>
        <v/>
      </c>
      <c r="AK253" s="115" t="str">
        <f t="shared" si="256"/>
        <v/>
      </c>
      <c r="AL253" s="115" t="str">
        <f t="shared" si="256"/>
        <v/>
      </c>
      <c r="AM253" s="115" t="str">
        <f t="shared" si="256"/>
        <v/>
      </c>
      <c r="AN253" s="115" t="str">
        <f t="shared" si="256"/>
        <v/>
      </c>
      <c r="AO253" s="115" t="str">
        <f t="shared" si="256"/>
        <v/>
      </c>
      <c r="AP253" s="117">
        <f>IF(AP$6="","",IF(AP$3="Maior",IFERROR(IF(VLOOKUP($N253,Capa!$A:$AE,AP$5,0)="",0,VLOOKUP($N253,Capa!$A:$AE,AP$5,0)),0),IF(ISERROR(1/VLOOKUP($N253,Capa!$A:$AE,AP$5,0)),0,1/VLOOKUP($N253,Capa!$A:$AE,AP$5,0))))</f>
        <v>0.1255943845</v>
      </c>
      <c r="AQ253" s="118">
        <f>IF(AQ$6="","",IF(AQ$3="Maior",IFERROR(IF(VLOOKUP($N253,Capa!$A:$AE,AQ$5,0)="",0,VLOOKUP($N253,Capa!$A:$AE,AQ$5,0)),0),IF(ISERROR(1/VLOOKUP($N253,Capa!$A:$AE,AQ$5,0)),0,1/VLOOKUP($N253,Capa!$A:$AE,AQ$5,0))))</f>
        <v>2.62</v>
      </c>
      <c r="AR253" s="118">
        <f>IF(AR$6="","",IF(AR$3="Maior",IFERROR(IF(VLOOKUP($N253,Capa!$A:$AE,AR$5,0)="",0,VLOOKUP($N253,Capa!$A:$AE,AR$5,0)),0),IF(ISERROR(1/VLOOKUP($N253,Capa!$A:$AE,AR$5,0)),0,1/VLOOKUP($N253,Capa!$A:$AE,AR$5,0))))</f>
        <v>0</v>
      </c>
      <c r="AS253" s="118" t="str">
        <f>IF(AS$6="","",IF(AS$3="Maior",IFERROR(IF(VLOOKUP($N253,Capa!$A:$AE,AS$5,0)="",0,VLOOKUP($N253,Capa!$A:$AE,AS$5,0)),0),IF(ISERROR(1/VLOOKUP($N253,Capa!$A:$AE,AS$5,0)),0,1/VLOOKUP($N253,Capa!$A:$AE,AS$5,0))))</f>
        <v/>
      </c>
      <c r="AT253" s="118" t="str">
        <f>IF(AT$6="","",IF(AT$3="Maior",IFERROR(IF(VLOOKUP($N253,Capa!$A:$AE,AT$5,0)="",0,VLOOKUP($N253,Capa!$A:$AE,AT$5,0)),0),IF(ISERROR(1/VLOOKUP($N253,Capa!$A:$AE,AT$5,0)),0,1/VLOOKUP($N253,Capa!$A:$AE,AT$5,0))))</f>
        <v/>
      </c>
      <c r="AU253" s="118" t="str">
        <f>IF(AU$6="","",IF(AU$3="Maior",IFERROR(IF(VLOOKUP($N253,Capa!$A:$AE,AU$5,0)="",0,VLOOKUP($N253,Capa!$A:$AE,AU$5,0)),0),IF(ISERROR(1/VLOOKUP($N253,Capa!$A:$AE,AU$5,0)),0,1/VLOOKUP($N253,Capa!$A:$AE,AU$5,0))))</f>
        <v/>
      </c>
      <c r="AV253" s="118" t="str">
        <f>IF(AV$6="","",IF(AV$3="Maior",IFERROR(IF(VLOOKUP($N253,Capa!$A:$AE,AV$5,0)="",0,VLOOKUP($N253,Capa!$A:$AE,AV$5,0)),0),IF(ISERROR(1/VLOOKUP($N253,Capa!$A:$AE,AV$5,0)),0,1/VLOOKUP($N253,Capa!$A:$AE,AV$5,0))))</f>
        <v/>
      </c>
      <c r="AW253" s="118" t="str">
        <f>IF(AW$6="","",IF(AW$3="Maior",IFERROR(IF(VLOOKUP($N253,Capa!$A:$AE,AW$5,0)="",0,VLOOKUP($N253,Capa!$A:$AE,AW$5,0)),0),IF(ISERROR(1/VLOOKUP($N253,Capa!$A:$AE,AW$5,0)),0,1/VLOOKUP($N253,Capa!$A:$AE,AW$5,0))))</f>
        <v/>
      </c>
      <c r="AX253" s="118" t="str">
        <f>IF(AX$6="","",IF(AX$3="Maior",IFERROR(IF(VLOOKUP($N253,Capa!$A:$AE,AX$5,0)="",0,VLOOKUP($N253,Capa!$A:$AE,AX$5,0)),0),IF(ISERROR(1/VLOOKUP($N253,Capa!$A:$AE,AX$5,0)),0,1/VLOOKUP($N253,Capa!$A:$AE,AX$5,0))))</f>
        <v/>
      </c>
      <c r="AY253" s="118" t="str">
        <f>IF(AY$6="","",IF(AY$3="Maior",IFERROR(IF(VLOOKUP($N253,Capa!$A:$AE,AY$5,0)="",0,VLOOKUP($N253,Capa!$A:$AE,AY$5,0)),0),IF(ISERROR(1/VLOOKUP($N253,Capa!$A:$AE,AY$5,0)),0,1/VLOOKUP($N253,Capa!$A:$AE,AY$5,0))))</f>
        <v/>
      </c>
      <c r="AZ253" s="118" t="str">
        <f>IF(AZ$6="","",IF(AZ$3="Maior",IFERROR(IF(VLOOKUP($N253,Capa!$A:$AE,AZ$5,0)="",0,VLOOKUP($N253,Capa!$A:$AE,AZ$5,0)),0),IF(ISERROR(1/VLOOKUP($N253,Capa!$A:$AE,AZ$5,0)),0,1/VLOOKUP($N253,Capa!$A:$AE,AZ$5,0))))</f>
        <v/>
      </c>
      <c r="BA253" s="118" t="str">
        <f>IF(BA$6="","",IF(BA$3="Maior",IFERROR(IF(VLOOKUP($N253,Capa!$A:$AE,BA$5,0)="",0,VLOOKUP($N253,Capa!$A:$AE,BA$5,0)),0),IF(ISERROR(1/VLOOKUP($N253,Capa!$A:$AE,BA$5,0)),0,1/VLOOKUP($N253,Capa!$A:$AE,BA$5,0))))</f>
        <v/>
      </c>
      <c r="BB253" s="118" t="str">
        <f>IF(BB$6="","",IF(BB$3="Maior",IFERROR(IF(VLOOKUP($N253,Capa!$A:$AE,BB$5,0)="",0,VLOOKUP($N253,Capa!$A:$AE,BB$5,0)),0),IF(ISERROR(1/VLOOKUP($N253,Capa!$A:$AE,BB$5,0)),0,1/VLOOKUP($N253,Capa!$A:$AE,BB$5,0))))</f>
        <v/>
      </c>
      <c r="BC253" s="118" t="str">
        <f>IF(BC$6="","",IF(BC$3="Maior",IFERROR(IF(VLOOKUP($N253,Capa!$A:$AE,BC$5,0)="",0,VLOOKUP($N253,Capa!$A:$AE,BC$5,0)),0),IF(ISERROR(1/VLOOKUP($N253,Capa!$A:$AE,BC$5,0)),0,1/VLOOKUP($N253,Capa!$A:$AE,BC$5,0))))</f>
        <v/>
      </c>
      <c r="BD253" s="118" t="str">
        <f>IF(BD$6="","",IF(BD$3="Maior",IFERROR(IF(VLOOKUP($N253,Capa!$A:$AE,BD$5,0)="",0,VLOOKUP($N253,Capa!$A:$AE,BD$5,0)),0),IF(ISERROR(1/VLOOKUP($N253,Capa!$A:$AE,BD$5,0)),0,1/VLOOKUP($N253,Capa!$A:$AE,BD$5,0))))</f>
        <v/>
      </c>
      <c r="BE253" s="118" t="str">
        <f>IF(BE$6="","",IF(BE$3="Maior",IFERROR(IF(VLOOKUP($N253,Capa!$A:$AE,BE$5,0)="",0,VLOOKUP($N253,Capa!$A:$AE,BE$5,0)),0),IF(ISERROR(1/VLOOKUP($N253,Capa!$A:$AE,BE$5,0)),0,1/VLOOKUP($N253,Capa!$A:$AE,BE$5,0))))</f>
        <v/>
      </c>
      <c r="BF253" s="118" t="str">
        <f>IF(BF$6="","",IF(BF$3="Maior",IFERROR(IF(VLOOKUP($N253,Capa!$A:$AE,BF$5,0)="",0,VLOOKUP($N253,Capa!$A:$AE,BF$5,0)),0),IF(ISERROR(1/VLOOKUP($N253,Capa!$A:$AE,BF$5,0)),0,1/VLOOKUP($N253,Capa!$A:$AE,BF$5,0))))</f>
        <v/>
      </c>
      <c r="BG253" s="118" t="str">
        <f>IF(BG$6="","",IF(BG$3="Maior",IFERROR(IF(VLOOKUP($N253,Capa!$A:$AE,BG$5,0)="",0,VLOOKUP($N253,Capa!$A:$AE,BG$5,0)),0),IF(ISERROR(1/VLOOKUP($N253,Capa!$A:$AE,BG$5,0)),0,1/VLOOKUP($N253,Capa!$A:$AE,BG$5,0))))</f>
        <v/>
      </c>
      <c r="BH253" s="118" t="str">
        <f>IF(BH$6="","",IF(BH$3="Maior",IFERROR(IF(VLOOKUP($N253,Capa!$A:$AE,BH$5,0)="",0,VLOOKUP($N253,Capa!$A:$AE,BH$5,0)),0),IF(ISERROR(1/VLOOKUP($N253,Capa!$A:$AE,BH$5,0)),0,1/VLOOKUP($N253,Capa!$A:$AE,BH$5,0))))</f>
        <v/>
      </c>
      <c r="BI253" s="118" t="str">
        <f>IF(BI$6="","",IF(BI$3="Maior",IFERROR(IF(VLOOKUP($N253,Capa!$A:$AE,BI$5,0)="",0,VLOOKUP($N253,Capa!$A:$AE,BI$5,0)),0),IF(ISERROR(1/VLOOKUP($N253,Capa!$A:$AE,BI$5,0)),0,1/VLOOKUP($N253,Capa!$A:$AE,BI$5,0))))</f>
        <v/>
      </c>
      <c r="BJ253" s="118" t="str">
        <f>IF(BJ$6="","",IF(BJ$3="Maior",IFERROR(IF(VLOOKUP($N253,Capa!$A:$AE,BJ$5,0)="",0,VLOOKUP($N253,Capa!$A:$AE,BJ$5,0)),0),IF(ISERROR(1/VLOOKUP($N253,Capa!$A:$AE,BJ$5,0)),0,1/VLOOKUP($N253,Capa!$A:$AE,BJ$5,0))))</f>
        <v/>
      </c>
      <c r="BK253" s="118" t="str">
        <f>IF(BK$6="","",IF(BK$3="Maior",IFERROR(IF(VLOOKUP($N253,Capa!$A:$AE,BK$5,0)="",0,VLOOKUP($N253,Capa!$A:$AE,BK$5,0)),0),IF(ISERROR(1/VLOOKUP($N253,Capa!$A:$AE,BK$5,0)),0,1/VLOOKUP($N253,Capa!$A:$AE,BK$5,0))))</f>
        <v/>
      </c>
      <c r="BL253" s="118" t="str">
        <f>IF(BL$6="","",IF(BL$3="Maior",IFERROR(IF(VLOOKUP($N253,Capa!$A:$AE,BL$5,0)="",0,VLOOKUP($N253,Capa!$A:$AE,BL$5,0)),0),IF(ISERROR(1/VLOOKUP($N253,Capa!$A:$AE,BL$5,0)),0,1/VLOOKUP($N253,Capa!$A:$AE,BL$5,0))))</f>
        <v/>
      </c>
      <c r="BM253" s="118" t="str">
        <f>IF(BM$6="","",IF(BM$3="Maior",IFERROR(IF(VLOOKUP($N253,Capa!$A:$AE,BM$5,0)="",0,VLOOKUP($N253,Capa!$A:$AE,BM$5,0)),0),IF(ISERROR(1/VLOOKUP($N253,Capa!$A:$AE,BM$5,0)),0,1/VLOOKUP($N253,Capa!$A:$AE,BM$5,0))))</f>
        <v/>
      </c>
      <c r="BN253" s="118" t="str">
        <f>IF(BN$6="","",IF(BN$3="Maior",IFERROR(IF(VLOOKUP($N253,Capa!$A:$AE,BN$5,0)="",0,VLOOKUP($N253,Capa!$A:$AE,BN$5,0)),0),IF(ISERROR(1/VLOOKUP($N253,Capa!$A:$AE,BN$5,0)),0,1/VLOOKUP($N253,Capa!$A:$AE,BN$5,0))))</f>
        <v/>
      </c>
      <c r="BO253" s="92"/>
    </row>
    <row r="254">
      <c r="G254" s="11"/>
      <c r="H254" s="11"/>
      <c r="I254" s="8"/>
      <c r="J254" s="132"/>
      <c r="K254" s="11"/>
      <c r="L254" s="11"/>
      <c r="M254" s="11"/>
      <c r="N254" s="10" t="s">
        <v>300</v>
      </c>
      <c r="O254" s="113">
        <f t="shared" si="8"/>
        <v>1901.0448</v>
      </c>
      <c r="P254" s="114">
        <f>VLOOKUP(N254,'Dados StatusInvest'!A:Z,26,0)</f>
        <v>2983329.17</v>
      </c>
      <c r="Q254" s="115">
        <f t="shared" si="9"/>
        <v>448.0448</v>
      </c>
      <c r="R254" s="116">
        <f t="shared" ref="R254:AO254" si="257">IF(AQ254="","", RANK(AQ254,AQ$7:AQ$503,0))</f>
        <v>234</v>
      </c>
      <c r="S254" s="115">
        <f t="shared" si="257"/>
        <v>219</v>
      </c>
      <c r="T254" s="115" t="str">
        <f t="shared" si="257"/>
        <v/>
      </c>
      <c r="U254" s="115" t="str">
        <f t="shared" si="257"/>
        <v/>
      </c>
      <c r="V254" s="115" t="str">
        <f t="shared" si="257"/>
        <v/>
      </c>
      <c r="W254" s="115" t="str">
        <f t="shared" si="257"/>
        <v/>
      </c>
      <c r="X254" s="115" t="str">
        <f t="shared" si="257"/>
        <v/>
      </c>
      <c r="Y254" s="115" t="str">
        <f t="shared" si="257"/>
        <v/>
      </c>
      <c r="Z254" s="115" t="str">
        <f t="shared" si="257"/>
        <v/>
      </c>
      <c r="AA254" s="115" t="str">
        <f t="shared" si="257"/>
        <v/>
      </c>
      <c r="AB254" s="115" t="str">
        <f t="shared" si="257"/>
        <v/>
      </c>
      <c r="AC254" s="115" t="str">
        <f t="shared" si="257"/>
        <v/>
      </c>
      <c r="AD254" s="115" t="str">
        <f t="shared" si="257"/>
        <v/>
      </c>
      <c r="AE254" s="115" t="str">
        <f t="shared" si="257"/>
        <v/>
      </c>
      <c r="AF254" s="115" t="str">
        <f t="shared" si="257"/>
        <v/>
      </c>
      <c r="AG254" s="115" t="str">
        <f t="shared" si="257"/>
        <v/>
      </c>
      <c r="AH254" s="115" t="str">
        <f t="shared" si="257"/>
        <v/>
      </c>
      <c r="AI254" s="115" t="str">
        <f t="shared" si="257"/>
        <v/>
      </c>
      <c r="AJ254" s="115" t="str">
        <f t="shared" si="257"/>
        <v/>
      </c>
      <c r="AK254" s="115" t="str">
        <f t="shared" si="257"/>
        <v/>
      </c>
      <c r="AL254" s="115" t="str">
        <f t="shared" si="257"/>
        <v/>
      </c>
      <c r="AM254" s="115" t="str">
        <f t="shared" si="257"/>
        <v/>
      </c>
      <c r="AN254" s="115" t="str">
        <f t="shared" si="257"/>
        <v/>
      </c>
      <c r="AO254" s="115" t="str">
        <f t="shared" si="257"/>
        <v/>
      </c>
      <c r="AP254" s="117">
        <f>IF(AP$6="","",IF(AP$3="Maior",IFERROR(IF(VLOOKUP($N254,Capa!$A:$AE,AP$5,0)="",0,VLOOKUP($N254,Capa!$A:$AE,AP$5,0)),0),IF(ISERROR(1/VLOOKUP($N254,Capa!$A:$AE,AP$5,0)),0,1/VLOOKUP($N254,Capa!$A:$AE,AP$5,0))))</f>
        <v>-0.1186204877</v>
      </c>
      <c r="AQ254" s="118">
        <f>IF(AQ$6="","",IF(AQ$3="Maior",IFERROR(IF(VLOOKUP($N254,Capa!$A:$AE,AQ$5,0)="",0,VLOOKUP($N254,Capa!$A:$AE,AQ$5,0)),0),IF(ISERROR(1/VLOOKUP($N254,Capa!$A:$AE,AQ$5,0)),0,1/VLOOKUP($N254,Capa!$A:$AE,AQ$5,0))))</f>
        <v>9.26</v>
      </c>
      <c r="AR254" s="118">
        <f>IF(AR$6="","",IF(AR$3="Maior",IFERROR(IF(VLOOKUP($N254,Capa!$A:$AE,AR$5,0)="",0,VLOOKUP($N254,Capa!$A:$AE,AR$5,0)),0),IF(ISERROR(1/VLOOKUP($N254,Capa!$A:$AE,AR$5,0)),0,1/VLOOKUP($N254,Capa!$A:$AE,AR$5,0))))</f>
        <v>0</v>
      </c>
      <c r="AS254" s="118" t="str">
        <f>IF(AS$6="","",IF(AS$3="Maior",IFERROR(IF(VLOOKUP($N254,Capa!$A:$AE,AS$5,0)="",0,VLOOKUP($N254,Capa!$A:$AE,AS$5,0)),0),IF(ISERROR(1/VLOOKUP($N254,Capa!$A:$AE,AS$5,0)),0,1/VLOOKUP($N254,Capa!$A:$AE,AS$5,0))))</f>
        <v/>
      </c>
      <c r="AT254" s="118" t="str">
        <f>IF(AT$6="","",IF(AT$3="Maior",IFERROR(IF(VLOOKUP($N254,Capa!$A:$AE,AT$5,0)="",0,VLOOKUP($N254,Capa!$A:$AE,AT$5,0)),0),IF(ISERROR(1/VLOOKUP($N254,Capa!$A:$AE,AT$5,0)),0,1/VLOOKUP($N254,Capa!$A:$AE,AT$5,0))))</f>
        <v/>
      </c>
      <c r="AU254" s="118" t="str">
        <f>IF(AU$6="","",IF(AU$3="Maior",IFERROR(IF(VLOOKUP($N254,Capa!$A:$AE,AU$5,0)="",0,VLOOKUP($N254,Capa!$A:$AE,AU$5,0)),0),IF(ISERROR(1/VLOOKUP($N254,Capa!$A:$AE,AU$5,0)),0,1/VLOOKUP($N254,Capa!$A:$AE,AU$5,0))))</f>
        <v/>
      </c>
      <c r="AV254" s="118" t="str">
        <f>IF(AV$6="","",IF(AV$3="Maior",IFERROR(IF(VLOOKUP($N254,Capa!$A:$AE,AV$5,0)="",0,VLOOKUP($N254,Capa!$A:$AE,AV$5,0)),0),IF(ISERROR(1/VLOOKUP($N254,Capa!$A:$AE,AV$5,0)),0,1/VLOOKUP($N254,Capa!$A:$AE,AV$5,0))))</f>
        <v/>
      </c>
      <c r="AW254" s="118" t="str">
        <f>IF(AW$6="","",IF(AW$3="Maior",IFERROR(IF(VLOOKUP($N254,Capa!$A:$AE,AW$5,0)="",0,VLOOKUP($N254,Capa!$A:$AE,AW$5,0)),0),IF(ISERROR(1/VLOOKUP($N254,Capa!$A:$AE,AW$5,0)),0,1/VLOOKUP($N254,Capa!$A:$AE,AW$5,0))))</f>
        <v/>
      </c>
      <c r="AX254" s="118" t="str">
        <f>IF(AX$6="","",IF(AX$3="Maior",IFERROR(IF(VLOOKUP($N254,Capa!$A:$AE,AX$5,0)="",0,VLOOKUP($N254,Capa!$A:$AE,AX$5,0)),0),IF(ISERROR(1/VLOOKUP($N254,Capa!$A:$AE,AX$5,0)),0,1/VLOOKUP($N254,Capa!$A:$AE,AX$5,0))))</f>
        <v/>
      </c>
      <c r="AY254" s="118" t="str">
        <f>IF(AY$6="","",IF(AY$3="Maior",IFERROR(IF(VLOOKUP($N254,Capa!$A:$AE,AY$5,0)="",0,VLOOKUP($N254,Capa!$A:$AE,AY$5,0)),0),IF(ISERROR(1/VLOOKUP($N254,Capa!$A:$AE,AY$5,0)),0,1/VLOOKUP($N254,Capa!$A:$AE,AY$5,0))))</f>
        <v/>
      </c>
      <c r="AZ254" s="118" t="str">
        <f>IF(AZ$6="","",IF(AZ$3="Maior",IFERROR(IF(VLOOKUP($N254,Capa!$A:$AE,AZ$5,0)="",0,VLOOKUP($N254,Capa!$A:$AE,AZ$5,0)),0),IF(ISERROR(1/VLOOKUP($N254,Capa!$A:$AE,AZ$5,0)),0,1/VLOOKUP($N254,Capa!$A:$AE,AZ$5,0))))</f>
        <v/>
      </c>
      <c r="BA254" s="118" t="str">
        <f>IF(BA$6="","",IF(BA$3="Maior",IFERROR(IF(VLOOKUP($N254,Capa!$A:$AE,BA$5,0)="",0,VLOOKUP($N254,Capa!$A:$AE,BA$5,0)),0),IF(ISERROR(1/VLOOKUP($N254,Capa!$A:$AE,BA$5,0)),0,1/VLOOKUP($N254,Capa!$A:$AE,BA$5,0))))</f>
        <v/>
      </c>
      <c r="BB254" s="118" t="str">
        <f>IF(BB$6="","",IF(BB$3="Maior",IFERROR(IF(VLOOKUP($N254,Capa!$A:$AE,BB$5,0)="",0,VLOOKUP($N254,Capa!$A:$AE,BB$5,0)),0),IF(ISERROR(1/VLOOKUP($N254,Capa!$A:$AE,BB$5,0)),0,1/VLOOKUP($N254,Capa!$A:$AE,BB$5,0))))</f>
        <v/>
      </c>
      <c r="BC254" s="118" t="str">
        <f>IF(BC$6="","",IF(BC$3="Maior",IFERROR(IF(VLOOKUP($N254,Capa!$A:$AE,BC$5,0)="",0,VLOOKUP($N254,Capa!$A:$AE,BC$5,0)),0),IF(ISERROR(1/VLOOKUP($N254,Capa!$A:$AE,BC$5,0)),0,1/VLOOKUP($N254,Capa!$A:$AE,BC$5,0))))</f>
        <v/>
      </c>
      <c r="BD254" s="118" t="str">
        <f>IF(BD$6="","",IF(BD$3="Maior",IFERROR(IF(VLOOKUP($N254,Capa!$A:$AE,BD$5,0)="",0,VLOOKUP($N254,Capa!$A:$AE,BD$5,0)),0),IF(ISERROR(1/VLOOKUP($N254,Capa!$A:$AE,BD$5,0)),0,1/VLOOKUP($N254,Capa!$A:$AE,BD$5,0))))</f>
        <v/>
      </c>
      <c r="BE254" s="118" t="str">
        <f>IF(BE$6="","",IF(BE$3="Maior",IFERROR(IF(VLOOKUP($N254,Capa!$A:$AE,BE$5,0)="",0,VLOOKUP($N254,Capa!$A:$AE,BE$5,0)),0),IF(ISERROR(1/VLOOKUP($N254,Capa!$A:$AE,BE$5,0)),0,1/VLOOKUP($N254,Capa!$A:$AE,BE$5,0))))</f>
        <v/>
      </c>
      <c r="BF254" s="118" t="str">
        <f>IF(BF$6="","",IF(BF$3="Maior",IFERROR(IF(VLOOKUP($N254,Capa!$A:$AE,BF$5,0)="",0,VLOOKUP($N254,Capa!$A:$AE,BF$5,0)),0),IF(ISERROR(1/VLOOKUP($N254,Capa!$A:$AE,BF$5,0)),0,1/VLOOKUP($N254,Capa!$A:$AE,BF$5,0))))</f>
        <v/>
      </c>
      <c r="BG254" s="118" t="str">
        <f>IF(BG$6="","",IF(BG$3="Maior",IFERROR(IF(VLOOKUP($N254,Capa!$A:$AE,BG$5,0)="",0,VLOOKUP($N254,Capa!$A:$AE,BG$5,0)),0),IF(ISERROR(1/VLOOKUP($N254,Capa!$A:$AE,BG$5,0)),0,1/VLOOKUP($N254,Capa!$A:$AE,BG$5,0))))</f>
        <v/>
      </c>
      <c r="BH254" s="118" t="str">
        <f>IF(BH$6="","",IF(BH$3="Maior",IFERROR(IF(VLOOKUP($N254,Capa!$A:$AE,BH$5,0)="",0,VLOOKUP($N254,Capa!$A:$AE,BH$5,0)),0),IF(ISERROR(1/VLOOKUP($N254,Capa!$A:$AE,BH$5,0)),0,1/VLOOKUP($N254,Capa!$A:$AE,BH$5,0))))</f>
        <v/>
      </c>
      <c r="BI254" s="118" t="str">
        <f>IF(BI$6="","",IF(BI$3="Maior",IFERROR(IF(VLOOKUP($N254,Capa!$A:$AE,BI$5,0)="",0,VLOOKUP($N254,Capa!$A:$AE,BI$5,0)),0),IF(ISERROR(1/VLOOKUP($N254,Capa!$A:$AE,BI$5,0)),0,1/VLOOKUP($N254,Capa!$A:$AE,BI$5,0))))</f>
        <v/>
      </c>
      <c r="BJ254" s="118" t="str">
        <f>IF(BJ$6="","",IF(BJ$3="Maior",IFERROR(IF(VLOOKUP($N254,Capa!$A:$AE,BJ$5,0)="",0,VLOOKUP($N254,Capa!$A:$AE,BJ$5,0)),0),IF(ISERROR(1/VLOOKUP($N254,Capa!$A:$AE,BJ$5,0)),0,1/VLOOKUP($N254,Capa!$A:$AE,BJ$5,0))))</f>
        <v/>
      </c>
      <c r="BK254" s="118" t="str">
        <f>IF(BK$6="","",IF(BK$3="Maior",IFERROR(IF(VLOOKUP($N254,Capa!$A:$AE,BK$5,0)="",0,VLOOKUP($N254,Capa!$A:$AE,BK$5,0)),0),IF(ISERROR(1/VLOOKUP($N254,Capa!$A:$AE,BK$5,0)),0,1/VLOOKUP($N254,Capa!$A:$AE,BK$5,0))))</f>
        <v/>
      </c>
      <c r="BL254" s="118" t="str">
        <f>IF(BL$6="","",IF(BL$3="Maior",IFERROR(IF(VLOOKUP($N254,Capa!$A:$AE,BL$5,0)="",0,VLOOKUP($N254,Capa!$A:$AE,BL$5,0)),0),IF(ISERROR(1/VLOOKUP($N254,Capa!$A:$AE,BL$5,0)),0,1/VLOOKUP($N254,Capa!$A:$AE,BL$5,0))))</f>
        <v/>
      </c>
      <c r="BM254" s="118" t="str">
        <f>IF(BM$6="","",IF(BM$3="Maior",IFERROR(IF(VLOOKUP($N254,Capa!$A:$AE,BM$5,0)="",0,VLOOKUP($N254,Capa!$A:$AE,BM$5,0)),0),IF(ISERROR(1/VLOOKUP($N254,Capa!$A:$AE,BM$5,0)),0,1/VLOOKUP($N254,Capa!$A:$AE,BM$5,0))))</f>
        <v/>
      </c>
      <c r="BN254" s="118" t="str">
        <f>IF(BN$6="","",IF(BN$3="Maior",IFERROR(IF(VLOOKUP($N254,Capa!$A:$AE,BN$5,0)="",0,VLOOKUP($N254,Capa!$A:$AE,BN$5,0)),0),IF(ISERROR(1/VLOOKUP($N254,Capa!$A:$AE,BN$5,0)),0,1/VLOOKUP($N254,Capa!$A:$AE,BN$5,0))))</f>
        <v/>
      </c>
      <c r="BO254" s="92"/>
    </row>
    <row r="255">
      <c r="G255" s="11"/>
      <c r="H255" s="11"/>
      <c r="I255" s="8"/>
      <c r="J255" s="132"/>
      <c r="K255" s="11"/>
      <c r="L255" s="11"/>
      <c r="M255" s="11"/>
      <c r="N255" s="10" t="s">
        <v>301</v>
      </c>
      <c r="O255" s="113">
        <f t="shared" si="8"/>
        <v>1673.0352</v>
      </c>
      <c r="P255" s="114">
        <f>VLOOKUP(N255,'Dados StatusInvest'!A:Z,26,0)</f>
        <v>2915091.58</v>
      </c>
      <c r="Q255" s="115">
        <f t="shared" si="9"/>
        <v>352.0352</v>
      </c>
      <c r="R255" s="116">
        <f t="shared" ref="R255:AO255" si="258">IF(AQ255="","", RANK(AQ255,AQ$7:AQ$503,0))</f>
        <v>102</v>
      </c>
      <c r="S255" s="115">
        <f t="shared" si="258"/>
        <v>219</v>
      </c>
      <c r="T255" s="115" t="str">
        <f t="shared" si="258"/>
        <v/>
      </c>
      <c r="U255" s="115" t="str">
        <f t="shared" si="258"/>
        <v/>
      </c>
      <c r="V255" s="115" t="str">
        <f t="shared" si="258"/>
        <v/>
      </c>
      <c r="W255" s="115" t="str">
        <f t="shared" si="258"/>
        <v/>
      </c>
      <c r="X255" s="115" t="str">
        <f t="shared" si="258"/>
        <v/>
      </c>
      <c r="Y255" s="115" t="str">
        <f t="shared" si="258"/>
        <v/>
      </c>
      <c r="Z255" s="115" t="str">
        <f t="shared" si="258"/>
        <v/>
      </c>
      <c r="AA255" s="115" t="str">
        <f t="shared" si="258"/>
        <v/>
      </c>
      <c r="AB255" s="115" t="str">
        <f t="shared" si="258"/>
        <v/>
      </c>
      <c r="AC255" s="115" t="str">
        <f t="shared" si="258"/>
        <v/>
      </c>
      <c r="AD255" s="115" t="str">
        <f t="shared" si="258"/>
        <v/>
      </c>
      <c r="AE255" s="115" t="str">
        <f t="shared" si="258"/>
        <v/>
      </c>
      <c r="AF255" s="115" t="str">
        <f t="shared" si="258"/>
        <v/>
      </c>
      <c r="AG255" s="115" t="str">
        <f t="shared" si="258"/>
        <v/>
      </c>
      <c r="AH255" s="115" t="str">
        <f t="shared" si="258"/>
        <v/>
      </c>
      <c r="AI255" s="115" t="str">
        <f t="shared" si="258"/>
        <v/>
      </c>
      <c r="AJ255" s="115" t="str">
        <f t="shared" si="258"/>
        <v/>
      </c>
      <c r="AK255" s="115" t="str">
        <f t="shared" si="258"/>
        <v/>
      </c>
      <c r="AL255" s="115" t="str">
        <f t="shared" si="258"/>
        <v/>
      </c>
      <c r="AM255" s="115" t="str">
        <f t="shared" si="258"/>
        <v/>
      </c>
      <c r="AN255" s="115" t="str">
        <f t="shared" si="258"/>
        <v/>
      </c>
      <c r="AO255" s="115" t="str">
        <f t="shared" si="258"/>
        <v/>
      </c>
      <c r="AP255" s="117">
        <f>IF(AP$6="","",IF(AP$3="Maior",IFERROR(IF(VLOOKUP($N255,Capa!$A:$AE,AP$5,0)="",0,VLOOKUP($N255,Capa!$A:$AE,AP$5,0)),0),IF(ISERROR(1/VLOOKUP($N255,Capa!$A:$AE,AP$5,0)),0,1/VLOOKUP($N255,Capa!$A:$AE,AP$5,0))))</f>
        <v>0.0306860632</v>
      </c>
      <c r="AQ255" s="118">
        <f>IF(AQ$6="","",IF(AQ$3="Maior",IFERROR(IF(VLOOKUP($N255,Capa!$A:$AE,AQ$5,0)="",0,VLOOKUP($N255,Capa!$A:$AE,AQ$5,0)),0),IF(ISERROR(1/VLOOKUP($N255,Capa!$A:$AE,AQ$5,0)),0,1/VLOOKUP($N255,Capa!$A:$AE,AQ$5,0))))</f>
        <v>17.65</v>
      </c>
      <c r="AR255" s="118">
        <f>IF(AR$6="","",IF(AR$3="Maior",IFERROR(IF(VLOOKUP($N255,Capa!$A:$AE,AR$5,0)="",0,VLOOKUP($N255,Capa!$A:$AE,AR$5,0)),0),IF(ISERROR(1/VLOOKUP($N255,Capa!$A:$AE,AR$5,0)),0,1/VLOOKUP($N255,Capa!$A:$AE,AR$5,0))))</f>
        <v>0</v>
      </c>
      <c r="AS255" s="118" t="str">
        <f>IF(AS$6="","",IF(AS$3="Maior",IFERROR(IF(VLOOKUP($N255,Capa!$A:$AE,AS$5,0)="",0,VLOOKUP($N255,Capa!$A:$AE,AS$5,0)),0),IF(ISERROR(1/VLOOKUP($N255,Capa!$A:$AE,AS$5,0)),0,1/VLOOKUP($N255,Capa!$A:$AE,AS$5,0))))</f>
        <v/>
      </c>
      <c r="AT255" s="118" t="str">
        <f>IF(AT$6="","",IF(AT$3="Maior",IFERROR(IF(VLOOKUP($N255,Capa!$A:$AE,AT$5,0)="",0,VLOOKUP($N255,Capa!$A:$AE,AT$5,0)),0),IF(ISERROR(1/VLOOKUP($N255,Capa!$A:$AE,AT$5,0)),0,1/VLOOKUP($N255,Capa!$A:$AE,AT$5,0))))</f>
        <v/>
      </c>
      <c r="AU255" s="118" t="str">
        <f>IF(AU$6="","",IF(AU$3="Maior",IFERROR(IF(VLOOKUP($N255,Capa!$A:$AE,AU$5,0)="",0,VLOOKUP($N255,Capa!$A:$AE,AU$5,0)),0),IF(ISERROR(1/VLOOKUP($N255,Capa!$A:$AE,AU$5,0)),0,1/VLOOKUP($N255,Capa!$A:$AE,AU$5,0))))</f>
        <v/>
      </c>
      <c r="AV255" s="118" t="str">
        <f>IF(AV$6="","",IF(AV$3="Maior",IFERROR(IF(VLOOKUP($N255,Capa!$A:$AE,AV$5,0)="",0,VLOOKUP($N255,Capa!$A:$AE,AV$5,0)),0),IF(ISERROR(1/VLOOKUP($N255,Capa!$A:$AE,AV$5,0)),0,1/VLOOKUP($N255,Capa!$A:$AE,AV$5,0))))</f>
        <v/>
      </c>
      <c r="AW255" s="118" t="str">
        <f>IF(AW$6="","",IF(AW$3="Maior",IFERROR(IF(VLOOKUP($N255,Capa!$A:$AE,AW$5,0)="",0,VLOOKUP($N255,Capa!$A:$AE,AW$5,0)),0),IF(ISERROR(1/VLOOKUP($N255,Capa!$A:$AE,AW$5,0)),0,1/VLOOKUP($N255,Capa!$A:$AE,AW$5,0))))</f>
        <v/>
      </c>
      <c r="AX255" s="118" t="str">
        <f>IF(AX$6="","",IF(AX$3="Maior",IFERROR(IF(VLOOKUP($N255,Capa!$A:$AE,AX$5,0)="",0,VLOOKUP($N255,Capa!$A:$AE,AX$5,0)),0),IF(ISERROR(1/VLOOKUP($N255,Capa!$A:$AE,AX$5,0)),0,1/VLOOKUP($N255,Capa!$A:$AE,AX$5,0))))</f>
        <v/>
      </c>
      <c r="AY255" s="118" t="str">
        <f>IF(AY$6="","",IF(AY$3="Maior",IFERROR(IF(VLOOKUP($N255,Capa!$A:$AE,AY$5,0)="",0,VLOOKUP($N255,Capa!$A:$AE,AY$5,0)),0),IF(ISERROR(1/VLOOKUP($N255,Capa!$A:$AE,AY$5,0)),0,1/VLOOKUP($N255,Capa!$A:$AE,AY$5,0))))</f>
        <v/>
      </c>
      <c r="AZ255" s="118" t="str">
        <f>IF(AZ$6="","",IF(AZ$3="Maior",IFERROR(IF(VLOOKUP($N255,Capa!$A:$AE,AZ$5,0)="",0,VLOOKUP($N255,Capa!$A:$AE,AZ$5,0)),0),IF(ISERROR(1/VLOOKUP($N255,Capa!$A:$AE,AZ$5,0)),0,1/VLOOKUP($N255,Capa!$A:$AE,AZ$5,0))))</f>
        <v/>
      </c>
      <c r="BA255" s="118" t="str">
        <f>IF(BA$6="","",IF(BA$3="Maior",IFERROR(IF(VLOOKUP($N255,Capa!$A:$AE,BA$5,0)="",0,VLOOKUP($N255,Capa!$A:$AE,BA$5,0)),0),IF(ISERROR(1/VLOOKUP($N255,Capa!$A:$AE,BA$5,0)),0,1/VLOOKUP($N255,Capa!$A:$AE,BA$5,0))))</f>
        <v/>
      </c>
      <c r="BB255" s="118" t="str">
        <f>IF(BB$6="","",IF(BB$3="Maior",IFERROR(IF(VLOOKUP($N255,Capa!$A:$AE,BB$5,0)="",0,VLOOKUP($N255,Capa!$A:$AE,BB$5,0)),0),IF(ISERROR(1/VLOOKUP($N255,Capa!$A:$AE,BB$5,0)),0,1/VLOOKUP($N255,Capa!$A:$AE,BB$5,0))))</f>
        <v/>
      </c>
      <c r="BC255" s="118" t="str">
        <f>IF(BC$6="","",IF(BC$3="Maior",IFERROR(IF(VLOOKUP($N255,Capa!$A:$AE,BC$5,0)="",0,VLOOKUP($N255,Capa!$A:$AE,BC$5,0)),0),IF(ISERROR(1/VLOOKUP($N255,Capa!$A:$AE,BC$5,0)),0,1/VLOOKUP($N255,Capa!$A:$AE,BC$5,0))))</f>
        <v/>
      </c>
      <c r="BD255" s="118" t="str">
        <f>IF(BD$6="","",IF(BD$3="Maior",IFERROR(IF(VLOOKUP($N255,Capa!$A:$AE,BD$5,0)="",0,VLOOKUP($N255,Capa!$A:$AE,BD$5,0)),0),IF(ISERROR(1/VLOOKUP($N255,Capa!$A:$AE,BD$5,0)),0,1/VLOOKUP($N255,Capa!$A:$AE,BD$5,0))))</f>
        <v/>
      </c>
      <c r="BE255" s="118" t="str">
        <f>IF(BE$6="","",IF(BE$3="Maior",IFERROR(IF(VLOOKUP($N255,Capa!$A:$AE,BE$5,0)="",0,VLOOKUP($N255,Capa!$A:$AE,BE$5,0)),0),IF(ISERROR(1/VLOOKUP($N255,Capa!$A:$AE,BE$5,0)),0,1/VLOOKUP($N255,Capa!$A:$AE,BE$5,0))))</f>
        <v/>
      </c>
      <c r="BF255" s="118" t="str">
        <f>IF(BF$6="","",IF(BF$3="Maior",IFERROR(IF(VLOOKUP($N255,Capa!$A:$AE,BF$5,0)="",0,VLOOKUP($N255,Capa!$A:$AE,BF$5,0)),0),IF(ISERROR(1/VLOOKUP($N255,Capa!$A:$AE,BF$5,0)),0,1/VLOOKUP($N255,Capa!$A:$AE,BF$5,0))))</f>
        <v/>
      </c>
      <c r="BG255" s="118" t="str">
        <f>IF(BG$6="","",IF(BG$3="Maior",IFERROR(IF(VLOOKUP($N255,Capa!$A:$AE,BG$5,0)="",0,VLOOKUP($N255,Capa!$A:$AE,BG$5,0)),0),IF(ISERROR(1/VLOOKUP($N255,Capa!$A:$AE,BG$5,0)),0,1/VLOOKUP($N255,Capa!$A:$AE,BG$5,0))))</f>
        <v/>
      </c>
      <c r="BH255" s="118" t="str">
        <f>IF(BH$6="","",IF(BH$3="Maior",IFERROR(IF(VLOOKUP($N255,Capa!$A:$AE,BH$5,0)="",0,VLOOKUP($N255,Capa!$A:$AE,BH$5,0)),0),IF(ISERROR(1/VLOOKUP($N255,Capa!$A:$AE,BH$5,0)),0,1/VLOOKUP($N255,Capa!$A:$AE,BH$5,0))))</f>
        <v/>
      </c>
      <c r="BI255" s="118" t="str">
        <f>IF(BI$6="","",IF(BI$3="Maior",IFERROR(IF(VLOOKUP($N255,Capa!$A:$AE,BI$5,0)="",0,VLOOKUP($N255,Capa!$A:$AE,BI$5,0)),0),IF(ISERROR(1/VLOOKUP($N255,Capa!$A:$AE,BI$5,0)),0,1/VLOOKUP($N255,Capa!$A:$AE,BI$5,0))))</f>
        <v/>
      </c>
      <c r="BJ255" s="118" t="str">
        <f>IF(BJ$6="","",IF(BJ$3="Maior",IFERROR(IF(VLOOKUP($N255,Capa!$A:$AE,BJ$5,0)="",0,VLOOKUP($N255,Capa!$A:$AE,BJ$5,0)),0),IF(ISERROR(1/VLOOKUP($N255,Capa!$A:$AE,BJ$5,0)),0,1/VLOOKUP($N255,Capa!$A:$AE,BJ$5,0))))</f>
        <v/>
      </c>
      <c r="BK255" s="118" t="str">
        <f>IF(BK$6="","",IF(BK$3="Maior",IFERROR(IF(VLOOKUP($N255,Capa!$A:$AE,BK$5,0)="",0,VLOOKUP($N255,Capa!$A:$AE,BK$5,0)),0),IF(ISERROR(1/VLOOKUP($N255,Capa!$A:$AE,BK$5,0)),0,1/VLOOKUP($N255,Capa!$A:$AE,BK$5,0))))</f>
        <v/>
      </c>
      <c r="BL255" s="118" t="str">
        <f>IF(BL$6="","",IF(BL$3="Maior",IFERROR(IF(VLOOKUP($N255,Capa!$A:$AE,BL$5,0)="",0,VLOOKUP($N255,Capa!$A:$AE,BL$5,0)),0),IF(ISERROR(1/VLOOKUP($N255,Capa!$A:$AE,BL$5,0)),0,1/VLOOKUP($N255,Capa!$A:$AE,BL$5,0))))</f>
        <v/>
      </c>
      <c r="BM255" s="118" t="str">
        <f>IF(BM$6="","",IF(BM$3="Maior",IFERROR(IF(VLOOKUP($N255,Capa!$A:$AE,BM$5,0)="",0,VLOOKUP($N255,Capa!$A:$AE,BM$5,0)),0),IF(ISERROR(1/VLOOKUP($N255,Capa!$A:$AE,BM$5,0)),0,1/VLOOKUP($N255,Capa!$A:$AE,BM$5,0))))</f>
        <v/>
      </c>
      <c r="BN255" s="118" t="str">
        <f>IF(BN$6="","",IF(BN$3="Maior",IFERROR(IF(VLOOKUP($N255,Capa!$A:$AE,BN$5,0)="",0,VLOOKUP($N255,Capa!$A:$AE,BN$5,0)),0),IF(ISERROR(1/VLOOKUP($N255,Capa!$A:$AE,BN$5,0)),0,1/VLOOKUP($N255,Capa!$A:$AE,BN$5,0))))</f>
        <v/>
      </c>
      <c r="BO255" s="92"/>
    </row>
    <row r="256">
      <c r="G256" s="11"/>
      <c r="H256" s="11"/>
      <c r="I256" s="8"/>
      <c r="J256" s="132"/>
      <c r="K256" s="11"/>
      <c r="L256" s="11"/>
      <c r="M256" s="11"/>
      <c r="N256" s="10" t="s">
        <v>302</v>
      </c>
      <c r="O256" s="113">
        <f t="shared" si="8"/>
        <v>2000.0406</v>
      </c>
      <c r="P256" s="114">
        <f>VLOOKUP(N256,'Dados StatusInvest'!A:Z,26,0)</f>
        <v>2727580.43</v>
      </c>
      <c r="Q256" s="115">
        <f t="shared" si="9"/>
        <v>406.0406</v>
      </c>
      <c r="R256" s="116">
        <f t="shared" ref="R256:AO256" si="259">IF(AQ256="","", RANK(AQ256,AQ$7:AQ$503,0))</f>
        <v>375</v>
      </c>
      <c r="S256" s="115">
        <f t="shared" si="259"/>
        <v>219</v>
      </c>
      <c r="T256" s="115" t="str">
        <f t="shared" si="259"/>
        <v/>
      </c>
      <c r="U256" s="115" t="str">
        <f t="shared" si="259"/>
        <v/>
      </c>
      <c r="V256" s="115" t="str">
        <f t="shared" si="259"/>
        <v/>
      </c>
      <c r="W256" s="115" t="str">
        <f t="shared" si="259"/>
        <v/>
      </c>
      <c r="X256" s="115" t="str">
        <f t="shared" si="259"/>
        <v/>
      </c>
      <c r="Y256" s="115" t="str">
        <f t="shared" si="259"/>
        <v/>
      </c>
      <c r="Z256" s="115" t="str">
        <f t="shared" si="259"/>
        <v/>
      </c>
      <c r="AA256" s="115" t="str">
        <f t="shared" si="259"/>
        <v/>
      </c>
      <c r="AB256" s="115" t="str">
        <f t="shared" si="259"/>
        <v/>
      </c>
      <c r="AC256" s="115" t="str">
        <f t="shared" si="259"/>
        <v/>
      </c>
      <c r="AD256" s="115" t="str">
        <f t="shared" si="259"/>
        <v/>
      </c>
      <c r="AE256" s="115" t="str">
        <f t="shared" si="259"/>
        <v/>
      </c>
      <c r="AF256" s="115" t="str">
        <f t="shared" si="259"/>
        <v/>
      </c>
      <c r="AG256" s="115" t="str">
        <f t="shared" si="259"/>
        <v/>
      </c>
      <c r="AH256" s="115" t="str">
        <f t="shared" si="259"/>
        <v/>
      </c>
      <c r="AI256" s="115" t="str">
        <f t="shared" si="259"/>
        <v/>
      </c>
      <c r="AJ256" s="115" t="str">
        <f t="shared" si="259"/>
        <v/>
      </c>
      <c r="AK256" s="115" t="str">
        <f t="shared" si="259"/>
        <v/>
      </c>
      <c r="AL256" s="115" t="str">
        <f t="shared" si="259"/>
        <v/>
      </c>
      <c r="AM256" s="115" t="str">
        <f t="shared" si="259"/>
        <v/>
      </c>
      <c r="AN256" s="115" t="str">
        <f t="shared" si="259"/>
        <v/>
      </c>
      <c r="AO256" s="115" t="str">
        <f t="shared" si="259"/>
        <v/>
      </c>
      <c r="AP256" s="117">
        <f>IF(AP$6="","",IF(AP$3="Maior",IFERROR(IF(VLOOKUP($N256,Capa!$A:$AE,AP$5,0)="",0,VLOOKUP($N256,Capa!$A:$AE,AP$5,0)),0),IF(ISERROR(1/VLOOKUP($N256,Capa!$A:$AE,AP$5,0)),0,1/VLOOKUP($N256,Capa!$A:$AE,AP$5,0))))</f>
        <v>0</v>
      </c>
      <c r="AQ256" s="118">
        <f>IF(AQ$6="","",IF(AQ$3="Maior",IFERROR(IF(VLOOKUP($N256,Capa!$A:$AE,AQ$5,0)="",0,VLOOKUP($N256,Capa!$A:$AE,AQ$5,0)),0),IF(ISERROR(1/VLOOKUP($N256,Capa!$A:$AE,AQ$5,0)),0,1/VLOOKUP($N256,Capa!$A:$AE,AQ$5,0))))</f>
        <v>0</v>
      </c>
      <c r="AR256" s="118">
        <f>IF(AR$6="","",IF(AR$3="Maior",IFERROR(IF(VLOOKUP($N256,Capa!$A:$AE,AR$5,0)="",0,VLOOKUP($N256,Capa!$A:$AE,AR$5,0)),0),IF(ISERROR(1/VLOOKUP($N256,Capa!$A:$AE,AR$5,0)),0,1/VLOOKUP($N256,Capa!$A:$AE,AR$5,0))))</f>
        <v>0</v>
      </c>
      <c r="AS256" s="118" t="str">
        <f>IF(AS$6="","",IF(AS$3="Maior",IFERROR(IF(VLOOKUP($N256,Capa!$A:$AE,AS$5,0)="",0,VLOOKUP($N256,Capa!$A:$AE,AS$5,0)),0),IF(ISERROR(1/VLOOKUP($N256,Capa!$A:$AE,AS$5,0)),0,1/VLOOKUP($N256,Capa!$A:$AE,AS$5,0))))</f>
        <v/>
      </c>
      <c r="AT256" s="118" t="str">
        <f>IF(AT$6="","",IF(AT$3="Maior",IFERROR(IF(VLOOKUP($N256,Capa!$A:$AE,AT$5,0)="",0,VLOOKUP($N256,Capa!$A:$AE,AT$5,0)),0),IF(ISERROR(1/VLOOKUP($N256,Capa!$A:$AE,AT$5,0)),0,1/VLOOKUP($N256,Capa!$A:$AE,AT$5,0))))</f>
        <v/>
      </c>
      <c r="AU256" s="118" t="str">
        <f>IF(AU$6="","",IF(AU$3="Maior",IFERROR(IF(VLOOKUP($N256,Capa!$A:$AE,AU$5,0)="",0,VLOOKUP($N256,Capa!$A:$AE,AU$5,0)),0),IF(ISERROR(1/VLOOKUP($N256,Capa!$A:$AE,AU$5,0)),0,1/VLOOKUP($N256,Capa!$A:$AE,AU$5,0))))</f>
        <v/>
      </c>
      <c r="AV256" s="118" t="str">
        <f>IF(AV$6="","",IF(AV$3="Maior",IFERROR(IF(VLOOKUP($N256,Capa!$A:$AE,AV$5,0)="",0,VLOOKUP($N256,Capa!$A:$AE,AV$5,0)),0),IF(ISERROR(1/VLOOKUP($N256,Capa!$A:$AE,AV$5,0)),0,1/VLOOKUP($N256,Capa!$A:$AE,AV$5,0))))</f>
        <v/>
      </c>
      <c r="AW256" s="118" t="str">
        <f>IF(AW$6="","",IF(AW$3="Maior",IFERROR(IF(VLOOKUP($N256,Capa!$A:$AE,AW$5,0)="",0,VLOOKUP($N256,Capa!$A:$AE,AW$5,0)),0),IF(ISERROR(1/VLOOKUP($N256,Capa!$A:$AE,AW$5,0)),0,1/VLOOKUP($N256,Capa!$A:$AE,AW$5,0))))</f>
        <v/>
      </c>
      <c r="AX256" s="118" t="str">
        <f>IF(AX$6="","",IF(AX$3="Maior",IFERROR(IF(VLOOKUP($N256,Capa!$A:$AE,AX$5,0)="",0,VLOOKUP($N256,Capa!$A:$AE,AX$5,0)),0),IF(ISERROR(1/VLOOKUP($N256,Capa!$A:$AE,AX$5,0)),0,1/VLOOKUP($N256,Capa!$A:$AE,AX$5,0))))</f>
        <v/>
      </c>
      <c r="AY256" s="118" t="str">
        <f>IF(AY$6="","",IF(AY$3="Maior",IFERROR(IF(VLOOKUP($N256,Capa!$A:$AE,AY$5,0)="",0,VLOOKUP($N256,Capa!$A:$AE,AY$5,0)),0),IF(ISERROR(1/VLOOKUP($N256,Capa!$A:$AE,AY$5,0)),0,1/VLOOKUP($N256,Capa!$A:$AE,AY$5,0))))</f>
        <v/>
      </c>
      <c r="AZ256" s="118" t="str">
        <f>IF(AZ$6="","",IF(AZ$3="Maior",IFERROR(IF(VLOOKUP($N256,Capa!$A:$AE,AZ$5,0)="",0,VLOOKUP($N256,Capa!$A:$AE,AZ$5,0)),0),IF(ISERROR(1/VLOOKUP($N256,Capa!$A:$AE,AZ$5,0)),0,1/VLOOKUP($N256,Capa!$A:$AE,AZ$5,0))))</f>
        <v/>
      </c>
      <c r="BA256" s="118" t="str">
        <f>IF(BA$6="","",IF(BA$3="Maior",IFERROR(IF(VLOOKUP($N256,Capa!$A:$AE,BA$5,0)="",0,VLOOKUP($N256,Capa!$A:$AE,BA$5,0)),0),IF(ISERROR(1/VLOOKUP($N256,Capa!$A:$AE,BA$5,0)),0,1/VLOOKUP($N256,Capa!$A:$AE,BA$5,0))))</f>
        <v/>
      </c>
      <c r="BB256" s="118" t="str">
        <f>IF(BB$6="","",IF(BB$3="Maior",IFERROR(IF(VLOOKUP($N256,Capa!$A:$AE,BB$5,0)="",0,VLOOKUP($N256,Capa!$A:$AE,BB$5,0)),0),IF(ISERROR(1/VLOOKUP($N256,Capa!$A:$AE,BB$5,0)),0,1/VLOOKUP($N256,Capa!$A:$AE,BB$5,0))))</f>
        <v/>
      </c>
      <c r="BC256" s="118" t="str">
        <f>IF(BC$6="","",IF(BC$3="Maior",IFERROR(IF(VLOOKUP($N256,Capa!$A:$AE,BC$5,0)="",0,VLOOKUP($N256,Capa!$A:$AE,BC$5,0)),0),IF(ISERROR(1/VLOOKUP($N256,Capa!$A:$AE,BC$5,0)),0,1/VLOOKUP($N256,Capa!$A:$AE,BC$5,0))))</f>
        <v/>
      </c>
      <c r="BD256" s="118" t="str">
        <f>IF(BD$6="","",IF(BD$3="Maior",IFERROR(IF(VLOOKUP($N256,Capa!$A:$AE,BD$5,0)="",0,VLOOKUP($N256,Capa!$A:$AE,BD$5,0)),0),IF(ISERROR(1/VLOOKUP($N256,Capa!$A:$AE,BD$5,0)),0,1/VLOOKUP($N256,Capa!$A:$AE,BD$5,0))))</f>
        <v/>
      </c>
      <c r="BE256" s="118" t="str">
        <f>IF(BE$6="","",IF(BE$3="Maior",IFERROR(IF(VLOOKUP($N256,Capa!$A:$AE,BE$5,0)="",0,VLOOKUP($N256,Capa!$A:$AE,BE$5,0)),0),IF(ISERROR(1/VLOOKUP($N256,Capa!$A:$AE,BE$5,0)),0,1/VLOOKUP($N256,Capa!$A:$AE,BE$5,0))))</f>
        <v/>
      </c>
      <c r="BF256" s="118" t="str">
        <f>IF(BF$6="","",IF(BF$3="Maior",IFERROR(IF(VLOOKUP($N256,Capa!$A:$AE,BF$5,0)="",0,VLOOKUP($N256,Capa!$A:$AE,BF$5,0)),0),IF(ISERROR(1/VLOOKUP($N256,Capa!$A:$AE,BF$5,0)),0,1/VLOOKUP($N256,Capa!$A:$AE,BF$5,0))))</f>
        <v/>
      </c>
      <c r="BG256" s="118" t="str">
        <f>IF(BG$6="","",IF(BG$3="Maior",IFERROR(IF(VLOOKUP($N256,Capa!$A:$AE,BG$5,0)="",0,VLOOKUP($N256,Capa!$A:$AE,BG$5,0)),0),IF(ISERROR(1/VLOOKUP($N256,Capa!$A:$AE,BG$5,0)),0,1/VLOOKUP($N256,Capa!$A:$AE,BG$5,0))))</f>
        <v/>
      </c>
      <c r="BH256" s="118" t="str">
        <f>IF(BH$6="","",IF(BH$3="Maior",IFERROR(IF(VLOOKUP($N256,Capa!$A:$AE,BH$5,0)="",0,VLOOKUP($N256,Capa!$A:$AE,BH$5,0)),0),IF(ISERROR(1/VLOOKUP($N256,Capa!$A:$AE,BH$5,0)),0,1/VLOOKUP($N256,Capa!$A:$AE,BH$5,0))))</f>
        <v/>
      </c>
      <c r="BI256" s="118" t="str">
        <f>IF(BI$6="","",IF(BI$3="Maior",IFERROR(IF(VLOOKUP($N256,Capa!$A:$AE,BI$5,0)="",0,VLOOKUP($N256,Capa!$A:$AE,BI$5,0)),0),IF(ISERROR(1/VLOOKUP($N256,Capa!$A:$AE,BI$5,0)),0,1/VLOOKUP($N256,Capa!$A:$AE,BI$5,0))))</f>
        <v/>
      </c>
      <c r="BJ256" s="118" t="str">
        <f>IF(BJ$6="","",IF(BJ$3="Maior",IFERROR(IF(VLOOKUP($N256,Capa!$A:$AE,BJ$5,0)="",0,VLOOKUP($N256,Capa!$A:$AE,BJ$5,0)),0),IF(ISERROR(1/VLOOKUP($N256,Capa!$A:$AE,BJ$5,0)),0,1/VLOOKUP($N256,Capa!$A:$AE,BJ$5,0))))</f>
        <v/>
      </c>
      <c r="BK256" s="118" t="str">
        <f>IF(BK$6="","",IF(BK$3="Maior",IFERROR(IF(VLOOKUP($N256,Capa!$A:$AE,BK$5,0)="",0,VLOOKUP($N256,Capa!$A:$AE,BK$5,0)),0),IF(ISERROR(1/VLOOKUP($N256,Capa!$A:$AE,BK$5,0)),0,1/VLOOKUP($N256,Capa!$A:$AE,BK$5,0))))</f>
        <v/>
      </c>
      <c r="BL256" s="118" t="str">
        <f>IF(BL$6="","",IF(BL$3="Maior",IFERROR(IF(VLOOKUP($N256,Capa!$A:$AE,BL$5,0)="",0,VLOOKUP($N256,Capa!$A:$AE,BL$5,0)),0),IF(ISERROR(1/VLOOKUP($N256,Capa!$A:$AE,BL$5,0)),0,1/VLOOKUP($N256,Capa!$A:$AE,BL$5,0))))</f>
        <v/>
      </c>
      <c r="BM256" s="118" t="str">
        <f>IF(BM$6="","",IF(BM$3="Maior",IFERROR(IF(VLOOKUP($N256,Capa!$A:$AE,BM$5,0)="",0,VLOOKUP($N256,Capa!$A:$AE,BM$5,0)),0),IF(ISERROR(1/VLOOKUP($N256,Capa!$A:$AE,BM$5,0)),0,1/VLOOKUP($N256,Capa!$A:$AE,BM$5,0))))</f>
        <v/>
      </c>
      <c r="BN256" s="118" t="str">
        <f>IF(BN$6="","",IF(BN$3="Maior",IFERROR(IF(VLOOKUP($N256,Capa!$A:$AE,BN$5,0)="",0,VLOOKUP($N256,Capa!$A:$AE,BN$5,0)),0),IF(ISERROR(1/VLOOKUP($N256,Capa!$A:$AE,BN$5,0)),0,1/VLOOKUP($N256,Capa!$A:$AE,BN$5,0))))</f>
        <v/>
      </c>
      <c r="BO256" s="92"/>
    </row>
    <row r="257">
      <c r="G257" s="11"/>
      <c r="H257" s="11"/>
      <c r="I257" s="8"/>
      <c r="J257" s="132"/>
      <c r="K257" s="11"/>
      <c r="L257" s="11"/>
      <c r="M257" s="11"/>
      <c r="N257" s="10" t="s">
        <v>303</v>
      </c>
      <c r="O257" s="113">
        <f t="shared" si="8"/>
        <v>1705.0001</v>
      </c>
      <c r="P257" s="114">
        <f>VLOOKUP(N257,'Dados StatusInvest'!A:Z,26,0)</f>
        <v>2860215.58</v>
      </c>
      <c r="Q257" s="115">
        <f t="shared" si="9"/>
        <v>1.0001</v>
      </c>
      <c r="R257" s="116">
        <f t="shared" ref="R257:AO257" si="260">IF(AQ257="","", RANK(AQ257,AQ$7:AQ$503,0))</f>
        <v>485</v>
      </c>
      <c r="S257" s="115">
        <f t="shared" si="260"/>
        <v>219</v>
      </c>
      <c r="T257" s="115" t="str">
        <f t="shared" si="260"/>
        <v/>
      </c>
      <c r="U257" s="115" t="str">
        <f t="shared" si="260"/>
        <v/>
      </c>
      <c r="V257" s="115" t="str">
        <f t="shared" si="260"/>
        <v/>
      </c>
      <c r="W257" s="115" t="str">
        <f t="shared" si="260"/>
        <v/>
      </c>
      <c r="X257" s="115" t="str">
        <f t="shared" si="260"/>
        <v/>
      </c>
      <c r="Y257" s="115" t="str">
        <f t="shared" si="260"/>
        <v/>
      </c>
      <c r="Z257" s="115" t="str">
        <f t="shared" si="260"/>
        <v/>
      </c>
      <c r="AA257" s="115" t="str">
        <f t="shared" si="260"/>
        <v/>
      </c>
      <c r="AB257" s="115" t="str">
        <f t="shared" si="260"/>
        <v/>
      </c>
      <c r="AC257" s="115" t="str">
        <f t="shared" si="260"/>
        <v/>
      </c>
      <c r="AD257" s="115" t="str">
        <f t="shared" si="260"/>
        <v/>
      </c>
      <c r="AE257" s="115" t="str">
        <f t="shared" si="260"/>
        <v/>
      </c>
      <c r="AF257" s="115" t="str">
        <f t="shared" si="260"/>
        <v/>
      </c>
      <c r="AG257" s="115" t="str">
        <f t="shared" si="260"/>
        <v/>
      </c>
      <c r="AH257" s="115" t="str">
        <f t="shared" si="260"/>
        <v/>
      </c>
      <c r="AI257" s="115" t="str">
        <f t="shared" si="260"/>
        <v/>
      </c>
      <c r="AJ257" s="115" t="str">
        <f t="shared" si="260"/>
        <v/>
      </c>
      <c r="AK257" s="115" t="str">
        <f t="shared" si="260"/>
        <v/>
      </c>
      <c r="AL257" s="115" t="str">
        <f t="shared" si="260"/>
        <v/>
      </c>
      <c r="AM257" s="115" t="str">
        <f t="shared" si="260"/>
        <v/>
      </c>
      <c r="AN257" s="115" t="str">
        <f t="shared" si="260"/>
        <v/>
      </c>
      <c r="AO257" s="115" t="str">
        <f t="shared" si="260"/>
        <v/>
      </c>
      <c r="AP257" s="117">
        <f>IF(AP$6="","",IF(AP$3="Maior",IFERROR(IF(VLOOKUP($N257,Capa!$A:$AE,AP$5,0)="",0,VLOOKUP($N257,Capa!$A:$AE,AP$5,0)),0),IF(ISERROR(1/VLOOKUP($N257,Capa!$A:$AE,AP$5,0)),0,1/VLOOKUP($N257,Capa!$A:$AE,AP$5,0))))</f>
        <v>1.834862385</v>
      </c>
      <c r="AQ257" s="118">
        <f>IF(AQ$6="","",IF(AQ$3="Maior",IFERROR(IF(VLOOKUP($N257,Capa!$A:$AE,AQ$5,0)="",0,VLOOKUP($N257,Capa!$A:$AE,AQ$5,0)),0),IF(ISERROR(1/VLOOKUP($N257,Capa!$A:$AE,AQ$5,0)),0,1/VLOOKUP($N257,Capa!$A:$AE,AQ$5,0))))</f>
        <v>-58.94</v>
      </c>
      <c r="AR257" s="118">
        <f>IF(AR$6="","",IF(AR$3="Maior",IFERROR(IF(VLOOKUP($N257,Capa!$A:$AE,AR$5,0)="",0,VLOOKUP($N257,Capa!$A:$AE,AR$5,0)),0),IF(ISERROR(1/VLOOKUP($N257,Capa!$A:$AE,AR$5,0)),0,1/VLOOKUP($N257,Capa!$A:$AE,AR$5,0))))</f>
        <v>0</v>
      </c>
      <c r="AS257" s="118" t="str">
        <f>IF(AS$6="","",IF(AS$3="Maior",IFERROR(IF(VLOOKUP($N257,Capa!$A:$AE,AS$5,0)="",0,VLOOKUP($N257,Capa!$A:$AE,AS$5,0)),0),IF(ISERROR(1/VLOOKUP($N257,Capa!$A:$AE,AS$5,0)),0,1/VLOOKUP($N257,Capa!$A:$AE,AS$5,0))))</f>
        <v/>
      </c>
      <c r="AT257" s="118" t="str">
        <f>IF(AT$6="","",IF(AT$3="Maior",IFERROR(IF(VLOOKUP($N257,Capa!$A:$AE,AT$5,0)="",0,VLOOKUP($N257,Capa!$A:$AE,AT$5,0)),0),IF(ISERROR(1/VLOOKUP($N257,Capa!$A:$AE,AT$5,0)),0,1/VLOOKUP($N257,Capa!$A:$AE,AT$5,0))))</f>
        <v/>
      </c>
      <c r="AU257" s="118" t="str">
        <f>IF(AU$6="","",IF(AU$3="Maior",IFERROR(IF(VLOOKUP($N257,Capa!$A:$AE,AU$5,0)="",0,VLOOKUP($N257,Capa!$A:$AE,AU$5,0)),0),IF(ISERROR(1/VLOOKUP($N257,Capa!$A:$AE,AU$5,0)),0,1/VLOOKUP($N257,Capa!$A:$AE,AU$5,0))))</f>
        <v/>
      </c>
      <c r="AV257" s="118" t="str">
        <f>IF(AV$6="","",IF(AV$3="Maior",IFERROR(IF(VLOOKUP($N257,Capa!$A:$AE,AV$5,0)="",0,VLOOKUP($N257,Capa!$A:$AE,AV$5,0)),0),IF(ISERROR(1/VLOOKUP($N257,Capa!$A:$AE,AV$5,0)),0,1/VLOOKUP($N257,Capa!$A:$AE,AV$5,0))))</f>
        <v/>
      </c>
      <c r="AW257" s="118" t="str">
        <f>IF(AW$6="","",IF(AW$3="Maior",IFERROR(IF(VLOOKUP($N257,Capa!$A:$AE,AW$5,0)="",0,VLOOKUP($N257,Capa!$A:$AE,AW$5,0)),0),IF(ISERROR(1/VLOOKUP($N257,Capa!$A:$AE,AW$5,0)),0,1/VLOOKUP($N257,Capa!$A:$AE,AW$5,0))))</f>
        <v/>
      </c>
      <c r="AX257" s="118" t="str">
        <f>IF(AX$6="","",IF(AX$3="Maior",IFERROR(IF(VLOOKUP($N257,Capa!$A:$AE,AX$5,0)="",0,VLOOKUP($N257,Capa!$A:$AE,AX$5,0)),0),IF(ISERROR(1/VLOOKUP($N257,Capa!$A:$AE,AX$5,0)),0,1/VLOOKUP($N257,Capa!$A:$AE,AX$5,0))))</f>
        <v/>
      </c>
      <c r="AY257" s="118" t="str">
        <f>IF(AY$6="","",IF(AY$3="Maior",IFERROR(IF(VLOOKUP($N257,Capa!$A:$AE,AY$5,0)="",0,VLOOKUP($N257,Capa!$A:$AE,AY$5,0)),0),IF(ISERROR(1/VLOOKUP($N257,Capa!$A:$AE,AY$5,0)),0,1/VLOOKUP($N257,Capa!$A:$AE,AY$5,0))))</f>
        <v/>
      </c>
      <c r="AZ257" s="118" t="str">
        <f>IF(AZ$6="","",IF(AZ$3="Maior",IFERROR(IF(VLOOKUP($N257,Capa!$A:$AE,AZ$5,0)="",0,VLOOKUP($N257,Capa!$A:$AE,AZ$5,0)),0),IF(ISERROR(1/VLOOKUP($N257,Capa!$A:$AE,AZ$5,0)),0,1/VLOOKUP($N257,Capa!$A:$AE,AZ$5,0))))</f>
        <v/>
      </c>
      <c r="BA257" s="118" t="str">
        <f>IF(BA$6="","",IF(BA$3="Maior",IFERROR(IF(VLOOKUP($N257,Capa!$A:$AE,BA$5,0)="",0,VLOOKUP($N257,Capa!$A:$AE,BA$5,0)),0),IF(ISERROR(1/VLOOKUP($N257,Capa!$A:$AE,BA$5,0)),0,1/VLOOKUP($N257,Capa!$A:$AE,BA$5,0))))</f>
        <v/>
      </c>
      <c r="BB257" s="118" t="str">
        <f>IF(BB$6="","",IF(BB$3="Maior",IFERROR(IF(VLOOKUP($N257,Capa!$A:$AE,BB$5,0)="",0,VLOOKUP($N257,Capa!$A:$AE,BB$5,0)),0),IF(ISERROR(1/VLOOKUP($N257,Capa!$A:$AE,BB$5,0)),0,1/VLOOKUP($N257,Capa!$A:$AE,BB$5,0))))</f>
        <v/>
      </c>
      <c r="BC257" s="118" t="str">
        <f>IF(BC$6="","",IF(BC$3="Maior",IFERROR(IF(VLOOKUP($N257,Capa!$A:$AE,BC$5,0)="",0,VLOOKUP($N257,Capa!$A:$AE,BC$5,0)),0),IF(ISERROR(1/VLOOKUP($N257,Capa!$A:$AE,BC$5,0)),0,1/VLOOKUP($N257,Capa!$A:$AE,BC$5,0))))</f>
        <v/>
      </c>
      <c r="BD257" s="118" t="str">
        <f>IF(BD$6="","",IF(BD$3="Maior",IFERROR(IF(VLOOKUP($N257,Capa!$A:$AE,BD$5,0)="",0,VLOOKUP($N257,Capa!$A:$AE,BD$5,0)),0),IF(ISERROR(1/VLOOKUP($N257,Capa!$A:$AE,BD$5,0)),0,1/VLOOKUP($N257,Capa!$A:$AE,BD$5,0))))</f>
        <v/>
      </c>
      <c r="BE257" s="118" t="str">
        <f>IF(BE$6="","",IF(BE$3="Maior",IFERROR(IF(VLOOKUP($N257,Capa!$A:$AE,BE$5,0)="",0,VLOOKUP($N257,Capa!$A:$AE,BE$5,0)),0),IF(ISERROR(1/VLOOKUP($N257,Capa!$A:$AE,BE$5,0)),0,1/VLOOKUP($N257,Capa!$A:$AE,BE$5,0))))</f>
        <v/>
      </c>
      <c r="BF257" s="118" t="str">
        <f>IF(BF$6="","",IF(BF$3="Maior",IFERROR(IF(VLOOKUP($N257,Capa!$A:$AE,BF$5,0)="",0,VLOOKUP($N257,Capa!$A:$AE,BF$5,0)),0),IF(ISERROR(1/VLOOKUP($N257,Capa!$A:$AE,BF$5,0)),0,1/VLOOKUP($N257,Capa!$A:$AE,BF$5,0))))</f>
        <v/>
      </c>
      <c r="BG257" s="118" t="str">
        <f>IF(BG$6="","",IF(BG$3="Maior",IFERROR(IF(VLOOKUP($N257,Capa!$A:$AE,BG$5,0)="",0,VLOOKUP($N257,Capa!$A:$AE,BG$5,0)),0),IF(ISERROR(1/VLOOKUP($N257,Capa!$A:$AE,BG$5,0)),0,1/VLOOKUP($N257,Capa!$A:$AE,BG$5,0))))</f>
        <v/>
      </c>
      <c r="BH257" s="118" t="str">
        <f>IF(BH$6="","",IF(BH$3="Maior",IFERROR(IF(VLOOKUP($N257,Capa!$A:$AE,BH$5,0)="",0,VLOOKUP($N257,Capa!$A:$AE,BH$5,0)),0),IF(ISERROR(1/VLOOKUP($N257,Capa!$A:$AE,BH$5,0)),0,1/VLOOKUP($N257,Capa!$A:$AE,BH$5,0))))</f>
        <v/>
      </c>
      <c r="BI257" s="118" t="str">
        <f>IF(BI$6="","",IF(BI$3="Maior",IFERROR(IF(VLOOKUP($N257,Capa!$A:$AE,BI$5,0)="",0,VLOOKUP($N257,Capa!$A:$AE,BI$5,0)),0),IF(ISERROR(1/VLOOKUP($N257,Capa!$A:$AE,BI$5,0)),0,1/VLOOKUP($N257,Capa!$A:$AE,BI$5,0))))</f>
        <v/>
      </c>
      <c r="BJ257" s="118" t="str">
        <f>IF(BJ$6="","",IF(BJ$3="Maior",IFERROR(IF(VLOOKUP($N257,Capa!$A:$AE,BJ$5,0)="",0,VLOOKUP($N257,Capa!$A:$AE,BJ$5,0)),0),IF(ISERROR(1/VLOOKUP($N257,Capa!$A:$AE,BJ$5,0)),0,1/VLOOKUP($N257,Capa!$A:$AE,BJ$5,0))))</f>
        <v/>
      </c>
      <c r="BK257" s="118" t="str">
        <f>IF(BK$6="","",IF(BK$3="Maior",IFERROR(IF(VLOOKUP($N257,Capa!$A:$AE,BK$5,0)="",0,VLOOKUP($N257,Capa!$A:$AE,BK$5,0)),0),IF(ISERROR(1/VLOOKUP($N257,Capa!$A:$AE,BK$5,0)),0,1/VLOOKUP($N257,Capa!$A:$AE,BK$5,0))))</f>
        <v/>
      </c>
      <c r="BL257" s="118" t="str">
        <f>IF(BL$6="","",IF(BL$3="Maior",IFERROR(IF(VLOOKUP($N257,Capa!$A:$AE,BL$5,0)="",0,VLOOKUP($N257,Capa!$A:$AE,BL$5,0)),0),IF(ISERROR(1/VLOOKUP($N257,Capa!$A:$AE,BL$5,0)),0,1/VLOOKUP($N257,Capa!$A:$AE,BL$5,0))))</f>
        <v/>
      </c>
      <c r="BM257" s="118" t="str">
        <f>IF(BM$6="","",IF(BM$3="Maior",IFERROR(IF(VLOOKUP($N257,Capa!$A:$AE,BM$5,0)="",0,VLOOKUP($N257,Capa!$A:$AE,BM$5,0)),0),IF(ISERROR(1/VLOOKUP($N257,Capa!$A:$AE,BM$5,0)),0,1/VLOOKUP($N257,Capa!$A:$AE,BM$5,0))))</f>
        <v/>
      </c>
      <c r="BN257" s="118" t="str">
        <f>IF(BN$6="","",IF(BN$3="Maior",IFERROR(IF(VLOOKUP($N257,Capa!$A:$AE,BN$5,0)="",0,VLOOKUP($N257,Capa!$A:$AE,BN$5,0)),0),IF(ISERROR(1/VLOOKUP($N257,Capa!$A:$AE,BN$5,0)),0,1/VLOOKUP($N257,Capa!$A:$AE,BN$5,0))))</f>
        <v/>
      </c>
      <c r="BO257" s="92"/>
    </row>
    <row r="258">
      <c r="G258" s="11"/>
      <c r="H258" s="11"/>
      <c r="I258" s="8"/>
      <c r="J258" s="132"/>
      <c r="K258" s="11"/>
      <c r="L258" s="11"/>
      <c r="M258" s="11"/>
      <c r="N258" s="10" t="s">
        <v>304</v>
      </c>
      <c r="O258" s="113">
        <f t="shared" si="8"/>
        <v>1412.0207</v>
      </c>
      <c r="P258" s="114">
        <f>VLOOKUP(N258,'Dados StatusInvest'!A:Z,26,0)</f>
        <v>2377381.83</v>
      </c>
      <c r="Q258" s="115">
        <f t="shared" si="9"/>
        <v>207.0207</v>
      </c>
      <c r="R258" s="116">
        <f t="shared" ref="R258:AO258" si="261">IF(AQ258="","", RANK(AQ258,AQ$7:AQ$503,0))</f>
        <v>139</v>
      </c>
      <c r="S258" s="115">
        <f t="shared" si="261"/>
        <v>66</v>
      </c>
      <c r="T258" s="115" t="str">
        <f t="shared" si="261"/>
        <v/>
      </c>
      <c r="U258" s="115" t="str">
        <f t="shared" si="261"/>
        <v/>
      </c>
      <c r="V258" s="115" t="str">
        <f t="shared" si="261"/>
        <v/>
      </c>
      <c r="W258" s="115" t="str">
        <f t="shared" si="261"/>
        <v/>
      </c>
      <c r="X258" s="115" t="str">
        <f t="shared" si="261"/>
        <v/>
      </c>
      <c r="Y258" s="115" t="str">
        <f t="shared" si="261"/>
        <v/>
      </c>
      <c r="Z258" s="115" t="str">
        <f t="shared" si="261"/>
        <v/>
      </c>
      <c r="AA258" s="115" t="str">
        <f t="shared" si="261"/>
        <v/>
      </c>
      <c r="AB258" s="115" t="str">
        <f t="shared" si="261"/>
        <v/>
      </c>
      <c r="AC258" s="115" t="str">
        <f t="shared" si="261"/>
        <v/>
      </c>
      <c r="AD258" s="115" t="str">
        <f t="shared" si="261"/>
        <v/>
      </c>
      <c r="AE258" s="115" t="str">
        <f t="shared" si="261"/>
        <v/>
      </c>
      <c r="AF258" s="115" t="str">
        <f t="shared" si="261"/>
        <v/>
      </c>
      <c r="AG258" s="115" t="str">
        <f t="shared" si="261"/>
        <v/>
      </c>
      <c r="AH258" s="115" t="str">
        <f t="shared" si="261"/>
        <v/>
      </c>
      <c r="AI258" s="115" t="str">
        <f t="shared" si="261"/>
        <v/>
      </c>
      <c r="AJ258" s="115" t="str">
        <f t="shared" si="261"/>
        <v/>
      </c>
      <c r="AK258" s="115" t="str">
        <f t="shared" si="261"/>
        <v/>
      </c>
      <c r="AL258" s="115" t="str">
        <f t="shared" si="261"/>
        <v/>
      </c>
      <c r="AM258" s="115" t="str">
        <f t="shared" si="261"/>
        <v/>
      </c>
      <c r="AN258" s="115" t="str">
        <f t="shared" si="261"/>
        <v/>
      </c>
      <c r="AO258" s="115" t="str">
        <f t="shared" si="261"/>
        <v/>
      </c>
      <c r="AP258" s="117">
        <f>IF(AP$6="","",IF(AP$3="Maior",IFERROR(IF(VLOOKUP($N258,Capa!$A:$AE,AP$5,0)="",0,VLOOKUP($N258,Capa!$A:$AE,AP$5,0)),0),IF(ISERROR(1/VLOOKUP($N258,Capa!$A:$AE,AP$5,0)),0,1/VLOOKUP($N258,Capa!$A:$AE,AP$5,0))))</f>
        <v>0.1020585249</v>
      </c>
      <c r="AQ258" s="118">
        <f>IF(AQ$6="","",IF(AQ$3="Maior",IFERROR(IF(VLOOKUP($N258,Capa!$A:$AE,AQ$5,0)="",0,VLOOKUP($N258,Capa!$A:$AE,AQ$5,0)),0),IF(ISERROR(1/VLOOKUP($N258,Capa!$A:$AE,AQ$5,0)),0,1/VLOOKUP($N258,Capa!$A:$AE,AQ$5,0))))</f>
        <v>14.52</v>
      </c>
      <c r="AR258" s="118">
        <f>IF(AR$6="","",IF(AR$3="Maior",IFERROR(IF(VLOOKUP($N258,Capa!$A:$AE,AR$5,0)="",0,VLOOKUP($N258,Capa!$A:$AE,AR$5,0)),0),IF(ISERROR(1/VLOOKUP($N258,Capa!$A:$AE,AR$5,0)),0,1/VLOOKUP($N258,Capa!$A:$AE,AR$5,0))))</f>
        <v>39.56</v>
      </c>
      <c r="AS258" s="118" t="str">
        <f>IF(AS$6="","",IF(AS$3="Maior",IFERROR(IF(VLOOKUP($N258,Capa!$A:$AE,AS$5,0)="",0,VLOOKUP($N258,Capa!$A:$AE,AS$5,0)),0),IF(ISERROR(1/VLOOKUP($N258,Capa!$A:$AE,AS$5,0)),0,1/VLOOKUP($N258,Capa!$A:$AE,AS$5,0))))</f>
        <v/>
      </c>
      <c r="AT258" s="118" t="str">
        <f>IF(AT$6="","",IF(AT$3="Maior",IFERROR(IF(VLOOKUP($N258,Capa!$A:$AE,AT$5,0)="",0,VLOOKUP($N258,Capa!$A:$AE,AT$5,0)),0),IF(ISERROR(1/VLOOKUP($N258,Capa!$A:$AE,AT$5,0)),0,1/VLOOKUP($N258,Capa!$A:$AE,AT$5,0))))</f>
        <v/>
      </c>
      <c r="AU258" s="118" t="str">
        <f>IF(AU$6="","",IF(AU$3="Maior",IFERROR(IF(VLOOKUP($N258,Capa!$A:$AE,AU$5,0)="",0,VLOOKUP($N258,Capa!$A:$AE,AU$5,0)),0),IF(ISERROR(1/VLOOKUP($N258,Capa!$A:$AE,AU$5,0)),0,1/VLOOKUP($N258,Capa!$A:$AE,AU$5,0))))</f>
        <v/>
      </c>
      <c r="AV258" s="118" t="str">
        <f>IF(AV$6="","",IF(AV$3="Maior",IFERROR(IF(VLOOKUP($N258,Capa!$A:$AE,AV$5,0)="",0,VLOOKUP($N258,Capa!$A:$AE,AV$5,0)),0),IF(ISERROR(1/VLOOKUP($N258,Capa!$A:$AE,AV$5,0)),0,1/VLOOKUP($N258,Capa!$A:$AE,AV$5,0))))</f>
        <v/>
      </c>
      <c r="AW258" s="118" t="str">
        <f>IF(AW$6="","",IF(AW$3="Maior",IFERROR(IF(VLOOKUP($N258,Capa!$A:$AE,AW$5,0)="",0,VLOOKUP($N258,Capa!$A:$AE,AW$5,0)),0),IF(ISERROR(1/VLOOKUP($N258,Capa!$A:$AE,AW$5,0)),0,1/VLOOKUP($N258,Capa!$A:$AE,AW$5,0))))</f>
        <v/>
      </c>
      <c r="AX258" s="118" t="str">
        <f>IF(AX$6="","",IF(AX$3="Maior",IFERROR(IF(VLOOKUP($N258,Capa!$A:$AE,AX$5,0)="",0,VLOOKUP($N258,Capa!$A:$AE,AX$5,0)),0),IF(ISERROR(1/VLOOKUP($N258,Capa!$A:$AE,AX$5,0)),0,1/VLOOKUP($N258,Capa!$A:$AE,AX$5,0))))</f>
        <v/>
      </c>
      <c r="AY258" s="118" t="str">
        <f>IF(AY$6="","",IF(AY$3="Maior",IFERROR(IF(VLOOKUP($N258,Capa!$A:$AE,AY$5,0)="",0,VLOOKUP($N258,Capa!$A:$AE,AY$5,0)),0),IF(ISERROR(1/VLOOKUP($N258,Capa!$A:$AE,AY$5,0)),0,1/VLOOKUP($N258,Capa!$A:$AE,AY$5,0))))</f>
        <v/>
      </c>
      <c r="AZ258" s="118" t="str">
        <f>IF(AZ$6="","",IF(AZ$3="Maior",IFERROR(IF(VLOOKUP($N258,Capa!$A:$AE,AZ$5,0)="",0,VLOOKUP($N258,Capa!$A:$AE,AZ$5,0)),0),IF(ISERROR(1/VLOOKUP($N258,Capa!$A:$AE,AZ$5,0)),0,1/VLOOKUP($N258,Capa!$A:$AE,AZ$5,0))))</f>
        <v/>
      </c>
      <c r="BA258" s="118" t="str">
        <f>IF(BA$6="","",IF(BA$3="Maior",IFERROR(IF(VLOOKUP($N258,Capa!$A:$AE,BA$5,0)="",0,VLOOKUP($N258,Capa!$A:$AE,BA$5,0)),0),IF(ISERROR(1/VLOOKUP($N258,Capa!$A:$AE,BA$5,0)),0,1/VLOOKUP($N258,Capa!$A:$AE,BA$5,0))))</f>
        <v/>
      </c>
      <c r="BB258" s="118" t="str">
        <f>IF(BB$6="","",IF(BB$3="Maior",IFERROR(IF(VLOOKUP($N258,Capa!$A:$AE,BB$5,0)="",0,VLOOKUP($N258,Capa!$A:$AE,BB$5,0)),0),IF(ISERROR(1/VLOOKUP($N258,Capa!$A:$AE,BB$5,0)),0,1/VLOOKUP($N258,Capa!$A:$AE,BB$5,0))))</f>
        <v/>
      </c>
      <c r="BC258" s="118" t="str">
        <f>IF(BC$6="","",IF(BC$3="Maior",IFERROR(IF(VLOOKUP($N258,Capa!$A:$AE,BC$5,0)="",0,VLOOKUP($N258,Capa!$A:$AE,BC$5,0)),0),IF(ISERROR(1/VLOOKUP($N258,Capa!$A:$AE,BC$5,0)),0,1/VLOOKUP($N258,Capa!$A:$AE,BC$5,0))))</f>
        <v/>
      </c>
      <c r="BD258" s="118" t="str">
        <f>IF(BD$6="","",IF(BD$3="Maior",IFERROR(IF(VLOOKUP($N258,Capa!$A:$AE,BD$5,0)="",0,VLOOKUP($N258,Capa!$A:$AE,BD$5,0)),0),IF(ISERROR(1/VLOOKUP($N258,Capa!$A:$AE,BD$5,0)),0,1/VLOOKUP($N258,Capa!$A:$AE,BD$5,0))))</f>
        <v/>
      </c>
      <c r="BE258" s="118" t="str">
        <f>IF(BE$6="","",IF(BE$3="Maior",IFERROR(IF(VLOOKUP($N258,Capa!$A:$AE,BE$5,0)="",0,VLOOKUP($N258,Capa!$A:$AE,BE$5,0)),0),IF(ISERROR(1/VLOOKUP($N258,Capa!$A:$AE,BE$5,0)),0,1/VLOOKUP($N258,Capa!$A:$AE,BE$5,0))))</f>
        <v/>
      </c>
      <c r="BF258" s="118" t="str">
        <f>IF(BF$6="","",IF(BF$3="Maior",IFERROR(IF(VLOOKUP($N258,Capa!$A:$AE,BF$5,0)="",0,VLOOKUP($N258,Capa!$A:$AE,BF$5,0)),0),IF(ISERROR(1/VLOOKUP($N258,Capa!$A:$AE,BF$5,0)),0,1/VLOOKUP($N258,Capa!$A:$AE,BF$5,0))))</f>
        <v/>
      </c>
      <c r="BG258" s="118" t="str">
        <f>IF(BG$6="","",IF(BG$3="Maior",IFERROR(IF(VLOOKUP($N258,Capa!$A:$AE,BG$5,0)="",0,VLOOKUP($N258,Capa!$A:$AE,BG$5,0)),0),IF(ISERROR(1/VLOOKUP($N258,Capa!$A:$AE,BG$5,0)),0,1/VLOOKUP($N258,Capa!$A:$AE,BG$5,0))))</f>
        <v/>
      </c>
      <c r="BH258" s="118" t="str">
        <f>IF(BH$6="","",IF(BH$3="Maior",IFERROR(IF(VLOOKUP($N258,Capa!$A:$AE,BH$5,0)="",0,VLOOKUP($N258,Capa!$A:$AE,BH$5,0)),0),IF(ISERROR(1/VLOOKUP($N258,Capa!$A:$AE,BH$5,0)),0,1/VLOOKUP($N258,Capa!$A:$AE,BH$5,0))))</f>
        <v/>
      </c>
      <c r="BI258" s="118" t="str">
        <f>IF(BI$6="","",IF(BI$3="Maior",IFERROR(IF(VLOOKUP($N258,Capa!$A:$AE,BI$5,0)="",0,VLOOKUP($N258,Capa!$A:$AE,BI$5,0)),0),IF(ISERROR(1/VLOOKUP($N258,Capa!$A:$AE,BI$5,0)),0,1/VLOOKUP($N258,Capa!$A:$AE,BI$5,0))))</f>
        <v/>
      </c>
      <c r="BJ258" s="118" t="str">
        <f>IF(BJ$6="","",IF(BJ$3="Maior",IFERROR(IF(VLOOKUP($N258,Capa!$A:$AE,BJ$5,0)="",0,VLOOKUP($N258,Capa!$A:$AE,BJ$5,0)),0),IF(ISERROR(1/VLOOKUP($N258,Capa!$A:$AE,BJ$5,0)),0,1/VLOOKUP($N258,Capa!$A:$AE,BJ$5,0))))</f>
        <v/>
      </c>
      <c r="BK258" s="118" t="str">
        <f>IF(BK$6="","",IF(BK$3="Maior",IFERROR(IF(VLOOKUP($N258,Capa!$A:$AE,BK$5,0)="",0,VLOOKUP($N258,Capa!$A:$AE,BK$5,0)),0),IF(ISERROR(1/VLOOKUP($N258,Capa!$A:$AE,BK$5,0)),0,1/VLOOKUP($N258,Capa!$A:$AE,BK$5,0))))</f>
        <v/>
      </c>
      <c r="BL258" s="118" t="str">
        <f>IF(BL$6="","",IF(BL$3="Maior",IFERROR(IF(VLOOKUP($N258,Capa!$A:$AE,BL$5,0)="",0,VLOOKUP($N258,Capa!$A:$AE,BL$5,0)),0),IF(ISERROR(1/VLOOKUP($N258,Capa!$A:$AE,BL$5,0)),0,1/VLOOKUP($N258,Capa!$A:$AE,BL$5,0))))</f>
        <v/>
      </c>
      <c r="BM258" s="118" t="str">
        <f>IF(BM$6="","",IF(BM$3="Maior",IFERROR(IF(VLOOKUP($N258,Capa!$A:$AE,BM$5,0)="",0,VLOOKUP($N258,Capa!$A:$AE,BM$5,0)),0),IF(ISERROR(1/VLOOKUP($N258,Capa!$A:$AE,BM$5,0)),0,1/VLOOKUP($N258,Capa!$A:$AE,BM$5,0))))</f>
        <v/>
      </c>
      <c r="BN258" s="118" t="str">
        <f>IF(BN$6="","",IF(BN$3="Maior",IFERROR(IF(VLOOKUP($N258,Capa!$A:$AE,BN$5,0)="",0,VLOOKUP($N258,Capa!$A:$AE,BN$5,0)),0),IF(ISERROR(1/VLOOKUP($N258,Capa!$A:$AE,BN$5,0)),0,1/VLOOKUP($N258,Capa!$A:$AE,BN$5,0))))</f>
        <v/>
      </c>
      <c r="BO258" s="92"/>
    </row>
    <row r="259">
      <c r="G259" s="11"/>
      <c r="H259" s="11"/>
      <c r="I259" s="8"/>
      <c r="J259" s="132"/>
      <c r="K259" s="11"/>
      <c r="L259" s="11"/>
      <c r="M259" s="11"/>
      <c r="N259" s="10" t="s">
        <v>305</v>
      </c>
      <c r="O259" s="113">
        <f t="shared" si="8"/>
        <v>1902.0449</v>
      </c>
      <c r="P259" s="114">
        <f>VLOOKUP(N259,'Dados StatusInvest'!A:Z,26,0)</f>
        <v>2629636.79</v>
      </c>
      <c r="Q259" s="115">
        <f t="shared" si="9"/>
        <v>449.0449</v>
      </c>
      <c r="R259" s="116">
        <f t="shared" ref="R259:AO259" si="262">IF(AQ259="","", RANK(AQ259,AQ$7:AQ$503,0))</f>
        <v>234</v>
      </c>
      <c r="S259" s="115">
        <f t="shared" si="262"/>
        <v>219</v>
      </c>
      <c r="T259" s="115" t="str">
        <f t="shared" si="262"/>
        <v/>
      </c>
      <c r="U259" s="115" t="str">
        <f t="shared" si="262"/>
        <v/>
      </c>
      <c r="V259" s="115" t="str">
        <f t="shared" si="262"/>
        <v/>
      </c>
      <c r="W259" s="115" t="str">
        <f t="shared" si="262"/>
        <v/>
      </c>
      <c r="X259" s="115" t="str">
        <f t="shared" si="262"/>
        <v/>
      </c>
      <c r="Y259" s="115" t="str">
        <f t="shared" si="262"/>
        <v/>
      </c>
      <c r="Z259" s="115" t="str">
        <f t="shared" si="262"/>
        <v/>
      </c>
      <c r="AA259" s="115" t="str">
        <f t="shared" si="262"/>
        <v/>
      </c>
      <c r="AB259" s="115" t="str">
        <f t="shared" si="262"/>
        <v/>
      </c>
      <c r="AC259" s="115" t="str">
        <f t="shared" si="262"/>
        <v/>
      </c>
      <c r="AD259" s="115" t="str">
        <f t="shared" si="262"/>
        <v/>
      </c>
      <c r="AE259" s="115" t="str">
        <f t="shared" si="262"/>
        <v/>
      </c>
      <c r="AF259" s="115" t="str">
        <f t="shared" si="262"/>
        <v/>
      </c>
      <c r="AG259" s="115" t="str">
        <f t="shared" si="262"/>
        <v/>
      </c>
      <c r="AH259" s="115" t="str">
        <f t="shared" si="262"/>
        <v/>
      </c>
      <c r="AI259" s="115" t="str">
        <f t="shared" si="262"/>
        <v/>
      </c>
      <c r="AJ259" s="115" t="str">
        <f t="shared" si="262"/>
        <v/>
      </c>
      <c r="AK259" s="115" t="str">
        <f t="shared" si="262"/>
        <v/>
      </c>
      <c r="AL259" s="115" t="str">
        <f t="shared" si="262"/>
        <v/>
      </c>
      <c r="AM259" s="115" t="str">
        <f t="shared" si="262"/>
        <v/>
      </c>
      <c r="AN259" s="115" t="str">
        <f t="shared" si="262"/>
        <v/>
      </c>
      <c r="AO259" s="115" t="str">
        <f t="shared" si="262"/>
        <v/>
      </c>
      <c r="AP259" s="117">
        <f>IF(AP$6="","",IF(AP$3="Maior",IFERROR(IF(VLOOKUP($N259,Capa!$A:$AE,AP$5,0)="",0,VLOOKUP($N259,Capa!$A:$AE,AP$5,0)),0),IF(ISERROR(1/VLOOKUP($N259,Capa!$A:$AE,AP$5,0)),0,1/VLOOKUP($N259,Capa!$A:$AE,AP$5,0))))</f>
        <v>-0.1189729391</v>
      </c>
      <c r="AQ259" s="118">
        <f>IF(AQ$6="","",IF(AQ$3="Maior",IFERROR(IF(VLOOKUP($N259,Capa!$A:$AE,AQ$5,0)="",0,VLOOKUP($N259,Capa!$A:$AE,AQ$5,0)),0),IF(ISERROR(1/VLOOKUP($N259,Capa!$A:$AE,AQ$5,0)),0,1/VLOOKUP($N259,Capa!$A:$AE,AQ$5,0))))</f>
        <v>9.26</v>
      </c>
      <c r="AR259" s="118">
        <f>IF(AR$6="","",IF(AR$3="Maior",IFERROR(IF(VLOOKUP($N259,Capa!$A:$AE,AR$5,0)="",0,VLOOKUP($N259,Capa!$A:$AE,AR$5,0)),0),IF(ISERROR(1/VLOOKUP($N259,Capa!$A:$AE,AR$5,0)),0,1/VLOOKUP($N259,Capa!$A:$AE,AR$5,0))))</f>
        <v>0</v>
      </c>
      <c r="AS259" s="118" t="str">
        <f>IF(AS$6="","",IF(AS$3="Maior",IFERROR(IF(VLOOKUP($N259,Capa!$A:$AE,AS$5,0)="",0,VLOOKUP($N259,Capa!$A:$AE,AS$5,0)),0),IF(ISERROR(1/VLOOKUP($N259,Capa!$A:$AE,AS$5,0)),0,1/VLOOKUP($N259,Capa!$A:$AE,AS$5,0))))</f>
        <v/>
      </c>
      <c r="AT259" s="118" t="str">
        <f>IF(AT$6="","",IF(AT$3="Maior",IFERROR(IF(VLOOKUP($N259,Capa!$A:$AE,AT$5,0)="",0,VLOOKUP($N259,Capa!$A:$AE,AT$5,0)),0),IF(ISERROR(1/VLOOKUP($N259,Capa!$A:$AE,AT$5,0)),0,1/VLOOKUP($N259,Capa!$A:$AE,AT$5,0))))</f>
        <v/>
      </c>
      <c r="AU259" s="118" t="str">
        <f>IF(AU$6="","",IF(AU$3="Maior",IFERROR(IF(VLOOKUP($N259,Capa!$A:$AE,AU$5,0)="",0,VLOOKUP($N259,Capa!$A:$AE,AU$5,0)),0),IF(ISERROR(1/VLOOKUP($N259,Capa!$A:$AE,AU$5,0)),0,1/VLOOKUP($N259,Capa!$A:$AE,AU$5,0))))</f>
        <v/>
      </c>
      <c r="AV259" s="118" t="str">
        <f>IF(AV$6="","",IF(AV$3="Maior",IFERROR(IF(VLOOKUP($N259,Capa!$A:$AE,AV$5,0)="",0,VLOOKUP($N259,Capa!$A:$AE,AV$5,0)),0),IF(ISERROR(1/VLOOKUP($N259,Capa!$A:$AE,AV$5,0)),0,1/VLOOKUP($N259,Capa!$A:$AE,AV$5,0))))</f>
        <v/>
      </c>
      <c r="AW259" s="118" t="str">
        <f>IF(AW$6="","",IF(AW$3="Maior",IFERROR(IF(VLOOKUP($N259,Capa!$A:$AE,AW$5,0)="",0,VLOOKUP($N259,Capa!$A:$AE,AW$5,0)),0),IF(ISERROR(1/VLOOKUP($N259,Capa!$A:$AE,AW$5,0)),0,1/VLOOKUP($N259,Capa!$A:$AE,AW$5,0))))</f>
        <v/>
      </c>
      <c r="AX259" s="118" t="str">
        <f>IF(AX$6="","",IF(AX$3="Maior",IFERROR(IF(VLOOKUP($N259,Capa!$A:$AE,AX$5,0)="",0,VLOOKUP($N259,Capa!$A:$AE,AX$5,0)),0),IF(ISERROR(1/VLOOKUP($N259,Capa!$A:$AE,AX$5,0)),0,1/VLOOKUP($N259,Capa!$A:$AE,AX$5,0))))</f>
        <v/>
      </c>
      <c r="AY259" s="118" t="str">
        <f>IF(AY$6="","",IF(AY$3="Maior",IFERROR(IF(VLOOKUP($N259,Capa!$A:$AE,AY$5,0)="",0,VLOOKUP($N259,Capa!$A:$AE,AY$5,0)),0),IF(ISERROR(1/VLOOKUP($N259,Capa!$A:$AE,AY$5,0)),0,1/VLOOKUP($N259,Capa!$A:$AE,AY$5,0))))</f>
        <v/>
      </c>
      <c r="AZ259" s="118" t="str">
        <f>IF(AZ$6="","",IF(AZ$3="Maior",IFERROR(IF(VLOOKUP($N259,Capa!$A:$AE,AZ$5,0)="",0,VLOOKUP($N259,Capa!$A:$AE,AZ$5,0)),0),IF(ISERROR(1/VLOOKUP($N259,Capa!$A:$AE,AZ$5,0)),0,1/VLOOKUP($N259,Capa!$A:$AE,AZ$5,0))))</f>
        <v/>
      </c>
      <c r="BA259" s="118" t="str">
        <f>IF(BA$6="","",IF(BA$3="Maior",IFERROR(IF(VLOOKUP($N259,Capa!$A:$AE,BA$5,0)="",0,VLOOKUP($N259,Capa!$A:$AE,BA$5,0)),0),IF(ISERROR(1/VLOOKUP($N259,Capa!$A:$AE,BA$5,0)),0,1/VLOOKUP($N259,Capa!$A:$AE,BA$5,0))))</f>
        <v/>
      </c>
      <c r="BB259" s="118" t="str">
        <f>IF(BB$6="","",IF(BB$3="Maior",IFERROR(IF(VLOOKUP($N259,Capa!$A:$AE,BB$5,0)="",0,VLOOKUP($N259,Capa!$A:$AE,BB$5,0)),0),IF(ISERROR(1/VLOOKUP($N259,Capa!$A:$AE,BB$5,0)),0,1/VLOOKUP($N259,Capa!$A:$AE,BB$5,0))))</f>
        <v/>
      </c>
      <c r="BC259" s="118" t="str">
        <f>IF(BC$6="","",IF(BC$3="Maior",IFERROR(IF(VLOOKUP($N259,Capa!$A:$AE,BC$5,0)="",0,VLOOKUP($N259,Capa!$A:$AE,BC$5,0)),0),IF(ISERROR(1/VLOOKUP($N259,Capa!$A:$AE,BC$5,0)),0,1/VLOOKUP($N259,Capa!$A:$AE,BC$5,0))))</f>
        <v/>
      </c>
      <c r="BD259" s="118" t="str">
        <f>IF(BD$6="","",IF(BD$3="Maior",IFERROR(IF(VLOOKUP($N259,Capa!$A:$AE,BD$5,0)="",0,VLOOKUP($N259,Capa!$A:$AE,BD$5,0)),0),IF(ISERROR(1/VLOOKUP($N259,Capa!$A:$AE,BD$5,0)),0,1/VLOOKUP($N259,Capa!$A:$AE,BD$5,0))))</f>
        <v/>
      </c>
      <c r="BE259" s="118" t="str">
        <f>IF(BE$6="","",IF(BE$3="Maior",IFERROR(IF(VLOOKUP($N259,Capa!$A:$AE,BE$5,0)="",0,VLOOKUP($N259,Capa!$A:$AE,BE$5,0)),0),IF(ISERROR(1/VLOOKUP($N259,Capa!$A:$AE,BE$5,0)),0,1/VLOOKUP($N259,Capa!$A:$AE,BE$5,0))))</f>
        <v/>
      </c>
      <c r="BF259" s="118" t="str">
        <f>IF(BF$6="","",IF(BF$3="Maior",IFERROR(IF(VLOOKUP($N259,Capa!$A:$AE,BF$5,0)="",0,VLOOKUP($N259,Capa!$A:$AE,BF$5,0)),0),IF(ISERROR(1/VLOOKUP($N259,Capa!$A:$AE,BF$5,0)),0,1/VLOOKUP($N259,Capa!$A:$AE,BF$5,0))))</f>
        <v/>
      </c>
      <c r="BG259" s="118" t="str">
        <f>IF(BG$6="","",IF(BG$3="Maior",IFERROR(IF(VLOOKUP($N259,Capa!$A:$AE,BG$5,0)="",0,VLOOKUP($N259,Capa!$A:$AE,BG$5,0)),0),IF(ISERROR(1/VLOOKUP($N259,Capa!$A:$AE,BG$5,0)),0,1/VLOOKUP($N259,Capa!$A:$AE,BG$5,0))))</f>
        <v/>
      </c>
      <c r="BH259" s="118" t="str">
        <f>IF(BH$6="","",IF(BH$3="Maior",IFERROR(IF(VLOOKUP($N259,Capa!$A:$AE,BH$5,0)="",0,VLOOKUP($N259,Capa!$A:$AE,BH$5,0)),0),IF(ISERROR(1/VLOOKUP($N259,Capa!$A:$AE,BH$5,0)),0,1/VLOOKUP($N259,Capa!$A:$AE,BH$5,0))))</f>
        <v/>
      </c>
      <c r="BI259" s="118" t="str">
        <f>IF(BI$6="","",IF(BI$3="Maior",IFERROR(IF(VLOOKUP($N259,Capa!$A:$AE,BI$5,0)="",0,VLOOKUP($N259,Capa!$A:$AE,BI$5,0)),0),IF(ISERROR(1/VLOOKUP($N259,Capa!$A:$AE,BI$5,0)),0,1/VLOOKUP($N259,Capa!$A:$AE,BI$5,0))))</f>
        <v/>
      </c>
      <c r="BJ259" s="118" t="str">
        <f>IF(BJ$6="","",IF(BJ$3="Maior",IFERROR(IF(VLOOKUP($N259,Capa!$A:$AE,BJ$5,0)="",0,VLOOKUP($N259,Capa!$A:$AE,BJ$5,0)),0),IF(ISERROR(1/VLOOKUP($N259,Capa!$A:$AE,BJ$5,0)),0,1/VLOOKUP($N259,Capa!$A:$AE,BJ$5,0))))</f>
        <v/>
      </c>
      <c r="BK259" s="118" t="str">
        <f>IF(BK$6="","",IF(BK$3="Maior",IFERROR(IF(VLOOKUP($N259,Capa!$A:$AE,BK$5,0)="",0,VLOOKUP($N259,Capa!$A:$AE,BK$5,0)),0),IF(ISERROR(1/VLOOKUP($N259,Capa!$A:$AE,BK$5,0)),0,1/VLOOKUP($N259,Capa!$A:$AE,BK$5,0))))</f>
        <v/>
      </c>
      <c r="BL259" s="118" t="str">
        <f>IF(BL$6="","",IF(BL$3="Maior",IFERROR(IF(VLOOKUP($N259,Capa!$A:$AE,BL$5,0)="",0,VLOOKUP($N259,Capa!$A:$AE,BL$5,0)),0),IF(ISERROR(1/VLOOKUP($N259,Capa!$A:$AE,BL$5,0)),0,1/VLOOKUP($N259,Capa!$A:$AE,BL$5,0))))</f>
        <v/>
      </c>
      <c r="BM259" s="118" t="str">
        <f>IF(BM$6="","",IF(BM$3="Maior",IFERROR(IF(VLOOKUP($N259,Capa!$A:$AE,BM$5,0)="",0,VLOOKUP($N259,Capa!$A:$AE,BM$5,0)),0),IF(ISERROR(1/VLOOKUP($N259,Capa!$A:$AE,BM$5,0)),0,1/VLOOKUP($N259,Capa!$A:$AE,BM$5,0))))</f>
        <v/>
      </c>
      <c r="BN259" s="118" t="str">
        <f>IF(BN$6="","",IF(BN$3="Maior",IFERROR(IF(VLOOKUP($N259,Capa!$A:$AE,BN$5,0)="",0,VLOOKUP($N259,Capa!$A:$AE,BN$5,0)),0),IF(ISERROR(1/VLOOKUP($N259,Capa!$A:$AE,BN$5,0)),0,1/VLOOKUP($N259,Capa!$A:$AE,BN$5,0))))</f>
        <v/>
      </c>
      <c r="BO259" s="92"/>
    </row>
    <row r="260">
      <c r="G260" s="11"/>
      <c r="H260" s="11"/>
      <c r="I260" s="8"/>
      <c r="J260" s="132"/>
      <c r="K260" s="11"/>
      <c r="L260" s="11"/>
      <c r="M260" s="11"/>
      <c r="N260" s="10" t="s">
        <v>306</v>
      </c>
      <c r="O260" s="113">
        <f t="shared" si="8"/>
        <v>1145.008</v>
      </c>
      <c r="P260" s="114">
        <f>VLOOKUP(N260,'Dados StatusInvest'!A:Z,26,0)</f>
        <v>2199858.92</v>
      </c>
      <c r="Q260" s="115">
        <f t="shared" si="9"/>
        <v>80.008</v>
      </c>
      <c r="R260" s="116">
        <f t="shared" ref="R260:AO260" si="263">IF(AQ260="","", RANK(AQ260,AQ$7:AQ$503,0))</f>
        <v>31</v>
      </c>
      <c r="S260" s="115">
        <f t="shared" si="263"/>
        <v>34</v>
      </c>
      <c r="T260" s="115" t="str">
        <f t="shared" si="263"/>
        <v/>
      </c>
      <c r="U260" s="115" t="str">
        <f t="shared" si="263"/>
        <v/>
      </c>
      <c r="V260" s="115" t="str">
        <f t="shared" si="263"/>
        <v/>
      </c>
      <c r="W260" s="115" t="str">
        <f t="shared" si="263"/>
        <v/>
      </c>
      <c r="X260" s="115" t="str">
        <f t="shared" si="263"/>
        <v/>
      </c>
      <c r="Y260" s="115" t="str">
        <f t="shared" si="263"/>
        <v/>
      </c>
      <c r="Z260" s="115" t="str">
        <f t="shared" si="263"/>
        <v/>
      </c>
      <c r="AA260" s="115" t="str">
        <f t="shared" si="263"/>
        <v/>
      </c>
      <c r="AB260" s="115" t="str">
        <f t="shared" si="263"/>
        <v/>
      </c>
      <c r="AC260" s="115" t="str">
        <f t="shared" si="263"/>
        <v/>
      </c>
      <c r="AD260" s="115" t="str">
        <f t="shared" si="263"/>
        <v/>
      </c>
      <c r="AE260" s="115" t="str">
        <f t="shared" si="263"/>
        <v/>
      </c>
      <c r="AF260" s="115" t="str">
        <f t="shared" si="263"/>
        <v/>
      </c>
      <c r="AG260" s="115" t="str">
        <f t="shared" si="263"/>
        <v/>
      </c>
      <c r="AH260" s="115" t="str">
        <f t="shared" si="263"/>
        <v/>
      </c>
      <c r="AI260" s="115" t="str">
        <f t="shared" si="263"/>
        <v/>
      </c>
      <c r="AJ260" s="115" t="str">
        <f t="shared" si="263"/>
        <v/>
      </c>
      <c r="AK260" s="115" t="str">
        <f t="shared" si="263"/>
        <v/>
      </c>
      <c r="AL260" s="115" t="str">
        <f t="shared" si="263"/>
        <v/>
      </c>
      <c r="AM260" s="115" t="str">
        <f t="shared" si="263"/>
        <v/>
      </c>
      <c r="AN260" s="115" t="str">
        <f t="shared" si="263"/>
        <v/>
      </c>
      <c r="AO260" s="115" t="str">
        <f t="shared" si="263"/>
        <v/>
      </c>
      <c r="AP260" s="117">
        <f>IF(AP$6="","",IF(AP$3="Maior",IFERROR(IF(VLOOKUP($N260,Capa!$A:$AE,AP$5,0)="",0,VLOOKUP($N260,Capa!$A:$AE,AP$5,0)),0),IF(ISERROR(1/VLOOKUP($N260,Capa!$A:$AE,AP$5,0)),0,1/VLOOKUP($N260,Capa!$A:$AE,AP$5,0))))</f>
        <v>0.210138622</v>
      </c>
      <c r="AQ260" s="118">
        <f>IF(AQ$6="","",IF(AQ$3="Maior",IFERROR(IF(VLOOKUP($N260,Capa!$A:$AE,AQ$5,0)="",0,VLOOKUP($N260,Capa!$A:$AE,AQ$5,0)),0),IF(ISERROR(1/VLOOKUP($N260,Capa!$A:$AE,AQ$5,0)),0,1/VLOOKUP($N260,Capa!$A:$AE,AQ$5,0))))</f>
        <v>36.14</v>
      </c>
      <c r="AR260" s="118">
        <f>IF(AR$6="","",IF(AR$3="Maior",IFERROR(IF(VLOOKUP($N260,Capa!$A:$AE,AR$5,0)="",0,VLOOKUP($N260,Capa!$A:$AE,AR$5,0)),0),IF(ISERROR(1/VLOOKUP($N260,Capa!$A:$AE,AR$5,0)),0,1/VLOOKUP($N260,Capa!$A:$AE,AR$5,0))))</f>
        <v>61.42</v>
      </c>
      <c r="AS260" s="118" t="str">
        <f>IF(AS$6="","",IF(AS$3="Maior",IFERROR(IF(VLOOKUP($N260,Capa!$A:$AE,AS$5,0)="",0,VLOOKUP($N260,Capa!$A:$AE,AS$5,0)),0),IF(ISERROR(1/VLOOKUP($N260,Capa!$A:$AE,AS$5,0)),0,1/VLOOKUP($N260,Capa!$A:$AE,AS$5,0))))</f>
        <v/>
      </c>
      <c r="AT260" s="118" t="str">
        <f>IF(AT$6="","",IF(AT$3="Maior",IFERROR(IF(VLOOKUP($N260,Capa!$A:$AE,AT$5,0)="",0,VLOOKUP($N260,Capa!$A:$AE,AT$5,0)),0),IF(ISERROR(1/VLOOKUP($N260,Capa!$A:$AE,AT$5,0)),0,1/VLOOKUP($N260,Capa!$A:$AE,AT$5,0))))</f>
        <v/>
      </c>
      <c r="AU260" s="118" t="str">
        <f>IF(AU$6="","",IF(AU$3="Maior",IFERROR(IF(VLOOKUP($N260,Capa!$A:$AE,AU$5,0)="",0,VLOOKUP($N260,Capa!$A:$AE,AU$5,0)),0),IF(ISERROR(1/VLOOKUP($N260,Capa!$A:$AE,AU$5,0)),0,1/VLOOKUP($N260,Capa!$A:$AE,AU$5,0))))</f>
        <v/>
      </c>
      <c r="AV260" s="118" t="str">
        <f>IF(AV$6="","",IF(AV$3="Maior",IFERROR(IF(VLOOKUP($N260,Capa!$A:$AE,AV$5,0)="",0,VLOOKUP($N260,Capa!$A:$AE,AV$5,0)),0),IF(ISERROR(1/VLOOKUP($N260,Capa!$A:$AE,AV$5,0)),0,1/VLOOKUP($N260,Capa!$A:$AE,AV$5,0))))</f>
        <v/>
      </c>
      <c r="AW260" s="118" t="str">
        <f>IF(AW$6="","",IF(AW$3="Maior",IFERROR(IF(VLOOKUP($N260,Capa!$A:$AE,AW$5,0)="",0,VLOOKUP($N260,Capa!$A:$AE,AW$5,0)),0),IF(ISERROR(1/VLOOKUP($N260,Capa!$A:$AE,AW$5,0)),0,1/VLOOKUP($N260,Capa!$A:$AE,AW$5,0))))</f>
        <v/>
      </c>
      <c r="AX260" s="118" t="str">
        <f>IF(AX$6="","",IF(AX$3="Maior",IFERROR(IF(VLOOKUP($N260,Capa!$A:$AE,AX$5,0)="",0,VLOOKUP($N260,Capa!$A:$AE,AX$5,0)),0),IF(ISERROR(1/VLOOKUP($N260,Capa!$A:$AE,AX$5,0)),0,1/VLOOKUP($N260,Capa!$A:$AE,AX$5,0))))</f>
        <v/>
      </c>
      <c r="AY260" s="118" t="str">
        <f>IF(AY$6="","",IF(AY$3="Maior",IFERROR(IF(VLOOKUP($N260,Capa!$A:$AE,AY$5,0)="",0,VLOOKUP($N260,Capa!$A:$AE,AY$5,0)),0),IF(ISERROR(1/VLOOKUP($N260,Capa!$A:$AE,AY$5,0)),0,1/VLOOKUP($N260,Capa!$A:$AE,AY$5,0))))</f>
        <v/>
      </c>
      <c r="AZ260" s="118" t="str">
        <f>IF(AZ$6="","",IF(AZ$3="Maior",IFERROR(IF(VLOOKUP($N260,Capa!$A:$AE,AZ$5,0)="",0,VLOOKUP($N260,Capa!$A:$AE,AZ$5,0)),0),IF(ISERROR(1/VLOOKUP($N260,Capa!$A:$AE,AZ$5,0)),0,1/VLOOKUP($N260,Capa!$A:$AE,AZ$5,0))))</f>
        <v/>
      </c>
      <c r="BA260" s="118" t="str">
        <f>IF(BA$6="","",IF(BA$3="Maior",IFERROR(IF(VLOOKUP($N260,Capa!$A:$AE,BA$5,0)="",0,VLOOKUP($N260,Capa!$A:$AE,BA$5,0)),0),IF(ISERROR(1/VLOOKUP($N260,Capa!$A:$AE,BA$5,0)),0,1/VLOOKUP($N260,Capa!$A:$AE,BA$5,0))))</f>
        <v/>
      </c>
      <c r="BB260" s="118" t="str">
        <f>IF(BB$6="","",IF(BB$3="Maior",IFERROR(IF(VLOOKUP($N260,Capa!$A:$AE,BB$5,0)="",0,VLOOKUP($N260,Capa!$A:$AE,BB$5,0)),0),IF(ISERROR(1/VLOOKUP($N260,Capa!$A:$AE,BB$5,0)),0,1/VLOOKUP($N260,Capa!$A:$AE,BB$5,0))))</f>
        <v/>
      </c>
      <c r="BC260" s="118" t="str">
        <f>IF(BC$6="","",IF(BC$3="Maior",IFERROR(IF(VLOOKUP($N260,Capa!$A:$AE,BC$5,0)="",0,VLOOKUP($N260,Capa!$A:$AE,BC$5,0)),0),IF(ISERROR(1/VLOOKUP($N260,Capa!$A:$AE,BC$5,0)),0,1/VLOOKUP($N260,Capa!$A:$AE,BC$5,0))))</f>
        <v/>
      </c>
      <c r="BD260" s="118" t="str">
        <f>IF(BD$6="","",IF(BD$3="Maior",IFERROR(IF(VLOOKUP($N260,Capa!$A:$AE,BD$5,0)="",0,VLOOKUP($N260,Capa!$A:$AE,BD$5,0)),0),IF(ISERROR(1/VLOOKUP($N260,Capa!$A:$AE,BD$5,0)),0,1/VLOOKUP($N260,Capa!$A:$AE,BD$5,0))))</f>
        <v/>
      </c>
      <c r="BE260" s="118" t="str">
        <f>IF(BE$6="","",IF(BE$3="Maior",IFERROR(IF(VLOOKUP($N260,Capa!$A:$AE,BE$5,0)="",0,VLOOKUP($N260,Capa!$A:$AE,BE$5,0)),0),IF(ISERROR(1/VLOOKUP($N260,Capa!$A:$AE,BE$5,0)),0,1/VLOOKUP($N260,Capa!$A:$AE,BE$5,0))))</f>
        <v/>
      </c>
      <c r="BF260" s="118" t="str">
        <f>IF(BF$6="","",IF(BF$3="Maior",IFERROR(IF(VLOOKUP($N260,Capa!$A:$AE,BF$5,0)="",0,VLOOKUP($N260,Capa!$A:$AE,BF$5,0)),0),IF(ISERROR(1/VLOOKUP($N260,Capa!$A:$AE,BF$5,0)),0,1/VLOOKUP($N260,Capa!$A:$AE,BF$5,0))))</f>
        <v/>
      </c>
      <c r="BG260" s="118" t="str">
        <f>IF(BG$6="","",IF(BG$3="Maior",IFERROR(IF(VLOOKUP($N260,Capa!$A:$AE,BG$5,0)="",0,VLOOKUP($N260,Capa!$A:$AE,BG$5,0)),0),IF(ISERROR(1/VLOOKUP($N260,Capa!$A:$AE,BG$5,0)),0,1/VLOOKUP($N260,Capa!$A:$AE,BG$5,0))))</f>
        <v/>
      </c>
      <c r="BH260" s="118" t="str">
        <f>IF(BH$6="","",IF(BH$3="Maior",IFERROR(IF(VLOOKUP($N260,Capa!$A:$AE,BH$5,0)="",0,VLOOKUP($N260,Capa!$A:$AE,BH$5,0)),0),IF(ISERROR(1/VLOOKUP($N260,Capa!$A:$AE,BH$5,0)),0,1/VLOOKUP($N260,Capa!$A:$AE,BH$5,0))))</f>
        <v/>
      </c>
      <c r="BI260" s="118" t="str">
        <f>IF(BI$6="","",IF(BI$3="Maior",IFERROR(IF(VLOOKUP($N260,Capa!$A:$AE,BI$5,0)="",0,VLOOKUP($N260,Capa!$A:$AE,BI$5,0)),0),IF(ISERROR(1/VLOOKUP($N260,Capa!$A:$AE,BI$5,0)),0,1/VLOOKUP($N260,Capa!$A:$AE,BI$5,0))))</f>
        <v/>
      </c>
      <c r="BJ260" s="118" t="str">
        <f>IF(BJ$6="","",IF(BJ$3="Maior",IFERROR(IF(VLOOKUP($N260,Capa!$A:$AE,BJ$5,0)="",0,VLOOKUP($N260,Capa!$A:$AE,BJ$5,0)),0),IF(ISERROR(1/VLOOKUP($N260,Capa!$A:$AE,BJ$5,0)),0,1/VLOOKUP($N260,Capa!$A:$AE,BJ$5,0))))</f>
        <v/>
      </c>
      <c r="BK260" s="118" t="str">
        <f>IF(BK$6="","",IF(BK$3="Maior",IFERROR(IF(VLOOKUP($N260,Capa!$A:$AE,BK$5,0)="",0,VLOOKUP($N260,Capa!$A:$AE,BK$5,0)),0),IF(ISERROR(1/VLOOKUP($N260,Capa!$A:$AE,BK$5,0)),0,1/VLOOKUP($N260,Capa!$A:$AE,BK$5,0))))</f>
        <v/>
      </c>
      <c r="BL260" s="118" t="str">
        <f>IF(BL$6="","",IF(BL$3="Maior",IFERROR(IF(VLOOKUP($N260,Capa!$A:$AE,BL$5,0)="",0,VLOOKUP($N260,Capa!$A:$AE,BL$5,0)),0),IF(ISERROR(1/VLOOKUP($N260,Capa!$A:$AE,BL$5,0)),0,1/VLOOKUP($N260,Capa!$A:$AE,BL$5,0))))</f>
        <v/>
      </c>
      <c r="BM260" s="118" t="str">
        <f>IF(BM$6="","",IF(BM$3="Maior",IFERROR(IF(VLOOKUP($N260,Capa!$A:$AE,BM$5,0)="",0,VLOOKUP($N260,Capa!$A:$AE,BM$5,0)),0),IF(ISERROR(1/VLOOKUP($N260,Capa!$A:$AE,BM$5,0)),0,1/VLOOKUP($N260,Capa!$A:$AE,BM$5,0))))</f>
        <v/>
      </c>
      <c r="BN260" s="118" t="str">
        <f>IF(BN$6="","",IF(BN$3="Maior",IFERROR(IF(VLOOKUP($N260,Capa!$A:$AE,BN$5,0)="",0,VLOOKUP($N260,Capa!$A:$AE,BN$5,0)),0),IF(ISERROR(1/VLOOKUP($N260,Capa!$A:$AE,BN$5,0)),0,1/VLOOKUP($N260,Capa!$A:$AE,BN$5,0))))</f>
        <v/>
      </c>
      <c r="BO260" s="92"/>
    </row>
    <row r="261">
      <c r="G261" s="11"/>
      <c r="H261" s="11"/>
      <c r="I261" s="8"/>
      <c r="J261" s="132"/>
      <c r="K261" s="11"/>
      <c r="L261" s="11"/>
      <c r="M261" s="11"/>
      <c r="N261" s="10" t="s">
        <v>307</v>
      </c>
      <c r="O261" s="113">
        <f t="shared" si="8"/>
        <v>1659.0191</v>
      </c>
      <c r="P261" s="114">
        <f>VLOOKUP(N261,'Dados StatusInvest'!A:Z,26,0)</f>
        <v>2499167.17</v>
      </c>
      <c r="Q261" s="115">
        <f t="shared" si="9"/>
        <v>191.0191</v>
      </c>
      <c r="R261" s="116">
        <f t="shared" ref="R261:AO261" si="264">IF(AQ261="","", RANK(AQ261,AQ$7:AQ$503,0))</f>
        <v>310</v>
      </c>
      <c r="S261" s="115">
        <f t="shared" si="264"/>
        <v>158</v>
      </c>
      <c r="T261" s="115" t="str">
        <f t="shared" si="264"/>
        <v/>
      </c>
      <c r="U261" s="115" t="str">
        <f t="shared" si="264"/>
        <v/>
      </c>
      <c r="V261" s="115" t="str">
        <f t="shared" si="264"/>
        <v/>
      </c>
      <c r="W261" s="115" t="str">
        <f t="shared" si="264"/>
        <v/>
      </c>
      <c r="X261" s="115" t="str">
        <f t="shared" si="264"/>
        <v/>
      </c>
      <c r="Y261" s="115" t="str">
        <f t="shared" si="264"/>
        <v/>
      </c>
      <c r="Z261" s="115" t="str">
        <f t="shared" si="264"/>
        <v/>
      </c>
      <c r="AA261" s="115" t="str">
        <f t="shared" si="264"/>
        <v/>
      </c>
      <c r="AB261" s="115" t="str">
        <f t="shared" si="264"/>
        <v/>
      </c>
      <c r="AC261" s="115" t="str">
        <f t="shared" si="264"/>
        <v/>
      </c>
      <c r="AD261" s="115" t="str">
        <f t="shared" si="264"/>
        <v/>
      </c>
      <c r="AE261" s="115" t="str">
        <f t="shared" si="264"/>
        <v/>
      </c>
      <c r="AF261" s="115" t="str">
        <f t="shared" si="264"/>
        <v/>
      </c>
      <c r="AG261" s="115" t="str">
        <f t="shared" si="264"/>
        <v/>
      </c>
      <c r="AH261" s="115" t="str">
        <f t="shared" si="264"/>
        <v/>
      </c>
      <c r="AI261" s="115" t="str">
        <f t="shared" si="264"/>
        <v/>
      </c>
      <c r="AJ261" s="115" t="str">
        <f t="shared" si="264"/>
        <v/>
      </c>
      <c r="AK261" s="115" t="str">
        <f t="shared" si="264"/>
        <v/>
      </c>
      <c r="AL261" s="115" t="str">
        <f t="shared" si="264"/>
        <v/>
      </c>
      <c r="AM261" s="115" t="str">
        <f t="shared" si="264"/>
        <v/>
      </c>
      <c r="AN261" s="115" t="str">
        <f t="shared" si="264"/>
        <v/>
      </c>
      <c r="AO261" s="115" t="str">
        <f t="shared" si="264"/>
        <v/>
      </c>
      <c r="AP261" s="117">
        <f>IF(AP$6="","",IF(AP$3="Maior",IFERROR(IF(VLOOKUP($N261,Capa!$A:$AE,AP$5,0)="",0,VLOOKUP($N261,Capa!$A:$AE,AP$5,0)),0),IF(ISERROR(1/VLOOKUP($N261,Capa!$A:$AE,AP$5,0)),0,1/VLOOKUP($N261,Capa!$A:$AE,AP$5,0))))</f>
        <v>0.1115283688</v>
      </c>
      <c r="AQ261" s="118">
        <f>IF(AQ$6="","",IF(AQ$3="Maior",IFERROR(IF(VLOOKUP($N261,Capa!$A:$AE,AQ$5,0)="",0,VLOOKUP($N261,Capa!$A:$AE,AQ$5,0)),0),IF(ISERROR(1/VLOOKUP($N261,Capa!$A:$AE,AQ$5,0)),0,1/VLOOKUP($N261,Capa!$A:$AE,AQ$5,0))))</f>
        <v>4.39</v>
      </c>
      <c r="AR261" s="118">
        <f>IF(AR$6="","",IF(AR$3="Maior",IFERROR(IF(VLOOKUP($N261,Capa!$A:$AE,AR$5,0)="",0,VLOOKUP($N261,Capa!$A:$AE,AR$5,0)),0),IF(ISERROR(1/VLOOKUP($N261,Capa!$A:$AE,AR$5,0)),0,1/VLOOKUP($N261,Capa!$A:$AE,AR$5,0))))</f>
        <v>11.74</v>
      </c>
      <c r="AS261" s="118" t="str">
        <f>IF(AS$6="","",IF(AS$3="Maior",IFERROR(IF(VLOOKUP($N261,Capa!$A:$AE,AS$5,0)="",0,VLOOKUP($N261,Capa!$A:$AE,AS$5,0)),0),IF(ISERROR(1/VLOOKUP($N261,Capa!$A:$AE,AS$5,0)),0,1/VLOOKUP($N261,Capa!$A:$AE,AS$5,0))))</f>
        <v/>
      </c>
      <c r="AT261" s="118" t="str">
        <f>IF(AT$6="","",IF(AT$3="Maior",IFERROR(IF(VLOOKUP($N261,Capa!$A:$AE,AT$5,0)="",0,VLOOKUP($N261,Capa!$A:$AE,AT$5,0)),0),IF(ISERROR(1/VLOOKUP($N261,Capa!$A:$AE,AT$5,0)),0,1/VLOOKUP($N261,Capa!$A:$AE,AT$5,0))))</f>
        <v/>
      </c>
      <c r="AU261" s="118" t="str">
        <f>IF(AU$6="","",IF(AU$3="Maior",IFERROR(IF(VLOOKUP($N261,Capa!$A:$AE,AU$5,0)="",0,VLOOKUP($N261,Capa!$A:$AE,AU$5,0)),0),IF(ISERROR(1/VLOOKUP($N261,Capa!$A:$AE,AU$5,0)),0,1/VLOOKUP($N261,Capa!$A:$AE,AU$5,0))))</f>
        <v/>
      </c>
      <c r="AV261" s="118" t="str">
        <f>IF(AV$6="","",IF(AV$3="Maior",IFERROR(IF(VLOOKUP($N261,Capa!$A:$AE,AV$5,0)="",0,VLOOKUP($N261,Capa!$A:$AE,AV$5,0)),0),IF(ISERROR(1/VLOOKUP($N261,Capa!$A:$AE,AV$5,0)),0,1/VLOOKUP($N261,Capa!$A:$AE,AV$5,0))))</f>
        <v/>
      </c>
      <c r="AW261" s="118" t="str">
        <f>IF(AW$6="","",IF(AW$3="Maior",IFERROR(IF(VLOOKUP($N261,Capa!$A:$AE,AW$5,0)="",0,VLOOKUP($N261,Capa!$A:$AE,AW$5,0)),0),IF(ISERROR(1/VLOOKUP($N261,Capa!$A:$AE,AW$5,0)),0,1/VLOOKUP($N261,Capa!$A:$AE,AW$5,0))))</f>
        <v/>
      </c>
      <c r="AX261" s="118" t="str">
        <f>IF(AX$6="","",IF(AX$3="Maior",IFERROR(IF(VLOOKUP($N261,Capa!$A:$AE,AX$5,0)="",0,VLOOKUP($N261,Capa!$A:$AE,AX$5,0)),0),IF(ISERROR(1/VLOOKUP($N261,Capa!$A:$AE,AX$5,0)),0,1/VLOOKUP($N261,Capa!$A:$AE,AX$5,0))))</f>
        <v/>
      </c>
      <c r="AY261" s="118" t="str">
        <f>IF(AY$6="","",IF(AY$3="Maior",IFERROR(IF(VLOOKUP($N261,Capa!$A:$AE,AY$5,0)="",0,VLOOKUP($N261,Capa!$A:$AE,AY$5,0)),0),IF(ISERROR(1/VLOOKUP($N261,Capa!$A:$AE,AY$5,0)),0,1/VLOOKUP($N261,Capa!$A:$AE,AY$5,0))))</f>
        <v/>
      </c>
      <c r="AZ261" s="118" t="str">
        <f>IF(AZ$6="","",IF(AZ$3="Maior",IFERROR(IF(VLOOKUP($N261,Capa!$A:$AE,AZ$5,0)="",0,VLOOKUP($N261,Capa!$A:$AE,AZ$5,0)),0),IF(ISERROR(1/VLOOKUP($N261,Capa!$A:$AE,AZ$5,0)),0,1/VLOOKUP($N261,Capa!$A:$AE,AZ$5,0))))</f>
        <v/>
      </c>
      <c r="BA261" s="118" t="str">
        <f>IF(BA$6="","",IF(BA$3="Maior",IFERROR(IF(VLOOKUP($N261,Capa!$A:$AE,BA$5,0)="",0,VLOOKUP($N261,Capa!$A:$AE,BA$5,0)),0),IF(ISERROR(1/VLOOKUP($N261,Capa!$A:$AE,BA$5,0)),0,1/VLOOKUP($N261,Capa!$A:$AE,BA$5,0))))</f>
        <v/>
      </c>
      <c r="BB261" s="118" t="str">
        <f>IF(BB$6="","",IF(BB$3="Maior",IFERROR(IF(VLOOKUP($N261,Capa!$A:$AE,BB$5,0)="",0,VLOOKUP($N261,Capa!$A:$AE,BB$5,0)),0),IF(ISERROR(1/VLOOKUP($N261,Capa!$A:$AE,BB$5,0)),0,1/VLOOKUP($N261,Capa!$A:$AE,BB$5,0))))</f>
        <v/>
      </c>
      <c r="BC261" s="118" t="str">
        <f>IF(BC$6="","",IF(BC$3="Maior",IFERROR(IF(VLOOKUP($N261,Capa!$A:$AE,BC$5,0)="",0,VLOOKUP($N261,Capa!$A:$AE,BC$5,0)),0),IF(ISERROR(1/VLOOKUP($N261,Capa!$A:$AE,BC$5,0)),0,1/VLOOKUP($N261,Capa!$A:$AE,BC$5,0))))</f>
        <v/>
      </c>
      <c r="BD261" s="118" t="str">
        <f>IF(BD$6="","",IF(BD$3="Maior",IFERROR(IF(VLOOKUP($N261,Capa!$A:$AE,BD$5,0)="",0,VLOOKUP($N261,Capa!$A:$AE,BD$5,0)),0),IF(ISERROR(1/VLOOKUP($N261,Capa!$A:$AE,BD$5,0)),0,1/VLOOKUP($N261,Capa!$A:$AE,BD$5,0))))</f>
        <v/>
      </c>
      <c r="BE261" s="118" t="str">
        <f>IF(BE$6="","",IF(BE$3="Maior",IFERROR(IF(VLOOKUP($N261,Capa!$A:$AE,BE$5,0)="",0,VLOOKUP($N261,Capa!$A:$AE,BE$5,0)),0),IF(ISERROR(1/VLOOKUP($N261,Capa!$A:$AE,BE$5,0)),0,1/VLOOKUP($N261,Capa!$A:$AE,BE$5,0))))</f>
        <v/>
      </c>
      <c r="BF261" s="118" t="str">
        <f>IF(BF$6="","",IF(BF$3="Maior",IFERROR(IF(VLOOKUP($N261,Capa!$A:$AE,BF$5,0)="",0,VLOOKUP($N261,Capa!$A:$AE,BF$5,0)),0),IF(ISERROR(1/VLOOKUP($N261,Capa!$A:$AE,BF$5,0)),0,1/VLOOKUP($N261,Capa!$A:$AE,BF$5,0))))</f>
        <v/>
      </c>
      <c r="BG261" s="118" t="str">
        <f>IF(BG$6="","",IF(BG$3="Maior",IFERROR(IF(VLOOKUP($N261,Capa!$A:$AE,BG$5,0)="",0,VLOOKUP($N261,Capa!$A:$AE,BG$5,0)),0),IF(ISERROR(1/VLOOKUP($N261,Capa!$A:$AE,BG$5,0)),0,1/VLOOKUP($N261,Capa!$A:$AE,BG$5,0))))</f>
        <v/>
      </c>
      <c r="BH261" s="118" t="str">
        <f>IF(BH$6="","",IF(BH$3="Maior",IFERROR(IF(VLOOKUP($N261,Capa!$A:$AE,BH$5,0)="",0,VLOOKUP($N261,Capa!$A:$AE,BH$5,0)),0),IF(ISERROR(1/VLOOKUP($N261,Capa!$A:$AE,BH$5,0)),0,1/VLOOKUP($N261,Capa!$A:$AE,BH$5,0))))</f>
        <v/>
      </c>
      <c r="BI261" s="118" t="str">
        <f>IF(BI$6="","",IF(BI$3="Maior",IFERROR(IF(VLOOKUP($N261,Capa!$A:$AE,BI$5,0)="",0,VLOOKUP($N261,Capa!$A:$AE,BI$5,0)),0),IF(ISERROR(1/VLOOKUP($N261,Capa!$A:$AE,BI$5,0)),0,1/VLOOKUP($N261,Capa!$A:$AE,BI$5,0))))</f>
        <v/>
      </c>
      <c r="BJ261" s="118" t="str">
        <f>IF(BJ$6="","",IF(BJ$3="Maior",IFERROR(IF(VLOOKUP($N261,Capa!$A:$AE,BJ$5,0)="",0,VLOOKUP($N261,Capa!$A:$AE,BJ$5,0)),0),IF(ISERROR(1/VLOOKUP($N261,Capa!$A:$AE,BJ$5,0)),0,1/VLOOKUP($N261,Capa!$A:$AE,BJ$5,0))))</f>
        <v/>
      </c>
      <c r="BK261" s="118" t="str">
        <f>IF(BK$6="","",IF(BK$3="Maior",IFERROR(IF(VLOOKUP($N261,Capa!$A:$AE,BK$5,0)="",0,VLOOKUP($N261,Capa!$A:$AE,BK$5,0)),0),IF(ISERROR(1/VLOOKUP($N261,Capa!$A:$AE,BK$5,0)),0,1/VLOOKUP($N261,Capa!$A:$AE,BK$5,0))))</f>
        <v/>
      </c>
      <c r="BL261" s="118" t="str">
        <f>IF(BL$6="","",IF(BL$3="Maior",IFERROR(IF(VLOOKUP($N261,Capa!$A:$AE,BL$5,0)="",0,VLOOKUP($N261,Capa!$A:$AE,BL$5,0)),0),IF(ISERROR(1/VLOOKUP($N261,Capa!$A:$AE,BL$5,0)),0,1/VLOOKUP($N261,Capa!$A:$AE,BL$5,0))))</f>
        <v/>
      </c>
      <c r="BM261" s="118" t="str">
        <f>IF(BM$6="","",IF(BM$3="Maior",IFERROR(IF(VLOOKUP($N261,Capa!$A:$AE,BM$5,0)="",0,VLOOKUP($N261,Capa!$A:$AE,BM$5,0)),0),IF(ISERROR(1/VLOOKUP($N261,Capa!$A:$AE,BM$5,0)),0,1/VLOOKUP($N261,Capa!$A:$AE,BM$5,0))))</f>
        <v/>
      </c>
      <c r="BN261" s="118" t="str">
        <f>IF(BN$6="","",IF(BN$3="Maior",IFERROR(IF(VLOOKUP($N261,Capa!$A:$AE,BN$5,0)="",0,VLOOKUP($N261,Capa!$A:$AE,BN$5,0)),0),IF(ISERROR(1/VLOOKUP($N261,Capa!$A:$AE,BN$5,0)),0,1/VLOOKUP($N261,Capa!$A:$AE,BN$5,0))))</f>
        <v/>
      </c>
      <c r="BO261" s="92"/>
    </row>
    <row r="262">
      <c r="G262" s="11"/>
      <c r="H262" s="11"/>
      <c r="I262" s="8"/>
      <c r="J262" s="132"/>
      <c r="K262" s="11"/>
      <c r="L262" s="11"/>
      <c r="M262" s="11"/>
      <c r="N262" s="10" t="s">
        <v>308</v>
      </c>
      <c r="O262" s="113">
        <f t="shared" si="8"/>
        <v>1436.0098</v>
      </c>
      <c r="P262" s="114">
        <f>VLOOKUP(N262,'Dados StatusInvest'!A:Z,26,0)</f>
        <v>2285509.79</v>
      </c>
      <c r="Q262" s="115">
        <f t="shared" si="9"/>
        <v>98.0098</v>
      </c>
      <c r="R262" s="116">
        <f t="shared" ref="R262:AO262" si="265">IF(AQ262="","", RANK(AQ262,AQ$7:AQ$503,0))</f>
        <v>198</v>
      </c>
      <c r="S262" s="115">
        <f t="shared" si="265"/>
        <v>140</v>
      </c>
      <c r="T262" s="115" t="str">
        <f t="shared" si="265"/>
        <v/>
      </c>
      <c r="U262" s="115" t="str">
        <f t="shared" si="265"/>
        <v/>
      </c>
      <c r="V262" s="115" t="str">
        <f t="shared" si="265"/>
        <v/>
      </c>
      <c r="W262" s="115" t="str">
        <f t="shared" si="265"/>
        <v/>
      </c>
      <c r="X262" s="115" t="str">
        <f t="shared" si="265"/>
        <v/>
      </c>
      <c r="Y262" s="115" t="str">
        <f t="shared" si="265"/>
        <v/>
      </c>
      <c r="Z262" s="115" t="str">
        <f t="shared" si="265"/>
        <v/>
      </c>
      <c r="AA262" s="115" t="str">
        <f t="shared" si="265"/>
        <v/>
      </c>
      <c r="AB262" s="115" t="str">
        <f t="shared" si="265"/>
        <v/>
      </c>
      <c r="AC262" s="115" t="str">
        <f t="shared" si="265"/>
        <v/>
      </c>
      <c r="AD262" s="115" t="str">
        <f t="shared" si="265"/>
        <v/>
      </c>
      <c r="AE262" s="115" t="str">
        <f t="shared" si="265"/>
        <v/>
      </c>
      <c r="AF262" s="115" t="str">
        <f t="shared" si="265"/>
        <v/>
      </c>
      <c r="AG262" s="115" t="str">
        <f t="shared" si="265"/>
        <v/>
      </c>
      <c r="AH262" s="115" t="str">
        <f t="shared" si="265"/>
        <v/>
      </c>
      <c r="AI262" s="115" t="str">
        <f t="shared" si="265"/>
        <v/>
      </c>
      <c r="AJ262" s="115" t="str">
        <f t="shared" si="265"/>
        <v/>
      </c>
      <c r="AK262" s="115" t="str">
        <f t="shared" si="265"/>
        <v/>
      </c>
      <c r="AL262" s="115" t="str">
        <f t="shared" si="265"/>
        <v/>
      </c>
      <c r="AM262" s="115" t="str">
        <f t="shared" si="265"/>
        <v/>
      </c>
      <c r="AN262" s="115" t="str">
        <f t="shared" si="265"/>
        <v/>
      </c>
      <c r="AO262" s="115" t="str">
        <f t="shared" si="265"/>
        <v/>
      </c>
      <c r="AP262" s="117">
        <f>IF(AP$6="","",IF(AP$3="Maior",IFERROR(IF(VLOOKUP($N262,Capa!$A:$AE,AP$5,0)="",0,VLOOKUP($N262,Capa!$A:$AE,AP$5,0)),0),IF(ISERROR(1/VLOOKUP($N262,Capa!$A:$AE,AP$5,0)),0,1/VLOOKUP($N262,Capa!$A:$AE,AP$5,0))))</f>
        <v>0.1902802777</v>
      </c>
      <c r="AQ262" s="118">
        <f>IF(AQ$6="","",IF(AQ$3="Maior",IFERROR(IF(VLOOKUP($N262,Capa!$A:$AE,AQ$5,0)="",0,VLOOKUP($N262,Capa!$A:$AE,AQ$5,0)),0),IF(ISERROR(1/VLOOKUP($N262,Capa!$A:$AE,AQ$5,0)),0,1/VLOOKUP($N262,Capa!$A:$AE,AQ$5,0))))</f>
        <v>11.19</v>
      </c>
      <c r="AR262" s="118">
        <f>IF(AR$6="","",IF(AR$3="Maior",IFERROR(IF(VLOOKUP($N262,Capa!$A:$AE,AR$5,0)="",0,VLOOKUP($N262,Capa!$A:$AE,AR$5,0)),0),IF(ISERROR(1/VLOOKUP($N262,Capa!$A:$AE,AR$5,0)),0,1/VLOOKUP($N262,Capa!$A:$AE,AR$5,0))))</f>
        <v>18.72</v>
      </c>
      <c r="AS262" s="118" t="str">
        <f>IF(AS$6="","",IF(AS$3="Maior",IFERROR(IF(VLOOKUP($N262,Capa!$A:$AE,AS$5,0)="",0,VLOOKUP($N262,Capa!$A:$AE,AS$5,0)),0),IF(ISERROR(1/VLOOKUP($N262,Capa!$A:$AE,AS$5,0)),0,1/VLOOKUP($N262,Capa!$A:$AE,AS$5,0))))</f>
        <v/>
      </c>
      <c r="AT262" s="118" t="str">
        <f>IF(AT$6="","",IF(AT$3="Maior",IFERROR(IF(VLOOKUP($N262,Capa!$A:$AE,AT$5,0)="",0,VLOOKUP($N262,Capa!$A:$AE,AT$5,0)),0),IF(ISERROR(1/VLOOKUP($N262,Capa!$A:$AE,AT$5,0)),0,1/VLOOKUP($N262,Capa!$A:$AE,AT$5,0))))</f>
        <v/>
      </c>
      <c r="AU262" s="118" t="str">
        <f>IF(AU$6="","",IF(AU$3="Maior",IFERROR(IF(VLOOKUP($N262,Capa!$A:$AE,AU$5,0)="",0,VLOOKUP($N262,Capa!$A:$AE,AU$5,0)),0),IF(ISERROR(1/VLOOKUP($N262,Capa!$A:$AE,AU$5,0)),0,1/VLOOKUP($N262,Capa!$A:$AE,AU$5,0))))</f>
        <v/>
      </c>
      <c r="AV262" s="118" t="str">
        <f>IF(AV$6="","",IF(AV$3="Maior",IFERROR(IF(VLOOKUP($N262,Capa!$A:$AE,AV$5,0)="",0,VLOOKUP($N262,Capa!$A:$AE,AV$5,0)),0),IF(ISERROR(1/VLOOKUP($N262,Capa!$A:$AE,AV$5,0)),0,1/VLOOKUP($N262,Capa!$A:$AE,AV$5,0))))</f>
        <v/>
      </c>
      <c r="AW262" s="118" t="str">
        <f>IF(AW$6="","",IF(AW$3="Maior",IFERROR(IF(VLOOKUP($N262,Capa!$A:$AE,AW$5,0)="",0,VLOOKUP($N262,Capa!$A:$AE,AW$5,0)),0),IF(ISERROR(1/VLOOKUP($N262,Capa!$A:$AE,AW$5,0)),0,1/VLOOKUP($N262,Capa!$A:$AE,AW$5,0))))</f>
        <v/>
      </c>
      <c r="AX262" s="118" t="str">
        <f>IF(AX$6="","",IF(AX$3="Maior",IFERROR(IF(VLOOKUP($N262,Capa!$A:$AE,AX$5,0)="",0,VLOOKUP($N262,Capa!$A:$AE,AX$5,0)),0),IF(ISERROR(1/VLOOKUP($N262,Capa!$A:$AE,AX$5,0)),0,1/VLOOKUP($N262,Capa!$A:$AE,AX$5,0))))</f>
        <v/>
      </c>
      <c r="AY262" s="118" t="str">
        <f>IF(AY$6="","",IF(AY$3="Maior",IFERROR(IF(VLOOKUP($N262,Capa!$A:$AE,AY$5,0)="",0,VLOOKUP($N262,Capa!$A:$AE,AY$5,0)),0),IF(ISERROR(1/VLOOKUP($N262,Capa!$A:$AE,AY$5,0)),0,1/VLOOKUP($N262,Capa!$A:$AE,AY$5,0))))</f>
        <v/>
      </c>
      <c r="AZ262" s="118" t="str">
        <f>IF(AZ$6="","",IF(AZ$3="Maior",IFERROR(IF(VLOOKUP($N262,Capa!$A:$AE,AZ$5,0)="",0,VLOOKUP($N262,Capa!$A:$AE,AZ$5,0)),0),IF(ISERROR(1/VLOOKUP($N262,Capa!$A:$AE,AZ$5,0)),0,1/VLOOKUP($N262,Capa!$A:$AE,AZ$5,0))))</f>
        <v/>
      </c>
      <c r="BA262" s="118" t="str">
        <f>IF(BA$6="","",IF(BA$3="Maior",IFERROR(IF(VLOOKUP($N262,Capa!$A:$AE,BA$5,0)="",0,VLOOKUP($N262,Capa!$A:$AE,BA$5,0)),0),IF(ISERROR(1/VLOOKUP($N262,Capa!$A:$AE,BA$5,0)),0,1/VLOOKUP($N262,Capa!$A:$AE,BA$5,0))))</f>
        <v/>
      </c>
      <c r="BB262" s="118" t="str">
        <f>IF(BB$6="","",IF(BB$3="Maior",IFERROR(IF(VLOOKUP($N262,Capa!$A:$AE,BB$5,0)="",0,VLOOKUP($N262,Capa!$A:$AE,BB$5,0)),0),IF(ISERROR(1/VLOOKUP($N262,Capa!$A:$AE,BB$5,0)),0,1/VLOOKUP($N262,Capa!$A:$AE,BB$5,0))))</f>
        <v/>
      </c>
      <c r="BC262" s="118" t="str">
        <f>IF(BC$6="","",IF(BC$3="Maior",IFERROR(IF(VLOOKUP($N262,Capa!$A:$AE,BC$5,0)="",0,VLOOKUP($N262,Capa!$A:$AE,BC$5,0)),0),IF(ISERROR(1/VLOOKUP($N262,Capa!$A:$AE,BC$5,0)),0,1/VLOOKUP($N262,Capa!$A:$AE,BC$5,0))))</f>
        <v/>
      </c>
      <c r="BD262" s="118" t="str">
        <f>IF(BD$6="","",IF(BD$3="Maior",IFERROR(IF(VLOOKUP($N262,Capa!$A:$AE,BD$5,0)="",0,VLOOKUP($N262,Capa!$A:$AE,BD$5,0)),0),IF(ISERROR(1/VLOOKUP($N262,Capa!$A:$AE,BD$5,0)),0,1/VLOOKUP($N262,Capa!$A:$AE,BD$5,0))))</f>
        <v/>
      </c>
      <c r="BE262" s="118" t="str">
        <f>IF(BE$6="","",IF(BE$3="Maior",IFERROR(IF(VLOOKUP($N262,Capa!$A:$AE,BE$5,0)="",0,VLOOKUP($N262,Capa!$A:$AE,BE$5,0)),0),IF(ISERROR(1/VLOOKUP($N262,Capa!$A:$AE,BE$5,0)),0,1/VLOOKUP($N262,Capa!$A:$AE,BE$5,0))))</f>
        <v/>
      </c>
      <c r="BF262" s="118" t="str">
        <f>IF(BF$6="","",IF(BF$3="Maior",IFERROR(IF(VLOOKUP($N262,Capa!$A:$AE,BF$5,0)="",0,VLOOKUP($N262,Capa!$A:$AE,BF$5,0)),0),IF(ISERROR(1/VLOOKUP($N262,Capa!$A:$AE,BF$5,0)),0,1/VLOOKUP($N262,Capa!$A:$AE,BF$5,0))))</f>
        <v/>
      </c>
      <c r="BG262" s="118" t="str">
        <f>IF(BG$6="","",IF(BG$3="Maior",IFERROR(IF(VLOOKUP($N262,Capa!$A:$AE,BG$5,0)="",0,VLOOKUP($N262,Capa!$A:$AE,BG$5,0)),0),IF(ISERROR(1/VLOOKUP($N262,Capa!$A:$AE,BG$5,0)),0,1/VLOOKUP($N262,Capa!$A:$AE,BG$5,0))))</f>
        <v/>
      </c>
      <c r="BH262" s="118" t="str">
        <f>IF(BH$6="","",IF(BH$3="Maior",IFERROR(IF(VLOOKUP($N262,Capa!$A:$AE,BH$5,0)="",0,VLOOKUP($N262,Capa!$A:$AE,BH$5,0)),0),IF(ISERROR(1/VLOOKUP($N262,Capa!$A:$AE,BH$5,0)),0,1/VLOOKUP($N262,Capa!$A:$AE,BH$5,0))))</f>
        <v/>
      </c>
      <c r="BI262" s="118" t="str">
        <f>IF(BI$6="","",IF(BI$3="Maior",IFERROR(IF(VLOOKUP($N262,Capa!$A:$AE,BI$5,0)="",0,VLOOKUP($N262,Capa!$A:$AE,BI$5,0)),0),IF(ISERROR(1/VLOOKUP($N262,Capa!$A:$AE,BI$5,0)),0,1/VLOOKUP($N262,Capa!$A:$AE,BI$5,0))))</f>
        <v/>
      </c>
      <c r="BJ262" s="118" t="str">
        <f>IF(BJ$6="","",IF(BJ$3="Maior",IFERROR(IF(VLOOKUP($N262,Capa!$A:$AE,BJ$5,0)="",0,VLOOKUP($N262,Capa!$A:$AE,BJ$5,0)),0),IF(ISERROR(1/VLOOKUP($N262,Capa!$A:$AE,BJ$5,0)),0,1/VLOOKUP($N262,Capa!$A:$AE,BJ$5,0))))</f>
        <v/>
      </c>
      <c r="BK262" s="118" t="str">
        <f>IF(BK$6="","",IF(BK$3="Maior",IFERROR(IF(VLOOKUP($N262,Capa!$A:$AE,BK$5,0)="",0,VLOOKUP($N262,Capa!$A:$AE,BK$5,0)),0),IF(ISERROR(1/VLOOKUP($N262,Capa!$A:$AE,BK$5,0)),0,1/VLOOKUP($N262,Capa!$A:$AE,BK$5,0))))</f>
        <v/>
      </c>
      <c r="BL262" s="118" t="str">
        <f>IF(BL$6="","",IF(BL$3="Maior",IFERROR(IF(VLOOKUP($N262,Capa!$A:$AE,BL$5,0)="",0,VLOOKUP($N262,Capa!$A:$AE,BL$5,0)),0),IF(ISERROR(1/VLOOKUP($N262,Capa!$A:$AE,BL$5,0)),0,1/VLOOKUP($N262,Capa!$A:$AE,BL$5,0))))</f>
        <v/>
      </c>
      <c r="BM262" s="118" t="str">
        <f>IF(BM$6="","",IF(BM$3="Maior",IFERROR(IF(VLOOKUP($N262,Capa!$A:$AE,BM$5,0)="",0,VLOOKUP($N262,Capa!$A:$AE,BM$5,0)),0),IF(ISERROR(1/VLOOKUP($N262,Capa!$A:$AE,BM$5,0)),0,1/VLOOKUP($N262,Capa!$A:$AE,BM$5,0))))</f>
        <v/>
      </c>
      <c r="BN262" s="118" t="str">
        <f>IF(BN$6="","",IF(BN$3="Maior",IFERROR(IF(VLOOKUP($N262,Capa!$A:$AE,BN$5,0)="",0,VLOOKUP($N262,Capa!$A:$AE,BN$5,0)),0),IF(ISERROR(1/VLOOKUP($N262,Capa!$A:$AE,BN$5,0)),0,1/VLOOKUP($N262,Capa!$A:$AE,BN$5,0))))</f>
        <v/>
      </c>
      <c r="BO262" s="92"/>
    </row>
    <row r="263">
      <c r="G263" s="11"/>
      <c r="H263" s="11"/>
      <c r="I263" s="8"/>
      <c r="J263" s="132"/>
      <c r="K263" s="11"/>
      <c r="L263" s="11"/>
      <c r="M263" s="11"/>
      <c r="N263" s="10" t="s">
        <v>309</v>
      </c>
      <c r="O263" s="113">
        <f t="shared" si="8"/>
        <v>2190.0478</v>
      </c>
      <c r="P263" s="114">
        <f>VLOOKUP(N263,'Dados StatusInvest'!A:Z,26,0)</f>
        <v>1157941.04</v>
      </c>
      <c r="Q263" s="115">
        <f t="shared" si="9"/>
        <v>478.0478</v>
      </c>
      <c r="R263" s="116">
        <f t="shared" ref="R263:AO263" si="266">IF(AQ263="","", RANK(AQ263,AQ$7:AQ$503,0))</f>
        <v>493</v>
      </c>
      <c r="S263" s="115">
        <f t="shared" si="266"/>
        <v>219</v>
      </c>
      <c r="T263" s="115" t="str">
        <f t="shared" si="266"/>
        <v/>
      </c>
      <c r="U263" s="115" t="str">
        <f t="shared" si="266"/>
        <v/>
      </c>
      <c r="V263" s="115" t="str">
        <f t="shared" si="266"/>
        <v/>
      </c>
      <c r="W263" s="115" t="str">
        <f t="shared" si="266"/>
        <v/>
      </c>
      <c r="X263" s="115" t="str">
        <f t="shared" si="266"/>
        <v/>
      </c>
      <c r="Y263" s="115" t="str">
        <f t="shared" si="266"/>
        <v/>
      </c>
      <c r="Z263" s="115" t="str">
        <f t="shared" si="266"/>
        <v/>
      </c>
      <c r="AA263" s="115" t="str">
        <f t="shared" si="266"/>
        <v/>
      </c>
      <c r="AB263" s="115" t="str">
        <f t="shared" si="266"/>
        <v/>
      </c>
      <c r="AC263" s="115" t="str">
        <f t="shared" si="266"/>
        <v/>
      </c>
      <c r="AD263" s="115" t="str">
        <f t="shared" si="266"/>
        <v/>
      </c>
      <c r="AE263" s="115" t="str">
        <f t="shared" si="266"/>
        <v/>
      </c>
      <c r="AF263" s="115" t="str">
        <f t="shared" si="266"/>
        <v/>
      </c>
      <c r="AG263" s="115" t="str">
        <f t="shared" si="266"/>
        <v/>
      </c>
      <c r="AH263" s="115" t="str">
        <f t="shared" si="266"/>
        <v/>
      </c>
      <c r="AI263" s="115" t="str">
        <f t="shared" si="266"/>
        <v/>
      </c>
      <c r="AJ263" s="115" t="str">
        <f t="shared" si="266"/>
        <v/>
      </c>
      <c r="AK263" s="115" t="str">
        <f t="shared" si="266"/>
        <v/>
      </c>
      <c r="AL263" s="115" t="str">
        <f t="shared" si="266"/>
        <v/>
      </c>
      <c r="AM263" s="115" t="str">
        <f t="shared" si="266"/>
        <v/>
      </c>
      <c r="AN263" s="115" t="str">
        <f t="shared" si="266"/>
        <v/>
      </c>
      <c r="AO263" s="115" t="str">
        <f t="shared" si="266"/>
        <v/>
      </c>
      <c r="AP263" s="117">
        <f>IF(AP$6="","",IF(AP$3="Maior",IFERROR(IF(VLOOKUP($N263,Capa!$A:$AE,AP$5,0)="",0,VLOOKUP($N263,Capa!$A:$AE,AP$5,0)),0),IF(ISERROR(1/VLOOKUP($N263,Capa!$A:$AE,AP$5,0)),0,1/VLOOKUP($N263,Capa!$A:$AE,AP$5,0))))</f>
        <v>-0.2187634486</v>
      </c>
      <c r="AQ263" s="118">
        <f>IF(AQ$6="","",IF(AQ$3="Maior",IFERROR(IF(VLOOKUP($N263,Capa!$A:$AE,AQ$5,0)="",0,VLOOKUP($N263,Capa!$A:$AE,AQ$5,0)),0),IF(ISERROR(1/VLOOKUP($N263,Capa!$A:$AE,AQ$5,0)),0,1/VLOOKUP($N263,Capa!$A:$AE,AQ$5,0))))</f>
        <v>-280.83</v>
      </c>
      <c r="AR263" s="118">
        <f>IF(AR$6="","",IF(AR$3="Maior",IFERROR(IF(VLOOKUP($N263,Capa!$A:$AE,AR$5,0)="",0,VLOOKUP($N263,Capa!$A:$AE,AR$5,0)),0),IF(ISERROR(1/VLOOKUP($N263,Capa!$A:$AE,AR$5,0)),0,1/VLOOKUP($N263,Capa!$A:$AE,AR$5,0))))</f>
        <v>0</v>
      </c>
      <c r="AS263" s="118" t="str">
        <f>IF(AS$6="","",IF(AS$3="Maior",IFERROR(IF(VLOOKUP($N263,Capa!$A:$AE,AS$5,0)="",0,VLOOKUP($N263,Capa!$A:$AE,AS$5,0)),0),IF(ISERROR(1/VLOOKUP($N263,Capa!$A:$AE,AS$5,0)),0,1/VLOOKUP($N263,Capa!$A:$AE,AS$5,0))))</f>
        <v/>
      </c>
      <c r="AT263" s="118" t="str">
        <f>IF(AT$6="","",IF(AT$3="Maior",IFERROR(IF(VLOOKUP($N263,Capa!$A:$AE,AT$5,0)="",0,VLOOKUP($N263,Capa!$A:$AE,AT$5,0)),0),IF(ISERROR(1/VLOOKUP($N263,Capa!$A:$AE,AT$5,0)),0,1/VLOOKUP($N263,Capa!$A:$AE,AT$5,0))))</f>
        <v/>
      </c>
      <c r="AU263" s="118" t="str">
        <f>IF(AU$6="","",IF(AU$3="Maior",IFERROR(IF(VLOOKUP($N263,Capa!$A:$AE,AU$5,0)="",0,VLOOKUP($N263,Capa!$A:$AE,AU$5,0)),0),IF(ISERROR(1/VLOOKUP($N263,Capa!$A:$AE,AU$5,0)),0,1/VLOOKUP($N263,Capa!$A:$AE,AU$5,0))))</f>
        <v/>
      </c>
      <c r="AV263" s="118" t="str">
        <f>IF(AV$6="","",IF(AV$3="Maior",IFERROR(IF(VLOOKUP($N263,Capa!$A:$AE,AV$5,0)="",0,VLOOKUP($N263,Capa!$A:$AE,AV$5,0)),0),IF(ISERROR(1/VLOOKUP($N263,Capa!$A:$AE,AV$5,0)),0,1/VLOOKUP($N263,Capa!$A:$AE,AV$5,0))))</f>
        <v/>
      </c>
      <c r="AW263" s="118" t="str">
        <f>IF(AW$6="","",IF(AW$3="Maior",IFERROR(IF(VLOOKUP($N263,Capa!$A:$AE,AW$5,0)="",0,VLOOKUP($N263,Capa!$A:$AE,AW$5,0)),0),IF(ISERROR(1/VLOOKUP($N263,Capa!$A:$AE,AW$5,0)),0,1/VLOOKUP($N263,Capa!$A:$AE,AW$5,0))))</f>
        <v/>
      </c>
      <c r="AX263" s="118" t="str">
        <f>IF(AX$6="","",IF(AX$3="Maior",IFERROR(IF(VLOOKUP($N263,Capa!$A:$AE,AX$5,0)="",0,VLOOKUP($N263,Capa!$A:$AE,AX$5,0)),0),IF(ISERROR(1/VLOOKUP($N263,Capa!$A:$AE,AX$5,0)),0,1/VLOOKUP($N263,Capa!$A:$AE,AX$5,0))))</f>
        <v/>
      </c>
      <c r="AY263" s="118" t="str">
        <f>IF(AY$6="","",IF(AY$3="Maior",IFERROR(IF(VLOOKUP($N263,Capa!$A:$AE,AY$5,0)="",0,VLOOKUP($N263,Capa!$A:$AE,AY$5,0)),0),IF(ISERROR(1/VLOOKUP($N263,Capa!$A:$AE,AY$5,0)),0,1/VLOOKUP($N263,Capa!$A:$AE,AY$5,0))))</f>
        <v/>
      </c>
      <c r="AZ263" s="118" t="str">
        <f>IF(AZ$6="","",IF(AZ$3="Maior",IFERROR(IF(VLOOKUP($N263,Capa!$A:$AE,AZ$5,0)="",0,VLOOKUP($N263,Capa!$A:$AE,AZ$5,0)),0),IF(ISERROR(1/VLOOKUP($N263,Capa!$A:$AE,AZ$5,0)),0,1/VLOOKUP($N263,Capa!$A:$AE,AZ$5,0))))</f>
        <v/>
      </c>
      <c r="BA263" s="118" t="str">
        <f>IF(BA$6="","",IF(BA$3="Maior",IFERROR(IF(VLOOKUP($N263,Capa!$A:$AE,BA$5,0)="",0,VLOOKUP($N263,Capa!$A:$AE,BA$5,0)),0),IF(ISERROR(1/VLOOKUP($N263,Capa!$A:$AE,BA$5,0)),0,1/VLOOKUP($N263,Capa!$A:$AE,BA$5,0))))</f>
        <v/>
      </c>
      <c r="BB263" s="118" t="str">
        <f>IF(BB$6="","",IF(BB$3="Maior",IFERROR(IF(VLOOKUP($N263,Capa!$A:$AE,BB$5,0)="",0,VLOOKUP($N263,Capa!$A:$AE,BB$5,0)),0),IF(ISERROR(1/VLOOKUP($N263,Capa!$A:$AE,BB$5,0)),0,1/VLOOKUP($N263,Capa!$A:$AE,BB$5,0))))</f>
        <v/>
      </c>
      <c r="BC263" s="118" t="str">
        <f>IF(BC$6="","",IF(BC$3="Maior",IFERROR(IF(VLOOKUP($N263,Capa!$A:$AE,BC$5,0)="",0,VLOOKUP($N263,Capa!$A:$AE,BC$5,0)),0),IF(ISERROR(1/VLOOKUP($N263,Capa!$A:$AE,BC$5,0)),0,1/VLOOKUP($N263,Capa!$A:$AE,BC$5,0))))</f>
        <v/>
      </c>
      <c r="BD263" s="118" t="str">
        <f>IF(BD$6="","",IF(BD$3="Maior",IFERROR(IF(VLOOKUP($N263,Capa!$A:$AE,BD$5,0)="",0,VLOOKUP($N263,Capa!$A:$AE,BD$5,0)),0),IF(ISERROR(1/VLOOKUP($N263,Capa!$A:$AE,BD$5,0)),0,1/VLOOKUP($N263,Capa!$A:$AE,BD$5,0))))</f>
        <v/>
      </c>
      <c r="BE263" s="118" t="str">
        <f>IF(BE$6="","",IF(BE$3="Maior",IFERROR(IF(VLOOKUP($N263,Capa!$A:$AE,BE$5,0)="",0,VLOOKUP($N263,Capa!$A:$AE,BE$5,0)),0),IF(ISERROR(1/VLOOKUP($N263,Capa!$A:$AE,BE$5,0)),0,1/VLOOKUP($N263,Capa!$A:$AE,BE$5,0))))</f>
        <v/>
      </c>
      <c r="BF263" s="118" t="str">
        <f>IF(BF$6="","",IF(BF$3="Maior",IFERROR(IF(VLOOKUP($N263,Capa!$A:$AE,BF$5,0)="",0,VLOOKUP($N263,Capa!$A:$AE,BF$5,0)),0),IF(ISERROR(1/VLOOKUP($N263,Capa!$A:$AE,BF$5,0)),0,1/VLOOKUP($N263,Capa!$A:$AE,BF$5,0))))</f>
        <v/>
      </c>
      <c r="BG263" s="118" t="str">
        <f>IF(BG$6="","",IF(BG$3="Maior",IFERROR(IF(VLOOKUP($N263,Capa!$A:$AE,BG$5,0)="",0,VLOOKUP($N263,Capa!$A:$AE,BG$5,0)),0),IF(ISERROR(1/VLOOKUP($N263,Capa!$A:$AE,BG$5,0)),0,1/VLOOKUP($N263,Capa!$A:$AE,BG$5,0))))</f>
        <v/>
      </c>
      <c r="BH263" s="118" t="str">
        <f>IF(BH$6="","",IF(BH$3="Maior",IFERROR(IF(VLOOKUP($N263,Capa!$A:$AE,BH$5,0)="",0,VLOOKUP($N263,Capa!$A:$AE,BH$5,0)),0),IF(ISERROR(1/VLOOKUP($N263,Capa!$A:$AE,BH$5,0)),0,1/VLOOKUP($N263,Capa!$A:$AE,BH$5,0))))</f>
        <v/>
      </c>
      <c r="BI263" s="118" t="str">
        <f>IF(BI$6="","",IF(BI$3="Maior",IFERROR(IF(VLOOKUP($N263,Capa!$A:$AE,BI$5,0)="",0,VLOOKUP($N263,Capa!$A:$AE,BI$5,0)),0),IF(ISERROR(1/VLOOKUP($N263,Capa!$A:$AE,BI$5,0)),0,1/VLOOKUP($N263,Capa!$A:$AE,BI$5,0))))</f>
        <v/>
      </c>
      <c r="BJ263" s="118" t="str">
        <f>IF(BJ$6="","",IF(BJ$3="Maior",IFERROR(IF(VLOOKUP($N263,Capa!$A:$AE,BJ$5,0)="",0,VLOOKUP($N263,Capa!$A:$AE,BJ$5,0)),0),IF(ISERROR(1/VLOOKUP($N263,Capa!$A:$AE,BJ$5,0)),0,1/VLOOKUP($N263,Capa!$A:$AE,BJ$5,0))))</f>
        <v/>
      </c>
      <c r="BK263" s="118" t="str">
        <f>IF(BK$6="","",IF(BK$3="Maior",IFERROR(IF(VLOOKUP($N263,Capa!$A:$AE,BK$5,0)="",0,VLOOKUP($N263,Capa!$A:$AE,BK$5,0)),0),IF(ISERROR(1/VLOOKUP($N263,Capa!$A:$AE,BK$5,0)),0,1/VLOOKUP($N263,Capa!$A:$AE,BK$5,0))))</f>
        <v/>
      </c>
      <c r="BL263" s="118" t="str">
        <f>IF(BL$6="","",IF(BL$3="Maior",IFERROR(IF(VLOOKUP($N263,Capa!$A:$AE,BL$5,0)="",0,VLOOKUP($N263,Capa!$A:$AE,BL$5,0)),0),IF(ISERROR(1/VLOOKUP($N263,Capa!$A:$AE,BL$5,0)),0,1/VLOOKUP($N263,Capa!$A:$AE,BL$5,0))))</f>
        <v/>
      </c>
      <c r="BM263" s="118" t="str">
        <f>IF(BM$6="","",IF(BM$3="Maior",IFERROR(IF(VLOOKUP($N263,Capa!$A:$AE,BM$5,0)="",0,VLOOKUP($N263,Capa!$A:$AE,BM$5,0)),0),IF(ISERROR(1/VLOOKUP($N263,Capa!$A:$AE,BM$5,0)),0,1/VLOOKUP($N263,Capa!$A:$AE,BM$5,0))))</f>
        <v/>
      </c>
      <c r="BN263" s="118" t="str">
        <f>IF(BN$6="","",IF(BN$3="Maior",IFERROR(IF(VLOOKUP($N263,Capa!$A:$AE,BN$5,0)="",0,VLOOKUP($N263,Capa!$A:$AE,BN$5,0)),0),IF(ISERROR(1/VLOOKUP($N263,Capa!$A:$AE,BN$5,0)),0,1/VLOOKUP($N263,Capa!$A:$AE,BN$5,0))))</f>
        <v/>
      </c>
      <c r="BO263" s="92"/>
    </row>
    <row r="264">
      <c r="G264" s="11"/>
      <c r="H264" s="11"/>
      <c r="I264" s="8"/>
      <c r="J264" s="132"/>
      <c r="K264" s="11"/>
      <c r="L264" s="11"/>
      <c r="M264" s="11"/>
      <c r="N264" s="10" t="s">
        <v>310</v>
      </c>
      <c r="O264" s="113">
        <f t="shared" si="8"/>
        <v>1363.0054</v>
      </c>
      <c r="P264" s="114">
        <f>VLOOKUP(N264,'Dados StatusInvest'!A:Z,26,0)</f>
        <v>2887612.33</v>
      </c>
      <c r="Q264" s="115">
        <f t="shared" si="9"/>
        <v>54.0054</v>
      </c>
      <c r="R264" s="116">
        <f t="shared" ref="R264:AO264" si="267">IF(AQ264="","", RANK(AQ264,AQ$7:AQ$503,0))</f>
        <v>90</v>
      </c>
      <c r="S264" s="115">
        <f t="shared" si="267"/>
        <v>219</v>
      </c>
      <c r="T264" s="115" t="str">
        <f t="shared" si="267"/>
        <v/>
      </c>
      <c r="U264" s="115" t="str">
        <f t="shared" si="267"/>
        <v/>
      </c>
      <c r="V264" s="115" t="str">
        <f t="shared" si="267"/>
        <v/>
      </c>
      <c r="W264" s="115" t="str">
        <f t="shared" si="267"/>
        <v/>
      </c>
      <c r="X264" s="115" t="str">
        <f t="shared" si="267"/>
        <v/>
      </c>
      <c r="Y264" s="115" t="str">
        <f t="shared" si="267"/>
        <v/>
      </c>
      <c r="Z264" s="115" t="str">
        <f t="shared" si="267"/>
        <v/>
      </c>
      <c r="AA264" s="115" t="str">
        <f t="shared" si="267"/>
        <v/>
      </c>
      <c r="AB264" s="115" t="str">
        <f t="shared" si="267"/>
        <v/>
      </c>
      <c r="AC264" s="115" t="str">
        <f t="shared" si="267"/>
        <v/>
      </c>
      <c r="AD264" s="115" t="str">
        <f t="shared" si="267"/>
        <v/>
      </c>
      <c r="AE264" s="115" t="str">
        <f t="shared" si="267"/>
        <v/>
      </c>
      <c r="AF264" s="115" t="str">
        <f t="shared" si="267"/>
        <v/>
      </c>
      <c r="AG264" s="115" t="str">
        <f t="shared" si="267"/>
        <v/>
      </c>
      <c r="AH264" s="115" t="str">
        <f t="shared" si="267"/>
        <v/>
      </c>
      <c r="AI264" s="115" t="str">
        <f t="shared" si="267"/>
        <v/>
      </c>
      <c r="AJ264" s="115" t="str">
        <f t="shared" si="267"/>
        <v/>
      </c>
      <c r="AK264" s="115" t="str">
        <f t="shared" si="267"/>
        <v/>
      </c>
      <c r="AL264" s="115" t="str">
        <f t="shared" si="267"/>
        <v/>
      </c>
      <c r="AM264" s="115" t="str">
        <f t="shared" si="267"/>
        <v/>
      </c>
      <c r="AN264" s="115" t="str">
        <f t="shared" si="267"/>
        <v/>
      </c>
      <c r="AO264" s="115" t="str">
        <f t="shared" si="267"/>
        <v/>
      </c>
      <c r="AP264" s="117">
        <f>IF(AP$6="","",IF(AP$3="Maior",IFERROR(IF(VLOOKUP($N264,Capa!$A:$AE,AP$5,0)="",0,VLOOKUP($N264,Capa!$A:$AE,AP$5,0)),0),IF(ISERROR(1/VLOOKUP($N264,Capa!$A:$AE,AP$5,0)),0,1/VLOOKUP($N264,Capa!$A:$AE,AP$5,0))))</f>
        <v>0.2390661747</v>
      </c>
      <c r="AQ264" s="118">
        <f>IF(AQ$6="","",IF(AQ$3="Maior",IFERROR(IF(VLOOKUP($N264,Capa!$A:$AE,AQ$5,0)="",0,VLOOKUP($N264,Capa!$A:$AE,AQ$5,0)),0),IF(ISERROR(1/VLOOKUP($N264,Capa!$A:$AE,AQ$5,0)),0,1/VLOOKUP($N264,Capa!$A:$AE,AQ$5,0))))</f>
        <v>18.49</v>
      </c>
      <c r="AR264" s="118">
        <f>IF(AR$6="","",IF(AR$3="Maior",IFERROR(IF(VLOOKUP($N264,Capa!$A:$AE,AR$5,0)="",0,VLOOKUP($N264,Capa!$A:$AE,AR$5,0)),0),IF(ISERROR(1/VLOOKUP($N264,Capa!$A:$AE,AR$5,0)),0,1/VLOOKUP($N264,Capa!$A:$AE,AR$5,0))))</f>
        <v>0</v>
      </c>
      <c r="AS264" s="118" t="str">
        <f>IF(AS$6="","",IF(AS$3="Maior",IFERROR(IF(VLOOKUP($N264,Capa!$A:$AE,AS$5,0)="",0,VLOOKUP($N264,Capa!$A:$AE,AS$5,0)),0),IF(ISERROR(1/VLOOKUP($N264,Capa!$A:$AE,AS$5,0)),0,1/VLOOKUP($N264,Capa!$A:$AE,AS$5,0))))</f>
        <v/>
      </c>
      <c r="AT264" s="118" t="str">
        <f>IF(AT$6="","",IF(AT$3="Maior",IFERROR(IF(VLOOKUP($N264,Capa!$A:$AE,AT$5,0)="",0,VLOOKUP($N264,Capa!$A:$AE,AT$5,0)),0),IF(ISERROR(1/VLOOKUP($N264,Capa!$A:$AE,AT$5,0)),0,1/VLOOKUP($N264,Capa!$A:$AE,AT$5,0))))</f>
        <v/>
      </c>
      <c r="AU264" s="118" t="str">
        <f>IF(AU$6="","",IF(AU$3="Maior",IFERROR(IF(VLOOKUP($N264,Capa!$A:$AE,AU$5,0)="",0,VLOOKUP($N264,Capa!$A:$AE,AU$5,0)),0),IF(ISERROR(1/VLOOKUP($N264,Capa!$A:$AE,AU$5,0)),0,1/VLOOKUP($N264,Capa!$A:$AE,AU$5,0))))</f>
        <v/>
      </c>
      <c r="AV264" s="118" t="str">
        <f>IF(AV$6="","",IF(AV$3="Maior",IFERROR(IF(VLOOKUP($N264,Capa!$A:$AE,AV$5,0)="",0,VLOOKUP($N264,Capa!$A:$AE,AV$5,0)),0),IF(ISERROR(1/VLOOKUP($N264,Capa!$A:$AE,AV$5,0)),0,1/VLOOKUP($N264,Capa!$A:$AE,AV$5,0))))</f>
        <v/>
      </c>
      <c r="AW264" s="118" t="str">
        <f>IF(AW$6="","",IF(AW$3="Maior",IFERROR(IF(VLOOKUP($N264,Capa!$A:$AE,AW$5,0)="",0,VLOOKUP($N264,Capa!$A:$AE,AW$5,0)),0),IF(ISERROR(1/VLOOKUP($N264,Capa!$A:$AE,AW$5,0)),0,1/VLOOKUP($N264,Capa!$A:$AE,AW$5,0))))</f>
        <v/>
      </c>
      <c r="AX264" s="118" t="str">
        <f>IF(AX$6="","",IF(AX$3="Maior",IFERROR(IF(VLOOKUP($N264,Capa!$A:$AE,AX$5,0)="",0,VLOOKUP($N264,Capa!$A:$AE,AX$5,0)),0),IF(ISERROR(1/VLOOKUP($N264,Capa!$A:$AE,AX$5,0)),0,1/VLOOKUP($N264,Capa!$A:$AE,AX$5,0))))</f>
        <v/>
      </c>
      <c r="AY264" s="118" t="str">
        <f>IF(AY$6="","",IF(AY$3="Maior",IFERROR(IF(VLOOKUP($N264,Capa!$A:$AE,AY$5,0)="",0,VLOOKUP($N264,Capa!$A:$AE,AY$5,0)),0),IF(ISERROR(1/VLOOKUP($N264,Capa!$A:$AE,AY$5,0)),0,1/VLOOKUP($N264,Capa!$A:$AE,AY$5,0))))</f>
        <v/>
      </c>
      <c r="AZ264" s="118" t="str">
        <f>IF(AZ$6="","",IF(AZ$3="Maior",IFERROR(IF(VLOOKUP($N264,Capa!$A:$AE,AZ$5,0)="",0,VLOOKUP($N264,Capa!$A:$AE,AZ$5,0)),0),IF(ISERROR(1/VLOOKUP($N264,Capa!$A:$AE,AZ$5,0)),0,1/VLOOKUP($N264,Capa!$A:$AE,AZ$5,0))))</f>
        <v/>
      </c>
      <c r="BA264" s="118" t="str">
        <f>IF(BA$6="","",IF(BA$3="Maior",IFERROR(IF(VLOOKUP($N264,Capa!$A:$AE,BA$5,0)="",0,VLOOKUP($N264,Capa!$A:$AE,BA$5,0)),0),IF(ISERROR(1/VLOOKUP($N264,Capa!$A:$AE,BA$5,0)),0,1/VLOOKUP($N264,Capa!$A:$AE,BA$5,0))))</f>
        <v/>
      </c>
      <c r="BB264" s="118" t="str">
        <f>IF(BB$6="","",IF(BB$3="Maior",IFERROR(IF(VLOOKUP($N264,Capa!$A:$AE,BB$5,0)="",0,VLOOKUP($N264,Capa!$A:$AE,BB$5,0)),0),IF(ISERROR(1/VLOOKUP($N264,Capa!$A:$AE,BB$5,0)),0,1/VLOOKUP($N264,Capa!$A:$AE,BB$5,0))))</f>
        <v/>
      </c>
      <c r="BC264" s="118" t="str">
        <f>IF(BC$6="","",IF(BC$3="Maior",IFERROR(IF(VLOOKUP($N264,Capa!$A:$AE,BC$5,0)="",0,VLOOKUP($N264,Capa!$A:$AE,BC$5,0)),0),IF(ISERROR(1/VLOOKUP($N264,Capa!$A:$AE,BC$5,0)),0,1/VLOOKUP($N264,Capa!$A:$AE,BC$5,0))))</f>
        <v/>
      </c>
      <c r="BD264" s="118" t="str">
        <f>IF(BD$6="","",IF(BD$3="Maior",IFERROR(IF(VLOOKUP($N264,Capa!$A:$AE,BD$5,0)="",0,VLOOKUP($N264,Capa!$A:$AE,BD$5,0)),0),IF(ISERROR(1/VLOOKUP($N264,Capa!$A:$AE,BD$5,0)),0,1/VLOOKUP($N264,Capa!$A:$AE,BD$5,0))))</f>
        <v/>
      </c>
      <c r="BE264" s="118" t="str">
        <f>IF(BE$6="","",IF(BE$3="Maior",IFERROR(IF(VLOOKUP($N264,Capa!$A:$AE,BE$5,0)="",0,VLOOKUP($N264,Capa!$A:$AE,BE$5,0)),0),IF(ISERROR(1/VLOOKUP($N264,Capa!$A:$AE,BE$5,0)),0,1/VLOOKUP($N264,Capa!$A:$AE,BE$5,0))))</f>
        <v/>
      </c>
      <c r="BF264" s="118" t="str">
        <f>IF(BF$6="","",IF(BF$3="Maior",IFERROR(IF(VLOOKUP($N264,Capa!$A:$AE,BF$5,0)="",0,VLOOKUP($N264,Capa!$A:$AE,BF$5,0)),0),IF(ISERROR(1/VLOOKUP($N264,Capa!$A:$AE,BF$5,0)),0,1/VLOOKUP($N264,Capa!$A:$AE,BF$5,0))))</f>
        <v/>
      </c>
      <c r="BG264" s="118" t="str">
        <f>IF(BG$6="","",IF(BG$3="Maior",IFERROR(IF(VLOOKUP($N264,Capa!$A:$AE,BG$5,0)="",0,VLOOKUP($N264,Capa!$A:$AE,BG$5,0)),0),IF(ISERROR(1/VLOOKUP($N264,Capa!$A:$AE,BG$5,0)),0,1/VLOOKUP($N264,Capa!$A:$AE,BG$5,0))))</f>
        <v/>
      </c>
      <c r="BH264" s="118" t="str">
        <f>IF(BH$6="","",IF(BH$3="Maior",IFERROR(IF(VLOOKUP($N264,Capa!$A:$AE,BH$5,0)="",0,VLOOKUP($N264,Capa!$A:$AE,BH$5,0)),0),IF(ISERROR(1/VLOOKUP($N264,Capa!$A:$AE,BH$5,0)),0,1/VLOOKUP($N264,Capa!$A:$AE,BH$5,0))))</f>
        <v/>
      </c>
      <c r="BI264" s="118" t="str">
        <f>IF(BI$6="","",IF(BI$3="Maior",IFERROR(IF(VLOOKUP($N264,Capa!$A:$AE,BI$5,0)="",0,VLOOKUP($N264,Capa!$A:$AE,BI$5,0)),0),IF(ISERROR(1/VLOOKUP($N264,Capa!$A:$AE,BI$5,0)),0,1/VLOOKUP($N264,Capa!$A:$AE,BI$5,0))))</f>
        <v/>
      </c>
      <c r="BJ264" s="118" t="str">
        <f>IF(BJ$6="","",IF(BJ$3="Maior",IFERROR(IF(VLOOKUP($N264,Capa!$A:$AE,BJ$5,0)="",0,VLOOKUP($N264,Capa!$A:$AE,BJ$5,0)),0),IF(ISERROR(1/VLOOKUP($N264,Capa!$A:$AE,BJ$5,0)),0,1/VLOOKUP($N264,Capa!$A:$AE,BJ$5,0))))</f>
        <v/>
      </c>
      <c r="BK264" s="118" t="str">
        <f>IF(BK$6="","",IF(BK$3="Maior",IFERROR(IF(VLOOKUP($N264,Capa!$A:$AE,BK$5,0)="",0,VLOOKUP($N264,Capa!$A:$AE,BK$5,0)),0),IF(ISERROR(1/VLOOKUP($N264,Capa!$A:$AE,BK$5,0)),0,1/VLOOKUP($N264,Capa!$A:$AE,BK$5,0))))</f>
        <v/>
      </c>
      <c r="BL264" s="118" t="str">
        <f>IF(BL$6="","",IF(BL$3="Maior",IFERROR(IF(VLOOKUP($N264,Capa!$A:$AE,BL$5,0)="",0,VLOOKUP($N264,Capa!$A:$AE,BL$5,0)),0),IF(ISERROR(1/VLOOKUP($N264,Capa!$A:$AE,BL$5,0)),0,1/VLOOKUP($N264,Capa!$A:$AE,BL$5,0))))</f>
        <v/>
      </c>
      <c r="BM264" s="118" t="str">
        <f>IF(BM$6="","",IF(BM$3="Maior",IFERROR(IF(VLOOKUP($N264,Capa!$A:$AE,BM$5,0)="",0,VLOOKUP($N264,Capa!$A:$AE,BM$5,0)),0),IF(ISERROR(1/VLOOKUP($N264,Capa!$A:$AE,BM$5,0)),0,1/VLOOKUP($N264,Capa!$A:$AE,BM$5,0))))</f>
        <v/>
      </c>
      <c r="BN264" s="118" t="str">
        <f>IF(BN$6="","",IF(BN$3="Maior",IFERROR(IF(VLOOKUP($N264,Capa!$A:$AE,BN$5,0)="",0,VLOOKUP($N264,Capa!$A:$AE,BN$5,0)),0),IF(ISERROR(1/VLOOKUP($N264,Capa!$A:$AE,BN$5,0)),0,1/VLOOKUP($N264,Capa!$A:$AE,BN$5,0))))</f>
        <v/>
      </c>
      <c r="BO264" s="92"/>
    </row>
    <row r="265">
      <c r="G265" s="11"/>
      <c r="H265" s="11"/>
      <c r="I265" s="8"/>
      <c r="J265" s="132"/>
      <c r="K265" s="11"/>
      <c r="L265" s="11"/>
      <c r="M265" s="11"/>
      <c r="N265" s="10" t="s">
        <v>311</v>
      </c>
      <c r="O265" s="113">
        <f t="shared" si="8"/>
        <v>1926.0385</v>
      </c>
      <c r="P265" s="114">
        <f>VLOOKUP(N265,'Dados StatusInvest'!A:Z,26,0)</f>
        <v>1836110.96</v>
      </c>
      <c r="Q265" s="115">
        <f t="shared" si="9"/>
        <v>385.0385</v>
      </c>
      <c r="R265" s="116">
        <f t="shared" ref="R265:AO265" si="268">IF(AQ265="","", RANK(AQ265,AQ$7:AQ$503,0))</f>
        <v>322</v>
      </c>
      <c r="S265" s="115">
        <f t="shared" si="268"/>
        <v>219</v>
      </c>
      <c r="T265" s="115" t="str">
        <f t="shared" si="268"/>
        <v/>
      </c>
      <c r="U265" s="115" t="str">
        <f t="shared" si="268"/>
        <v/>
      </c>
      <c r="V265" s="115" t="str">
        <f t="shared" si="268"/>
        <v/>
      </c>
      <c r="W265" s="115" t="str">
        <f t="shared" si="268"/>
        <v/>
      </c>
      <c r="X265" s="115" t="str">
        <f t="shared" si="268"/>
        <v/>
      </c>
      <c r="Y265" s="115" t="str">
        <f t="shared" si="268"/>
        <v/>
      </c>
      <c r="Z265" s="115" t="str">
        <f t="shared" si="268"/>
        <v/>
      </c>
      <c r="AA265" s="115" t="str">
        <f t="shared" si="268"/>
        <v/>
      </c>
      <c r="AB265" s="115" t="str">
        <f t="shared" si="268"/>
        <v/>
      </c>
      <c r="AC265" s="115" t="str">
        <f t="shared" si="268"/>
        <v/>
      </c>
      <c r="AD265" s="115" t="str">
        <f t="shared" si="268"/>
        <v/>
      </c>
      <c r="AE265" s="115" t="str">
        <f t="shared" si="268"/>
        <v/>
      </c>
      <c r="AF265" s="115" t="str">
        <f t="shared" si="268"/>
        <v/>
      </c>
      <c r="AG265" s="115" t="str">
        <f t="shared" si="268"/>
        <v/>
      </c>
      <c r="AH265" s="115" t="str">
        <f t="shared" si="268"/>
        <v/>
      </c>
      <c r="AI265" s="115" t="str">
        <f t="shared" si="268"/>
        <v/>
      </c>
      <c r="AJ265" s="115" t="str">
        <f t="shared" si="268"/>
        <v/>
      </c>
      <c r="AK265" s="115" t="str">
        <f t="shared" si="268"/>
        <v/>
      </c>
      <c r="AL265" s="115" t="str">
        <f t="shared" si="268"/>
        <v/>
      </c>
      <c r="AM265" s="115" t="str">
        <f t="shared" si="268"/>
        <v/>
      </c>
      <c r="AN265" s="115" t="str">
        <f t="shared" si="268"/>
        <v/>
      </c>
      <c r="AO265" s="115" t="str">
        <f t="shared" si="268"/>
        <v/>
      </c>
      <c r="AP265" s="117">
        <f>IF(AP$6="","",IF(AP$3="Maior",IFERROR(IF(VLOOKUP($N265,Capa!$A:$AE,AP$5,0)="",0,VLOOKUP($N265,Capa!$A:$AE,AP$5,0)),0),IF(ISERROR(1/VLOOKUP($N265,Capa!$A:$AE,AP$5,0)),0,1/VLOOKUP($N265,Capa!$A:$AE,AP$5,0))))</f>
        <v>0.01219510889</v>
      </c>
      <c r="AQ265" s="118">
        <f>IF(AQ$6="","",IF(AQ$3="Maior",IFERROR(IF(VLOOKUP($N265,Capa!$A:$AE,AQ$5,0)="",0,VLOOKUP($N265,Capa!$A:$AE,AQ$5,0)),0),IF(ISERROR(1/VLOOKUP($N265,Capa!$A:$AE,AQ$5,0)),0,1/VLOOKUP($N265,Capa!$A:$AE,AQ$5,0))))</f>
        <v>3.46</v>
      </c>
      <c r="AR265" s="118">
        <f>IF(AR$6="","",IF(AR$3="Maior",IFERROR(IF(VLOOKUP($N265,Capa!$A:$AE,AR$5,0)="",0,VLOOKUP($N265,Capa!$A:$AE,AR$5,0)),0),IF(ISERROR(1/VLOOKUP($N265,Capa!$A:$AE,AR$5,0)),0,1/VLOOKUP($N265,Capa!$A:$AE,AR$5,0))))</f>
        <v>0</v>
      </c>
      <c r="AS265" s="118" t="str">
        <f>IF(AS$6="","",IF(AS$3="Maior",IFERROR(IF(VLOOKUP($N265,Capa!$A:$AE,AS$5,0)="",0,VLOOKUP($N265,Capa!$A:$AE,AS$5,0)),0),IF(ISERROR(1/VLOOKUP($N265,Capa!$A:$AE,AS$5,0)),0,1/VLOOKUP($N265,Capa!$A:$AE,AS$5,0))))</f>
        <v/>
      </c>
      <c r="AT265" s="118" t="str">
        <f>IF(AT$6="","",IF(AT$3="Maior",IFERROR(IF(VLOOKUP($N265,Capa!$A:$AE,AT$5,0)="",0,VLOOKUP($N265,Capa!$A:$AE,AT$5,0)),0),IF(ISERROR(1/VLOOKUP($N265,Capa!$A:$AE,AT$5,0)),0,1/VLOOKUP($N265,Capa!$A:$AE,AT$5,0))))</f>
        <v/>
      </c>
      <c r="AU265" s="118" t="str">
        <f>IF(AU$6="","",IF(AU$3="Maior",IFERROR(IF(VLOOKUP($N265,Capa!$A:$AE,AU$5,0)="",0,VLOOKUP($N265,Capa!$A:$AE,AU$5,0)),0),IF(ISERROR(1/VLOOKUP($N265,Capa!$A:$AE,AU$5,0)),0,1/VLOOKUP($N265,Capa!$A:$AE,AU$5,0))))</f>
        <v/>
      </c>
      <c r="AV265" s="118" t="str">
        <f>IF(AV$6="","",IF(AV$3="Maior",IFERROR(IF(VLOOKUP($N265,Capa!$A:$AE,AV$5,0)="",0,VLOOKUP($N265,Capa!$A:$AE,AV$5,0)),0),IF(ISERROR(1/VLOOKUP($N265,Capa!$A:$AE,AV$5,0)),0,1/VLOOKUP($N265,Capa!$A:$AE,AV$5,0))))</f>
        <v/>
      </c>
      <c r="AW265" s="118" t="str">
        <f>IF(AW$6="","",IF(AW$3="Maior",IFERROR(IF(VLOOKUP($N265,Capa!$A:$AE,AW$5,0)="",0,VLOOKUP($N265,Capa!$A:$AE,AW$5,0)),0),IF(ISERROR(1/VLOOKUP($N265,Capa!$A:$AE,AW$5,0)),0,1/VLOOKUP($N265,Capa!$A:$AE,AW$5,0))))</f>
        <v/>
      </c>
      <c r="AX265" s="118" t="str">
        <f>IF(AX$6="","",IF(AX$3="Maior",IFERROR(IF(VLOOKUP($N265,Capa!$A:$AE,AX$5,0)="",0,VLOOKUP($N265,Capa!$A:$AE,AX$5,0)),0),IF(ISERROR(1/VLOOKUP($N265,Capa!$A:$AE,AX$5,0)),0,1/VLOOKUP($N265,Capa!$A:$AE,AX$5,0))))</f>
        <v/>
      </c>
      <c r="AY265" s="118" t="str">
        <f>IF(AY$6="","",IF(AY$3="Maior",IFERROR(IF(VLOOKUP($N265,Capa!$A:$AE,AY$5,0)="",0,VLOOKUP($N265,Capa!$A:$AE,AY$5,0)),0),IF(ISERROR(1/VLOOKUP($N265,Capa!$A:$AE,AY$5,0)),0,1/VLOOKUP($N265,Capa!$A:$AE,AY$5,0))))</f>
        <v/>
      </c>
      <c r="AZ265" s="118" t="str">
        <f>IF(AZ$6="","",IF(AZ$3="Maior",IFERROR(IF(VLOOKUP($N265,Capa!$A:$AE,AZ$5,0)="",0,VLOOKUP($N265,Capa!$A:$AE,AZ$5,0)),0),IF(ISERROR(1/VLOOKUP($N265,Capa!$A:$AE,AZ$5,0)),0,1/VLOOKUP($N265,Capa!$A:$AE,AZ$5,0))))</f>
        <v/>
      </c>
      <c r="BA265" s="118" t="str">
        <f>IF(BA$6="","",IF(BA$3="Maior",IFERROR(IF(VLOOKUP($N265,Capa!$A:$AE,BA$5,0)="",0,VLOOKUP($N265,Capa!$A:$AE,BA$5,0)),0),IF(ISERROR(1/VLOOKUP($N265,Capa!$A:$AE,BA$5,0)),0,1/VLOOKUP($N265,Capa!$A:$AE,BA$5,0))))</f>
        <v/>
      </c>
      <c r="BB265" s="118" t="str">
        <f>IF(BB$6="","",IF(BB$3="Maior",IFERROR(IF(VLOOKUP($N265,Capa!$A:$AE,BB$5,0)="",0,VLOOKUP($N265,Capa!$A:$AE,BB$5,0)),0),IF(ISERROR(1/VLOOKUP($N265,Capa!$A:$AE,BB$5,0)),0,1/VLOOKUP($N265,Capa!$A:$AE,BB$5,0))))</f>
        <v/>
      </c>
      <c r="BC265" s="118" t="str">
        <f>IF(BC$6="","",IF(BC$3="Maior",IFERROR(IF(VLOOKUP($N265,Capa!$A:$AE,BC$5,0)="",0,VLOOKUP($N265,Capa!$A:$AE,BC$5,0)),0),IF(ISERROR(1/VLOOKUP($N265,Capa!$A:$AE,BC$5,0)),0,1/VLOOKUP($N265,Capa!$A:$AE,BC$5,0))))</f>
        <v/>
      </c>
      <c r="BD265" s="118" t="str">
        <f>IF(BD$6="","",IF(BD$3="Maior",IFERROR(IF(VLOOKUP($N265,Capa!$A:$AE,BD$5,0)="",0,VLOOKUP($N265,Capa!$A:$AE,BD$5,0)),0),IF(ISERROR(1/VLOOKUP($N265,Capa!$A:$AE,BD$5,0)),0,1/VLOOKUP($N265,Capa!$A:$AE,BD$5,0))))</f>
        <v/>
      </c>
      <c r="BE265" s="118" t="str">
        <f>IF(BE$6="","",IF(BE$3="Maior",IFERROR(IF(VLOOKUP($N265,Capa!$A:$AE,BE$5,0)="",0,VLOOKUP($N265,Capa!$A:$AE,BE$5,0)),0),IF(ISERROR(1/VLOOKUP($N265,Capa!$A:$AE,BE$5,0)),0,1/VLOOKUP($N265,Capa!$A:$AE,BE$5,0))))</f>
        <v/>
      </c>
      <c r="BF265" s="118" t="str">
        <f>IF(BF$6="","",IF(BF$3="Maior",IFERROR(IF(VLOOKUP($N265,Capa!$A:$AE,BF$5,0)="",0,VLOOKUP($N265,Capa!$A:$AE,BF$5,0)),0),IF(ISERROR(1/VLOOKUP($N265,Capa!$A:$AE,BF$5,0)),0,1/VLOOKUP($N265,Capa!$A:$AE,BF$5,0))))</f>
        <v/>
      </c>
      <c r="BG265" s="118" t="str">
        <f>IF(BG$6="","",IF(BG$3="Maior",IFERROR(IF(VLOOKUP($N265,Capa!$A:$AE,BG$5,0)="",0,VLOOKUP($N265,Capa!$A:$AE,BG$5,0)),0),IF(ISERROR(1/VLOOKUP($N265,Capa!$A:$AE,BG$5,0)),0,1/VLOOKUP($N265,Capa!$A:$AE,BG$5,0))))</f>
        <v/>
      </c>
      <c r="BH265" s="118" t="str">
        <f>IF(BH$6="","",IF(BH$3="Maior",IFERROR(IF(VLOOKUP($N265,Capa!$A:$AE,BH$5,0)="",0,VLOOKUP($N265,Capa!$A:$AE,BH$5,0)),0),IF(ISERROR(1/VLOOKUP($N265,Capa!$A:$AE,BH$5,0)),0,1/VLOOKUP($N265,Capa!$A:$AE,BH$5,0))))</f>
        <v/>
      </c>
      <c r="BI265" s="118" t="str">
        <f>IF(BI$6="","",IF(BI$3="Maior",IFERROR(IF(VLOOKUP($N265,Capa!$A:$AE,BI$5,0)="",0,VLOOKUP($N265,Capa!$A:$AE,BI$5,0)),0),IF(ISERROR(1/VLOOKUP($N265,Capa!$A:$AE,BI$5,0)),0,1/VLOOKUP($N265,Capa!$A:$AE,BI$5,0))))</f>
        <v/>
      </c>
      <c r="BJ265" s="118" t="str">
        <f>IF(BJ$6="","",IF(BJ$3="Maior",IFERROR(IF(VLOOKUP($N265,Capa!$A:$AE,BJ$5,0)="",0,VLOOKUP($N265,Capa!$A:$AE,BJ$5,0)),0),IF(ISERROR(1/VLOOKUP($N265,Capa!$A:$AE,BJ$5,0)),0,1/VLOOKUP($N265,Capa!$A:$AE,BJ$5,0))))</f>
        <v/>
      </c>
      <c r="BK265" s="118" t="str">
        <f>IF(BK$6="","",IF(BK$3="Maior",IFERROR(IF(VLOOKUP($N265,Capa!$A:$AE,BK$5,0)="",0,VLOOKUP($N265,Capa!$A:$AE,BK$5,0)),0),IF(ISERROR(1/VLOOKUP($N265,Capa!$A:$AE,BK$5,0)),0,1/VLOOKUP($N265,Capa!$A:$AE,BK$5,0))))</f>
        <v/>
      </c>
      <c r="BL265" s="118" t="str">
        <f>IF(BL$6="","",IF(BL$3="Maior",IFERROR(IF(VLOOKUP($N265,Capa!$A:$AE,BL$5,0)="",0,VLOOKUP($N265,Capa!$A:$AE,BL$5,0)),0),IF(ISERROR(1/VLOOKUP($N265,Capa!$A:$AE,BL$5,0)),0,1/VLOOKUP($N265,Capa!$A:$AE,BL$5,0))))</f>
        <v/>
      </c>
      <c r="BM265" s="118" t="str">
        <f>IF(BM$6="","",IF(BM$3="Maior",IFERROR(IF(VLOOKUP($N265,Capa!$A:$AE,BM$5,0)="",0,VLOOKUP($N265,Capa!$A:$AE,BM$5,0)),0),IF(ISERROR(1/VLOOKUP($N265,Capa!$A:$AE,BM$5,0)),0,1/VLOOKUP($N265,Capa!$A:$AE,BM$5,0))))</f>
        <v/>
      </c>
      <c r="BN265" s="118" t="str">
        <f>IF(BN$6="","",IF(BN$3="Maior",IFERROR(IF(VLOOKUP($N265,Capa!$A:$AE,BN$5,0)="",0,VLOOKUP($N265,Capa!$A:$AE,BN$5,0)),0),IF(ISERROR(1/VLOOKUP($N265,Capa!$A:$AE,BN$5,0)),0,1/VLOOKUP($N265,Capa!$A:$AE,BN$5,0))))</f>
        <v/>
      </c>
      <c r="BO265" s="92"/>
    </row>
    <row r="266">
      <c r="G266" s="11"/>
      <c r="H266" s="11"/>
      <c r="I266" s="8"/>
      <c r="J266" s="132"/>
      <c r="K266" s="11"/>
      <c r="L266" s="11"/>
      <c r="M266" s="11"/>
      <c r="N266" s="10" t="s">
        <v>312</v>
      </c>
      <c r="O266" s="113">
        <f t="shared" si="8"/>
        <v>1235.0078</v>
      </c>
      <c r="P266" s="114">
        <f>VLOOKUP(N266,'Dados StatusInvest'!A:Z,26,0)</f>
        <v>2365107.42</v>
      </c>
      <c r="Q266" s="115">
        <f t="shared" si="9"/>
        <v>78.0078</v>
      </c>
      <c r="R266" s="116">
        <f t="shared" ref="R266:AO266" si="269">IF(AQ266="","", RANK(AQ266,AQ$7:AQ$503,0))</f>
        <v>51</v>
      </c>
      <c r="S266" s="115">
        <f t="shared" si="269"/>
        <v>106</v>
      </c>
      <c r="T266" s="115" t="str">
        <f t="shared" si="269"/>
        <v/>
      </c>
      <c r="U266" s="115" t="str">
        <f t="shared" si="269"/>
        <v/>
      </c>
      <c r="V266" s="115" t="str">
        <f t="shared" si="269"/>
        <v/>
      </c>
      <c r="W266" s="115" t="str">
        <f t="shared" si="269"/>
        <v/>
      </c>
      <c r="X266" s="115" t="str">
        <f t="shared" si="269"/>
        <v/>
      </c>
      <c r="Y266" s="115" t="str">
        <f t="shared" si="269"/>
        <v/>
      </c>
      <c r="Z266" s="115" t="str">
        <f t="shared" si="269"/>
        <v/>
      </c>
      <c r="AA266" s="115" t="str">
        <f t="shared" si="269"/>
        <v/>
      </c>
      <c r="AB266" s="115" t="str">
        <f t="shared" si="269"/>
        <v/>
      </c>
      <c r="AC266" s="115" t="str">
        <f t="shared" si="269"/>
        <v/>
      </c>
      <c r="AD266" s="115" t="str">
        <f t="shared" si="269"/>
        <v/>
      </c>
      <c r="AE266" s="115" t="str">
        <f t="shared" si="269"/>
        <v/>
      </c>
      <c r="AF266" s="115" t="str">
        <f t="shared" si="269"/>
        <v/>
      </c>
      <c r="AG266" s="115" t="str">
        <f t="shared" si="269"/>
        <v/>
      </c>
      <c r="AH266" s="115" t="str">
        <f t="shared" si="269"/>
        <v/>
      </c>
      <c r="AI266" s="115" t="str">
        <f t="shared" si="269"/>
        <v/>
      </c>
      <c r="AJ266" s="115" t="str">
        <f t="shared" si="269"/>
        <v/>
      </c>
      <c r="AK266" s="115" t="str">
        <f t="shared" si="269"/>
        <v/>
      </c>
      <c r="AL266" s="115" t="str">
        <f t="shared" si="269"/>
        <v/>
      </c>
      <c r="AM266" s="115" t="str">
        <f t="shared" si="269"/>
        <v/>
      </c>
      <c r="AN266" s="115" t="str">
        <f t="shared" si="269"/>
        <v/>
      </c>
      <c r="AO266" s="115" t="str">
        <f t="shared" si="269"/>
        <v/>
      </c>
      <c r="AP266" s="117">
        <f>IF(AP$6="","",IF(AP$3="Maior",IFERROR(IF(VLOOKUP($N266,Capa!$A:$AE,AP$5,0)="",0,VLOOKUP($N266,Capa!$A:$AE,AP$5,0)),0),IF(ISERROR(1/VLOOKUP($N266,Capa!$A:$AE,AP$5,0)),0,1/VLOOKUP($N266,Capa!$A:$AE,AP$5,0))))</f>
        <v>0.2116355028</v>
      </c>
      <c r="AQ266" s="118">
        <f>IF(AQ$6="","",IF(AQ$3="Maior",IFERROR(IF(VLOOKUP($N266,Capa!$A:$AE,AQ$5,0)="",0,VLOOKUP($N266,Capa!$A:$AE,AQ$5,0)),0),IF(ISERROR(1/VLOOKUP($N266,Capa!$A:$AE,AQ$5,0)),0,1/VLOOKUP($N266,Capa!$A:$AE,AQ$5,0))))</f>
        <v>25.67</v>
      </c>
      <c r="AR266" s="118">
        <f>IF(AR$6="","",IF(AR$3="Maior",IFERROR(IF(VLOOKUP($N266,Capa!$A:$AE,AR$5,0)="",0,VLOOKUP($N266,Capa!$A:$AE,AR$5,0)),0),IF(ISERROR(1/VLOOKUP($N266,Capa!$A:$AE,AR$5,0)),0,1/VLOOKUP($N266,Capa!$A:$AE,AR$5,0))))</f>
        <v>24.45</v>
      </c>
      <c r="AS266" s="118" t="str">
        <f>IF(AS$6="","",IF(AS$3="Maior",IFERROR(IF(VLOOKUP($N266,Capa!$A:$AE,AS$5,0)="",0,VLOOKUP($N266,Capa!$A:$AE,AS$5,0)),0),IF(ISERROR(1/VLOOKUP($N266,Capa!$A:$AE,AS$5,0)),0,1/VLOOKUP($N266,Capa!$A:$AE,AS$5,0))))</f>
        <v/>
      </c>
      <c r="AT266" s="118" t="str">
        <f>IF(AT$6="","",IF(AT$3="Maior",IFERROR(IF(VLOOKUP($N266,Capa!$A:$AE,AT$5,0)="",0,VLOOKUP($N266,Capa!$A:$AE,AT$5,0)),0),IF(ISERROR(1/VLOOKUP($N266,Capa!$A:$AE,AT$5,0)),0,1/VLOOKUP($N266,Capa!$A:$AE,AT$5,0))))</f>
        <v/>
      </c>
      <c r="AU266" s="118" t="str">
        <f>IF(AU$6="","",IF(AU$3="Maior",IFERROR(IF(VLOOKUP($N266,Capa!$A:$AE,AU$5,0)="",0,VLOOKUP($N266,Capa!$A:$AE,AU$5,0)),0),IF(ISERROR(1/VLOOKUP($N266,Capa!$A:$AE,AU$5,0)),0,1/VLOOKUP($N266,Capa!$A:$AE,AU$5,0))))</f>
        <v/>
      </c>
      <c r="AV266" s="118" t="str">
        <f>IF(AV$6="","",IF(AV$3="Maior",IFERROR(IF(VLOOKUP($N266,Capa!$A:$AE,AV$5,0)="",0,VLOOKUP($N266,Capa!$A:$AE,AV$5,0)),0),IF(ISERROR(1/VLOOKUP($N266,Capa!$A:$AE,AV$5,0)),0,1/VLOOKUP($N266,Capa!$A:$AE,AV$5,0))))</f>
        <v/>
      </c>
      <c r="AW266" s="118" t="str">
        <f>IF(AW$6="","",IF(AW$3="Maior",IFERROR(IF(VLOOKUP($N266,Capa!$A:$AE,AW$5,0)="",0,VLOOKUP($N266,Capa!$A:$AE,AW$5,0)),0),IF(ISERROR(1/VLOOKUP($N266,Capa!$A:$AE,AW$5,0)),0,1/VLOOKUP($N266,Capa!$A:$AE,AW$5,0))))</f>
        <v/>
      </c>
      <c r="AX266" s="118" t="str">
        <f>IF(AX$6="","",IF(AX$3="Maior",IFERROR(IF(VLOOKUP($N266,Capa!$A:$AE,AX$5,0)="",0,VLOOKUP($N266,Capa!$A:$AE,AX$5,0)),0),IF(ISERROR(1/VLOOKUP($N266,Capa!$A:$AE,AX$5,0)),0,1/VLOOKUP($N266,Capa!$A:$AE,AX$5,0))))</f>
        <v/>
      </c>
      <c r="AY266" s="118" t="str">
        <f>IF(AY$6="","",IF(AY$3="Maior",IFERROR(IF(VLOOKUP($N266,Capa!$A:$AE,AY$5,0)="",0,VLOOKUP($N266,Capa!$A:$AE,AY$5,0)),0),IF(ISERROR(1/VLOOKUP($N266,Capa!$A:$AE,AY$5,0)),0,1/VLOOKUP($N266,Capa!$A:$AE,AY$5,0))))</f>
        <v/>
      </c>
      <c r="AZ266" s="118" t="str">
        <f>IF(AZ$6="","",IF(AZ$3="Maior",IFERROR(IF(VLOOKUP($N266,Capa!$A:$AE,AZ$5,0)="",0,VLOOKUP($N266,Capa!$A:$AE,AZ$5,0)),0),IF(ISERROR(1/VLOOKUP($N266,Capa!$A:$AE,AZ$5,0)),0,1/VLOOKUP($N266,Capa!$A:$AE,AZ$5,0))))</f>
        <v/>
      </c>
      <c r="BA266" s="118" t="str">
        <f>IF(BA$6="","",IF(BA$3="Maior",IFERROR(IF(VLOOKUP($N266,Capa!$A:$AE,BA$5,0)="",0,VLOOKUP($N266,Capa!$A:$AE,BA$5,0)),0),IF(ISERROR(1/VLOOKUP($N266,Capa!$A:$AE,BA$5,0)),0,1/VLOOKUP($N266,Capa!$A:$AE,BA$5,0))))</f>
        <v/>
      </c>
      <c r="BB266" s="118" t="str">
        <f>IF(BB$6="","",IF(BB$3="Maior",IFERROR(IF(VLOOKUP($N266,Capa!$A:$AE,BB$5,0)="",0,VLOOKUP($N266,Capa!$A:$AE,BB$5,0)),0),IF(ISERROR(1/VLOOKUP($N266,Capa!$A:$AE,BB$5,0)),0,1/VLOOKUP($N266,Capa!$A:$AE,BB$5,0))))</f>
        <v/>
      </c>
      <c r="BC266" s="118" t="str">
        <f>IF(BC$6="","",IF(BC$3="Maior",IFERROR(IF(VLOOKUP($N266,Capa!$A:$AE,BC$5,0)="",0,VLOOKUP($N266,Capa!$A:$AE,BC$5,0)),0),IF(ISERROR(1/VLOOKUP($N266,Capa!$A:$AE,BC$5,0)),0,1/VLOOKUP($N266,Capa!$A:$AE,BC$5,0))))</f>
        <v/>
      </c>
      <c r="BD266" s="118" t="str">
        <f>IF(BD$6="","",IF(BD$3="Maior",IFERROR(IF(VLOOKUP($N266,Capa!$A:$AE,BD$5,0)="",0,VLOOKUP($N266,Capa!$A:$AE,BD$5,0)),0),IF(ISERROR(1/VLOOKUP($N266,Capa!$A:$AE,BD$5,0)),0,1/VLOOKUP($N266,Capa!$A:$AE,BD$5,0))))</f>
        <v/>
      </c>
      <c r="BE266" s="118" t="str">
        <f>IF(BE$6="","",IF(BE$3="Maior",IFERROR(IF(VLOOKUP($N266,Capa!$A:$AE,BE$5,0)="",0,VLOOKUP($N266,Capa!$A:$AE,BE$5,0)),0),IF(ISERROR(1/VLOOKUP($N266,Capa!$A:$AE,BE$5,0)),0,1/VLOOKUP($N266,Capa!$A:$AE,BE$5,0))))</f>
        <v/>
      </c>
      <c r="BF266" s="118" t="str">
        <f>IF(BF$6="","",IF(BF$3="Maior",IFERROR(IF(VLOOKUP($N266,Capa!$A:$AE,BF$5,0)="",0,VLOOKUP($N266,Capa!$A:$AE,BF$5,0)),0),IF(ISERROR(1/VLOOKUP($N266,Capa!$A:$AE,BF$5,0)),0,1/VLOOKUP($N266,Capa!$A:$AE,BF$5,0))))</f>
        <v/>
      </c>
      <c r="BG266" s="118" t="str">
        <f>IF(BG$6="","",IF(BG$3="Maior",IFERROR(IF(VLOOKUP($N266,Capa!$A:$AE,BG$5,0)="",0,VLOOKUP($N266,Capa!$A:$AE,BG$5,0)),0),IF(ISERROR(1/VLOOKUP($N266,Capa!$A:$AE,BG$5,0)),0,1/VLOOKUP($N266,Capa!$A:$AE,BG$5,0))))</f>
        <v/>
      </c>
      <c r="BH266" s="118" t="str">
        <f>IF(BH$6="","",IF(BH$3="Maior",IFERROR(IF(VLOOKUP($N266,Capa!$A:$AE,BH$5,0)="",0,VLOOKUP($N266,Capa!$A:$AE,BH$5,0)),0),IF(ISERROR(1/VLOOKUP($N266,Capa!$A:$AE,BH$5,0)),0,1/VLOOKUP($N266,Capa!$A:$AE,BH$5,0))))</f>
        <v/>
      </c>
      <c r="BI266" s="118" t="str">
        <f>IF(BI$6="","",IF(BI$3="Maior",IFERROR(IF(VLOOKUP($N266,Capa!$A:$AE,BI$5,0)="",0,VLOOKUP($N266,Capa!$A:$AE,BI$5,0)),0),IF(ISERROR(1/VLOOKUP($N266,Capa!$A:$AE,BI$5,0)),0,1/VLOOKUP($N266,Capa!$A:$AE,BI$5,0))))</f>
        <v/>
      </c>
      <c r="BJ266" s="118" t="str">
        <f>IF(BJ$6="","",IF(BJ$3="Maior",IFERROR(IF(VLOOKUP($N266,Capa!$A:$AE,BJ$5,0)="",0,VLOOKUP($N266,Capa!$A:$AE,BJ$5,0)),0),IF(ISERROR(1/VLOOKUP($N266,Capa!$A:$AE,BJ$5,0)),0,1/VLOOKUP($N266,Capa!$A:$AE,BJ$5,0))))</f>
        <v/>
      </c>
      <c r="BK266" s="118" t="str">
        <f>IF(BK$6="","",IF(BK$3="Maior",IFERROR(IF(VLOOKUP($N266,Capa!$A:$AE,BK$5,0)="",0,VLOOKUP($N266,Capa!$A:$AE,BK$5,0)),0),IF(ISERROR(1/VLOOKUP($N266,Capa!$A:$AE,BK$5,0)),0,1/VLOOKUP($N266,Capa!$A:$AE,BK$5,0))))</f>
        <v/>
      </c>
      <c r="BL266" s="118" t="str">
        <f>IF(BL$6="","",IF(BL$3="Maior",IFERROR(IF(VLOOKUP($N266,Capa!$A:$AE,BL$5,0)="",0,VLOOKUP($N266,Capa!$A:$AE,BL$5,0)),0),IF(ISERROR(1/VLOOKUP($N266,Capa!$A:$AE,BL$5,0)),0,1/VLOOKUP($N266,Capa!$A:$AE,BL$5,0))))</f>
        <v/>
      </c>
      <c r="BM266" s="118" t="str">
        <f>IF(BM$6="","",IF(BM$3="Maior",IFERROR(IF(VLOOKUP($N266,Capa!$A:$AE,BM$5,0)="",0,VLOOKUP($N266,Capa!$A:$AE,BM$5,0)),0),IF(ISERROR(1/VLOOKUP($N266,Capa!$A:$AE,BM$5,0)),0,1/VLOOKUP($N266,Capa!$A:$AE,BM$5,0))))</f>
        <v/>
      </c>
      <c r="BN266" s="118" t="str">
        <f>IF(BN$6="","",IF(BN$3="Maior",IFERROR(IF(VLOOKUP($N266,Capa!$A:$AE,BN$5,0)="",0,VLOOKUP($N266,Capa!$A:$AE,BN$5,0)),0),IF(ISERROR(1/VLOOKUP($N266,Capa!$A:$AE,BN$5,0)),0,1/VLOOKUP($N266,Capa!$A:$AE,BN$5,0))))</f>
        <v/>
      </c>
      <c r="BO266" s="92"/>
    </row>
    <row r="267">
      <c r="G267" s="11"/>
      <c r="H267" s="11"/>
      <c r="I267" s="8"/>
      <c r="J267" s="132"/>
      <c r="K267" s="11"/>
      <c r="L267" s="11"/>
      <c r="M267" s="11"/>
      <c r="N267" s="10" t="s">
        <v>313</v>
      </c>
      <c r="O267" s="113">
        <f t="shared" si="8"/>
        <v>2180.0483</v>
      </c>
      <c r="P267" s="114">
        <f>VLOOKUP(N267,'Dados StatusInvest'!A:Z,26,0)</f>
        <v>1403751.13</v>
      </c>
      <c r="Q267" s="115">
        <f t="shared" si="9"/>
        <v>483.0483</v>
      </c>
      <c r="R267" s="116">
        <f t="shared" ref="R267:AO267" si="270">IF(AQ267="","", RANK(AQ267,AQ$7:AQ$503,0))</f>
        <v>478</v>
      </c>
      <c r="S267" s="115">
        <f t="shared" si="270"/>
        <v>219</v>
      </c>
      <c r="T267" s="115" t="str">
        <f t="shared" si="270"/>
        <v/>
      </c>
      <c r="U267" s="115" t="str">
        <f t="shared" si="270"/>
        <v/>
      </c>
      <c r="V267" s="115" t="str">
        <f t="shared" si="270"/>
        <v/>
      </c>
      <c r="W267" s="115" t="str">
        <f t="shared" si="270"/>
        <v/>
      </c>
      <c r="X267" s="115" t="str">
        <f t="shared" si="270"/>
        <v/>
      </c>
      <c r="Y267" s="115" t="str">
        <f t="shared" si="270"/>
        <v/>
      </c>
      <c r="Z267" s="115" t="str">
        <f t="shared" si="270"/>
        <v/>
      </c>
      <c r="AA267" s="115" t="str">
        <f t="shared" si="270"/>
        <v/>
      </c>
      <c r="AB267" s="115" t="str">
        <f t="shared" si="270"/>
        <v/>
      </c>
      <c r="AC267" s="115" t="str">
        <f t="shared" si="270"/>
        <v/>
      </c>
      <c r="AD267" s="115" t="str">
        <f t="shared" si="270"/>
        <v/>
      </c>
      <c r="AE267" s="115" t="str">
        <f t="shared" si="270"/>
        <v/>
      </c>
      <c r="AF267" s="115" t="str">
        <f t="shared" si="270"/>
        <v/>
      </c>
      <c r="AG267" s="115" t="str">
        <f t="shared" si="270"/>
        <v/>
      </c>
      <c r="AH267" s="115" t="str">
        <f t="shared" si="270"/>
        <v/>
      </c>
      <c r="AI267" s="115" t="str">
        <f t="shared" si="270"/>
        <v/>
      </c>
      <c r="AJ267" s="115" t="str">
        <f t="shared" si="270"/>
        <v/>
      </c>
      <c r="AK267" s="115" t="str">
        <f t="shared" si="270"/>
        <v/>
      </c>
      <c r="AL267" s="115" t="str">
        <f t="shared" si="270"/>
        <v/>
      </c>
      <c r="AM267" s="115" t="str">
        <f t="shared" si="270"/>
        <v/>
      </c>
      <c r="AN267" s="115" t="str">
        <f t="shared" si="270"/>
        <v/>
      </c>
      <c r="AO267" s="115" t="str">
        <f t="shared" si="270"/>
        <v/>
      </c>
      <c r="AP267" s="117">
        <f>IF(AP$6="","",IF(AP$3="Maior",IFERROR(IF(VLOOKUP($N267,Capa!$A:$AE,AP$5,0)="",0,VLOOKUP($N267,Capa!$A:$AE,AP$5,0)),0),IF(ISERROR(1/VLOOKUP($N267,Capa!$A:$AE,AP$5,0)),0,1/VLOOKUP($N267,Capa!$A:$AE,AP$5,0))))</f>
        <v>-0.2697376524</v>
      </c>
      <c r="AQ267" s="118">
        <f>IF(AQ$6="","",IF(AQ$3="Maior",IFERROR(IF(VLOOKUP($N267,Capa!$A:$AE,AQ$5,0)="",0,VLOOKUP($N267,Capa!$A:$AE,AQ$5,0)),0),IF(ISERROR(1/VLOOKUP($N267,Capa!$A:$AE,AQ$5,0)),0,1/VLOOKUP($N267,Capa!$A:$AE,AQ$5,0))))</f>
        <v>-28.12</v>
      </c>
      <c r="AR267" s="118">
        <f>IF(AR$6="","",IF(AR$3="Maior",IFERROR(IF(VLOOKUP($N267,Capa!$A:$AE,AR$5,0)="",0,VLOOKUP($N267,Capa!$A:$AE,AR$5,0)),0),IF(ISERROR(1/VLOOKUP($N267,Capa!$A:$AE,AR$5,0)),0,1/VLOOKUP($N267,Capa!$A:$AE,AR$5,0))))</f>
        <v>0</v>
      </c>
      <c r="AS267" s="118" t="str">
        <f>IF(AS$6="","",IF(AS$3="Maior",IFERROR(IF(VLOOKUP($N267,Capa!$A:$AE,AS$5,0)="",0,VLOOKUP($N267,Capa!$A:$AE,AS$5,0)),0),IF(ISERROR(1/VLOOKUP($N267,Capa!$A:$AE,AS$5,0)),0,1/VLOOKUP($N267,Capa!$A:$AE,AS$5,0))))</f>
        <v/>
      </c>
      <c r="AT267" s="118" t="str">
        <f>IF(AT$6="","",IF(AT$3="Maior",IFERROR(IF(VLOOKUP($N267,Capa!$A:$AE,AT$5,0)="",0,VLOOKUP($N267,Capa!$A:$AE,AT$5,0)),0),IF(ISERROR(1/VLOOKUP($N267,Capa!$A:$AE,AT$5,0)),0,1/VLOOKUP($N267,Capa!$A:$AE,AT$5,0))))</f>
        <v/>
      </c>
      <c r="AU267" s="118" t="str">
        <f>IF(AU$6="","",IF(AU$3="Maior",IFERROR(IF(VLOOKUP($N267,Capa!$A:$AE,AU$5,0)="",0,VLOOKUP($N267,Capa!$A:$AE,AU$5,0)),0),IF(ISERROR(1/VLOOKUP($N267,Capa!$A:$AE,AU$5,0)),0,1/VLOOKUP($N267,Capa!$A:$AE,AU$5,0))))</f>
        <v/>
      </c>
      <c r="AV267" s="118" t="str">
        <f>IF(AV$6="","",IF(AV$3="Maior",IFERROR(IF(VLOOKUP($N267,Capa!$A:$AE,AV$5,0)="",0,VLOOKUP($N267,Capa!$A:$AE,AV$5,0)),0),IF(ISERROR(1/VLOOKUP($N267,Capa!$A:$AE,AV$5,0)),0,1/VLOOKUP($N267,Capa!$A:$AE,AV$5,0))))</f>
        <v/>
      </c>
      <c r="AW267" s="118" t="str">
        <f>IF(AW$6="","",IF(AW$3="Maior",IFERROR(IF(VLOOKUP($N267,Capa!$A:$AE,AW$5,0)="",0,VLOOKUP($N267,Capa!$A:$AE,AW$5,0)),0),IF(ISERROR(1/VLOOKUP($N267,Capa!$A:$AE,AW$5,0)),0,1/VLOOKUP($N267,Capa!$A:$AE,AW$5,0))))</f>
        <v/>
      </c>
      <c r="AX267" s="118" t="str">
        <f>IF(AX$6="","",IF(AX$3="Maior",IFERROR(IF(VLOOKUP($N267,Capa!$A:$AE,AX$5,0)="",0,VLOOKUP($N267,Capa!$A:$AE,AX$5,0)),0),IF(ISERROR(1/VLOOKUP($N267,Capa!$A:$AE,AX$5,0)),0,1/VLOOKUP($N267,Capa!$A:$AE,AX$5,0))))</f>
        <v/>
      </c>
      <c r="AY267" s="118" t="str">
        <f>IF(AY$6="","",IF(AY$3="Maior",IFERROR(IF(VLOOKUP($N267,Capa!$A:$AE,AY$5,0)="",0,VLOOKUP($N267,Capa!$A:$AE,AY$5,0)),0),IF(ISERROR(1/VLOOKUP($N267,Capa!$A:$AE,AY$5,0)),0,1/VLOOKUP($N267,Capa!$A:$AE,AY$5,0))))</f>
        <v/>
      </c>
      <c r="AZ267" s="118" t="str">
        <f>IF(AZ$6="","",IF(AZ$3="Maior",IFERROR(IF(VLOOKUP($N267,Capa!$A:$AE,AZ$5,0)="",0,VLOOKUP($N267,Capa!$A:$AE,AZ$5,0)),0),IF(ISERROR(1/VLOOKUP($N267,Capa!$A:$AE,AZ$5,0)),0,1/VLOOKUP($N267,Capa!$A:$AE,AZ$5,0))))</f>
        <v/>
      </c>
      <c r="BA267" s="118" t="str">
        <f>IF(BA$6="","",IF(BA$3="Maior",IFERROR(IF(VLOOKUP($N267,Capa!$A:$AE,BA$5,0)="",0,VLOOKUP($N267,Capa!$A:$AE,BA$5,0)),0),IF(ISERROR(1/VLOOKUP($N267,Capa!$A:$AE,BA$5,0)),0,1/VLOOKUP($N267,Capa!$A:$AE,BA$5,0))))</f>
        <v/>
      </c>
      <c r="BB267" s="118" t="str">
        <f>IF(BB$6="","",IF(BB$3="Maior",IFERROR(IF(VLOOKUP($N267,Capa!$A:$AE,BB$5,0)="",0,VLOOKUP($N267,Capa!$A:$AE,BB$5,0)),0),IF(ISERROR(1/VLOOKUP($N267,Capa!$A:$AE,BB$5,0)),0,1/VLOOKUP($N267,Capa!$A:$AE,BB$5,0))))</f>
        <v/>
      </c>
      <c r="BC267" s="118" t="str">
        <f>IF(BC$6="","",IF(BC$3="Maior",IFERROR(IF(VLOOKUP($N267,Capa!$A:$AE,BC$5,0)="",0,VLOOKUP($N267,Capa!$A:$AE,BC$5,0)),0),IF(ISERROR(1/VLOOKUP($N267,Capa!$A:$AE,BC$5,0)),0,1/VLOOKUP($N267,Capa!$A:$AE,BC$5,0))))</f>
        <v/>
      </c>
      <c r="BD267" s="118" t="str">
        <f>IF(BD$6="","",IF(BD$3="Maior",IFERROR(IF(VLOOKUP($N267,Capa!$A:$AE,BD$5,0)="",0,VLOOKUP($N267,Capa!$A:$AE,BD$5,0)),0),IF(ISERROR(1/VLOOKUP($N267,Capa!$A:$AE,BD$5,0)),0,1/VLOOKUP($N267,Capa!$A:$AE,BD$5,0))))</f>
        <v/>
      </c>
      <c r="BE267" s="118" t="str">
        <f>IF(BE$6="","",IF(BE$3="Maior",IFERROR(IF(VLOOKUP($N267,Capa!$A:$AE,BE$5,0)="",0,VLOOKUP($N267,Capa!$A:$AE,BE$5,0)),0),IF(ISERROR(1/VLOOKUP($N267,Capa!$A:$AE,BE$5,0)),0,1/VLOOKUP($N267,Capa!$A:$AE,BE$5,0))))</f>
        <v/>
      </c>
      <c r="BF267" s="118" t="str">
        <f>IF(BF$6="","",IF(BF$3="Maior",IFERROR(IF(VLOOKUP($N267,Capa!$A:$AE,BF$5,0)="",0,VLOOKUP($N267,Capa!$A:$AE,BF$5,0)),0),IF(ISERROR(1/VLOOKUP($N267,Capa!$A:$AE,BF$5,0)),0,1/VLOOKUP($N267,Capa!$A:$AE,BF$5,0))))</f>
        <v/>
      </c>
      <c r="BG267" s="118" t="str">
        <f>IF(BG$6="","",IF(BG$3="Maior",IFERROR(IF(VLOOKUP($N267,Capa!$A:$AE,BG$5,0)="",0,VLOOKUP($N267,Capa!$A:$AE,BG$5,0)),0),IF(ISERROR(1/VLOOKUP($N267,Capa!$A:$AE,BG$5,0)),0,1/VLOOKUP($N267,Capa!$A:$AE,BG$5,0))))</f>
        <v/>
      </c>
      <c r="BH267" s="118" t="str">
        <f>IF(BH$6="","",IF(BH$3="Maior",IFERROR(IF(VLOOKUP($N267,Capa!$A:$AE,BH$5,0)="",0,VLOOKUP($N267,Capa!$A:$AE,BH$5,0)),0),IF(ISERROR(1/VLOOKUP($N267,Capa!$A:$AE,BH$5,0)),0,1/VLOOKUP($N267,Capa!$A:$AE,BH$5,0))))</f>
        <v/>
      </c>
      <c r="BI267" s="118" t="str">
        <f>IF(BI$6="","",IF(BI$3="Maior",IFERROR(IF(VLOOKUP($N267,Capa!$A:$AE,BI$5,0)="",0,VLOOKUP($N267,Capa!$A:$AE,BI$5,0)),0),IF(ISERROR(1/VLOOKUP($N267,Capa!$A:$AE,BI$5,0)),0,1/VLOOKUP($N267,Capa!$A:$AE,BI$5,0))))</f>
        <v/>
      </c>
      <c r="BJ267" s="118" t="str">
        <f>IF(BJ$6="","",IF(BJ$3="Maior",IFERROR(IF(VLOOKUP($N267,Capa!$A:$AE,BJ$5,0)="",0,VLOOKUP($N267,Capa!$A:$AE,BJ$5,0)),0),IF(ISERROR(1/VLOOKUP($N267,Capa!$A:$AE,BJ$5,0)),0,1/VLOOKUP($N267,Capa!$A:$AE,BJ$5,0))))</f>
        <v/>
      </c>
      <c r="BK267" s="118" t="str">
        <f>IF(BK$6="","",IF(BK$3="Maior",IFERROR(IF(VLOOKUP($N267,Capa!$A:$AE,BK$5,0)="",0,VLOOKUP($N267,Capa!$A:$AE,BK$5,0)),0),IF(ISERROR(1/VLOOKUP($N267,Capa!$A:$AE,BK$5,0)),0,1/VLOOKUP($N267,Capa!$A:$AE,BK$5,0))))</f>
        <v/>
      </c>
      <c r="BL267" s="118" t="str">
        <f>IF(BL$6="","",IF(BL$3="Maior",IFERROR(IF(VLOOKUP($N267,Capa!$A:$AE,BL$5,0)="",0,VLOOKUP($N267,Capa!$A:$AE,BL$5,0)),0),IF(ISERROR(1/VLOOKUP($N267,Capa!$A:$AE,BL$5,0)),0,1/VLOOKUP($N267,Capa!$A:$AE,BL$5,0))))</f>
        <v/>
      </c>
      <c r="BM267" s="118" t="str">
        <f>IF(BM$6="","",IF(BM$3="Maior",IFERROR(IF(VLOOKUP($N267,Capa!$A:$AE,BM$5,0)="",0,VLOOKUP($N267,Capa!$A:$AE,BM$5,0)),0),IF(ISERROR(1/VLOOKUP($N267,Capa!$A:$AE,BM$5,0)),0,1/VLOOKUP($N267,Capa!$A:$AE,BM$5,0))))</f>
        <v/>
      </c>
      <c r="BN267" s="118" t="str">
        <f>IF(BN$6="","",IF(BN$3="Maior",IFERROR(IF(VLOOKUP($N267,Capa!$A:$AE,BN$5,0)="",0,VLOOKUP($N267,Capa!$A:$AE,BN$5,0)),0),IF(ISERROR(1/VLOOKUP($N267,Capa!$A:$AE,BN$5,0)),0,1/VLOOKUP($N267,Capa!$A:$AE,BN$5,0))))</f>
        <v/>
      </c>
      <c r="BO267" s="92"/>
    </row>
    <row r="268">
      <c r="G268" s="11"/>
      <c r="H268" s="11"/>
      <c r="I268" s="8"/>
      <c r="J268" s="132"/>
      <c r="K268" s="11"/>
      <c r="L268" s="11"/>
      <c r="M268" s="11"/>
      <c r="N268" s="10" t="s">
        <v>314</v>
      </c>
      <c r="O268" s="113">
        <f t="shared" si="8"/>
        <v>2141.0465</v>
      </c>
      <c r="P268" s="114">
        <f>VLOOKUP(N268,'Dados StatusInvest'!A:Z,26,0)</f>
        <v>1365176.25</v>
      </c>
      <c r="Q268" s="115">
        <f t="shared" si="9"/>
        <v>465.0465</v>
      </c>
      <c r="R268" s="116">
        <f t="shared" ref="R268:AO268" si="271">IF(AQ268="","", RANK(AQ268,AQ$7:AQ$503,0))</f>
        <v>457</v>
      </c>
      <c r="S268" s="115">
        <f t="shared" si="271"/>
        <v>219</v>
      </c>
      <c r="T268" s="115" t="str">
        <f t="shared" si="271"/>
        <v/>
      </c>
      <c r="U268" s="115" t="str">
        <f t="shared" si="271"/>
        <v/>
      </c>
      <c r="V268" s="115" t="str">
        <f t="shared" si="271"/>
        <v/>
      </c>
      <c r="W268" s="115" t="str">
        <f t="shared" si="271"/>
        <v/>
      </c>
      <c r="X268" s="115" t="str">
        <f t="shared" si="271"/>
        <v/>
      </c>
      <c r="Y268" s="115" t="str">
        <f t="shared" si="271"/>
        <v/>
      </c>
      <c r="Z268" s="115" t="str">
        <f t="shared" si="271"/>
        <v/>
      </c>
      <c r="AA268" s="115" t="str">
        <f t="shared" si="271"/>
        <v/>
      </c>
      <c r="AB268" s="115" t="str">
        <f t="shared" si="271"/>
        <v/>
      </c>
      <c r="AC268" s="115" t="str">
        <f t="shared" si="271"/>
        <v/>
      </c>
      <c r="AD268" s="115" t="str">
        <f t="shared" si="271"/>
        <v/>
      </c>
      <c r="AE268" s="115" t="str">
        <f t="shared" si="271"/>
        <v/>
      </c>
      <c r="AF268" s="115" t="str">
        <f t="shared" si="271"/>
        <v/>
      </c>
      <c r="AG268" s="115" t="str">
        <f t="shared" si="271"/>
        <v/>
      </c>
      <c r="AH268" s="115" t="str">
        <f t="shared" si="271"/>
        <v/>
      </c>
      <c r="AI268" s="115" t="str">
        <f t="shared" si="271"/>
        <v/>
      </c>
      <c r="AJ268" s="115" t="str">
        <f t="shared" si="271"/>
        <v/>
      </c>
      <c r="AK268" s="115" t="str">
        <f t="shared" si="271"/>
        <v/>
      </c>
      <c r="AL268" s="115" t="str">
        <f t="shared" si="271"/>
        <v/>
      </c>
      <c r="AM268" s="115" t="str">
        <f t="shared" si="271"/>
        <v/>
      </c>
      <c r="AN268" s="115" t="str">
        <f t="shared" si="271"/>
        <v/>
      </c>
      <c r="AO268" s="115" t="str">
        <f t="shared" si="271"/>
        <v/>
      </c>
      <c r="AP268" s="117">
        <f>IF(AP$6="","",IF(AP$3="Maior",IFERROR(IF(VLOOKUP($N268,Capa!$A:$AE,AP$5,0)="",0,VLOOKUP($N268,Capa!$A:$AE,AP$5,0)),0),IF(ISERROR(1/VLOOKUP($N268,Capa!$A:$AE,AP$5,0)),0,1/VLOOKUP($N268,Capa!$A:$AE,AP$5,0))))</f>
        <v>-0.1590758419</v>
      </c>
      <c r="AQ268" s="118">
        <f>IF(AQ$6="","",IF(AQ$3="Maior",IFERROR(IF(VLOOKUP($N268,Capa!$A:$AE,AQ$5,0)="",0,VLOOKUP($N268,Capa!$A:$AE,AQ$5,0)),0),IF(ISERROR(1/VLOOKUP($N268,Capa!$A:$AE,AQ$5,0)),0,1/VLOOKUP($N268,Capa!$A:$AE,AQ$5,0))))</f>
        <v>-7.92</v>
      </c>
      <c r="AR268" s="118">
        <f>IF(AR$6="","",IF(AR$3="Maior",IFERROR(IF(VLOOKUP($N268,Capa!$A:$AE,AR$5,0)="",0,VLOOKUP($N268,Capa!$A:$AE,AR$5,0)),0),IF(ISERROR(1/VLOOKUP($N268,Capa!$A:$AE,AR$5,0)),0,1/VLOOKUP($N268,Capa!$A:$AE,AR$5,0))))</f>
        <v>0</v>
      </c>
      <c r="AS268" s="118" t="str">
        <f>IF(AS$6="","",IF(AS$3="Maior",IFERROR(IF(VLOOKUP($N268,Capa!$A:$AE,AS$5,0)="",0,VLOOKUP($N268,Capa!$A:$AE,AS$5,0)),0),IF(ISERROR(1/VLOOKUP($N268,Capa!$A:$AE,AS$5,0)),0,1/VLOOKUP($N268,Capa!$A:$AE,AS$5,0))))</f>
        <v/>
      </c>
      <c r="AT268" s="118" t="str">
        <f>IF(AT$6="","",IF(AT$3="Maior",IFERROR(IF(VLOOKUP($N268,Capa!$A:$AE,AT$5,0)="",0,VLOOKUP($N268,Capa!$A:$AE,AT$5,0)),0),IF(ISERROR(1/VLOOKUP($N268,Capa!$A:$AE,AT$5,0)),0,1/VLOOKUP($N268,Capa!$A:$AE,AT$5,0))))</f>
        <v/>
      </c>
      <c r="AU268" s="118" t="str">
        <f>IF(AU$6="","",IF(AU$3="Maior",IFERROR(IF(VLOOKUP($N268,Capa!$A:$AE,AU$5,0)="",0,VLOOKUP($N268,Capa!$A:$AE,AU$5,0)),0),IF(ISERROR(1/VLOOKUP($N268,Capa!$A:$AE,AU$5,0)),0,1/VLOOKUP($N268,Capa!$A:$AE,AU$5,0))))</f>
        <v/>
      </c>
      <c r="AV268" s="118" t="str">
        <f>IF(AV$6="","",IF(AV$3="Maior",IFERROR(IF(VLOOKUP($N268,Capa!$A:$AE,AV$5,0)="",0,VLOOKUP($N268,Capa!$A:$AE,AV$5,0)),0),IF(ISERROR(1/VLOOKUP($N268,Capa!$A:$AE,AV$5,0)),0,1/VLOOKUP($N268,Capa!$A:$AE,AV$5,0))))</f>
        <v/>
      </c>
      <c r="AW268" s="118" t="str">
        <f>IF(AW$6="","",IF(AW$3="Maior",IFERROR(IF(VLOOKUP($N268,Capa!$A:$AE,AW$5,0)="",0,VLOOKUP($N268,Capa!$A:$AE,AW$5,0)),0),IF(ISERROR(1/VLOOKUP($N268,Capa!$A:$AE,AW$5,0)),0,1/VLOOKUP($N268,Capa!$A:$AE,AW$5,0))))</f>
        <v/>
      </c>
      <c r="AX268" s="118" t="str">
        <f>IF(AX$6="","",IF(AX$3="Maior",IFERROR(IF(VLOOKUP($N268,Capa!$A:$AE,AX$5,0)="",0,VLOOKUP($N268,Capa!$A:$AE,AX$5,0)),0),IF(ISERROR(1/VLOOKUP($N268,Capa!$A:$AE,AX$5,0)),0,1/VLOOKUP($N268,Capa!$A:$AE,AX$5,0))))</f>
        <v/>
      </c>
      <c r="AY268" s="118" t="str">
        <f>IF(AY$6="","",IF(AY$3="Maior",IFERROR(IF(VLOOKUP($N268,Capa!$A:$AE,AY$5,0)="",0,VLOOKUP($N268,Capa!$A:$AE,AY$5,0)),0),IF(ISERROR(1/VLOOKUP($N268,Capa!$A:$AE,AY$5,0)),0,1/VLOOKUP($N268,Capa!$A:$AE,AY$5,0))))</f>
        <v/>
      </c>
      <c r="AZ268" s="118" t="str">
        <f>IF(AZ$6="","",IF(AZ$3="Maior",IFERROR(IF(VLOOKUP($N268,Capa!$A:$AE,AZ$5,0)="",0,VLOOKUP($N268,Capa!$A:$AE,AZ$5,0)),0),IF(ISERROR(1/VLOOKUP($N268,Capa!$A:$AE,AZ$5,0)),0,1/VLOOKUP($N268,Capa!$A:$AE,AZ$5,0))))</f>
        <v/>
      </c>
      <c r="BA268" s="118" t="str">
        <f>IF(BA$6="","",IF(BA$3="Maior",IFERROR(IF(VLOOKUP($N268,Capa!$A:$AE,BA$5,0)="",0,VLOOKUP($N268,Capa!$A:$AE,BA$5,0)),0),IF(ISERROR(1/VLOOKUP($N268,Capa!$A:$AE,BA$5,0)),0,1/VLOOKUP($N268,Capa!$A:$AE,BA$5,0))))</f>
        <v/>
      </c>
      <c r="BB268" s="118" t="str">
        <f>IF(BB$6="","",IF(BB$3="Maior",IFERROR(IF(VLOOKUP($N268,Capa!$A:$AE,BB$5,0)="",0,VLOOKUP($N268,Capa!$A:$AE,BB$5,0)),0),IF(ISERROR(1/VLOOKUP($N268,Capa!$A:$AE,BB$5,0)),0,1/VLOOKUP($N268,Capa!$A:$AE,BB$5,0))))</f>
        <v/>
      </c>
      <c r="BC268" s="118" t="str">
        <f>IF(BC$6="","",IF(BC$3="Maior",IFERROR(IF(VLOOKUP($N268,Capa!$A:$AE,BC$5,0)="",0,VLOOKUP($N268,Capa!$A:$AE,BC$5,0)),0),IF(ISERROR(1/VLOOKUP($N268,Capa!$A:$AE,BC$5,0)),0,1/VLOOKUP($N268,Capa!$A:$AE,BC$5,0))))</f>
        <v/>
      </c>
      <c r="BD268" s="118" t="str">
        <f>IF(BD$6="","",IF(BD$3="Maior",IFERROR(IF(VLOOKUP($N268,Capa!$A:$AE,BD$5,0)="",0,VLOOKUP($N268,Capa!$A:$AE,BD$5,0)),0),IF(ISERROR(1/VLOOKUP($N268,Capa!$A:$AE,BD$5,0)),0,1/VLOOKUP($N268,Capa!$A:$AE,BD$5,0))))</f>
        <v/>
      </c>
      <c r="BE268" s="118" t="str">
        <f>IF(BE$6="","",IF(BE$3="Maior",IFERROR(IF(VLOOKUP($N268,Capa!$A:$AE,BE$5,0)="",0,VLOOKUP($N268,Capa!$A:$AE,BE$5,0)),0),IF(ISERROR(1/VLOOKUP($N268,Capa!$A:$AE,BE$5,0)),0,1/VLOOKUP($N268,Capa!$A:$AE,BE$5,0))))</f>
        <v/>
      </c>
      <c r="BF268" s="118" t="str">
        <f>IF(BF$6="","",IF(BF$3="Maior",IFERROR(IF(VLOOKUP($N268,Capa!$A:$AE,BF$5,0)="",0,VLOOKUP($N268,Capa!$A:$AE,BF$5,0)),0),IF(ISERROR(1/VLOOKUP($N268,Capa!$A:$AE,BF$5,0)),0,1/VLOOKUP($N268,Capa!$A:$AE,BF$5,0))))</f>
        <v/>
      </c>
      <c r="BG268" s="118" t="str">
        <f>IF(BG$6="","",IF(BG$3="Maior",IFERROR(IF(VLOOKUP($N268,Capa!$A:$AE,BG$5,0)="",0,VLOOKUP($N268,Capa!$A:$AE,BG$5,0)),0),IF(ISERROR(1/VLOOKUP($N268,Capa!$A:$AE,BG$5,0)),0,1/VLOOKUP($N268,Capa!$A:$AE,BG$5,0))))</f>
        <v/>
      </c>
      <c r="BH268" s="118" t="str">
        <f>IF(BH$6="","",IF(BH$3="Maior",IFERROR(IF(VLOOKUP($N268,Capa!$A:$AE,BH$5,0)="",0,VLOOKUP($N268,Capa!$A:$AE,BH$5,0)),0),IF(ISERROR(1/VLOOKUP($N268,Capa!$A:$AE,BH$5,0)),0,1/VLOOKUP($N268,Capa!$A:$AE,BH$5,0))))</f>
        <v/>
      </c>
      <c r="BI268" s="118" t="str">
        <f>IF(BI$6="","",IF(BI$3="Maior",IFERROR(IF(VLOOKUP($N268,Capa!$A:$AE,BI$5,0)="",0,VLOOKUP($N268,Capa!$A:$AE,BI$5,0)),0),IF(ISERROR(1/VLOOKUP($N268,Capa!$A:$AE,BI$5,0)),0,1/VLOOKUP($N268,Capa!$A:$AE,BI$5,0))))</f>
        <v/>
      </c>
      <c r="BJ268" s="118" t="str">
        <f>IF(BJ$6="","",IF(BJ$3="Maior",IFERROR(IF(VLOOKUP($N268,Capa!$A:$AE,BJ$5,0)="",0,VLOOKUP($N268,Capa!$A:$AE,BJ$5,0)),0),IF(ISERROR(1/VLOOKUP($N268,Capa!$A:$AE,BJ$5,0)),0,1/VLOOKUP($N268,Capa!$A:$AE,BJ$5,0))))</f>
        <v/>
      </c>
      <c r="BK268" s="118" t="str">
        <f>IF(BK$6="","",IF(BK$3="Maior",IFERROR(IF(VLOOKUP($N268,Capa!$A:$AE,BK$5,0)="",0,VLOOKUP($N268,Capa!$A:$AE,BK$5,0)),0),IF(ISERROR(1/VLOOKUP($N268,Capa!$A:$AE,BK$5,0)),0,1/VLOOKUP($N268,Capa!$A:$AE,BK$5,0))))</f>
        <v/>
      </c>
      <c r="BL268" s="118" t="str">
        <f>IF(BL$6="","",IF(BL$3="Maior",IFERROR(IF(VLOOKUP($N268,Capa!$A:$AE,BL$5,0)="",0,VLOOKUP($N268,Capa!$A:$AE,BL$5,0)),0),IF(ISERROR(1/VLOOKUP($N268,Capa!$A:$AE,BL$5,0)),0,1/VLOOKUP($N268,Capa!$A:$AE,BL$5,0))))</f>
        <v/>
      </c>
      <c r="BM268" s="118" t="str">
        <f>IF(BM$6="","",IF(BM$3="Maior",IFERROR(IF(VLOOKUP($N268,Capa!$A:$AE,BM$5,0)="",0,VLOOKUP($N268,Capa!$A:$AE,BM$5,0)),0),IF(ISERROR(1/VLOOKUP($N268,Capa!$A:$AE,BM$5,0)),0,1/VLOOKUP($N268,Capa!$A:$AE,BM$5,0))))</f>
        <v/>
      </c>
      <c r="BN268" s="118" t="str">
        <f>IF(BN$6="","",IF(BN$3="Maior",IFERROR(IF(VLOOKUP($N268,Capa!$A:$AE,BN$5,0)="",0,VLOOKUP($N268,Capa!$A:$AE,BN$5,0)),0),IF(ISERROR(1/VLOOKUP($N268,Capa!$A:$AE,BN$5,0)),0,1/VLOOKUP($N268,Capa!$A:$AE,BN$5,0))))</f>
        <v/>
      </c>
      <c r="BO268" s="92"/>
    </row>
    <row r="269">
      <c r="G269" s="11"/>
      <c r="H269" s="11"/>
      <c r="I269" s="8"/>
      <c r="J269" s="132"/>
      <c r="K269" s="11"/>
      <c r="L269" s="11"/>
      <c r="M269" s="11"/>
      <c r="N269" s="10" t="s">
        <v>315</v>
      </c>
      <c r="O269" s="113">
        <f t="shared" si="8"/>
        <v>1461.0156</v>
      </c>
      <c r="P269" s="114">
        <f>VLOOKUP(N269,'Dados StatusInvest'!A:Z,26,0)</f>
        <v>2601895.29</v>
      </c>
      <c r="Q269" s="115">
        <f t="shared" si="9"/>
        <v>156.0156</v>
      </c>
      <c r="R269" s="116">
        <f t="shared" ref="R269:AO269" si="272">IF(AQ269="","", RANK(AQ269,AQ$7:AQ$503,0))</f>
        <v>114</v>
      </c>
      <c r="S269" s="115">
        <f t="shared" si="272"/>
        <v>191</v>
      </c>
      <c r="T269" s="115" t="str">
        <f t="shared" si="272"/>
        <v/>
      </c>
      <c r="U269" s="115" t="str">
        <f t="shared" si="272"/>
        <v/>
      </c>
      <c r="V269" s="115" t="str">
        <f t="shared" si="272"/>
        <v/>
      </c>
      <c r="W269" s="115" t="str">
        <f t="shared" si="272"/>
        <v/>
      </c>
      <c r="X269" s="115" t="str">
        <f t="shared" si="272"/>
        <v/>
      </c>
      <c r="Y269" s="115" t="str">
        <f t="shared" si="272"/>
        <v/>
      </c>
      <c r="Z269" s="115" t="str">
        <f t="shared" si="272"/>
        <v/>
      </c>
      <c r="AA269" s="115" t="str">
        <f t="shared" si="272"/>
        <v/>
      </c>
      <c r="AB269" s="115" t="str">
        <f t="shared" si="272"/>
        <v/>
      </c>
      <c r="AC269" s="115" t="str">
        <f t="shared" si="272"/>
        <v/>
      </c>
      <c r="AD269" s="115" t="str">
        <f t="shared" si="272"/>
        <v/>
      </c>
      <c r="AE269" s="115" t="str">
        <f t="shared" si="272"/>
        <v/>
      </c>
      <c r="AF269" s="115" t="str">
        <f t="shared" si="272"/>
        <v/>
      </c>
      <c r="AG269" s="115" t="str">
        <f t="shared" si="272"/>
        <v/>
      </c>
      <c r="AH269" s="115" t="str">
        <f t="shared" si="272"/>
        <v/>
      </c>
      <c r="AI269" s="115" t="str">
        <f t="shared" si="272"/>
        <v/>
      </c>
      <c r="AJ269" s="115" t="str">
        <f t="shared" si="272"/>
        <v/>
      </c>
      <c r="AK269" s="115" t="str">
        <f t="shared" si="272"/>
        <v/>
      </c>
      <c r="AL269" s="115" t="str">
        <f t="shared" si="272"/>
        <v/>
      </c>
      <c r="AM269" s="115" t="str">
        <f t="shared" si="272"/>
        <v/>
      </c>
      <c r="AN269" s="115" t="str">
        <f t="shared" si="272"/>
        <v/>
      </c>
      <c r="AO269" s="115" t="str">
        <f t="shared" si="272"/>
        <v/>
      </c>
      <c r="AP269" s="117">
        <f>IF(AP$6="","",IF(AP$3="Maior",IFERROR(IF(VLOOKUP($N269,Capa!$A:$AE,AP$5,0)="",0,VLOOKUP($N269,Capa!$A:$AE,AP$5,0)),0),IF(ISERROR(1/VLOOKUP($N269,Capa!$A:$AE,AP$5,0)),0,1/VLOOKUP($N269,Capa!$A:$AE,AP$5,0))))</f>
        <v>0.1279938401</v>
      </c>
      <c r="AQ269" s="118">
        <f>IF(AQ$6="","",IF(AQ$3="Maior",IFERROR(IF(VLOOKUP($N269,Capa!$A:$AE,AQ$5,0)="",0,VLOOKUP($N269,Capa!$A:$AE,AQ$5,0)),0),IF(ISERROR(1/VLOOKUP($N269,Capa!$A:$AE,AQ$5,0)),0,1/VLOOKUP($N269,Capa!$A:$AE,AQ$5,0))))</f>
        <v>16.23</v>
      </c>
      <c r="AR269" s="118">
        <f>IF(AR$6="","",IF(AR$3="Maior",IFERROR(IF(VLOOKUP($N269,Capa!$A:$AE,AR$5,0)="",0,VLOOKUP($N269,Capa!$A:$AE,AR$5,0)),0),IF(ISERROR(1/VLOOKUP($N269,Capa!$A:$AE,AR$5,0)),0,1/VLOOKUP($N269,Capa!$A:$AE,AR$5,0))))</f>
        <v>4.72</v>
      </c>
      <c r="AS269" s="118" t="str">
        <f>IF(AS$6="","",IF(AS$3="Maior",IFERROR(IF(VLOOKUP($N269,Capa!$A:$AE,AS$5,0)="",0,VLOOKUP($N269,Capa!$A:$AE,AS$5,0)),0),IF(ISERROR(1/VLOOKUP($N269,Capa!$A:$AE,AS$5,0)),0,1/VLOOKUP($N269,Capa!$A:$AE,AS$5,0))))</f>
        <v/>
      </c>
      <c r="AT269" s="118" t="str">
        <f>IF(AT$6="","",IF(AT$3="Maior",IFERROR(IF(VLOOKUP($N269,Capa!$A:$AE,AT$5,0)="",0,VLOOKUP($N269,Capa!$A:$AE,AT$5,0)),0),IF(ISERROR(1/VLOOKUP($N269,Capa!$A:$AE,AT$5,0)),0,1/VLOOKUP($N269,Capa!$A:$AE,AT$5,0))))</f>
        <v/>
      </c>
      <c r="AU269" s="118" t="str">
        <f>IF(AU$6="","",IF(AU$3="Maior",IFERROR(IF(VLOOKUP($N269,Capa!$A:$AE,AU$5,0)="",0,VLOOKUP($N269,Capa!$A:$AE,AU$5,0)),0),IF(ISERROR(1/VLOOKUP($N269,Capa!$A:$AE,AU$5,0)),0,1/VLOOKUP($N269,Capa!$A:$AE,AU$5,0))))</f>
        <v/>
      </c>
      <c r="AV269" s="118" t="str">
        <f>IF(AV$6="","",IF(AV$3="Maior",IFERROR(IF(VLOOKUP($N269,Capa!$A:$AE,AV$5,0)="",0,VLOOKUP($N269,Capa!$A:$AE,AV$5,0)),0),IF(ISERROR(1/VLOOKUP($N269,Capa!$A:$AE,AV$5,0)),0,1/VLOOKUP($N269,Capa!$A:$AE,AV$5,0))))</f>
        <v/>
      </c>
      <c r="AW269" s="118" t="str">
        <f>IF(AW$6="","",IF(AW$3="Maior",IFERROR(IF(VLOOKUP($N269,Capa!$A:$AE,AW$5,0)="",0,VLOOKUP($N269,Capa!$A:$AE,AW$5,0)),0),IF(ISERROR(1/VLOOKUP($N269,Capa!$A:$AE,AW$5,0)),0,1/VLOOKUP($N269,Capa!$A:$AE,AW$5,0))))</f>
        <v/>
      </c>
      <c r="AX269" s="118" t="str">
        <f>IF(AX$6="","",IF(AX$3="Maior",IFERROR(IF(VLOOKUP($N269,Capa!$A:$AE,AX$5,0)="",0,VLOOKUP($N269,Capa!$A:$AE,AX$5,0)),0),IF(ISERROR(1/VLOOKUP($N269,Capa!$A:$AE,AX$5,0)),0,1/VLOOKUP($N269,Capa!$A:$AE,AX$5,0))))</f>
        <v/>
      </c>
      <c r="AY269" s="118" t="str">
        <f>IF(AY$6="","",IF(AY$3="Maior",IFERROR(IF(VLOOKUP($N269,Capa!$A:$AE,AY$5,0)="",0,VLOOKUP($N269,Capa!$A:$AE,AY$5,0)),0),IF(ISERROR(1/VLOOKUP($N269,Capa!$A:$AE,AY$5,0)),0,1/VLOOKUP($N269,Capa!$A:$AE,AY$5,0))))</f>
        <v/>
      </c>
      <c r="AZ269" s="118" t="str">
        <f>IF(AZ$6="","",IF(AZ$3="Maior",IFERROR(IF(VLOOKUP($N269,Capa!$A:$AE,AZ$5,0)="",0,VLOOKUP($N269,Capa!$A:$AE,AZ$5,0)),0),IF(ISERROR(1/VLOOKUP($N269,Capa!$A:$AE,AZ$5,0)),0,1/VLOOKUP($N269,Capa!$A:$AE,AZ$5,0))))</f>
        <v/>
      </c>
      <c r="BA269" s="118" t="str">
        <f>IF(BA$6="","",IF(BA$3="Maior",IFERROR(IF(VLOOKUP($N269,Capa!$A:$AE,BA$5,0)="",0,VLOOKUP($N269,Capa!$A:$AE,BA$5,0)),0),IF(ISERROR(1/VLOOKUP($N269,Capa!$A:$AE,BA$5,0)),0,1/VLOOKUP($N269,Capa!$A:$AE,BA$5,0))))</f>
        <v/>
      </c>
      <c r="BB269" s="118" t="str">
        <f>IF(BB$6="","",IF(BB$3="Maior",IFERROR(IF(VLOOKUP($N269,Capa!$A:$AE,BB$5,0)="",0,VLOOKUP($N269,Capa!$A:$AE,BB$5,0)),0),IF(ISERROR(1/VLOOKUP($N269,Capa!$A:$AE,BB$5,0)),0,1/VLOOKUP($N269,Capa!$A:$AE,BB$5,0))))</f>
        <v/>
      </c>
      <c r="BC269" s="118" t="str">
        <f>IF(BC$6="","",IF(BC$3="Maior",IFERROR(IF(VLOOKUP($N269,Capa!$A:$AE,BC$5,0)="",0,VLOOKUP($N269,Capa!$A:$AE,BC$5,0)),0),IF(ISERROR(1/VLOOKUP($N269,Capa!$A:$AE,BC$5,0)),0,1/VLOOKUP($N269,Capa!$A:$AE,BC$5,0))))</f>
        <v/>
      </c>
      <c r="BD269" s="118" t="str">
        <f>IF(BD$6="","",IF(BD$3="Maior",IFERROR(IF(VLOOKUP($N269,Capa!$A:$AE,BD$5,0)="",0,VLOOKUP($N269,Capa!$A:$AE,BD$5,0)),0),IF(ISERROR(1/VLOOKUP($N269,Capa!$A:$AE,BD$5,0)),0,1/VLOOKUP($N269,Capa!$A:$AE,BD$5,0))))</f>
        <v/>
      </c>
      <c r="BE269" s="118" t="str">
        <f>IF(BE$6="","",IF(BE$3="Maior",IFERROR(IF(VLOOKUP($N269,Capa!$A:$AE,BE$5,0)="",0,VLOOKUP($N269,Capa!$A:$AE,BE$5,0)),0),IF(ISERROR(1/VLOOKUP($N269,Capa!$A:$AE,BE$5,0)),0,1/VLOOKUP($N269,Capa!$A:$AE,BE$5,0))))</f>
        <v/>
      </c>
      <c r="BF269" s="118" t="str">
        <f>IF(BF$6="","",IF(BF$3="Maior",IFERROR(IF(VLOOKUP($N269,Capa!$A:$AE,BF$5,0)="",0,VLOOKUP($N269,Capa!$A:$AE,BF$5,0)),0),IF(ISERROR(1/VLOOKUP($N269,Capa!$A:$AE,BF$5,0)),0,1/VLOOKUP($N269,Capa!$A:$AE,BF$5,0))))</f>
        <v/>
      </c>
      <c r="BG269" s="118" t="str">
        <f>IF(BG$6="","",IF(BG$3="Maior",IFERROR(IF(VLOOKUP($N269,Capa!$A:$AE,BG$5,0)="",0,VLOOKUP($N269,Capa!$A:$AE,BG$5,0)),0),IF(ISERROR(1/VLOOKUP($N269,Capa!$A:$AE,BG$5,0)),0,1/VLOOKUP($N269,Capa!$A:$AE,BG$5,0))))</f>
        <v/>
      </c>
      <c r="BH269" s="118" t="str">
        <f>IF(BH$6="","",IF(BH$3="Maior",IFERROR(IF(VLOOKUP($N269,Capa!$A:$AE,BH$5,0)="",0,VLOOKUP($N269,Capa!$A:$AE,BH$5,0)),0),IF(ISERROR(1/VLOOKUP($N269,Capa!$A:$AE,BH$5,0)),0,1/VLOOKUP($N269,Capa!$A:$AE,BH$5,0))))</f>
        <v/>
      </c>
      <c r="BI269" s="118" t="str">
        <f>IF(BI$6="","",IF(BI$3="Maior",IFERROR(IF(VLOOKUP($N269,Capa!$A:$AE,BI$5,0)="",0,VLOOKUP($N269,Capa!$A:$AE,BI$5,0)),0),IF(ISERROR(1/VLOOKUP($N269,Capa!$A:$AE,BI$5,0)),0,1/VLOOKUP($N269,Capa!$A:$AE,BI$5,0))))</f>
        <v/>
      </c>
      <c r="BJ269" s="118" t="str">
        <f>IF(BJ$6="","",IF(BJ$3="Maior",IFERROR(IF(VLOOKUP($N269,Capa!$A:$AE,BJ$5,0)="",0,VLOOKUP($N269,Capa!$A:$AE,BJ$5,0)),0),IF(ISERROR(1/VLOOKUP($N269,Capa!$A:$AE,BJ$5,0)),0,1/VLOOKUP($N269,Capa!$A:$AE,BJ$5,0))))</f>
        <v/>
      </c>
      <c r="BK269" s="118" t="str">
        <f>IF(BK$6="","",IF(BK$3="Maior",IFERROR(IF(VLOOKUP($N269,Capa!$A:$AE,BK$5,0)="",0,VLOOKUP($N269,Capa!$A:$AE,BK$5,0)),0),IF(ISERROR(1/VLOOKUP($N269,Capa!$A:$AE,BK$5,0)),0,1/VLOOKUP($N269,Capa!$A:$AE,BK$5,0))))</f>
        <v/>
      </c>
      <c r="BL269" s="118" t="str">
        <f>IF(BL$6="","",IF(BL$3="Maior",IFERROR(IF(VLOOKUP($N269,Capa!$A:$AE,BL$5,0)="",0,VLOOKUP($N269,Capa!$A:$AE,BL$5,0)),0),IF(ISERROR(1/VLOOKUP($N269,Capa!$A:$AE,BL$5,0)),0,1/VLOOKUP($N269,Capa!$A:$AE,BL$5,0))))</f>
        <v/>
      </c>
      <c r="BM269" s="118" t="str">
        <f>IF(BM$6="","",IF(BM$3="Maior",IFERROR(IF(VLOOKUP($N269,Capa!$A:$AE,BM$5,0)="",0,VLOOKUP($N269,Capa!$A:$AE,BM$5,0)),0),IF(ISERROR(1/VLOOKUP($N269,Capa!$A:$AE,BM$5,0)),0,1/VLOOKUP($N269,Capa!$A:$AE,BM$5,0))))</f>
        <v/>
      </c>
      <c r="BN269" s="118" t="str">
        <f>IF(BN$6="","",IF(BN$3="Maior",IFERROR(IF(VLOOKUP($N269,Capa!$A:$AE,BN$5,0)="",0,VLOOKUP($N269,Capa!$A:$AE,BN$5,0)),0),IF(ISERROR(1/VLOOKUP($N269,Capa!$A:$AE,BN$5,0)),0,1/VLOOKUP($N269,Capa!$A:$AE,BN$5,0))))</f>
        <v/>
      </c>
      <c r="BO269" s="92"/>
    </row>
    <row r="270">
      <c r="G270" s="11"/>
      <c r="H270" s="11"/>
      <c r="I270" s="8"/>
      <c r="J270" s="132"/>
      <c r="K270" s="11"/>
      <c r="L270" s="11"/>
      <c r="M270" s="11"/>
      <c r="N270" s="10" t="s">
        <v>316</v>
      </c>
      <c r="O270" s="113">
        <f t="shared" si="8"/>
        <v>1931.0485</v>
      </c>
      <c r="P270" s="114">
        <f>VLOOKUP(N270,'Dados StatusInvest'!A:Z,26,0)</f>
        <v>1258780.42</v>
      </c>
      <c r="Q270" s="115">
        <f t="shared" si="9"/>
        <v>485.0485</v>
      </c>
      <c r="R270" s="116">
        <f t="shared" ref="R270:AO270" si="273">IF(AQ270="","", RANK(AQ270,AQ$7:AQ$503,0))</f>
        <v>227</v>
      </c>
      <c r="S270" s="115">
        <f t="shared" si="273"/>
        <v>219</v>
      </c>
      <c r="T270" s="115" t="str">
        <f t="shared" si="273"/>
        <v/>
      </c>
      <c r="U270" s="115" t="str">
        <f t="shared" si="273"/>
        <v/>
      </c>
      <c r="V270" s="115" t="str">
        <f t="shared" si="273"/>
        <v/>
      </c>
      <c r="W270" s="115" t="str">
        <f t="shared" si="273"/>
        <v/>
      </c>
      <c r="X270" s="115" t="str">
        <f t="shared" si="273"/>
        <v/>
      </c>
      <c r="Y270" s="115" t="str">
        <f t="shared" si="273"/>
        <v/>
      </c>
      <c r="Z270" s="115" t="str">
        <f t="shared" si="273"/>
        <v/>
      </c>
      <c r="AA270" s="115" t="str">
        <f t="shared" si="273"/>
        <v/>
      </c>
      <c r="AB270" s="115" t="str">
        <f t="shared" si="273"/>
        <v/>
      </c>
      <c r="AC270" s="115" t="str">
        <f t="shared" si="273"/>
        <v/>
      </c>
      <c r="AD270" s="115" t="str">
        <f t="shared" si="273"/>
        <v/>
      </c>
      <c r="AE270" s="115" t="str">
        <f t="shared" si="273"/>
        <v/>
      </c>
      <c r="AF270" s="115" t="str">
        <f t="shared" si="273"/>
        <v/>
      </c>
      <c r="AG270" s="115" t="str">
        <f t="shared" si="273"/>
        <v/>
      </c>
      <c r="AH270" s="115" t="str">
        <f t="shared" si="273"/>
        <v/>
      </c>
      <c r="AI270" s="115" t="str">
        <f t="shared" si="273"/>
        <v/>
      </c>
      <c r="AJ270" s="115" t="str">
        <f t="shared" si="273"/>
        <v/>
      </c>
      <c r="AK270" s="115" t="str">
        <f t="shared" si="273"/>
        <v/>
      </c>
      <c r="AL270" s="115" t="str">
        <f t="shared" si="273"/>
        <v/>
      </c>
      <c r="AM270" s="115" t="str">
        <f t="shared" si="273"/>
        <v/>
      </c>
      <c r="AN270" s="115" t="str">
        <f t="shared" si="273"/>
        <v/>
      </c>
      <c r="AO270" s="115" t="str">
        <f t="shared" si="273"/>
        <v/>
      </c>
      <c r="AP270" s="117">
        <f>IF(AP$6="","",IF(AP$3="Maior",IFERROR(IF(VLOOKUP($N270,Capa!$A:$AE,AP$5,0)="",0,VLOOKUP($N270,Capa!$A:$AE,AP$5,0)),0),IF(ISERROR(1/VLOOKUP($N270,Capa!$A:$AE,AP$5,0)),0,1/VLOOKUP($N270,Capa!$A:$AE,AP$5,0))))</f>
        <v>-0.2938525329</v>
      </c>
      <c r="AQ270" s="118">
        <f>IF(AQ$6="","",IF(AQ$3="Maior",IFERROR(IF(VLOOKUP($N270,Capa!$A:$AE,AQ$5,0)="",0,VLOOKUP($N270,Capa!$A:$AE,AQ$5,0)),0),IF(ISERROR(1/VLOOKUP($N270,Capa!$A:$AE,AQ$5,0)),0,1/VLOOKUP($N270,Capa!$A:$AE,AQ$5,0))))</f>
        <v>9.78</v>
      </c>
      <c r="AR270" s="118">
        <f>IF(AR$6="","",IF(AR$3="Maior",IFERROR(IF(VLOOKUP($N270,Capa!$A:$AE,AR$5,0)="",0,VLOOKUP($N270,Capa!$A:$AE,AR$5,0)),0),IF(ISERROR(1/VLOOKUP($N270,Capa!$A:$AE,AR$5,0)),0,1/VLOOKUP($N270,Capa!$A:$AE,AR$5,0))))</f>
        <v>0</v>
      </c>
      <c r="AS270" s="118" t="str">
        <f>IF(AS$6="","",IF(AS$3="Maior",IFERROR(IF(VLOOKUP($N270,Capa!$A:$AE,AS$5,0)="",0,VLOOKUP($N270,Capa!$A:$AE,AS$5,0)),0),IF(ISERROR(1/VLOOKUP($N270,Capa!$A:$AE,AS$5,0)),0,1/VLOOKUP($N270,Capa!$A:$AE,AS$5,0))))</f>
        <v/>
      </c>
      <c r="AT270" s="118" t="str">
        <f>IF(AT$6="","",IF(AT$3="Maior",IFERROR(IF(VLOOKUP($N270,Capa!$A:$AE,AT$5,0)="",0,VLOOKUP($N270,Capa!$A:$AE,AT$5,0)),0),IF(ISERROR(1/VLOOKUP($N270,Capa!$A:$AE,AT$5,0)),0,1/VLOOKUP($N270,Capa!$A:$AE,AT$5,0))))</f>
        <v/>
      </c>
      <c r="AU270" s="118" t="str">
        <f>IF(AU$6="","",IF(AU$3="Maior",IFERROR(IF(VLOOKUP($N270,Capa!$A:$AE,AU$5,0)="",0,VLOOKUP($N270,Capa!$A:$AE,AU$5,0)),0),IF(ISERROR(1/VLOOKUP($N270,Capa!$A:$AE,AU$5,0)),0,1/VLOOKUP($N270,Capa!$A:$AE,AU$5,0))))</f>
        <v/>
      </c>
      <c r="AV270" s="118" t="str">
        <f>IF(AV$6="","",IF(AV$3="Maior",IFERROR(IF(VLOOKUP($N270,Capa!$A:$AE,AV$5,0)="",0,VLOOKUP($N270,Capa!$A:$AE,AV$5,0)),0),IF(ISERROR(1/VLOOKUP($N270,Capa!$A:$AE,AV$5,0)),0,1/VLOOKUP($N270,Capa!$A:$AE,AV$5,0))))</f>
        <v/>
      </c>
      <c r="AW270" s="118" t="str">
        <f>IF(AW$6="","",IF(AW$3="Maior",IFERROR(IF(VLOOKUP($N270,Capa!$A:$AE,AW$5,0)="",0,VLOOKUP($N270,Capa!$A:$AE,AW$5,0)),0),IF(ISERROR(1/VLOOKUP($N270,Capa!$A:$AE,AW$5,0)),0,1/VLOOKUP($N270,Capa!$A:$AE,AW$5,0))))</f>
        <v/>
      </c>
      <c r="AX270" s="118" t="str">
        <f>IF(AX$6="","",IF(AX$3="Maior",IFERROR(IF(VLOOKUP($N270,Capa!$A:$AE,AX$5,0)="",0,VLOOKUP($N270,Capa!$A:$AE,AX$5,0)),0),IF(ISERROR(1/VLOOKUP($N270,Capa!$A:$AE,AX$5,0)),0,1/VLOOKUP($N270,Capa!$A:$AE,AX$5,0))))</f>
        <v/>
      </c>
      <c r="AY270" s="118" t="str">
        <f>IF(AY$6="","",IF(AY$3="Maior",IFERROR(IF(VLOOKUP($N270,Capa!$A:$AE,AY$5,0)="",0,VLOOKUP($N270,Capa!$A:$AE,AY$5,0)),0),IF(ISERROR(1/VLOOKUP($N270,Capa!$A:$AE,AY$5,0)),0,1/VLOOKUP($N270,Capa!$A:$AE,AY$5,0))))</f>
        <v/>
      </c>
      <c r="AZ270" s="118" t="str">
        <f>IF(AZ$6="","",IF(AZ$3="Maior",IFERROR(IF(VLOOKUP($N270,Capa!$A:$AE,AZ$5,0)="",0,VLOOKUP($N270,Capa!$A:$AE,AZ$5,0)),0),IF(ISERROR(1/VLOOKUP($N270,Capa!$A:$AE,AZ$5,0)),0,1/VLOOKUP($N270,Capa!$A:$AE,AZ$5,0))))</f>
        <v/>
      </c>
      <c r="BA270" s="118" t="str">
        <f>IF(BA$6="","",IF(BA$3="Maior",IFERROR(IF(VLOOKUP($N270,Capa!$A:$AE,BA$5,0)="",0,VLOOKUP($N270,Capa!$A:$AE,BA$5,0)),0),IF(ISERROR(1/VLOOKUP($N270,Capa!$A:$AE,BA$5,0)),0,1/VLOOKUP($N270,Capa!$A:$AE,BA$5,0))))</f>
        <v/>
      </c>
      <c r="BB270" s="118" t="str">
        <f>IF(BB$6="","",IF(BB$3="Maior",IFERROR(IF(VLOOKUP($N270,Capa!$A:$AE,BB$5,0)="",0,VLOOKUP($N270,Capa!$A:$AE,BB$5,0)),0),IF(ISERROR(1/VLOOKUP($N270,Capa!$A:$AE,BB$5,0)),0,1/VLOOKUP($N270,Capa!$A:$AE,BB$5,0))))</f>
        <v/>
      </c>
      <c r="BC270" s="118" t="str">
        <f>IF(BC$6="","",IF(BC$3="Maior",IFERROR(IF(VLOOKUP($N270,Capa!$A:$AE,BC$5,0)="",0,VLOOKUP($N270,Capa!$A:$AE,BC$5,0)),0),IF(ISERROR(1/VLOOKUP($N270,Capa!$A:$AE,BC$5,0)),0,1/VLOOKUP($N270,Capa!$A:$AE,BC$5,0))))</f>
        <v/>
      </c>
      <c r="BD270" s="118" t="str">
        <f>IF(BD$6="","",IF(BD$3="Maior",IFERROR(IF(VLOOKUP($N270,Capa!$A:$AE,BD$5,0)="",0,VLOOKUP($N270,Capa!$A:$AE,BD$5,0)),0),IF(ISERROR(1/VLOOKUP($N270,Capa!$A:$AE,BD$5,0)),0,1/VLOOKUP($N270,Capa!$A:$AE,BD$5,0))))</f>
        <v/>
      </c>
      <c r="BE270" s="118" t="str">
        <f>IF(BE$6="","",IF(BE$3="Maior",IFERROR(IF(VLOOKUP($N270,Capa!$A:$AE,BE$5,0)="",0,VLOOKUP($N270,Capa!$A:$AE,BE$5,0)),0),IF(ISERROR(1/VLOOKUP($N270,Capa!$A:$AE,BE$5,0)),0,1/VLOOKUP($N270,Capa!$A:$AE,BE$5,0))))</f>
        <v/>
      </c>
      <c r="BF270" s="118" t="str">
        <f>IF(BF$6="","",IF(BF$3="Maior",IFERROR(IF(VLOOKUP($N270,Capa!$A:$AE,BF$5,0)="",0,VLOOKUP($N270,Capa!$A:$AE,BF$5,0)),0),IF(ISERROR(1/VLOOKUP($N270,Capa!$A:$AE,BF$5,0)),0,1/VLOOKUP($N270,Capa!$A:$AE,BF$5,0))))</f>
        <v/>
      </c>
      <c r="BG270" s="118" t="str">
        <f>IF(BG$6="","",IF(BG$3="Maior",IFERROR(IF(VLOOKUP($N270,Capa!$A:$AE,BG$5,0)="",0,VLOOKUP($N270,Capa!$A:$AE,BG$5,0)),0),IF(ISERROR(1/VLOOKUP($N270,Capa!$A:$AE,BG$5,0)),0,1/VLOOKUP($N270,Capa!$A:$AE,BG$5,0))))</f>
        <v/>
      </c>
      <c r="BH270" s="118" t="str">
        <f>IF(BH$6="","",IF(BH$3="Maior",IFERROR(IF(VLOOKUP($N270,Capa!$A:$AE,BH$5,0)="",0,VLOOKUP($N270,Capa!$A:$AE,BH$5,0)),0),IF(ISERROR(1/VLOOKUP($N270,Capa!$A:$AE,BH$5,0)),0,1/VLOOKUP($N270,Capa!$A:$AE,BH$5,0))))</f>
        <v/>
      </c>
      <c r="BI270" s="118" t="str">
        <f>IF(BI$6="","",IF(BI$3="Maior",IFERROR(IF(VLOOKUP($N270,Capa!$A:$AE,BI$5,0)="",0,VLOOKUP($N270,Capa!$A:$AE,BI$5,0)),0),IF(ISERROR(1/VLOOKUP($N270,Capa!$A:$AE,BI$5,0)),0,1/VLOOKUP($N270,Capa!$A:$AE,BI$5,0))))</f>
        <v/>
      </c>
      <c r="BJ270" s="118" t="str">
        <f>IF(BJ$6="","",IF(BJ$3="Maior",IFERROR(IF(VLOOKUP($N270,Capa!$A:$AE,BJ$5,0)="",0,VLOOKUP($N270,Capa!$A:$AE,BJ$5,0)),0),IF(ISERROR(1/VLOOKUP($N270,Capa!$A:$AE,BJ$5,0)),0,1/VLOOKUP($N270,Capa!$A:$AE,BJ$5,0))))</f>
        <v/>
      </c>
      <c r="BK270" s="118" t="str">
        <f>IF(BK$6="","",IF(BK$3="Maior",IFERROR(IF(VLOOKUP($N270,Capa!$A:$AE,BK$5,0)="",0,VLOOKUP($N270,Capa!$A:$AE,BK$5,0)),0),IF(ISERROR(1/VLOOKUP($N270,Capa!$A:$AE,BK$5,0)),0,1/VLOOKUP($N270,Capa!$A:$AE,BK$5,0))))</f>
        <v/>
      </c>
      <c r="BL270" s="118" t="str">
        <f>IF(BL$6="","",IF(BL$3="Maior",IFERROR(IF(VLOOKUP($N270,Capa!$A:$AE,BL$5,0)="",0,VLOOKUP($N270,Capa!$A:$AE,BL$5,0)),0),IF(ISERROR(1/VLOOKUP($N270,Capa!$A:$AE,BL$5,0)),0,1/VLOOKUP($N270,Capa!$A:$AE,BL$5,0))))</f>
        <v/>
      </c>
      <c r="BM270" s="118" t="str">
        <f>IF(BM$6="","",IF(BM$3="Maior",IFERROR(IF(VLOOKUP($N270,Capa!$A:$AE,BM$5,0)="",0,VLOOKUP($N270,Capa!$A:$AE,BM$5,0)),0),IF(ISERROR(1/VLOOKUP($N270,Capa!$A:$AE,BM$5,0)),0,1/VLOOKUP($N270,Capa!$A:$AE,BM$5,0))))</f>
        <v/>
      </c>
      <c r="BN270" s="118" t="str">
        <f>IF(BN$6="","",IF(BN$3="Maior",IFERROR(IF(VLOOKUP($N270,Capa!$A:$AE,BN$5,0)="",0,VLOOKUP($N270,Capa!$A:$AE,BN$5,0)),0),IF(ISERROR(1/VLOOKUP($N270,Capa!$A:$AE,BN$5,0)),0,1/VLOOKUP($N270,Capa!$A:$AE,BN$5,0))))</f>
        <v/>
      </c>
      <c r="BO270" s="92"/>
    </row>
    <row r="271">
      <c r="G271" s="11"/>
      <c r="H271" s="11"/>
      <c r="I271" s="8"/>
      <c r="J271" s="132"/>
      <c r="K271" s="11"/>
      <c r="L271" s="11"/>
      <c r="M271" s="11"/>
      <c r="N271" s="10" t="s">
        <v>317</v>
      </c>
      <c r="O271" s="113">
        <f t="shared" si="8"/>
        <v>1666.0274</v>
      </c>
      <c r="P271" s="114">
        <f>VLOOKUP(N271,'Dados StatusInvest'!A:Z,26,0)</f>
        <v>1640306.13</v>
      </c>
      <c r="Q271" s="115">
        <f t="shared" si="9"/>
        <v>274.0274</v>
      </c>
      <c r="R271" s="116">
        <f t="shared" ref="R271:AO271" si="274">IF(AQ271="","", RANK(AQ271,AQ$7:AQ$503,0))</f>
        <v>262</v>
      </c>
      <c r="S271" s="115">
        <f t="shared" si="274"/>
        <v>130</v>
      </c>
      <c r="T271" s="115" t="str">
        <f t="shared" si="274"/>
        <v/>
      </c>
      <c r="U271" s="115" t="str">
        <f t="shared" si="274"/>
        <v/>
      </c>
      <c r="V271" s="115" t="str">
        <f t="shared" si="274"/>
        <v/>
      </c>
      <c r="W271" s="115" t="str">
        <f t="shared" si="274"/>
        <v/>
      </c>
      <c r="X271" s="115" t="str">
        <f t="shared" si="274"/>
        <v/>
      </c>
      <c r="Y271" s="115" t="str">
        <f t="shared" si="274"/>
        <v/>
      </c>
      <c r="Z271" s="115" t="str">
        <f t="shared" si="274"/>
        <v/>
      </c>
      <c r="AA271" s="115" t="str">
        <f t="shared" si="274"/>
        <v/>
      </c>
      <c r="AB271" s="115" t="str">
        <f t="shared" si="274"/>
        <v/>
      </c>
      <c r="AC271" s="115" t="str">
        <f t="shared" si="274"/>
        <v/>
      </c>
      <c r="AD271" s="115" t="str">
        <f t="shared" si="274"/>
        <v/>
      </c>
      <c r="AE271" s="115" t="str">
        <f t="shared" si="274"/>
        <v/>
      </c>
      <c r="AF271" s="115" t="str">
        <f t="shared" si="274"/>
        <v/>
      </c>
      <c r="AG271" s="115" t="str">
        <f t="shared" si="274"/>
        <v/>
      </c>
      <c r="AH271" s="115" t="str">
        <f t="shared" si="274"/>
        <v/>
      </c>
      <c r="AI271" s="115" t="str">
        <f t="shared" si="274"/>
        <v/>
      </c>
      <c r="AJ271" s="115" t="str">
        <f t="shared" si="274"/>
        <v/>
      </c>
      <c r="AK271" s="115" t="str">
        <f t="shared" si="274"/>
        <v/>
      </c>
      <c r="AL271" s="115" t="str">
        <f t="shared" si="274"/>
        <v/>
      </c>
      <c r="AM271" s="115" t="str">
        <f t="shared" si="274"/>
        <v/>
      </c>
      <c r="AN271" s="115" t="str">
        <f t="shared" si="274"/>
        <v/>
      </c>
      <c r="AO271" s="115" t="str">
        <f t="shared" si="274"/>
        <v/>
      </c>
      <c r="AP271" s="117">
        <f>IF(AP$6="","",IF(AP$3="Maior",IFERROR(IF(VLOOKUP($N271,Capa!$A:$AE,AP$5,0)="",0,VLOOKUP($N271,Capa!$A:$AE,AP$5,0)),0),IF(ISERROR(1/VLOOKUP($N271,Capa!$A:$AE,AP$5,0)),0,1/VLOOKUP($N271,Capa!$A:$AE,AP$5,0))))</f>
        <v>0.06857617509</v>
      </c>
      <c r="AQ271" s="118">
        <f>IF(AQ$6="","",IF(AQ$3="Maior",IFERROR(IF(VLOOKUP($N271,Capa!$A:$AE,AQ$5,0)="",0,VLOOKUP($N271,Capa!$A:$AE,AQ$5,0)),0),IF(ISERROR(1/VLOOKUP($N271,Capa!$A:$AE,AQ$5,0)),0,1/VLOOKUP($N271,Capa!$A:$AE,AQ$5,0))))</f>
        <v>7.71</v>
      </c>
      <c r="AR271" s="118">
        <f>IF(AR$6="","",IF(AR$3="Maior",IFERROR(IF(VLOOKUP($N271,Capa!$A:$AE,AR$5,0)="",0,VLOOKUP($N271,Capa!$A:$AE,AR$5,0)),0),IF(ISERROR(1/VLOOKUP($N271,Capa!$A:$AE,AR$5,0)),0,1/VLOOKUP($N271,Capa!$A:$AE,AR$5,0))))</f>
        <v>19.99</v>
      </c>
      <c r="AS271" s="118" t="str">
        <f>IF(AS$6="","",IF(AS$3="Maior",IFERROR(IF(VLOOKUP($N271,Capa!$A:$AE,AS$5,0)="",0,VLOOKUP($N271,Capa!$A:$AE,AS$5,0)),0),IF(ISERROR(1/VLOOKUP($N271,Capa!$A:$AE,AS$5,0)),0,1/VLOOKUP($N271,Capa!$A:$AE,AS$5,0))))</f>
        <v/>
      </c>
      <c r="AT271" s="118" t="str">
        <f>IF(AT$6="","",IF(AT$3="Maior",IFERROR(IF(VLOOKUP($N271,Capa!$A:$AE,AT$5,0)="",0,VLOOKUP($N271,Capa!$A:$AE,AT$5,0)),0),IF(ISERROR(1/VLOOKUP($N271,Capa!$A:$AE,AT$5,0)),0,1/VLOOKUP($N271,Capa!$A:$AE,AT$5,0))))</f>
        <v/>
      </c>
      <c r="AU271" s="118" t="str">
        <f>IF(AU$6="","",IF(AU$3="Maior",IFERROR(IF(VLOOKUP($N271,Capa!$A:$AE,AU$5,0)="",0,VLOOKUP($N271,Capa!$A:$AE,AU$5,0)),0),IF(ISERROR(1/VLOOKUP($N271,Capa!$A:$AE,AU$5,0)),0,1/VLOOKUP($N271,Capa!$A:$AE,AU$5,0))))</f>
        <v/>
      </c>
      <c r="AV271" s="118" t="str">
        <f>IF(AV$6="","",IF(AV$3="Maior",IFERROR(IF(VLOOKUP($N271,Capa!$A:$AE,AV$5,0)="",0,VLOOKUP($N271,Capa!$A:$AE,AV$5,0)),0),IF(ISERROR(1/VLOOKUP($N271,Capa!$A:$AE,AV$5,0)),0,1/VLOOKUP($N271,Capa!$A:$AE,AV$5,0))))</f>
        <v/>
      </c>
      <c r="AW271" s="118" t="str">
        <f>IF(AW$6="","",IF(AW$3="Maior",IFERROR(IF(VLOOKUP($N271,Capa!$A:$AE,AW$5,0)="",0,VLOOKUP($N271,Capa!$A:$AE,AW$5,0)),0),IF(ISERROR(1/VLOOKUP($N271,Capa!$A:$AE,AW$5,0)),0,1/VLOOKUP($N271,Capa!$A:$AE,AW$5,0))))</f>
        <v/>
      </c>
      <c r="AX271" s="118" t="str">
        <f>IF(AX$6="","",IF(AX$3="Maior",IFERROR(IF(VLOOKUP($N271,Capa!$A:$AE,AX$5,0)="",0,VLOOKUP($N271,Capa!$A:$AE,AX$5,0)),0),IF(ISERROR(1/VLOOKUP($N271,Capa!$A:$AE,AX$5,0)),0,1/VLOOKUP($N271,Capa!$A:$AE,AX$5,0))))</f>
        <v/>
      </c>
      <c r="AY271" s="118" t="str">
        <f>IF(AY$6="","",IF(AY$3="Maior",IFERROR(IF(VLOOKUP($N271,Capa!$A:$AE,AY$5,0)="",0,VLOOKUP($N271,Capa!$A:$AE,AY$5,0)),0),IF(ISERROR(1/VLOOKUP($N271,Capa!$A:$AE,AY$5,0)),0,1/VLOOKUP($N271,Capa!$A:$AE,AY$5,0))))</f>
        <v/>
      </c>
      <c r="AZ271" s="118" t="str">
        <f>IF(AZ$6="","",IF(AZ$3="Maior",IFERROR(IF(VLOOKUP($N271,Capa!$A:$AE,AZ$5,0)="",0,VLOOKUP($N271,Capa!$A:$AE,AZ$5,0)),0),IF(ISERROR(1/VLOOKUP($N271,Capa!$A:$AE,AZ$5,0)),0,1/VLOOKUP($N271,Capa!$A:$AE,AZ$5,0))))</f>
        <v/>
      </c>
      <c r="BA271" s="118" t="str">
        <f>IF(BA$6="","",IF(BA$3="Maior",IFERROR(IF(VLOOKUP($N271,Capa!$A:$AE,BA$5,0)="",0,VLOOKUP($N271,Capa!$A:$AE,BA$5,0)),0),IF(ISERROR(1/VLOOKUP($N271,Capa!$A:$AE,BA$5,0)),0,1/VLOOKUP($N271,Capa!$A:$AE,BA$5,0))))</f>
        <v/>
      </c>
      <c r="BB271" s="118" t="str">
        <f>IF(BB$6="","",IF(BB$3="Maior",IFERROR(IF(VLOOKUP($N271,Capa!$A:$AE,BB$5,0)="",0,VLOOKUP($N271,Capa!$A:$AE,BB$5,0)),0),IF(ISERROR(1/VLOOKUP($N271,Capa!$A:$AE,BB$5,0)),0,1/VLOOKUP($N271,Capa!$A:$AE,BB$5,0))))</f>
        <v/>
      </c>
      <c r="BC271" s="118" t="str">
        <f>IF(BC$6="","",IF(BC$3="Maior",IFERROR(IF(VLOOKUP($N271,Capa!$A:$AE,BC$5,0)="",0,VLOOKUP($N271,Capa!$A:$AE,BC$5,0)),0),IF(ISERROR(1/VLOOKUP($N271,Capa!$A:$AE,BC$5,0)),0,1/VLOOKUP($N271,Capa!$A:$AE,BC$5,0))))</f>
        <v/>
      </c>
      <c r="BD271" s="118" t="str">
        <f>IF(BD$6="","",IF(BD$3="Maior",IFERROR(IF(VLOOKUP($N271,Capa!$A:$AE,BD$5,0)="",0,VLOOKUP($N271,Capa!$A:$AE,BD$5,0)),0),IF(ISERROR(1/VLOOKUP($N271,Capa!$A:$AE,BD$5,0)),0,1/VLOOKUP($N271,Capa!$A:$AE,BD$5,0))))</f>
        <v/>
      </c>
      <c r="BE271" s="118" t="str">
        <f>IF(BE$6="","",IF(BE$3="Maior",IFERROR(IF(VLOOKUP($N271,Capa!$A:$AE,BE$5,0)="",0,VLOOKUP($N271,Capa!$A:$AE,BE$5,0)),0),IF(ISERROR(1/VLOOKUP($N271,Capa!$A:$AE,BE$5,0)),0,1/VLOOKUP($N271,Capa!$A:$AE,BE$5,0))))</f>
        <v/>
      </c>
      <c r="BF271" s="118" t="str">
        <f>IF(BF$6="","",IF(BF$3="Maior",IFERROR(IF(VLOOKUP($N271,Capa!$A:$AE,BF$5,0)="",0,VLOOKUP($N271,Capa!$A:$AE,BF$5,0)),0),IF(ISERROR(1/VLOOKUP($N271,Capa!$A:$AE,BF$5,0)),0,1/VLOOKUP($N271,Capa!$A:$AE,BF$5,0))))</f>
        <v/>
      </c>
      <c r="BG271" s="118" t="str">
        <f>IF(BG$6="","",IF(BG$3="Maior",IFERROR(IF(VLOOKUP($N271,Capa!$A:$AE,BG$5,0)="",0,VLOOKUP($N271,Capa!$A:$AE,BG$5,0)),0),IF(ISERROR(1/VLOOKUP($N271,Capa!$A:$AE,BG$5,0)),0,1/VLOOKUP($N271,Capa!$A:$AE,BG$5,0))))</f>
        <v/>
      </c>
      <c r="BH271" s="118" t="str">
        <f>IF(BH$6="","",IF(BH$3="Maior",IFERROR(IF(VLOOKUP($N271,Capa!$A:$AE,BH$5,0)="",0,VLOOKUP($N271,Capa!$A:$AE,BH$5,0)),0),IF(ISERROR(1/VLOOKUP($N271,Capa!$A:$AE,BH$5,0)),0,1/VLOOKUP($N271,Capa!$A:$AE,BH$5,0))))</f>
        <v/>
      </c>
      <c r="BI271" s="118" t="str">
        <f>IF(BI$6="","",IF(BI$3="Maior",IFERROR(IF(VLOOKUP($N271,Capa!$A:$AE,BI$5,0)="",0,VLOOKUP($N271,Capa!$A:$AE,BI$5,0)),0),IF(ISERROR(1/VLOOKUP($N271,Capa!$A:$AE,BI$5,0)),0,1/VLOOKUP($N271,Capa!$A:$AE,BI$5,0))))</f>
        <v/>
      </c>
      <c r="BJ271" s="118" t="str">
        <f>IF(BJ$6="","",IF(BJ$3="Maior",IFERROR(IF(VLOOKUP($N271,Capa!$A:$AE,BJ$5,0)="",0,VLOOKUP($N271,Capa!$A:$AE,BJ$5,0)),0),IF(ISERROR(1/VLOOKUP($N271,Capa!$A:$AE,BJ$5,0)),0,1/VLOOKUP($N271,Capa!$A:$AE,BJ$5,0))))</f>
        <v/>
      </c>
      <c r="BK271" s="118" t="str">
        <f>IF(BK$6="","",IF(BK$3="Maior",IFERROR(IF(VLOOKUP($N271,Capa!$A:$AE,BK$5,0)="",0,VLOOKUP($N271,Capa!$A:$AE,BK$5,0)),0),IF(ISERROR(1/VLOOKUP($N271,Capa!$A:$AE,BK$5,0)),0,1/VLOOKUP($N271,Capa!$A:$AE,BK$5,0))))</f>
        <v/>
      </c>
      <c r="BL271" s="118" t="str">
        <f>IF(BL$6="","",IF(BL$3="Maior",IFERROR(IF(VLOOKUP($N271,Capa!$A:$AE,BL$5,0)="",0,VLOOKUP($N271,Capa!$A:$AE,BL$5,0)),0),IF(ISERROR(1/VLOOKUP($N271,Capa!$A:$AE,BL$5,0)),0,1/VLOOKUP($N271,Capa!$A:$AE,BL$5,0))))</f>
        <v/>
      </c>
      <c r="BM271" s="118" t="str">
        <f>IF(BM$6="","",IF(BM$3="Maior",IFERROR(IF(VLOOKUP($N271,Capa!$A:$AE,BM$5,0)="",0,VLOOKUP($N271,Capa!$A:$AE,BM$5,0)),0),IF(ISERROR(1/VLOOKUP($N271,Capa!$A:$AE,BM$5,0)),0,1/VLOOKUP($N271,Capa!$A:$AE,BM$5,0))))</f>
        <v/>
      </c>
      <c r="BN271" s="118" t="str">
        <f>IF(BN$6="","",IF(BN$3="Maior",IFERROR(IF(VLOOKUP($N271,Capa!$A:$AE,BN$5,0)="",0,VLOOKUP($N271,Capa!$A:$AE,BN$5,0)),0),IF(ISERROR(1/VLOOKUP($N271,Capa!$A:$AE,BN$5,0)),0,1/VLOOKUP($N271,Capa!$A:$AE,BN$5,0))))</f>
        <v/>
      </c>
      <c r="BO271" s="92"/>
    </row>
    <row r="272">
      <c r="G272" s="11"/>
      <c r="H272" s="11"/>
      <c r="I272" s="8"/>
      <c r="J272" s="132"/>
      <c r="K272" s="11"/>
      <c r="L272" s="11"/>
      <c r="M272" s="11"/>
      <c r="N272" s="10" t="s">
        <v>318</v>
      </c>
      <c r="O272" s="113">
        <f t="shared" si="8"/>
        <v>2124.0435</v>
      </c>
      <c r="P272" s="114">
        <f>VLOOKUP(N272,'Dados StatusInvest'!A:Z,26,0)</f>
        <v>1228634.5</v>
      </c>
      <c r="Q272" s="115">
        <f t="shared" si="9"/>
        <v>435.0435</v>
      </c>
      <c r="R272" s="116">
        <f t="shared" ref="R272:AO272" si="275">IF(AQ272="","", RANK(AQ272,AQ$7:AQ$503,0))</f>
        <v>470</v>
      </c>
      <c r="S272" s="115">
        <f t="shared" si="275"/>
        <v>219</v>
      </c>
      <c r="T272" s="115" t="str">
        <f t="shared" si="275"/>
        <v/>
      </c>
      <c r="U272" s="115" t="str">
        <f t="shared" si="275"/>
        <v/>
      </c>
      <c r="V272" s="115" t="str">
        <f t="shared" si="275"/>
        <v/>
      </c>
      <c r="W272" s="115" t="str">
        <f t="shared" si="275"/>
        <v/>
      </c>
      <c r="X272" s="115" t="str">
        <f t="shared" si="275"/>
        <v/>
      </c>
      <c r="Y272" s="115" t="str">
        <f t="shared" si="275"/>
        <v/>
      </c>
      <c r="Z272" s="115" t="str">
        <f t="shared" si="275"/>
        <v/>
      </c>
      <c r="AA272" s="115" t="str">
        <f t="shared" si="275"/>
        <v/>
      </c>
      <c r="AB272" s="115" t="str">
        <f t="shared" si="275"/>
        <v/>
      </c>
      <c r="AC272" s="115" t="str">
        <f t="shared" si="275"/>
        <v/>
      </c>
      <c r="AD272" s="115" t="str">
        <f t="shared" si="275"/>
        <v/>
      </c>
      <c r="AE272" s="115" t="str">
        <f t="shared" si="275"/>
        <v/>
      </c>
      <c r="AF272" s="115" t="str">
        <f t="shared" si="275"/>
        <v/>
      </c>
      <c r="AG272" s="115" t="str">
        <f t="shared" si="275"/>
        <v/>
      </c>
      <c r="AH272" s="115" t="str">
        <f t="shared" si="275"/>
        <v/>
      </c>
      <c r="AI272" s="115" t="str">
        <f t="shared" si="275"/>
        <v/>
      </c>
      <c r="AJ272" s="115" t="str">
        <f t="shared" si="275"/>
        <v/>
      </c>
      <c r="AK272" s="115" t="str">
        <f t="shared" si="275"/>
        <v/>
      </c>
      <c r="AL272" s="115" t="str">
        <f t="shared" si="275"/>
        <v/>
      </c>
      <c r="AM272" s="115" t="str">
        <f t="shared" si="275"/>
        <v/>
      </c>
      <c r="AN272" s="115" t="str">
        <f t="shared" si="275"/>
        <v/>
      </c>
      <c r="AO272" s="115" t="str">
        <f t="shared" si="275"/>
        <v/>
      </c>
      <c r="AP272" s="117">
        <f>IF(AP$6="","",IF(AP$3="Maior",IFERROR(IF(VLOOKUP($N272,Capa!$A:$AE,AP$5,0)="",0,VLOOKUP($N272,Capa!$A:$AE,AP$5,0)),0),IF(ISERROR(1/VLOOKUP($N272,Capa!$A:$AE,AP$5,0)),0,1/VLOOKUP($N272,Capa!$A:$AE,AP$5,0))))</f>
        <v>-0.05453422515</v>
      </c>
      <c r="AQ272" s="118">
        <f>IF(AQ$6="","",IF(AQ$3="Maior",IFERROR(IF(VLOOKUP($N272,Capa!$A:$AE,AQ$5,0)="",0,VLOOKUP($N272,Capa!$A:$AE,AQ$5,0)),0),IF(ISERROR(1/VLOOKUP($N272,Capa!$A:$AE,AQ$5,0)),0,1/VLOOKUP($N272,Capa!$A:$AE,AQ$5,0))))</f>
        <v>-15.96</v>
      </c>
      <c r="AR272" s="118">
        <f>IF(AR$6="","",IF(AR$3="Maior",IFERROR(IF(VLOOKUP($N272,Capa!$A:$AE,AR$5,0)="",0,VLOOKUP($N272,Capa!$A:$AE,AR$5,0)),0),IF(ISERROR(1/VLOOKUP($N272,Capa!$A:$AE,AR$5,0)),0,1/VLOOKUP($N272,Capa!$A:$AE,AR$5,0))))</f>
        <v>0</v>
      </c>
      <c r="AS272" s="118" t="str">
        <f>IF(AS$6="","",IF(AS$3="Maior",IFERROR(IF(VLOOKUP($N272,Capa!$A:$AE,AS$5,0)="",0,VLOOKUP($N272,Capa!$A:$AE,AS$5,0)),0),IF(ISERROR(1/VLOOKUP($N272,Capa!$A:$AE,AS$5,0)),0,1/VLOOKUP($N272,Capa!$A:$AE,AS$5,0))))</f>
        <v/>
      </c>
      <c r="AT272" s="118" t="str">
        <f>IF(AT$6="","",IF(AT$3="Maior",IFERROR(IF(VLOOKUP($N272,Capa!$A:$AE,AT$5,0)="",0,VLOOKUP($N272,Capa!$A:$AE,AT$5,0)),0),IF(ISERROR(1/VLOOKUP($N272,Capa!$A:$AE,AT$5,0)),0,1/VLOOKUP($N272,Capa!$A:$AE,AT$5,0))))</f>
        <v/>
      </c>
      <c r="AU272" s="118" t="str">
        <f>IF(AU$6="","",IF(AU$3="Maior",IFERROR(IF(VLOOKUP($N272,Capa!$A:$AE,AU$5,0)="",0,VLOOKUP($N272,Capa!$A:$AE,AU$5,0)),0),IF(ISERROR(1/VLOOKUP($N272,Capa!$A:$AE,AU$5,0)),0,1/VLOOKUP($N272,Capa!$A:$AE,AU$5,0))))</f>
        <v/>
      </c>
      <c r="AV272" s="118" t="str">
        <f>IF(AV$6="","",IF(AV$3="Maior",IFERROR(IF(VLOOKUP($N272,Capa!$A:$AE,AV$5,0)="",0,VLOOKUP($N272,Capa!$A:$AE,AV$5,0)),0),IF(ISERROR(1/VLOOKUP($N272,Capa!$A:$AE,AV$5,0)),0,1/VLOOKUP($N272,Capa!$A:$AE,AV$5,0))))</f>
        <v/>
      </c>
      <c r="AW272" s="118" t="str">
        <f>IF(AW$6="","",IF(AW$3="Maior",IFERROR(IF(VLOOKUP($N272,Capa!$A:$AE,AW$5,0)="",0,VLOOKUP($N272,Capa!$A:$AE,AW$5,0)),0),IF(ISERROR(1/VLOOKUP($N272,Capa!$A:$AE,AW$5,0)),0,1/VLOOKUP($N272,Capa!$A:$AE,AW$5,0))))</f>
        <v/>
      </c>
      <c r="AX272" s="118" t="str">
        <f>IF(AX$6="","",IF(AX$3="Maior",IFERROR(IF(VLOOKUP($N272,Capa!$A:$AE,AX$5,0)="",0,VLOOKUP($N272,Capa!$A:$AE,AX$5,0)),0),IF(ISERROR(1/VLOOKUP($N272,Capa!$A:$AE,AX$5,0)),0,1/VLOOKUP($N272,Capa!$A:$AE,AX$5,0))))</f>
        <v/>
      </c>
      <c r="AY272" s="118" t="str">
        <f>IF(AY$6="","",IF(AY$3="Maior",IFERROR(IF(VLOOKUP($N272,Capa!$A:$AE,AY$5,0)="",0,VLOOKUP($N272,Capa!$A:$AE,AY$5,0)),0),IF(ISERROR(1/VLOOKUP($N272,Capa!$A:$AE,AY$5,0)),0,1/VLOOKUP($N272,Capa!$A:$AE,AY$5,0))))</f>
        <v/>
      </c>
      <c r="AZ272" s="118" t="str">
        <f>IF(AZ$6="","",IF(AZ$3="Maior",IFERROR(IF(VLOOKUP($N272,Capa!$A:$AE,AZ$5,0)="",0,VLOOKUP($N272,Capa!$A:$AE,AZ$5,0)),0),IF(ISERROR(1/VLOOKUP($N272,Capa!$A:$AE,AZ$5,0)),0,1/VLOOKUP($N272,Capa!$A:$AE,AZ$5,0))))</f>
        <v/>
      </c>
      <c r="BA272" s="118" t="str">
        <f>IF(BA$6="","",IF(BA$3="Maior",IFERROR(IF(VLOOKUP($N272,Capa!$A:$AE,BA$5,0)="",0,VLOOKUP($N272,Capa!$A:$AE,BA$5,0)),0),IF(ISERROR(1/VLOOKUP($N272,Capa!$A:$AE,BA$5,0)),0,1/VLOOKUP($N272,Capa!$A:$AE,BA$5,0))))</f>
        <v/>
      </c>
      <c r="BB272" s="118" t="str">
        <f>IF(BB$6="","",IF(BB$3="Maior",IFERROR(IF(VLOOKUP($N272,Capa!$A:$AE,BB$5,0)="",0,VLOOKUP($N272,Capa!$A:$AE,BB$5,0)),0),IF(ISERROR(1/VLOOKUP($N272,Capa!$A:$AE,BB$5,0)),0,1/VLOOKUP($N272,Capa!$A:$AE,BB$5,0))))</f>
        <v/>
      </c>
      <c r="BC272" s="118" t="str">
        <f>IF(BC$6="","",IF(BC$3="Maior",IFERROR(IF(VLOOKUP($N272,Capa!$A:$AE,BC$5,0)="",0,VLOOKUP($N272,Capa!$A:$AE,BC$5,0)),0),IF(ISERROR(1/VLOOKUP($N272,Capa!$A:$AE,BC$5,0)),0,1/VLOOKUP($N272,Capa!$A:$AE,BC$5,0))))</f>
        <v/>
      </c>
      <c r="BD272" s="118" t="str">
        <f>IF(BD$6="","",IF(BD$3="Maior",IFERROR(IF(VLOOKUP($N272,Capa!$A:$AE,BD$5,0)="",0,VLOOKUP($N272,Capa!$A:$AE,BD$5,0)),0),IF(ISERROR(1/VLOOKUP($N272,Capa!$A:$AE,BD$5,0)),0,1/VLOOKUP($N272,Capa!$A:$AE,BD$5,0))))</f>
        <v/>
      </c>
      <c r="BE272" s="118" t="str">
        <f>IF(BE$6="","",IF(BE$3="Maior",IFERROR(IF(VLOOKUP($N272,Capa!$A:$AE,BE$5,0)="",0,VLOOKUP($N272,Capa!$A:$AE,BE$5,0)),0),IF(ISERROR(1/VLOOKUP($N272,Capa!$A:$AE,BE$5,0)),0,1/VLOOKUP($N272,Capa!$A:$AE,BE$5,0))))</f>
        <v/>
      </c>
      <c r="BF272" s="118" t="str">
        <f>IF(BF$6="","",IF(BF$3="Maior",IFERROR(IF(VLOOKUP($N272,Capa!$A:$AE,BF$5,0)="",0,VLOOKUP($N272,Capa!$A:$AE,BF$5,0)),0),IF(ISERROR(1/VLOOKUP($N272,Capa!$A:$AE,BF$5,0)),0,1/VLOOKUP($N272,Capa!$A:$AE,BF$5,0))))</f>
        <v/>
      </c>
      <c r="BG272" s="118" t="str">
        <f>IF(BG$6="","",IF(BG$3="Maior",IFERROR(IF(VLOOKUP($N272,Capa!$A:$AE,BG$5,0)="",0,VLOOKUP($N272,Capa!$A:$AE,BG$5,0)),0),IF(ISERROR(1/VLOOKUP($N272,Capa!$A:$AE,BG$5,0)),0,1/VLOOKUP($N272,Capa!$A:$AE,BG$5,0))))</f>
        <v/>
      </c>
      <c r="BH272" s="118" t="str">
        <f>IF(BH$6="","",IF(BH$3="Maior",IFERROR(IF(VLOOKUP($N272,Capa!$A:$AE,BH$5,0)="",0,VLOOKUP($N272,Capa!$A:$AE,BH$5,0)),0),IF(ISERROR(1/VLOOKUP($N272,Capa!$A:$AE,BH$5,0)),0,1/VLOOKUP($N272,Capa!$A:$AE,BH$5,0))))</f>
        <v/>
      </c>
      <c r="BI272" s="118" t="str">
        <f>IF(BI$6="","",IF(BI$3="Maior",IFERROR(IF(VLOOKUP($N272,Capa!$A:$AE,BI$5,0)="",0,VLOOKUP($N272,Capa!$A:$AE,BI$5,0)),0),IF(ISERROR(1/VLOOKUP($N272,Capa!$A:$AE,BI$5,0)),0,1/VLOOKUP($N272,Capa!$A:$AE,BI$5,0))))</f>
        <v/>
      </c>
      <c r="BJ272" s="118" t="str">
        <f>IF(BJ$6="","",IF(BJ$3="Maior",IFERROR(IF(VLOOKUP($N272,Capa!$A:$AE,BJ$5,0)="",0,VLOOKUP($N272,Capa!$A:$AE,BJ$5,0)),0),IF(ISERROR(1/VLOOKUP($N272,Capa!$A:$AE,BJ$5,0)),0,1/VLOOKUP($N272,Capa!$A:$AE,BJ$5,0))))</f>
        <v/>
      </c>
      <c r="BK272" s="118" t="str">
        <f>IF(BK$6="","",IF(BK$3="Maior",IFERROR(IF(VLOOKUP($N272,Capa!$A:$AE,BK$5,0)="",0,VLOOKUP($N272,Capa!$A:$AE,BK$5,0)),0),IF(ISERROR(1/VLOOKUP($N272,Capa!$A:$AE,BK$5,0)),0,1/VLOOKUP($N272,Capa!$A:$AE,BK$5,0))))</f>
        <v/>
      </c>
      <c r="BL272" s="118" t="str">
        <f>IF(BL$6="","",IF(BL$3="Maior",IFERROR(IF(VLOOKUP($N272,Capa!$A:$AE,BL$5,0)="",0,VLOOKUP($N272,Capa!$A:$AE,BL$5,0)),0),IF(ISERROR(1/VLOOKUP($N272,Capa!$A:$AE,BL$5,0)),0,1/VLOOKUP($N272,Capa!$A:$AE,BL$5,0))))</f>
        <v/>
      </c>
      <c r="BM272" s="118" t="str">
        <f>IF(BM$6="","",IF(BM$3="Maior",IFERROR(IF(VLOOKUP($N272,Capa!$A:$AE,BM$5,0)="",0,VLOOKUP($N272,Capa!$A:$AE,BM$5,0)),0),IF(ISERROR(1/VLOOKUP($N272,Capa!$A:$AE,BM$5,0)),0,1/VLOOKUP($N272,Capa!$A:$AE,BM$5,0))))</f>
        <v/>
      </c>
      <c r="BN272" s="118" t="str">
        <f>IF(BN$6="","",IF(BN$3="Maior",IFERROR(IF(VLOOKUP($N272,Capa!$A:$AE,BN$5,0)="",0,VLOOKUP($N272,Capa!$A:$AE,BN$5,0)),0),IF(ISERROR(1/VLOOKUP($N272,Capa!$A:$AE,BN$5,0)),0,1/VLOOKUP($N272,Capa!$A:$AE,BN$5,0))))</f>
        <v/>
      </c>
      <c r="BO272" s="92"/>
    </row>
    <row r="273">
      <c r="G273" s="11"/>
      <c r="H273" s="11"/>
      <c r="I273" s="8"/>
      <c r="J273" s="132"/>
      <c r="K273" s="11"/>
      <c r="L273" s="11"/>
      <c r="M273" s="11"/>
      <c r="N273" s="10" t="s">
        <v>319</v>
      </c>
      <c r="O273" s="113">
        <f t="shared" si="8"/>
        <v>1823.0296</v>
      </c>
      <c r="P273" s="114">
        <f>VLOOKUP(N273,'Dados StatusInvest'!A:Z,26,0)</f>
        <v>1167131.75</v>
      </c>
      <c r="Q273" s="115">
        <f t="shared" si="9"/>
        <v>296.0296</v>
      </c>
      <c r="R273" s="116">
        <f t="shared" ref="R273:AO273" si="276">IF(AQ273="","", RANK(AQ273,AQ$7:AQ$503,0))</f>
        <v>308</v>
      </c>
      <c r="S273" s="115">
        <f t="shared" si="276"/>
        <v>219</v>
      </c>
      <c r="T273" s="115" t="str">
        <f t="shared" si="276"/>
        <v/>
      </c>
      <c r="U273" s="115" t="str">
        <f t="shared" si="276"/>
        <v/>
      </c>
      <c r="V273" s="115" t="str">
        <f t="shared" si="276"/>
        <v/>
      </c>
      <c r="W273" s="115" t="str">
        <f t="shared" si="276"/>
        <v/>
      </c>
      <c r="X273" s="115" t="str">
        <f t="shared" si="276"/>
        <v/>
      </c>
      <c r="Y273" s="115" t="str">
        <f t="shared" si="276"/>
        <v/>
      </c>
      <c r="Z273" s="115" t="str">
        <f t="shared" si="276"/>
        <v/>
      </c>
      <c r="AA273" s="115" t="str">
        <f t="shared" si="276"/>
        <v/>
      </c>
      <c r="AB273" s="115" t="str">
        <f t="shared" si="276"/>
        <v/>
      </c>
      <c r="AC273" s="115" t="str">
        <f t="shared" si="276"/>
        <v/>
      </c>
      <c r="AD273" s="115" t="str">
        <f t="shared" si="276"/>
        <v/>
      </c>
      <c r="AE273" s="115" t="str">
        <f t="shared" si="276"/>
        <v/>
      </c>
      <c r="AF273" s="115" t="str">
        <f t="shared" si="276"/>
        <v/>
      </c>
      <c r="AG273" s="115" t="str">
        <f t="shared" si="276"/>
        <v/>
      </c>
      <c r="AH273" s="115" t="str">
        <f t="shared" si="276"/>
        <v/>
      </c>
      <c r="AI273" s="115" t="str">
        <f t="shared" si="276"/>
        <v/>
      </c>
      <c r="AJ273" s="115" t="str">
        <f t="shared" si="276"/>
        <v/>
      </c>
      <c r="AK273" s="115" t="str">
        <f t="shared" si="276"/>
        <v/>
      </c>
      <c r="AL273" s="115" t="str">
        <f t="shared" si="276"/>
        <v/>
      </c>
      <c r="AM273" s="115" t="str">
        <f t="shared" si="276"/>
        <v/>
      </c>
      <c r="AN273" s="115" t="str">
        <f t="shared" si="276"/>
        <v/>
      </c>
      <c r="AO273" s="115" t="str">
        <f t="shared" si="276"/>
        <v/>
      </c>
      <c r="AP273" s="117">
        <f>IF(AP$6="","",IF(AP$3="Maior",IFERROR(IF(VLOOKUP($N273,Capa!$A:$AE,AP$5,0)="",0,VLOOKUP($N273,Capa!$A:$AE,AP$5,0)),0),IF(ISERROR(1/VLOOKUP($N273,Capa!$A:$AE,AP$5,0)),0,1/VLOOKUP($N273,Capa!$A:$AE,AP$5,0))))</f>
        <v>0.0562623377</v>
      </c>
      <c r="AQ273" s="118">
        <f>IF(AQ$6="","",IF(AQ$3="Maior",IFERROR(IF(VLOOKUP($N273,Capa!$A:$AE,AQ$5,0)="",0,VLOOKUP($N273,Capa!$A:$AE,AQ$5,0)),0),IF(ISERROR(1/VLOOKUP($N273,Capa!$A:$AE,AQ$5,0)),0,1/VLOOKUP($N273,Capa!$A:$AE,AQ$5,0))))</f>
        <v>4.48</v>
      </c>
      <c r="AR273" s="118">
        <f>IF(AR$6="","",IF(AR$3="Maior",IFERROR(IF(VLOOKUP($N273,Capa!$A:$AE,AR$5,0)="",0,VLOOKUP($N273,Capa!$A:$AE,AR$5,0)),0),IF(ISERROR(1/VLOOKUP($N273,Capa!$A:$AE,AR$5,0)),0,1/VLOOKUP($N273,Capa!$A:$AE,AR$5,0))))</f>
        <v>0</v>
      </c>
      <c r="AS273" s="118" t="str">
        <f>IF(AS$6="","",IF(AS$3="Maior",IFERROR(IF(VLOOKUP($N273,Capa!$A:$AE,AS$5,0)="",0,VLOOKUP($N273,Capa!$A:$AE,AS$5,0)),0),IF(ISERROR(1/VLOOKUP($N273,Capa!$A:$AE,AS$5,0)),0,1/VLOOKUP($N273,Capa!$A:$AE,AS$5,0))))</f>
        <v/>
      </c>
      <c r="AT273" s="118" t="str">
        <f>IF(AT$6="","",IF(AT$3="Maior",IFERROR(IF(VLOOKUP($N273,Capa!$A:$AE,AT$5,0)="",0,VLOOKUP($N273,Capa!$A:$AE,AT$5,0)),0),IF(ISERROR(1/VLOOKUP($N273,Capa!$A:$AE,AT$5,0)),0,1/VLOOKUP($N273,Capa!$A:$AE,AT$5,0))))</f>
        <v/>
      </c>
      <c r="AU273" s="118" t="str">
        <f>IF(AU$6="","",IF(AU$3="Maior",IFERROR(IF(VLOOKUP($N273,Capa!$A:$AE,AU$5,0)="",0,VLOOKUP($N273,Capa!$A:$AE,AU$5,0)),0),IF(ISERROR(1/VLOOKUP($N273,Capa!$A:$AE,AU$5,0)),0,1/VLOOKUP($N273,Capa!$A:$AE,AU$5,0))))</f>
        <v/>
      </c>
      <c r="AV273" s="118" t="str">
        <f>IF(AV$6="","",IF(AV$3="Maior",IFERROR(IF(VLOOKUP($N273,Capa!$A:$AE,AV$5,0)="",0,VLOOKUP($N273,Capa!$A:$AE,AV$5,0)),0),IF(ISERROR(1/VLOOKUP($N273,Capa!$A:$AE,AV$5,0)),0,1/VLOOKUP($N273,Capa!$A:$AE,AV$5,0))))</f>
        <v/>
      </c>
      <c r="AW273" s="118" t="str">
        <f>IF(AW$6="","",IF(AW$3="Maior",IFERROR(IF(VLOOKUP($N273,Capa!$A:$AE,AW$5,0)="",0,VLOOKUP($N273,Capa!$A:$AE,AW$5,0)),0),IF(ISERROR(1/VLOOKUP($N273,Capa!$A:$AE,AW$5,0)),0,1/VLOOKUP($N273,Capa!$A:$AE,AW$5,0))))</f>
        <v/>
      </c>
      <c r="AX273" s="118" t="str">
        <f>IF(AX$6="","",IF(AX$3="Maior",IFERROR(IF(VLOOKUP($N273,Capa!$A:$AE,AX$5,0)="",0,VLOOKUP($N273,Capa!$A:$AE,AX$5,0)),0),IF(ISERROR(1/VLOOKUP($N273,Capa!$A:$AE,AX$5,0)),0,1/VLOOKUP($N273,Capa!$A:$AE,AX$5,0))))</f>
        <v/>
      </c>
      <c r="AY273" s="118" t="str">
        <f>IF(AY$6="","",IF(AY$3="Maior",IFERROR(IF(VLOOKUP($N273,Capa!$A:$AE,AY$5,0)="",0,VLOOKUP($N273,Capa!$A:$AE,AY$5,0)),0),IF(ISERROR(1/VLOOKUP($N273,Capa!$A:$AE,AY$5,0)),0,1/VLOOKUP($N273,Capa!$A:$AE,AY$5,0))))</f>
        <v/>
      </c>
      <c r="AZ273" s="118" t="str">
        <f>IF(AZ$6="","",IF(AZ$3="Maior",IFERROR(IF(VLOOKUP($N273,Capa!$A:$AE,AZ$5,0)="",0,VLOOKUP($N273,Capa!$A:$AE,AZ$5,0)),0),IF(ISERROR(1/VLOOKUP($N273,Capa!$A:$AE,AZ$5,0)),0,1/VLOOKUP($N273,Capa!$A:$AE,AZ$5,0))))</f>
        <v/>
      </c>
      <c r="BA273" s="118" t="str">
        <f>IF(BA$6="","",IF(BA$3="Maior",IFERROR(IF(VLOOKUP($N273,Capa!$A:$AE,BA$5,0)="",0,VLOOKUP($N273,Capa!$A:$AE,BA$5,0)),0),IF(ISERROR(1/VLOOKUP($N273,Capa!$A:$AE,BA$5,0)),0,1/VLOOKUP($N273,Capa!$A:$AE,BA$5,0))))</f>
        <v/>
      </c>
      <c r="BB273" s="118" t="str">
        <f>IF(BB$6="","",IF(BB$3="Maior",IFERROR(IF(VLOOKUP($N273,Capa!$A:$AE,BB$5,0)="",0,VLOOKUP($N273,Capa!$A:$AE,BB$5,0)),0),IF(ISERROR(1/VLOOKUP($N273,Capa!$A:$AE,BB$5,0)),0,1/VLOOKUP($N273,Capa!$A:$AE,BB$5,0))))</f>
        <v/>
      </c>
      <c r="BC273" s="118" t="str">
        <f>IF(BC$6="","",IF(BC$3="Maior",IFERROR(IF(VLOOKUP($N273,Capa!$A:$AE,BC$5,0)="",0,VLOOKUP($N273,Capa!$A:$AE,BC$5,0)),0),IF(ISERROR(1/VLOOKUP($N273,Capa!$A:$AE,BC$5,0)),0,1/VLOOKUP($N273,Capa!$A:$AE,BC$5,0))))</f>
        <v/>
      </c>
      <c r="BD273" s="118" t="str">
        <f>IF(BD$6="","",IF(BD$3="Maior",IFERROR(IF(VLOOKUP($N273,Capa!$A:$AE,BD$5,0)="",0,VLOOKUP($N273,Capa!$A:$AE,BD$5,0)),0),IF(ISERROR(1/VLOOKUP($N273,Capa!$A:$AE,BD$5,0)),0,1/VLOOKUP($N273,Capa!$A:$AE,BD$5,0))))</f>
        <v/>
      </c>
      <c r="BE273" s="118" t="str">
        <f>IF(BE$6="","",IF(BE$3="Maior",IFERROR(IF(VLOOKUP($N273,Capa!$A:$AE,BE$5,0)="",0,VLOOKUP($N273,Capa!$A:$AE,BE$5,0)),0),IF(ISERROR(1/VLOOKUP($N273,Capa!$A:$AE,BE$5,0)),0,1/VLOOKUP($N273,Capa!$A:$AE,BE$5,0))))</f>
        <v/>
      </c>
      <c r="BF273" s="118" t="str">
        <f>IF(BF$6="","",IF(BF$3="Maior",IFERROR(IF(VLOOKUP($N273,Capa!$A:$AE,BF$5,0)="",0,VLOOKUP($N273,Capa!$A:$AE,BF$5,0)),0),IF(ISERROR(1/VLOOKUP($N273,Capa!$A:$AE,BF$5,0)),0,1/VLOOKUP($N273,Capa!$A:$AE,BF$5,0))))</f>
        <v/>
      </c>
      <c r="BG273" s="118" t="str">
        <f>IF(BG$6="","",IF(BG$3="Maior",IFERROR(IF(VLOOKUP($N273,Capa!$A:$AE,BG$5,0)="",0,VLOOKUP($N273,Capa!$A:$AE,BG$5,0)),0),IF(ISERROR(1/VLOOKUP($N273,Capa!$A:$AE,BG$5,0)),0,1/VLOOKUP($N273,Capa!$A:$AE,BG$5,0))))</f>
        <v/>
      </c>
      <c r="BH273" s="118" t="str">
        <f>IF(BH$6="","",IF(BH$3="Maior",IFERROR(IF(VLOOKUP($N273,Capa!$A:$AE,BH$5,0)="",0,VLOOKUP($N273,Capa!$A:$AE,BH$5,0)),0),IF(ISERROR(1/VLOOKUP($N273,Capa!$A:$AE,BH$5,0)),0,1/VLOOKUP($N273,Capa!$A:$AE,BH$5,0))))</f>
        <v/>
      </c>
      <c r="BI273" s="118" t="str">
        <f>IF(BI$6="","",IF(BI$3="Maior",IFERROR(IF(VLOOKUP($N273,Capa!$A:$AE,BI$5,0)="",0,VLOOKUP($N273,Capa!$A:$AE,BI$5,0)),0),IF(ISERROR(1/VLOOKUP($N273,Capa!$A:$AE,BI$5,0)),0,1/VLOOKUP($N273,Capa!$A:$AE,BI$5,0))))</f>
        <v/>
      </c>
      <c r="BJ273" s="118" t="str">
        <f>IF(BJ$6="","",IF(BJ$3="Maior",IFERROR(IF(VLOOKUP($N273,Capa!$A:$AE,BJ$5,0)="",0,VLOOKUP($N273,Capa!$A:$AE,BJ$5,0)),0),IF(ISERROR(1/VLOOKUP($N273,Capa!$A:$AE,BJ$5,0)),0,1/VLOOKUP($N273,Capa!$A:$AE,BJ$5,0))))</f>
        <v/>
      </c>
      <c r="BK273" s="118" t="str">
        <f>IF(BK$6="","",IF(BK$3="Maior",IFERROR(IF(VLOOKUP($N273,Capa!$A:$AE,BK$5,0)="",0,VLOOKUP($N273,Capa!$A:$AE,BK$5,0)),0),IF(ISERROR(1/VLOOKUP($N273,Capa!$A:$AE,BK$5,0)),0,1/VLOOKUP($N273,Capa!$A:$AE,BK$5,0))))</f>
        <v/>
      </c>
      <c r="BL273" s="118" t="str">
        <f>IF(BL$6="","",IF(BL$3="Maior",IFERROR(IF(VLOOKUP($N273,Capa!$A:$AE,BL$5,0)="",0,VLOOKUP($N273,Capa!$A:$AE,BL$5,0)),0),IF(ISERROR(1/VLOOKUP($N273,Capa!$A:$AE,BL$5,0)),0,1/VLOOKUP($N273,Capa!$A:$AE,BL$5,0))))</f>
        <v/>
      </c>
      <c r="BM273" s="118" t="str">
        <f>IF(BM$6="","",IF(BM$3="Maior",IFERROR(IF(VLOOKUP($N273,Capa!$A:$AE,BM$5,0)="",0,VLOOKUP($N273,Capa!$A:$AE,BM$5,0)),0),IF(ISERROR(1/VLOOKUP($N273,Capa!$A:$AE,BM$5,0)),0,1/VLOOKUP($N273,Capa!$A:$AE,BM$5,0))))</f>
        <v/>
      </c>
      <c r="BN273" s="118" t="str">
        <f>IF(BN$6="","",IF(BN$3="Maior",IFERROR(IF(VLOOKUP($N273,Capa!$A:$AE,BN$5,0)="",0,VLOOKUP($N273,Capa!$A:$AE,BN$5,0)),0),IF(ISERROR(1/VLOOKUP($N273,Capa!$A:$AE,BN$5,0)),0,1/VLOOKUP($N273,Capa!$A:$AE,BN$5,0))))</f>
        <v/>
      </c>
      <c r="BO273" s="92"/>
    </row>
    <row r="274">
      <c r="G274" s="11"/>
      <c r="H274" s="11"/>
      <c r="I274" s="8"/>
      <c r="J274" s="132"/>
      <c r="K274" s="11"/>
      <c r="L274" s="11"/>
      <c r="M274" s="11"/>
      <c r="N274" s="10" t="s">
        <v>320</v>
      </c>
      <c r="O274" s="113">
        <f t="shared" si="8"/>
        <v>2127.0444</v>
      </c>
      <c r="P274" s="114">
        <f>VLOOKUP(N274,'Dados StatusInvest'!A:Z,26,0)</f>
        <v>1596641.67</v>
      </c>
      <c r="Q274" s="115">
        <f t="shared" si="9"/>
        <v>444.0444</v>
      </c>
      <c r="R274" s="116">
        <f t="shared" ref="R274:AO274" si="277">IF(AQ274="","", RANK(AQ274,AQ$7:AQ$503,0))</f>
        <v>464</v>
      </c>
      <c r="S274" s="115">
        <f t="shared" si="277"/>
        <v>219</v>
      </c>
      <c r="T274" s="115" t="str">
        <f t="shared" si="277"/>
        <v/>
      </c>
      <c r="U274" s="115" t="str">
        <f t="shared" si="277"/>
        <v/>
      </c>
      <c r="V274" s="115" t="str">
        <f t="shared" si="277"/>
        <v/>
      </c>
      <c r="W274" s="115" t="str">
        <f t="shared" si="277"/>
        <v/>
      </c>
      <c r="X274" s="115" t="str">
        <f t="shared" si="277"/>
        <v/>
      </c>
      <c r="Y274" s="115" t="str">
        <f t="shared" si="277"/>
        <v/>
      </c>
      <c r="Z274" s="115" t="str">
        <f t="shared" si="277"/>
        <v/>
      </c>
      <c r="AA274" s="115" t="str">
        <f t="shared" si="277"/>
        <v/>
      </c>
      <c r="AB274" s="115" t="str">
        <f t="shared" si="277"/>
        <v/>
      </c>
      <c r="AC274" s="115" t="str">
        <f t="shared" si="277"/>
        <v/>
      </c>
      <c r="AD274" s="115" t="str">
        <f t="shared" si="277"/>
        <v/>
      </c>
      <c r="AE274" s="115" t="str">
        <f t="shared" si="277"/>
        <v/>
      </c>
      <c r="AF274" s="115" t="str">
        <f t="shared" si="277"/>
        <v/>
      </c>
      <c r="AG274" s="115" t="str">
        <f t="shared" si="277"/>
        <v/>
      </c>
      <c r="AH274" s="115" t="str">
        <f t="shared" si="277"/>
        <v/>
      </c>
      <c r="AI274" s="115" t="str">
        <f t="shared" si="277"/>
        <v/>
      </c>
      <c r="AJ274" s="115" t="str">
        <f t="shared" si="277"/>
        <v/>
      </c>
      <c r="AK274" s="115" t="str">
        <f t="shared" si="277"/>
        <v/>
      </c>
      <c r="AL274" s="115" t="str">
        <f t="shared" si="277"/>
        <v/>
      </c>
      <c r="AM274" s="115" t="str">
        <f t="shared" si="277"/>
        <v/>
      </c>
      <c r="AN274" s="115" t="str">
        <f t="shared" si="277"/>
        <v/>
      </c>
      <c r="AO274" s="115" t="str">
        <f t="shared" si="277"/>
        <v/>
      </c>
      <c r="AP274" s="117">
        <f>IF(AP$6="","",IF(AP$3="Maior",IFERROR(IF(VLOOKUP($N274,Capa!$A:$AE,AP$5,0)="",0,VLOOKUP($N274,Capa!$A:$AE,AP$5,0)),0),IF(ISERROR(1/VLOOKUP($N274,Capa!$A:$AE,AP$5,0)),0,1/VLOOKUP($N274,Capa!$A:$AE,AP$5,0))))</f>
        <v>-0.09185845715</v>
      </c>
      <c r="AQ274" s="118">
        <f>IF(AQ$6="","",IF(AQ$3="Maior",IFERROR(IF(VLOOKUP($N274,Capa!$A:$AE,AQ$5,0)="",0,VLOOKUP($N274,Capa!$A:$AE,AQ$5,0)),0),IF(ISERROR(1/VLOOKUP($N274,Capa!$A:$AE,AQ$5,0)),0,1/VLOOKUP($N274,Capa!$A:$AE,AQ$5,0))))</f>
        <v>-10.47</v>
      </c>
      <c r="AR274" s="118">
        <f>IF(AR$6="","",IF(AR$3="Maior",IFERROR(IF(VLOOKUP($N274,Capa!$A:$AE,AR$5,0)="",0,VLOOKUP($N274,Capa!$A:$AE,AR$5,0)),0),IF(ISERROR(1/VLOOKUP($N274,Capa!$A:$AE,AR$5,0)),0,1/VLOOKUP($N274,Capa!$A:$AE,AR$5,0))))</f>
        <v>0</v>
      </c>
      <c r="AS274" s="118" t="str">
        <f>IF(AS$6="","",IF(AS$3="Maior",IFERROR(IF(VLOOKUP($N274,Capa!$A:$AE,AS$5,0)="",0,VLOOKUP($N274,Capa!$A:$AE,AS$5,0)),0),IF(ISERROR(1/VLOOKUP($N274,Capa!$A:$AE,AS$5,0)),0,1/VLOOKUP($N274,Capa!$A:$AE,AS$5,0))))</f>
        <v/>
      </c>
      <c r="AT274" s="118" t="str">
        <f>IF(AT$6="","",IF(AT$3="Maior",IFERROR(IF(VLOOKUP($N274,Capa!$A:$AE,AT$5,0)="",0,VLOOKUP($N274,Capa!$A:$AE,AT$5,0)),0),IF(ISERROR(1/VLOOKUP($N274,Capa!$A:$AE,AT$5,0)),0,1/VLOOKUP($N274,Capa!$A:$AE,AT$5,0))))</f>
        <v/>
      </c>
      <c r="AU274" s="118" t="str">
        <f>IF(AU$6="","",IF(AU$3="Maior",IFERROR(IF(VLOOKUP($N274,Capa!$A:$AE,AU$5,0)="",0,VLOOKUP($N274,Capa!$A:$AE,AU$5,0)),0),IF(ISERROR(1/VLOOKUP($N274,Capa!$A:$AE,AU$5,0)),0,1/VLOOKUP($N274,Capa!$A:$AE,AU$5,0))))</f>
        <v/>
      </c>
      <c r="AV274" s="118" t="str">
        <f>IF(AV$6="","",IF(AV$3="Maior",IFERROR(IF(VLOOKUP($N274,Capa!$A:$AE,AV$5,0)="",0,VLOOKUP($N274,Capa!$A:$AE,AV$5,0)),0),IF(ISERROR(1/VLOOKUP($N274,Capa!$A:$AE,AV$5,0)),0,1/VLOOKUP($N274,Capa!$A:$AE,AV$5,0))))</f>
        <v/>
      </c>
      <c r="AW274" s="118" t="str">
        <f>IF(AW$6="","",IF(AW$3="Maior",IFERROR(IF(VLOOKUP($N274,Capa!$A:$AE,AW$5,0)="",0,VLOOKUP($N274,Capa!$A:$AE,AW$5,0)),0),IF(ISERROR(1/VLOOKUP($N274,Capa!$A:$AE,AW$5,0)),0,1/VLOOKUP($N274,Capa!$A:$AE,AW$5,0))))</f>
        <v/>
      </c>
      <c r="AX274" s="118" t="str">
        <f>IF(AX$6="","",IF(AX$3="Maior",IFERROR(IF(VLOOKUP($N274,Capa!$A:$AE,AX$5,0)="",0,VLOOKUP($N274,Capa!$A:$AE,AX$5,0)),0),IF(ISERROR(1/VLOOKUP($N274,Capa!$A:$AE,AX$5,0)),0,1/VLOOKUP($N274,Capa!$A:$AE,AX$5,0))))</f>
        <v/>
      </c>
      <c r="AY274" s="118" t="str">
        <f>IF(AY$6="","",IF(AY$3="Maior",IFERROR(IF(VLOOKUP($N274,Capa!$A:$AE,AY$5,0)="",0,VLOOKUP($N274,Capa!$A:$AE,AY$5,0)),0),IF(ISERROR(1/VLOOKUP($N274,Capa!$A:$AE,AY$5,0)),0,1/VLOOKUP($N274,Capa!$A:$AE,AY$5,0))))</f>
        <v/>
      </c>
      <c r="AZ274" s="118" t="str">
        <f>IF(AZ$6="","",IF(AZ$3="Maior",IFERROR(IF(VLOOKUP($N274,Capa!$A:$AE,AZ$5,0)="",0,VLOOKUP($N274,Capa!$A:$AE,AZ$5,0)),0),IF(ISERROR(1/VLOOKUP($N274,Capa!$A:$AE,AZ$5,0)),0,1/VLOOKUP($N274,Capa!$A:$AE,AZ$5,0))))</f>
        <v/>
      </c>
      <c r="BA274" s="118" t="str">
        <f>IF(BA$6="","",IF(BA$3="Maior",IFERROR(IF(VLOOKUP($N274,Capa!$A:$AE,BA$5,0)="",0,VLOOKUP($N274,Capa!$A:$AE,BA$5,0)),0),IF(ISERROR(1/VLOOKUP($N274,Capa!$A:$AE,BA$5,0)),0,1/VLOOKUP($N274,Capa!$A:$AE,BA$5,0))))</f>
        <v/>
      </c>
      <c r="BB274" s="118" t="str">
        <f>IF(BB$6="","",IF(BB$3="Maior",IFERROR(IF(VLOOKUP($N274,Capa!$A:$AE,BB$5,0)="",0,VLOOKUP($N274,Capa!$A:$AE,BB$5,0)),0),IF(ISERROR(1/VLOOKUP($N274,Capa!$A:$AE,BB$5,0)),0,1/VLOOKUP($N274,Capa!$A:$AE,BB$5,0))))</f>
        <v/>
      </c>
      <c r="BC274" s="118" t="str">
        <f>IF(BC$6="","",IF(BC$3="Maior",IFERROR(IF(VLOOKUP($N274,Capa!$A:$AE,BC$5,0)="",0,VLOOKUP($N274,Capa!$A:$AE,BC$5,0)),0),IF(ISERROR(1/VLOOKUP($N274,Capa!$A:$AE,BC$5,0)),0,1/VLOOKUP($N274,Capa!$A:$AE,BC$5,0))))</f>
        <v/>
      </c>
      <c r="BD274" s="118" t="str">
        <f>IF(BD$6="","",IF(BD$3="Maior",IFERROR(IF(VLOOKUP($N274,Capa!$A:$AE,BD$5,0)="",0,VLOOKUP($N274,Capa!$A:$AE,BD$5,0)),0),IF(ISERROR(1/VLOOKUP($N274,Capa!$A:$AE,BD$5,0)),0,1/VLOOKUP($N274,Capa!$A:$AE,BD$5,0))))</f>
        <v/>
      </c>
      <c r="BE274" s="118" t="str">
        <f>IF(BE$6="","",IF(BE$3="Maior",IFERROR(IF(VLOOKUP($N274,Capa!$A:$AE,BE$5,0)="",0,VLOOKUP($N274,Capa!$A:$AE,BE$5,0)),0),IF(ISERROR(1/VLOOKUP($N274,Capa!$A:$AE,BE$5,0)),0,1/VLOOKUP($N274,Capa!$A:$AE,BE$5,0))))</f>
        <v/>
      </c>
      <c r="BF274" s="118" t="str">
        <f>IF(BF$6="","",IF(BF$3="Maior",IFERROR(IF(VLOOKUP($N274,Capa!$A:$AE,BF$5,0)="",0,VLOOKUP($N274,Capa!$A:$AE,BF$5,0)),0),IF(ISERROR(1/VLOOKUP($N274,Capa!$A:$AE,BF$5,0)),0,1/VLOOKUP($N274,Capa!$A:$AE,BF$5,0))))</f>
        <v/>
      </c>
      <c r="BG274" s="118" t="str">
        <f>IF(BG$6="","",IF(BG$3="Maior",IFERROR(IF(VLOOKUP($N274,Capa!$A:$AE,BG$5,0)="",0,VLOOKUP($N274,Capa!$A:$AE,BG$5,0)),0),IF(ISERROR(1/VLOOKUP($N274,Capa!$A:$AE,BG$5,0)),0,1/VLOOKUP($N274,Capa!$A:$AE,BG$5,0))))</f>
        <v/>
      </c>
      <c r="BH274" s="118" t="str">
        <f>IF(BH$6="","",IF(BH$3="Maior",IFERROR(IF(VLOOKUP($N274,Capa!$A:$AE,BH$5,0)="",0,VLOOKUP($N274,Capa!$A:$AE,BH$5,0)),0),IF(ISERROR(1/VLOOKUP($N274,Capa!$A:$AE,BH$5,0)),0,1/VLOOKUP($N274,Capa!$A:$AE,BH$5,0))))</f>
        <v/>
      </c>
      <c r="BI274" s="118" t="str">
        <f>IF(BI$6="","",IF(BI$3="Maior",IFERROR(IF(VLOOKUP($N274,Capa!$A:$AE,BI$5,0)="",0,VLOOKUP($N274,Capa!$A:$AE,BI$5,0)),0),IF(ISERROR(1/VLOOKUP($N274,Capa!$A:$AE,BI$5,0)),0,1/VLOOKUP($N274,Capa!$A:$AE,BI$5,0))))</f>
        <v/>
      </c>
      <c r="BJ274" s="118" t="str">
        <f>IF(BJ$6="","",IF(BJ$3="Maior",IFERROR(IF(VLOOKUP($N274,Capa!$A:$AE,BJ$5,0)="",0,VLOOKUP($N274,Capa!$A:$AE,BJ$5,0)),0),IF(ISERROR(1/VLOOKUP($N274,Capa!$A:$AE,BJ$5,0)),0,1/VLOOKUP($N274,Capa!$A:$AE,BJ$5,0))))</f>
        <v/>
      </c>
      <c r="BK274" s="118" t="str">
        <f>IF(BK$6="","",IF(BK$3="Maior",IFERROR(IF(VLOOKUP($N274,Capa!$A:$AE,BK$5,0)="",0,VLOOKUP($N274,Capa!$A:$AE,BK$5,0)),0),IF(ISERROR(1/VLOOKUP($N274,Capa!$A:$AE,BK$5,0)),0,1/VLOOKUP($N274,Capa!$A:$AE,BK$5,0))))</f>
        <v/>
      </c>
      <c r="BL274" s="118" t="str">
        <f>IF(BL$6="","",IF(BL$3="Maior",IFERROR(IF(VLOOKUP($N274,Capa!$A:$AE,BL$5,0)="",0,VLOOKUP($N274,Capa!$A:$AE,BL$5,0)),0),IF(ISERROR(1/VLOOKUP($N274,Capa!$A:$AE,BL$5,0)),0,1/VLOOKUP($N274,Capa!$A:$AE,BL$5,0))))</f>
        <v/>
      </c>
      <c r="BM274" s="118" t="str">
        <f>IF(BM$6="","",IF(BM$3="Maior",IFERROR(IF(VLOOKUP($N274,Capa!$A:$AE,BM$5,0)="",0,VLOOKUP($N274,Capa!$A:$AE,BM$5,0)),0),IF(ISERROR(1/VLOOKUP($N274,Capa!$A:$AE,BM$5,0)),0,1/VLOOKUP($N274,Capa!$A:$AE,BM$5,0))))</f>
        <v/>
      </c>
      <c r="BN274" s="118" t="str">
        <f>IF(BN$6="","",IF(BN$3="Maior",IFERROR(IF(VLOOKUP($N274,Capa!$A:$AE,BN$5,0)="",0,VLOOKUP($N274,Capa!$A:$AE,BN$5,0)),0),IF(ISERROR(1/VLOOKUP($N274,Capa!$A:$AE,BN$5,0)),0,1/VLOOKUP($N274,Capa!$A:$AE,BN$5,0))))</f>
        <v/>
      </c>
      <c r="BO274" s="92"/>
    </row>
    <row r="275">
      <c r="G275" s="11"/>
      <c r="H275" s="11"/>
      <c r="I275" s="8"/>
      <c r="J275" s="132"/>
      <c r="K275" s="11"/>
      <c r="L275" s="11"/>
      <c r="M275" s="11"/>
      <c r="N275" s="10" t="s">
        <v>321</v>
      </c>
      <c r="O275" s="113">
        <f t="shared" si="8"/>
        <v>1704.019</v>
      </c>
      <c r="P275" s="114">
        <f>VLOOKUP(N275,'Dados StatusInvest'!A:Z,26,0)</f>
        <v>1120493.58</v>
      </c>
      <c r="Q275" s="115">
        <f t="shared" si="9"/>
        <v>190.019</v>
      </c>
      <c r="R275" s="116">
        <f t="shared" ref="R275:AO275" si="278">IF(AQ275="","", RANK(AQ275,AQ$7:AQ$503,0))</f>
        <v>295</v>
      </c>
      <c r="S275" s="115">
        <f t="shared" si="278"/>
        <v>219</v>
      </c>
      <c r="T275" s="115" t="str">
        <f t="shared" si="278"/>
        <v/>
      </c>
      <c r="U275" s="115" t="str">
        <f t="shared" si="278"/>
        <v/>
      </c>
      <c r="V275" s="115" t="str">
        <f t="shared" si="278"/>
        <v/>
      </c>
      <c r="W275" s="115" t="str">
        <f t="shared" si="278"/>
        <v/>
      </c>
      <c r="X275" s="115" t="str">
        <f t="shared" si="278"/>
        <v/>
      </c>
      <c r="Y275" s="115" t="str">
        <f t="shared" si="278"/>
        <v/>
      </c>
      <c r="Z275" s="115" t="str">
        <f t="shared" si="278"/>
        <v/>
      </c>
      <c r="AA275" s="115" t="str">
        <f t="shared" si="278"/>
        <v/>
      </c>
      <c r="AB275" s="115" t="str">
        <f t="shared" si="278"/>
        <v/>
      </c>
      <c r="AC275" s="115" t="str">
        <f t="shared" si="278"/>
        <v/>
      </c>
      <c r="AD275" s="115" t="str">
        <f t="shared" si="278"/>
        <v/>
      </c>
      <c r="AE275" s="115" t="str">
        <f t="shared" si="278"/>
        <v/>
      </c>
      <c r="AF275" s="115" t="str">
        <f t="shared" si="278"/>
        <v/>
      </c>
      <c r="AG275" s="115" t="str">
        <f t="shared" si="278"/>
        <v/>
      </c>
      <c r="AH275" s="115" t="str">
        <f t="shared" si="278"/>
        <v/>
      </c>
      <c r="AI275" s="115" t="str">
        <f t="shared" si="278"/>
        <v/>
      </c>
      <c r="AJ275" s="115" t="str">
        <f t="shared" si="278"/>
        <v/>
      </c>
      <c r="AK275" s="115" t="str">
        <f t="shared" si="278"/>
        <v/>
      </c>
      <c r="AL275" s="115" t="str">
        <f t="shared" si="278"/>
        <v/>
      </c>
      <c r="AM275" s="115" t="str">
        <f t="shared" si="278"/>
        <v/>
      </c>
      <c r="AN275" s="115" t="str">
        <f t="shared" si="278"/>
        <v/>
      </c>
      <c r="AO275" s="115" t="str">
        <f t="shared" si="278"/>
        <v/>
      </c>
      <c r="AP275" s="117">
        <f>IF(AP$6="","",IF(AP$3="Maior",IFERROR(IF(VLOOKUP($N275,Capa!$A:$AE,AP$5,0)="",0,VLOOKUP($N275,Capa!$A:$AE,AP$5,0)),0),IF(ISERROR(1/VLOOKUP($N275,Capa!$A:$AE,AP$5,0)),0,1/VLOOKUP($N275,Capa!$A:$AE,AP$5,0))))</f>
        <v>0.1122151994</v>
      </c>
      <c r="AQ275" s="118">
        <f>IF(AQ$6="","",IF(AQ$3="Maior",IFERROR(IF(VLOOKUP($N275,Capa!$A:$AE,AQ$5,0)="",0,VLOOKUP($N275,Capa!$A:$AE,AQ$5,0)),0),IF(ISERROR(1/VLOOKUP($N275,Capa!$A:$AE,AQ$5,0)),0,1/VLOOKUP($N275,Capa!$A:$AE,AQ$5,0))))</f>
        <v>5.07</v>
      </c>
      <c r="AR275" s="118">
        <f>IF(AR$6="","",IF(AR$3="Maior",IFERROR(IF(VLOOKUP($N275,Capa!$A:$AE,AR$5,0)="",0,VLOOKUP($N275,Capa!$A:$AE,AR$5,0)),0),IF(ISERROR(1/VLOOKUP($N275,Capa!$A:$AE,AR$5,0)),0,1/VLOOKUP($N275,Capa!$A:$AE,AR$5,0))))</f>
        <v>0</v>
      </c>
      <c r="AS275" s="118" t="str">
        <f>IF(AS$6="","",IF(AS$3="Maior",IFERROR(IF(VLOOKUP($N275,Capa!$A:$AE,AS$5,0)="",0,VLOOKUP($N275,Capa!$A:$AE,AS$5,0)),0),IF(ISERROR(1/VLOOKUP($N275,Capa!$A:$AE,AS$5,0)),0,1/VLOOKUP($N275,Capa!$A:$AE,AS$5,0))))</f>
        <v/>
      </c>
      <c r="AT275" s="118" t="str">
        <f>IF(AT$6="","",IF(AT$3="Maior",IFERROR(IF(VLOOKUP($N275,Capa!$A:$AE,AT$5,0)="",0,VLOOKUP($N275,Capa!$A:$AE,AT$5,0)),0),IF(ISERROR(1/VLOOKUP($N275,Capa!$A:$AE,AT$5,0)),0,1/VLOOKUP($N275,Capa!$A:$AE,AT$5,0))))</f>
        <v/>
      </c>
      <c r="AU275" s="118" t="str">
        <f>IF(AU$6="","",IF(AU$3="Maior",IFERROR(IF(VLOOKUP($N275,Capa!$A:$AE,AU$5,0)="",0,VLOOKUP($N275,Capa!$A:$AE,AU$5,0)),0),IF(ISERROR(1/VLOOKUP($N275,Capa!$A:$AE,AU$5,0)),0,1/VLOOKUP($N275,Capa!$A:$AE,AU$5,0))))</f>
        <v/>
      </c>
      <c r="AV275" s="118" t="str">
        <f>IF(AV$6="","",IF(AV$3="Maior",IFERROR(IF(VLOOKUP($N275,Capa!$A:$AE,AV$5,0)="",0,VLOOKUP($N275,Capa!$A:$AE,AV$5,0)),0),IF(ISERROR(1/VLOOKUP($N275,Capa!$A:$AE,AV$5,0)),0,1/VLOOKUP($N275,Capa!$A:$AE,AV$5,0))))</f>
        <v/>
      </c>
      <c r="AW275" s="118" t="str">
        <f>IF(AW$6="","",IF(AW$3="Maior",IFERROR(IF(VLOOKUP($N275,Capa!$A:$AE,AW$5,0)="",0,VLOOKUP($N275,Capa!$A:$AE,AW$5,0)),0),IF(ISERROR(1/VLOOKUP($N275,Capa!$A:$AE,AW$5,0)),0,1/VLOOKUP($N275,Capa!$A:$AE,AW$5,0))))</f>
        <v/>
      </c>
      <c r="AX275" s="118" t="str">
        <f>IF(AX$6="","",IF(AX$3="Maior",IFERROR(IF(VLOOKUP($N275,Capa!$A:$AE,AX$5,0)="",0,VLOOKUP($N275,Capa!$A:$AE,AX$5,0)),0),IF(ISERROR(1/VLOOKUP($N275,Capa!$A:$AE,AX$5,0)),0,1/VLOOKUP($N275,Capa!$A:$AE,AX$5,0))))</f>
        <v/>
      </c>
      <c r="AY275" s="118" t="str">
        <f>IF(AY$6="","",IF(AY$3="Maior",IFERROR(IF(VLOOKUP($N275,Capa!$A:$AE,AY$5,0)="",0,VLOOKUP($N275,Capa!$A:$AE,AY$5,0)),0),IF(ISERROR(1/VLOOKUP($N275,Capa!$A:$AE,AY$5,0)),0,1/VLOOKUP($N275,Capa!$A:$AE,AY$5,0))))</f>
        <v/>
      </c>
      <c r="AZ275" s="118" t="str">
        <f>IF(AZ$6="","",IF(AZ$3="Maior",IFERROR(IF(VLOOKUP($N275,Capa!$A:$AE,AZ$5,0)="",0,VLOOKUP($N275,Capa!$A:$AE,AZ$5,0)),0),IF(ISERROR(1/VLOOKUP($N275,Capa!$A:$AE,AZ$5,0)),0,1/VLOOKUP($N275,Capa!$A:$AE,AZ$5,0))))</f>
        <v/>
      </c>
      <c r="BA275" s="118" t="str">
        <f>IF(BA$6="","",IF(BA$3="Maior",IFERROR(IF(VLOOKUP($N275,Capa!$A:$AE,BA$5,0)="",0,VLOOKUP($N275,Capa!$A:$AE,BA$5,0)),0),IF(ISERROR(1/VLOOKUP($N275,Capa!$A:$AE,BA$5,0)),0,1/VLOOKUP($N275,Capa!$A:$AE,BA$5,0))))</f>
        <v/>
      </c>
      <c r="BB275" s="118" t="str">
        <f>IF(BB$6="","",IF(BB$3="Maior",IFERROR(IF(VLOOKUP($N275,Capa!$A:$AE,BB$5,0)="",0,VLOOKUP($N275,Capa!$A:$AE,BB$5,0)),0),IF(ISERROR(1/VLOOKUP($N275,Capa!$A:$AE,BB$5,0)),0,1/VLOOKUP($N275,Capa!$A:$AE,BB$5,0))))</f>
        <v/>
      </c>
      <c r="BC275" s="118" t="str">
        <f>IF(BC$6="","",IF(BC$3="Maior",IFERROR(IF(VLOOKUP($N275,Capa!$A:$AE,BC$5,0)="",0,VLOOKUP($N275,Capa!$A:$AE,BC$5,0)),0),IF(ISERROR(1/VLOOKUP($N275,Capa!$A:$AE,BC$5,0)),0,1/VLOOKUP($N275,Capa!$A:$AE,BC$5,0))))</f>
        <v/>
      </c>
      <c r="BD275" s="118" t="str">
        <f>IF(BD$6="","",IF(BD$3="Maior",IFERROR(IF(VLOOKUP($N275,Capa!$A:$AE,BD$5,0)="",0,VLOOKUP($N275,Capa!$A:$AE,BD$5,0)),0),IF(ISERROR(1/VLOOKUP($N275,Capa!$A:$AE,BD$5,0)),0,1/VLOOKUP($N275,Capa!$A:$AE,BD$5,0))))</f>
        <v/>
      </c>
      <c r="BE275" s="118" t="str">
        <f>IF(BE$6="","",IF(BE$3="Maior",IFERROR(IF(VLOOKUP($N275,Capa!$A:$AE,BE$5,0)="",0,VLOOKUP($N275,Capa!$A:$AE,BE$5,0)),0),IF(ISERROR(1/VLOOKUP($N275,Capa!$A:$AE,BE$5,0)),0,1/VLOOKUP($N275,Capa!$A:$AE,BE$5,0))))</f>
        <v/>
      </c>
      <c r="BF275" s="118" t="str">
        <f>IF(BF$6="","",IF(BF$3="Maior",IFERROR(IF(VLOOKUP($N275,Capa!$A:$AE,BF$5,0)="",0,VLOOKUP($N275,Capa!$A:$AE,BF$5,0)),0),IF(ISERROR(1/VLOOKUP($N275,Capa!$A:$AE,BF$5,0)),0,1/VLOOKUP($N275,Capa!$A:$AE,BF$5,0))))</f>
        <v/>
      </c>
      <c r="BG275" s="118" t="str">
        <f>IF(BG$6="","",IF(BG$3="Maior",IFERROR(IF(VLOOKUP($N275,Capa!$A:$AE,BG$5,0)="",0,VLOOKUP($N275,Capa!$A:$AE,BG$5,0)),0),IF(ISERROR(1/VLOOKUP($N275,Capa!$A:$AE,BG$5,0)),0,1/VLOOKUP($N275,Capa!$A:$AE,BG$5,0))))</f>
        <v/>
      </c>
      <c r="BH275" s="118" t="str">
        <f>IF(BH$6="","",IF(BH$3="Maior",IFERROR(IF(VLOOKUP($N275,Capa!$A:$AE,BH$5,0)="",0,VLOOKUP($N275,Capa!$A:$AE,BH$5,0)),0),IF(ISERROR(1/VLOOKUP($N275,Capa!$A:$AE,BH$5,0)),0,1/VLOOKUP($N275,Capa!$A:$AE,BH$5,0))))</f>
        <v/>
      </c>
      <c r="BI275" s="118" t="str">
        <f>IF(BI$6="","",IF(BI$3="Maior",IFERROR(IF(VLOOKUP($N275,Capa!$A:$AE,BI$5,0)="",0,VLOOKUP($N275,Capa!$A:$AE,BI$5,0)),0),IF(ISERROR(1/VLOOKUP($N275,Capa!$A:$AE,BI$5,0)),0,1/VLOOKUP($N275,Capa!$A:$AE,BI$5,0))))</f>
        <v/>
      </c>
      <c r="BJ275" s="118" t="str">
        <f>IF(BJ$6="","",IF(BJ$3="Maior",IFERROR(IF(VLOOKUP($N275,Capa!$A:$AE,BJ$5,0)="",0,VLOOKUP($N275,Capa!$A:$AE,BJ$5,0)),0),IF(ISERROR(1/VLOOKUP($N275,Capa!$A:$AE,BJ$5,0)),0,1/VLOOKUP($N275,Capa!$A:$AE,BJ$5,0))))</f>
        <v/>
      </c>
      <c r="BK275" s="118" t="str">
        <f>IF(BK$6="","",IF(BK$3="Maior",IFERROR(IF(VLOOKUP($N275,Capa!$A:$AE,BK$5,0)="",0,VLOOKUP($N275,Capa!$A:$AE,BK$5,0)),0),IF(ISERROR(1/VLOOKUP($N275,Capa!$A:$AE,BK$5,0)),0,1/VLOOKUP($N275,Capa!$A:$AE,BK$5,0))))</f>
        <v/>
      </c>
      <c r="BL275" s="118" t="str">
        <f>IF(BL$6="","",IF(BL$3="Maior",IFERROR(IF(VLOOKUP($N275,Capa!$A:$AE,BL$5,0)="",0,VLOOKUP($N275,Capa!$A:$AE,BL$5,0)),0),IF(ISERROR(1/VLOOKUP($N275,Capa!$A:$AE,BL$5,0)),0,1/VLOOKUP($N275,Capa!$A:$AE,BL$5,0))))</f>
        <v/>
      </c>
      <c r="BM275" s="118" t="str">
        <f>IF(BM$6="","",IF(BM$3="Maior",IFERROR(IF(VLOOKUP($N275,Capa!$A:$AE,BM$5,0)="",0,VLOOKUP($N275,Capa!$A:$AE,BM$5,0)),0),IF(ISERROR(1/VLOOKUP($N275,Capa!$A:$AE,BM$5,0)),0,1/VLOOKUP($N275,Capa!$A:$AE,BM$5,0))))</f>
        <v/>
      </c>
      <c r="BN275" s="118" t="str">
        <f>IF(BN$6="","",IF(BN$3="Maior",IFERROR(IF(VLOOKUP($N275,Capa!$A:$AE,BN$5,0)="",0,VLOOKUP($N275,Capa!$A:$AE,BN$5,0)),0),IF(ISERROR(1/VLOOKUP($N275,Capa!$A:$AE,BN$5,0)),0,1/VLOOKUP($N275,Capa!$A:$AE,BN$5,0))))</f>
        <v/>
      </c>
      <c r="BO275" s="92"/>
    </row>
    <row r="276">
      <c r="G276" s="11"/>
      <c r="H276" s="11"/>
      <c r="I276" s="8"/>
      <c r="J276" s="132"/>
      <c r="K276" s="11"/>
      <c r="L276" s="11"/>
      <c r="M276" s="11"/>
      <c r="N276" s="10" t="s">
        <v>322</v>
      </c>
      <c r="O276" s="113">
        <f t="shared" si="8"/>
        <v>1505.0011</v>
      </c>
      <c r="P276" s="114">
        <f>VLOOKUP(N276,'Dados StatusInvest'!A:Z,26,0)</f>
        <v>1167976.33</v>
      </c>
      <c r="Q276" s="115">
        <f t="shared" si="9"/>
        <v>11.0011</v>
      </c>
      <c r="R276" s="116">
        <f t="shared" ref="R276:AO276" si="279">IF(AQ276="","", RANK(AQ276,AQ$7:AQ$503,0))</f>
        <v>490</v>
      </c>
      <c r="S276" s="115">
        <f t="shared" si="279"/>
        <v>4</v>
      </c>
      <c r="T276" s="115" t="str">
        <f t="shared" si="279"/>
        <v/>
      </c>
      <c r="U276" s="115" t="str">
        <f t="shared" si="279"/>
        <v/>
      </c>
      <c r="V276" s="115" t="str">
        <f t="shared" si="279"/>
        <v/>
      </c>
      <c r="W276" s="115" t="str">
        <f t="shared" si="279"/>
        <v/>
      </c>
      <c r="X276" s="115" t="str">
        <f t="shared" si="279"/>
        <v/>
      </c>
      <c r="Y276" s="115" t="str">
        <f t="shared" si="279"/>
        <v/>
      </c>
      <c r="Z276" s="115" t="str">
        <f t="shared" si="279"/>
        <v/>
      </c>
      <c r="AA276" s="115" t="str">
        <f t="shared" si="279"/>
        <v/>
      </c>
      <c r="AB276" s="115" t="str">
        <f t="shared" si="279"/>
        <v/>
      </c>
      <c r="AC276" s="115" t="str">
        <f t="shared" si="279"/>
        <v/>
      </c>
      <c r="AD276" s="115" t="str">
        <f t="shared" si="279"/>
        <v/>
      </c>
      <c r="AE276" s="115" t="str">
        <f t="shared" si="279"/>
        <v/>
      </c>
      <c r="AF276" s="115" t="str">
        <f t="shared" si="279"/>
        <v/>
      </c>
      <c r="AG276" s="115" t="str">
        <f t="shared" si="279"/>
        <v/>
      </c>
      <c r="AH276" s="115" t="str">
        <f t="shared" si="279"/>
        <v/>
      </c>
      <c r="AI276" s="115" t="str">
        <f t="shared" si="279"/>
        <v/>
      </c>
      <c r="AJ276" s="115" t="str">
        <f t="shared" si="279"/>
        <v/>
      </c>
      <c r="AK276" s="115" t="str">
        <f t="shared" si="279"/>
        <v/>
      </c>
      <c r="AL276" s="115" t="str">
        <f t="shared" si="279"/>
        <v/>
      </c>
      <c r="AM276" s="115" t="str">
        <f t="shared" si="279"/>
        <v/>
      </c>
      <c r="AN276" s="115" t="str">
        <f t="shared" si="279"/>
        <v/>
      </c>
      <c r="AO276" s="115" t="str">
        <f t="shared" si="279"/>
        <v/>
      </c>
      <c r="AP276" s="117">
        <f>IF(AP$6="","",IF(AP$3="Maior",IFERROR(IF(VLOOKUP($N276,Capa!$A:$AE,AP$5,0)="",0,VLOOKUP($N276,Capa!$A:$AE,AP$5,0)),0),IF(ISERROR(1/VLOOKUP($N276,Capa!$A:$AE,AP$5,0)),0,1/VLOOKUP($N276,Capa!$A:$AE,AP$5,0))))</f>
        <v>0.6651479357</v>
      </c>
      <c r="AQ276" s="118">
        <f>IF(AQ$6="","",IF(AQ$3="Maior",IFERROR(IF(VLOOKUP($N276,Capa!$A:$AE,AQ$5,0)="",0,VLOOKUP($N276,Capa!$A:$AE,AQ$5,0)),0),IF(ISERROR(1/VLOOKUP($N276,Capa!$A:$AE,AQ$5,0)),0,1/VLOOKUP($N276,Capa!$A:$AE,AQ$5,0))))</f>
        <v>-217.35</v>
      </c>
      <c r="AR276" s="118">
        <f>IF(AR$6="","",IF(AR$3="Maior",IFERROR(IF(VLOOKUP($N276,Capa!$A:$AE,AR$5,0)="",0,VLOOKUP($N276,Capa!$A:$AE,AR$5,0)),0),IF(ISERROR(1/VLOOKUP($N276,Capa!$A:$AE,AR$5,0)),0,1/VLOOKUP($N276,Capa!$A:$AE,AR$5,0))))</f>
        <v>164.18</v>
      </c>
      <c r="AS276" s="118" t="str">
        <f>IF(AS$6="","",IF(AS$3="Maior",IFERROR(IF(VLOOKUP($N276,Capa!$A:$AE,AS$5,0)="",0,VLOOKUP($N276,Capa!$A:$AE,AS$5,0)),0),IF(ISERROR(1/VLOOKUP($N276,Capa!$A:$AE,AS$5,0)),0,1/VLOOKUP($N276,Capa!$A:$AE,AS$5,0))))</f>
        <v/>
      </c>
      <c r="AT276" s="118" t="str">
        <f>IF(AT$6="","",IF(AT$3="Maior",IFERROR(IF(VLOOKUP($N276,Capa!$A:$AE,AT$5,0)="",0,VLOOKUP($N276,Capa!$A:$AE,AT$5,0)),0),IF(ISERROR(1/VLOOKUP($N276,Capa!$A:$AE,AT$5,0)),0,1/VLOOKUP($N276,Capa!$A:$AE,AT$5,0))))</f>
        <v/>
      </c>
      <c r="AU276" s="118" t="str">
        <f>IF(AU$6="","",IF(AU$3="Maior",IFERROR(IF(VLOOKUP($N276,Capa!$A:$AE,AU$5,0)="",0,VLOOKUP($N276,Capa!$A:$AE,AU$5,0)),0),IF(ISERROR(1/VLOOKUP($N276,Capa!$A:$AE,AU$5,0)),0,1/VLOOKUP($N276,Capa!$A:$AE,AU$5,0))))</f>
        <v/>
      </c>
      <c r="AV276" s="118" t="str">
        <f>IF(AV$6="","",IF(AV$3="Maior",IFERROR(IF(VLOOKUP($N276,Capa!$A:$AE,AV$5,0)="",0,VLOOKUP($N276,Capa!$A:$AE,AV$5,0)),0),IF(ISERROR(1/VLOOKUP($N276,Capa!$A:$AE,AV$5,0)),0,1/VLOOKUP($N276,Capa!$A:$AE,AV$5,0))))</f>
        <v/>
      </c>
      <c r="AW276" s="118" t="str">
        <f>IF(AW$6="","",IF(AW$3="Maior",IFERROR(IF(VLOOKUP($N276,Capa!$A:$AE,AW$5,0)="",0,VLOOKUP($N276,Capa!$A:$AE,AW$5,0)),0),IF(ISERROR(1/VLOOKUP($N276,Capa!$A:$AE,AW$5,0)),0,1/VLOOKUP($N276,Capa!$A:$AE,AW$5,0))))</f>
        <v/>
      </c>
      <c r="AX276" s="118" t="str">
        <f>IF(AX$6="","",IF(AX$3="Maior",IFERROR(IF(VLOOKUP($N276,Capa!$A:$AE,AX$5,0)="",0,VLOOKUP($N276,Capa!$A:$AE,AX$5,0)),0),IF(ISERROR(1/VLOOKUP($N276,Capa!$A:$AE,AX$5,0)),0,1/VLOOKUP($N276,Capa!$A:$AE,AX$5,0))))</f>
        <v/>
      </c>
      <c r="AY276" s="118" t="str">
        <f>IF(AY$6="","",IF(AY$3="Maior",IFERROR(IF(VLOOKUP($N276,Capa!$A:$AE,AY$5,0)="",0,VLOOKUP($N276,Capa!$A:$AE,AY$5,0)),0),IF(ISERROR(1/VLOOKUP($N276,Capa!$A:$AE,AY$5,0)),0,1/VLOOKUP($N276,Capa!$A:$AE,AY$5,0))))</f>
        <v/>
      </c>
      <c r="AZ276" s="118" t="str">
        <f>IF(AZ$6="","",IF(AZ$3="Maior",IFERROR(IF(VLOOKUP($N276,Capa!$A:$AE,AZ$5,0)="",0,VLOOKUP($N276,Capa!$A:$AE,AZ$5,0)),0),IF(ISERROR(1/VLOOKUP($N276,Capa!$A:$AE,AZ$5,0)),0,1/VLOOKUP($N276,Capa!$A:$AE,AZ$5,0))))</f>
        <v/>
      </c>
      <c r="BA276" s="118" t="str">
        <f>IF(BA$6="","",IF(BA$3="Maior",IFERROR(IF(VLOOKUP($N276,Capa!$A:$AE,BA$5,0)="",0,VLOOKUP($N276,Capa!$A:$AE,BA$5,0)),0),IF(ISERROR(1/VLOOKUP($N276,Capa!$A:$AE,BA$5,0)),0,1/VLOOKUP($N276,Capa!$A:$AE,BA$5,0))))</f>
        <v/>
      </c>
      <c r="BB276" s="118" t="str">
        <f>IF(BB$6="","",IF(BB$3="Maior",IFERROR(IF(VLOOKUP($N276,Capa!$A:$AE,BB$5,0)="",0,VLOOKUP($N276,Capa!$A:$AE,BB$5,0)),0),IF(ISERROR(1/VLOOKUP($N276,Capa!$A:$AE,BB$5,0)),0,1/VLOOKUP($N276,Capa!$A:$AE,BB$5,0))))</f>
        <v/>
      </c>
      <c r="BC276" s="118" t="str">
        <f>IF(BC$6="","",IF(BC$3="Maior",IFERROR(IF(VLOOKUP($N276,Capa!$A:$AE,BC$5,0)="",0,VLOOKUP($N276,Capa!$A:$AE,BC$5,0)),0),IF(ISERROR(1/VLOOKUP($N276,Capa!$A:$AE,BC$5,0)),0,1/VLOOKUP($N276,Capa!$A:$AE,BC$5,0))))</f>
        <v/>
      </c>
      <c r="BD276" s="118" t="str">
        <f>IF(BD$6="","",IF(BD$3="Maior",IFERROR(IF(VLOOKUP($N276,Capa!$A:$AE,BD$5,0)="",0,VLOOKUP($N276,Capa!$A:$AE,BD$5,0)),0),IF(ISERROR(1/VLOOKUP($N276,Capa!$A:$AE,BD$5,0)),0,1/VLOOKUP($N276,Capa!$A:$AE,BD$5,0))))</f>
        <v/>
      </c>
      <c r="BE276" s="118" t="str">
        <f>IF(BE$6="","",IF(BE$3="Maior",IFERROR(IF(VLOOKUP($N276,Capa!$A:$AE,BE$5,0)="",0,VLOOKUP($N276,Capa!$A:$AE,BE$5,0)),0),IF(ISERROR(1/VLOOKUP($N276,Capa!$A:$AE,BE$5,0)),0,1/VLOOKUP($N276,Capa!$A:$AE,BE$5,0))))</f>
        <v/>
      </c>
      <c r="BF276" s="118" t="str">
        <f>IF(BF$6="","",IF(BF$3="Maior",IFERROR(IF(VLOOKUP($N276,Capa!$A:$AE,BF$5,0)="",0,VLOOKUP($N276,Capa!$A:$AE,BF$5,0)),0),IF(ISERROR(1/VLOOKUP($N276,Capa!$A:$AE,BF$5,0)),0,1/VLOOKUP($N276,Capa!$A:$AE,BF$5,0))))</f>
        <v/>
      </c>
      <c r="BG276" s="118" t="str">
        <f>IF(BG$6="","",IF(BG$3="Maior",IFERROR(IF(VLOOKUP($N276,Capa!$A:$AE,BG$5,0)="",0,VLOOKUP($N276,Capa!$A:$AE,BG$5,0)),0),IF(ISERROR(1/VLOOKUP($N276,Capa!$A:$AE,BG$5,0)),0,1/VLOOKUP($N276,Capa!$A:$AE,BG$5,0))))</f>
        <v/>
      </c>
      <c r="BH276" s="118" t="str">
        <f>IF(BH$6="","",IF(BH$3="Maior",IFERROR(IF(VLOOKUP($N276,Capa!$A:$AE,BH$5,0)="",0,VLOOKUP($N276,Capa!$A:$AE,BH$5,0)),0),IF(ISERROR(1/VLOOKUP($N276,Capa!$A:$AE,BH$5,0)),0,1/VLOOKUP($N276,Capa!$A:$AE,BH$5,0))))</f>
        <v/>
      </c>
      <c r="BI276" s="118" t="str">
        <f>IF(BI$6="","",IF(BI$3="Maior",IFERROR(IF(VLOOKUP($N276,Capa!$A:$AE,BI$5,0)="",0,VLOOKUP($N276,Capa!$A:$AE,BI$5,0)),0),IF(ISERROR(1/VLOOKUP($N276,Capa!$A:$AE,BI$5,0)),0,1/VLOOKUP($N276,Capa!$A:$AE,BI$5,0))))</f>
        <v/>
      </c>
      <c r="BJ276" s="118" t="str">
        <f>IF(BJ$6="","",IF(BJ$3="Maior",IFERROR(IF(VLOOKUP($N276,Capa!$A:$AE,BJ$5,0)="",0,VLOOKUP($N276,Capa!$A:$AE,BJ$5,0)),0),IF(ISERROR(1/VLOOKUP($N276,Capa!$A:$AE,BJ$5,0)),0,1/VLOOKUP($N276,Capa!$A:$AE,BJ$5,0))))</f>
        <v/>
      </c>
      <c r="BK276" s="118" t="str">
        <f>IF(BK$6="","",IF(BK$3="Maior",IFERROR(IF(VLOOKUP($N276,Capa!$A:$AE,BK$5,0)="",0,VLOOKUP($N276,Capa!$A:$AE,BK$5,0)),0),IF(ISERROR(1/VLOOKUP($N276,Capa!$A:$AE,BK$5,0)),0,1/VLOOKUP($N276,Capa!$A:$AE,BK$5,0))))</f>
        <v/>
      </c>
      <c r="BL276" s="118" t="str">
        <f>IF(BL$6="","",IF(BL$3="Maior",IFERROR(IF(VLOOKUP($N276,Capa!$A:$AE,BL$5,0)="",0,VLOOKUP($N276,Capa!$A:$AE,BL$5,0)),0),IF(ISERROR(1/VLOOKUP($N276,Capa!$A:$AE,BL$5,0)),0,1/VLOOKUP($N276,Capa!$A:$AE,BL$5,0))))</f>
        <v/>
      </c>
      <c r="BM276" s="118" t="str">
        <f>IF(BM$6="","",IF(BM$3="Maior",IFERROR(IF(VLOOKUP($N276,Capa!$A:$AE,BM$5,0)="",0,VLOOKUP($N276,Capa!$A:$AE,BM$5,0)),0),IF(ISERROR(1/VLOOKUP($N276,Capa!$A:$AE,BM$5,0)),0,1/VLOOKUP($N276,Capa!$A:$AE,BM$5,0))))</f>
        <v/>
      </c>
      <c r="BN276" s="118" t="str">
        <f>IF(BN$6="","",IF(BN$3="Maior",IFERROR(IF(VLOOKUP($N276,Capa!$A:$AE,BN$5,0)="",0,VLOOKUP($N276,Capa!$A:$AE,BN$5,0)),0),IF(ISERROR(1/VLOOKUP($N276,Capa!$A:$AE,BN$5,0)),0,1/VLOOKUP($N276,Capa!$A:$AE,BN$5,0))))</f>
        <v/>
      </c>
      <c r="BO276" s="92"/>
    </row>
    <row r="277">
      <c r="G277" s="11"/>
      <c r="H277" s="11"/>
      <c r="I277" s="8"/>
      <c r="J277" s="132"/>
      <c r="K277" s="11"/>
      <c r="L277" s="11"/>
      <c r="M277" s="11"/>
      <c r="N277" s="10" t="s">
        <v>323</v>
      </c>
      <c r="O277" s="113">
        <f t="shared" si="8"/>
        <v>2137.0467</v>
      </c>
      <c r="P277" s="114">
        <f>VLOOKUP(N277,'Dados StatusInvest'!A:Z,26,0)</f>
        <v>1718821.21</v>
      </c>
      <c r="Q277" s="115">
        <f t="shared" si="9"/>
        <v>467.0467</v>
      </c>
      <c r="R277" s="116">
        <f t="shared" ref="R277:AO277" si="280">IF(AQ277="","", RANK(AQ277,AQ$7:AQ$503,0))</f>
        <v>451</v>
      </c>
      <c r="S277" s="115">
        <f t="shared" si="280"/>
        <v>219</v>
      </c>
      <c r="T277" s="115" t="str">
        <f t="shared" si="280"/>
        <v/>
      </c>
      <c r="U277" s="115" t="str">
        <f t="shared" si="280"/>
        <v/>
      </c>
      <c r="V277" s="115" t="str">
        <f t="shared" si="280"/>
        <v/>
      </c>
      <c r="W277" s="115" t="str">
        <f t="shared" si="280"/>
        <v/>
      </c>
      <c r="X277" s="115" t="str">
        <f t="shared" si="280"/>
        <v/>
      </c>
      <c r="Y277" s="115" t="str">
        <f t="shared" si="280"/>
        <v/>
      </c>
      <c r="Z277" s="115" t="str">
        <f t="shared" si="280"/>
        <v/>
      </c>
      <c r="AA277" s="115" t="str">
        <f t="shared" si="280"/>
        <v/>
      </c>
      <c r="AB277" s="115" t="str">
        <f t="shared" si="280"/>
        <v/>
      </c>
      <c r="AC277" s="115" t="str">
        <f t="shared" si="280"/>
        <v/>
      </c>
      <c r="AD277" s="115" t="str">
        <f t="shared" si="280"/>
        <v/>
      </c>
      <c r="AE277" s="115" t="str">
        <f t="shared" si="280"/>
        <v/>
      </c>
      <c r="AF277" s="115" t="str">
        <f t="shared" si="280"/>
        <v/>
      </c>
      <c r="AG277" s="115" t="str">
        <f t="shared" si="280"/>
        <v/>
      </c>
      <c r="AH277" s="115" t="str">
        <f t="shared" si="280"/>
        <v/>
      </c>
      <c r="AI277" s="115" t="str">
        <f t="shared" si="280"/>
        <v/>
      </c>
      <c r="AJ277" s="115" t="str">
        <f t="shared" si="280"/>
        <v/>
      </c>
      <c r="AK277" s="115" t="str">
        <f t="shared" si="280"/>
        <v/>
      </c>
      <c r="AL277" s="115" t="str">
        <f t="shared" si="280"/>
        <v/>
      </c>
      <c r="AM277" s="115" t="str">
        <f t="shared" si="280"/>
        <v/>
      </c>
      <c r="AN277" s="115" t="str">
        <f t="shared" si="280"/>
        <v/>
      </c>
      <c r="AO277" s="115" t="str">
        <f t="shared" si="280"/>
        <v/>
      </c>
      <c r="AP277" s="117">
        <f>IF(AP$6="","",IF(AP$3="Maior",IFERROR(IF(VLOOKUP($N277,Capa!$A:$AE,AP$5,0)="",0,VLOOKUP($N277,Capa!$A:$AE,AP$5,0)),0),IF(ISERROR(1/VLOOKUP($N277,Capa!$A:$AE,AP$5,0)),0,1/VLOOKUP($N277,Capa!$A:$AE,AP$5,0))))</f>
        <v>-0.1643286089</v>
      </c>
      <c r="AQ277" s="118">
        <f>IF(AQ$6="","",IF(AQ$3="Maior",IFERROR(IF(VLOOKUP($N277,Capa!$A:$AE,AQ$5,0)="",0,VLOOKUP($N277,Capa!$A:$AE,AQ$5,0)),0),IF(ISERROR(1/VLOOKUP($N277,Capa!$A:$AE,AQ$5,0)),0,1/VLOOKUP($N277,Capa!$A:$AE,AQ$5,0))))</f>
        <v>-6.47</v>
      </c>
      <c r="AR277" s="118">
        <f>IF(AR$6="","",IF(AR$3="Maior",IFERROR(IF(VLOOKUP($N277,Capa!$A:$AE,AR$5,0)="",0,VLOOKUP($N277,Capa!$A:$AE,AR$5,0)),0),IF(ISERROR(1/VLOOKUP($N277,Capa!$A:$AE,AR$5,0)),0,1/VLOOKUP($N277,Capa!$A:$AE,AR$5,0))))</f>
        <v>0</v>
      </c>
      <c r="AS277" s="118" t="str">
        <f>IF(AS$6="","",IF(AS$3="Maior",IFERROR(IF(VLOOKUP($N277,Capa!$A:$AE,AS$5,0)="",0,VLOOKUP($N277,Capa!$A:$AE,AS$5,0)),0),IF(ISERROR(1/VLOOKUP($N277,Capa!$A:$AE,AS$5,0)),0,1/VLOOKUP($N277,Capa!$A:$AE,AS$5,0))))</f>
        <v/>
      </c>
      <c r="AT277" s="118" t="str">
        <f>IF(AT$6="","",IF(AT$3="Maior",IFERROR(IF(VLOOKUP($N277,Capa!$A:$AE,AT$5,0)="",0,VLOOKUP($N277,Capa!$A:$AE,AT$5,0)),0),IF(ISERROR(1/VLOOKUP($N277,Capa!$A:$AE,AT$5,0)),0,1/VLOOKUP($N277,Capa!$A:$AE,AT$5,0))))</f>
        <v/>
      </c>
      <c r="AU277" s="118" t="str">
        <f>IF(AU$6="","",IF(AU$3="Maior",IFERROR(IF(VLOOKUP($N277,Capa!$A:$AE,AU$5,0)="",0,VLOOKUP($N277,Capa!$A:$AE,AU$5,0)),0),IF(ISERROR(1/VLOOKUP($N277,Capa!$A:$AE,AU$5,0)),0,1/VLOOKUP($N277,Capa!$A:$AE,AU$5,0))))</f>
        <v/>
      </c>
      <c r="AV277" s="118" t="str">
        <f>IF(AV$6="","",IF(AV$3="Maior",IFERROR(IF(VLOOKUP($N277,Capa!$A:$AE,AV$5,0)="",0,VLOOKUP($N277,Capa!$A:$AE,AV$5,0)),0),IF(ISERROR(1/VLOOKUP($N277,Capa!$A:$AE,AV$5,0)),0,1/VLOOKUP($N277,Capa!$A:$AE,AV$5,0))))</f>
        <v/>
      </c>
      <c r="AW277" s="118" t="str">
        <f>IF(AW$6="","",IF(AW$3="Maior",IFERROR(IF(VLOOKUP($N277,Capa!$A:$AE,AW$5,0)="",0,VLOOKUP($N277,Capa!$A:$AE,AW$5,0)),0),IF(ISERROR(1/VLOOKUP($N277,Capa!$A:$AE,AW$5,0)),0,1/VLOOKUP($N277,Capa!$A:$AE,AW$5,0))))</f>
        <v/>
      </c>
      <c r="AX277" s="118" t="str">
        <f>IF(AX$6="","",IF(AX$3="Maior",IFERROR(IF(VLOOKUP($N277,Capa!$A:$AE,AX$5,0)="",0,VLOOKUP($N277,Capa!$A:$AE,AX$5,0)),0),IF(ISERROR(1/VLOOKUP($N277,Capa!$A:$AE,AX$5,0)),0,1/VLOOKUP($N277,Capa!$A:$AE,AX$5,0))))</f>
        <v/>
      </c>
      <c r="AY277" s="118" t="str">
        <f>IF(AY$6="","",IF(AY$3="Maior",IFERROR(IF(VLOOKUP($N277,Capa!$A:$AE,AY$5,0)="",0,VLOOKUP($N277,Capa!$A:$AE,AY$5,0)),0),IF(ISERROR(1/VLOOKUP($N277,Capa!$A:$AE,AY$5,0)),0,1/VLOOKUP($N277,Capa!$A:$AE,AY$5,0))))</f>
        <v/>
      </c>
      <c r="AZ277" s="118" t="str">
        <f>IF(AZ$6="","",IF(AZ$3="Maior",IFERROR(IF(VLOOKUP($N277,Capa!$A:$AE,AZ$5,0)="",0,VLOOKUP($N277,Capa!$A:$AE,AZ$5,0)),0),IF(ISERROR(1/VLOOKUP($N277,Capa!$A:$AE,AZ$5,0)),0,1/VLOOKUP($N277,Capa!$A:$AE,AZ$5,0))))</f>
        <v/>
      </c>
      <c r="BA277" s="118" t="str">
        <f>IF(BA$6="","",IF(BA$3="Maior",IFERROR(IF(VLOOKUP($N277,Capa!$A:$AE,BA$5,0)="",0,VLOOKUP($N277,Capa!$A:$AE,BA$5,0)),0),IF(ISERROR(1/VLOOKUP($N277,Capa!$A:$AE,BA$5,0)),0,1/VLOOKUP($N277,Capa!$A:$AE,BA$5,0))))</f>
        <v/>
      </c>
      <c r="BB277" s="118" t="str">
        <f>IF(BB$6="","",IF(BB$3="Maior",IFERROR(IF(VLOOKUP($N277,Capa!$A:$AE,BB$5,0)="",0,VLOOKUP($N277,Capa!$A:$AE,BB$5,0)),0),IF(ISERROR(1/VLOOKUP($N277,Capa!$A:$AE,BB$5,0)),0,1/VLOOKUP($N277,Capa!$A:$AE,BB$5,0))))</f>
        <v/>
      </c>
      <c r="BC277" s="118" t="str">
        <f>IF(BC$6="","",IF(BC$3="Maior",IFERROR(IF(VLOOKUP($N277,Capa!$A:$AE,BC$5,0)="",0,VLOOKUP($N277,Capa!$A:$AE,BC$5,0)),0),IF(ISERROR(1/VLOOKUP($N277,Capa!$A:$AE,BC$5,0)),0,1/VLOOKUP($N277,Capa!$A:$AE,BC$5,0))))</f>
        <v/>
      </c>
      <c r="BD277" s="118" t="str">
        <f>IF(BD$6="","",IF(BD$3="Maior",IFERROR(IF(VLOOKUP($N277,Capa!$A:$AE,BD$5,0)="",0,VLOOKUP($N277,Capa!$A:$AE,BD$5,0)),0),IF(ISERROR(1/VLOOKUP($N277,Capa!$A:$AE,BD$5,0)),0,1/VLOOKUP($N277,Capa!$A:$AE,BD$5,0))))</f>
        <v/>
      </c>
      <c r="BE277" s="118" t="str">
        <f>IF(BE$6="","",IF(BE$3="Maior",IFERROR(IF(VLOOKUP($N277,Capa!$A:$AE,BE$5,0)="",0,VLOOKUP($N277,Capa!$A:$AE,BE$5,0)),0),IF(ISERROR(1/VLOOKUP($N277,Capa!$A:$AE,BE$5,0)),0,1/VLOOKUP($N277,Capa!$A:$AE,BE$5,0))))</f>
        <v/>
      </c>
      <c r="BF277" s="118" t="str">
        <f>IF(BF$6="","",IF(BF$3="Maior",IFERROR(IF(VLOOKUP($N277,Capa!$A:$AE,BF$5,0)="",0,VLOOKUP($N277,Capa!$A:$AE,BF$5,0)),0),IF(ISERROR(1/VLOOKUP($N277,Capa!$A:$AE,BF$5,0)),0,1/VLOOKUP($N277,Capa!$A:$AE,BF$5,0))))</f>
        <v/>
      </c>
      <c r="BG277" s="118" t="str">
        <f>IF(BG$6="","",IF(BG$3="Maior",IFERROR(IF(VLOOKUP($N277,Capa!$A:$AE,BG$5,0)="",0,VLOOKUP($N277,Capa!$A:$AE,BG$5,0)),0),IF(ISERROR(1/VLOOKUP($N277,Capa!$A:$AE,BG$5,0)),0,1/VLOOKUP($N277,Capa!$A:$AE,BG$5,0))))</f>
        <v/>
      </c>
      <c r="BH277" s="118" t="str">
        <f>IF(BH$6="","",IF(BH$3="Maior",IFERROR(IF(VLOOKUP($N277,Capa!$A:$AE,BH$5,0)="",0,VLOOKUP($N277,Capa!$A:$AE,BH$5,0)),0),IF(ISERROR(1/VLOOKUP($N277,Capa!$A:$AE,BH$5,0)),0,1/VLOOKUP($N277,Capa!$A:$AE,BH$5,0))))</f>
        <v/>
      </c>
      <c r="BI277" s="118" t="str">
        <f>IF(BI$6="","",IF(BI$3="Maior",IFERROR(IF(VLOOKUP($N277,Capa!$A:$AE,BI$5,0)="",0,VLOOKUP($N277,Capa!$A:$AE,BI$5,0)),0),IF(ISERROR(1/VLOOKUP($N277,Capa!$A:$AE,BI$5,0)),0,1/VLOOKUP($N277,Capa!$A:$AE,BI$5,0))))</f>
        <v/>
      </c>
      <c r="BJ277" s="118" t="str">
        <f>IF(BJ$6="","",IF(BJ$3="Maior",IFERROR(IF(VLOOKUP($N277,Capa!$A:$AE,BJ$5,0)="",0,VLOOKUP($N277,Capa!$A:$AE,BJ$5,0)),0),IF(ISERROR(1/VLOOKUP($N277,Capa!$A:$AE,BJ$5,0)),0,1/VLOOKUP($N277,Capa!$A:$AE,BJ$5,0))))</f>
        <v/>
      </c>
      <c r="BK277" s="118" t="str">
        <f>IF(BK$6="","",IF(BK$3="Maior",IFERROR(IF(VLOOKUP($N277,Capa!$A:$AE,BK$5,0)="",0,VLOOKUP($N277,Capa!$A:$AE,BK$5,0)),0),IF(ISERROR(1/VLOOKUP($N277,Capa!$A:$AE,BK$5,0)),0,1/VLOOKUP($N277,Capa!$A:$AE,BK$5,0))))</f>
        <v/>
      </c>
      <c r="BL277" s="118" t="str">
        <f>IF(BL$6="","",IF(BL$3="Maior",IFERROR(IF(VLOOKUP($N277,Capa!$A:$AE,BL$5,0)="",0,VLOOKUP($N277,Capa!$A:$AE,BL$5,0)),0),IF(ISERROR(1/VLOOKUP($N277,Capa!$A:$AE,BL$5,0)),0,1/VLOOKUP($N277,Capa!$A:$AE,BL$5,0))))</f>
        <v/>
      </c>
      <c r="BM277" s="118" t="str">
        <f>IF(BM$6="","",IF(BM$3="Maior",IFERROR(IF(VLOOKUP($N277,Capa!$A:$AE,BM$5,0)="",0,VLOOKUP($N277,Capa!$A:$AE,BM$5,0)),0),IF(ISERROR(1/VLOOKUP($N277,Capa!$A:$AE,BM$5,0)),0,1/VLOOKUP($N277,Capa!$A:$AE,BM$5,0))))</f>
        <v/>
      </c>
      <c r="BN277" s="118" t="str">
        <f>IF(BN$6="","",IF(BN$3="Maior",IFERROR(IF(VLOOKUP($N277,Capa!$A:$AE,BN$5,0)="",0,VLOOKUP($N277,Capa!$A:$AE,BN$5,0)),0),IF(ISERROR(1/VLOOKUP($N277,Capa!$A:$AE,BN$5,0)),0,1/VLOOKUP($N277,Capa!$A:$AE,BN$5,0))))</f>
        <v/>
      </c>
      <c r="BO277" s="92"/>
    </row>
    <row r="278">
      <c r="G278" s="11"/>
      <c r="H278" s="11"/>
      <c r="I278" s="8"/>
      <c r="J278" s="132"/>
      <c r="K278" s="11"/>
      <c r="L278" s="11"/>
      <c r="M278" s="11"/>
      <c r="N278" s="10" t="s">
        <v>324</v>
      </c>
      <c r="O278" s="113">
        <f t="shared" si="8"/>
        <v>1723.0239</v>
      </c>
      <c r="P278" s="114">
        <f>VLOOKUP(N278,'Dados StatusInvest'!A:Z,26,0)</f>
        <v>1238695.75</v>
      </c>
      <c r="Q278" s="115">
        <f t="shared" si="9"/>
        <v>239.0239</v>
      </c>
      <c r="R278" s="116">
        <f t="shared" ref="R278:AO278" si="281">IF(AQ278="","", RANK(AQ278,AQ$7:AQ$503,0))</f>
        <v>287</v>
      </c>
      <c r="S278" s="115">
        <f t="shared" si="281"/>
        <v>197</v>
      </c>
      <c r="T278" s="115" t="str">
        <f t="shared" si="281"/>
        <v/>
      </c>
      <c r="U278" s="115" t="str">
        <f t="shared" si="281"/>
        <v/>
      </c>
      <c r="V278" s="115" t="str">
        <f t="shared" si="281"/>
        <v/>
      </c>
      <c r="W278" s="115" t="str">
        <f t="shared" si="281"/>
        <v/>
      </c>
      <c r="X278" s="115" t="str">
        <f t="shared" si="281"/>
        <v/>
      </c>
      <c r="Y278" s="115" t="str">
        <f t="shared" si="281"/>
        <v/>
      </c>
      <c r="Z278" s="115" t="str">
        <f t="shared" si="281"/>
        <v/>
      </c>
      <c r="AA278" s="115" t="str">
        <f t="shared" si="281"/>
        <v/>
      </c>
      <c r="AB278" s="115" t="str">
        <f t="shared" si="281"/>
        <v/>
      </c>
      <c r="AC278" s="115" t="str">
        <f t="shared" si="281"/>
        <v/>
      </c>
      <c r="AD278" s="115" t="str">
        <f t="shared" si="281"/>
        <v/>
      </c>
      <c r="AE278" s="115" t="str">
        <f t="shared" si="281"/>
        <v/>
      </c>
      <c r="AF278" s="115" t="str">
        <f t="shared" si="281"/>
        <v/>
      </c>
      <c r="AG278" s="115" t="str">
        <f t="shared" si="281"/>
        <v/>
      </c>
      <c r="AH278" s="115" t="str">
        <f t="shared" si="281"/>
        <v/>
      </c>
      <c r="AI278" s="115" t="str">
        <f t="shared" si="281"/>
        <v/>
      </c>
      <c r="AJ278" s="115" t="str">
        <f t="shared" si="281"/>
        <v/>
      </c>
      <c r="AK278" s="115" t="str">
        <f t="shared" si="281"/>
        <v/>
      </c>
      <c r="AL278" s="115" t="str">
        <f t="shared" si="281"/>
        <v/>
      </c>
      <c r="AM278" s="115" t="str">
        <f t="shared" si="281"/>
        <v/>
      </c>
      <c r="AN278" s="115" t="str">
        <f t="shared" si="281"/>
        <v/>
      </c>
      <c r="AO278" s="115" t="str">
        <f t="shared" si="281"/>
        <v/>
      </c>
      <c r="AP278" s="117">
        <f>IF(AP$6="","",IF(AP$3="Maior",IFERROR(IF(VLOOKUP($N278,Capa!$A:$AE,AP$5,0)="",0,VLOOKUP($N278,Capa!$A:$AE,AP$5,0)),0),IF(ISERROR(1/VLOOKUP($N278,Capa!$A:$AE,AP$5,0)),0,1/VLOOKUP($N278,Capa!$A:$AE,AP$5,0))))</f>
        <v>0.08395084579</v>
      </c>
      <c r="AQ278" s="118">
        <f>IF(AQ$6="","",IF(AQ$3="Maior",IFERROR(IF(VLOOKUP($N278,Capa!$A:$AE,AQ$5,0)="",0,VLOOKUP($N278,Capa!$A:$AE,AQ$5,0)),0),IF(ISERROR(1/VLOOKUP($N278,Capa!$A:$AE,AQ$5,0)),0,1/VLOOKUP($N278,Capa!$A:$AE,AQ$5,0))))</f>
        <v>5.86</v>
      </c>
      <c r="AR278" s="118">
        <f>IF(AR$6="","",IF(AR$3="Maior",IFERROR(IF(VLOOKUP($N278,Capa!$A:$AE,AR$5,0)="",0,VLOOKUP($N278,Capa!$A:$AE,AR$5,0)),0),IF(ISERROR(1/VLOOKUP($N278,Capa!$A:$AE,AR$5,0)),0,1/VLOOKUP($N278,Capa!$A:$AE,AR$5,0))))</f>
        <v>3.57</v>
      </c>
      <c r="AS278" s="118" t="str">
        <f>IF(AS$6="","",IF(AS$3="Maior",IFERROR(IF(VLOOKUP($N278,Capa!$A:$AE,AS$5,0)="",0,VLOOKUP($N278,Capa!$A:$AE,AS$5,0)),0),IF(ISERROR(1/VLOOKUP($N278,Capa!$A:$AE,AS$5,0)),0,1/VLOOKUP($N278,Capa!$A:$AE,AS$5,0))))</f>
        <v/>
      </c>
      <c r="AT278" s="118" t="str">
        <f>IF(AT$6="","",IF(AT$3="Maior",IFERROR(IF(VLOOKUP($N278,Capa!$A:$AE,AT$5,0)="",0,VLOOKUP($N278,Capa!$A:$AE,AT$5,0)),0),IF(ISERROR(1/VLOOKUP($N278,Capa!$A:$AE,AT$5,0)),0,1/VLOOKUP($N278,Capa!$A:$AE,AT$5,0))))</f>
        <v/>
      </c>
      <c r="AU278" s="118" t="str">
        <f>IF(AU$6="","",IF(AU$3="Maior",IFERROR(IF(VLOOKUP($N278,Capa!$A:$AE,AU$5,0)="",0,VLOOKUP($N278,Capa!$A:$AE,AU$5,0)),0),IF(ISERROR(1/VLOOKUP($N278,Capa!$A:$AE,AU$5,0)),0,1/VLOOKUP($N278,Capa!$A:$AE,AU$5,0))))</f>
        <v/>
      </c>
      <c r="AV278" s="118" t="str">
        <f>IF(AV$6="","",IF(AV$3="Maior",IFERROR(IF(VLOOKUP($N278,Capa!$A:$AE,AV$5,0)="",0,VLOOKUP($N278,Capa!$A:$AE,AV$5,0)),0),IF(ISERROR(1/VLOOKUP($N278,Capa!$A:$AE,AV$5,0)),0,1/VLOOKUP($N278,Capa!$A:$AE,AV$5,0))))</f>
        <v/>
      </c>
      <c r="AW278" s="118" t="str">
        <f>IF(AW$6="","",IF(AW$3="Maior",IFERROR(IF(VLOOKUP($N278,Capa!$A:$AE,AW$5,0)="",0,VLOOKUP($N278,Capa!$A:$AE,AW$5,0)),0),IF(ISERROR(1/VLOOKUP($N278,Capa!$A:$AE,AW$5,0)),0,1/VLOOKUP($N278,Capa!$A:$AE,AW$5,0))))</f>
        <v/>
      </c>
      <c r="AX278" s="118" t="str">
        <f>IF(AX$6="","",IF(AX$3="Maior",IFERROR(IF(VLOOKUP($N278,Capa!$A:$AE,AX$5,0)="",0,VLOOKUP($N278,Capa!$A:$AE,AX$5,0)),0),IF(ISERROR(1/VLOOKUP($N278,Capa!$A:$AE,AX$5,0)),0,1/VLOOKUP($N278,Capa!$A:$AE,AX$5,0))))</f>
        <v/>
      </c>
      <c r="AY278" s="118" t="str">
        <f>IF(AY$6="","",IF(AY$3="Maior",IFERROR(IF(VLOOKUP($N278,Capa!$A:$AE,AY$5,0)="",0,VLOOKUP($N278,Capa!$A:$AE,AY$5,0)),0),IF(ISERROR(1/VLOOKUP($N278,Capa!$A:$AE,AY$5,0)),0,1/VLOOKUP($N278,Capa!$A:$AE,AY$5,0))))</f>
        <v/>
      </c>
      <c r="AZ278" s="118" t="str">
        <f>IF(AZ$6="","",IF(AZ$3="Maior",IFERROR(IF(VLOOKUP($N278,Capa!$A:$AE,AZ$5,0)="",0,VLOOKUP($N278,Capa!$A:$AE,AZ$5,0)),0),IF(ISERROR(1/VLOOKUP($N278,Capa!$A:$AE,AZ$5,0)),0,1/VLOOKUP($N278,Capa!$A:$AE,AZ$5,0))))</f>
        <v/>
      </c>
      <c r="BA278" s="118" t="str">
        <f>IF(BA$6="","",IF(BA$3="Maior",IFERROR(IF(VLOOKUP($N278,Capa!$A:$AE,BA$5,0)="",0,VLOOKUP($N278,Capa!$A:$AE,BA$5,0)),0),IF(ISERROR(1/VLOOKUP($N278,Capa!$A:$AE,BA$5,0)),0,1/VLOOKUP($N278,Capa!$A:$AE,BA$5,0))))</f>
        <v/>
      </c>
      <c r="BB278" s="118" t="str">
        <f>IF(BB$6="","",IF(BB$3="Maior",IFERROR(IF(VLOOKUP($N278,Capa!$A:$AE,BB$5,0)="",0,VLOOKUP($N278,Capa!$A:$AE,BB$5,0)),0),IF(ISERROR(1/VLOOKUP($N278,Capa!$A:$AE,BB$5,0)),0,1/VLOOKUP($N278,Capa!$A:$AE,BB$5,0))))</f>
        <v/>
      </c>
      <c r="BC278" s="118" t="str">
        <f>IF(BC$6="","",IF(BC$3="Maior",IFERROR(IF(VLOOKUP($N278,Capa!$A:$AE,BC$5,0)="",0,VLOOKUP($N278,Capa!$A:$AE,BC$5,0)),0),IF(ISERROR(1/VLOOKUP($N278,Capa!$A:$AE,BC$5,0)),0,1/VLOOKUP($N278,Capa!$A:$AE,BC$5,0))))</f>
        <v/>
      </c>
      <c r="BD278" s="118" t="str">
        <f>IF(BD$6="","",IF(BD$3="Maior",IFERROR(IF(VLOOKUP($N278,Capa!$A:$AE,BD$5,0)="",0,VLOOKUP($N278,Capa!$A:$AE,BD$5,0)),0),IF(ISERROR(1/VLOOKUP($N278,Capa!$A:$AE,BD$5,0)),0,1/VLOOKUP($N278,Capa!$A:$AE,BD$5,0))))</f>
        <v/>
      </c>
      <c r="BE278" s="118" t="str">
        <f>IF(BE$6="","",IF(BE$3="Maior",IFERROR(IF(VLOOKUP($N278,Capa!$A:$AE,BE$5,0)="",0,VLOOKUP($N278,Capa!$A:$AE,BE$5,0)),0),IF(ISERROR(1/VLOOKUP($N278,Capa!$A:$AE,BE$5,0)),0,1/VLOOKUP($N278,Capa!$A:$AE,BE$5,0))))</f>
        <v/>
      </c>
      <c r="BF278" s="118" t="str">
        <f>IF(BF$6="","",IF(BF$3="Maior",IFERROR(IF(VLOOKUP($N278,Capa!$A:$AE,BF$5,0)="",0,VLOOKUP($N278,Capa!$A:$AE,BF$5,0)),0),IF(ISERROR(1/VLOOKUP($N278,Capa!$A:$AE,BF$5,0)),0,1/VLOOKUP($N278,Capa!$A:$AE,BF$5,0))))</f>
        <v/>
      </c>
      <c r="BG278" s="118" t="str">
        <f>IF(BG$6="","",IF(BG$3="Maior",IFERROR(IF(VLOOKUP($N278,Capa!$A:$AE,BG$5,0)="",0,VLOOKUP($N278,Capa!$A:$AE,BG$5,0)),0),IF(ISERROR(1/VLOOKUP($N278,Capa!$A:$AE,BG$5,0)),0,1/VLOOKUP($N278,Capa!$A:$AE,BG$5,0))))</f>
        <v/>
      </c>
      <c r="BH278" s="118" t="str">
        <f>IF(BH$6="","",IF(BH$3="Maior",IFERROR(IF(VLOOKUP($N278,Capa!$A:$AE,BH$5,0)="",0,VLOOKUP($N278,Capa!$A:$AE,BH$5,0)),0),IF(ISERROR(1/VLOOKUP($N278,Capa!$A:$AE,BH$5,0)),0,1/VLOOKUP($N278,Capa!$A:$AE,BH$5,0))))</f>
        <v/>
      </c>
      <c r="BI278" s="118" t="str">
        <f>IF(BI$6="","",IF(BI$3="Maior",IFERROR(IF(VLOOKUP($N278,Capa!$A:$AE,BI$5,0)="",0,VLOOKUP($N278,Capa!$A:$AE,BI$5,0)),0),IF(ISERROR(1/VLOOKUP($N278,Capa!$A:$AE,BI$5,0)),0,1/VLOOKUP($N278,Capa!$A:$AE,BI$5,0))))</f>
        <v/>
      </c>
      <c r="BJ278" s="118" t="str">
        <f>IF(BJ$6="","",IF(BJ$3="Maior",IFERROR(IF(VLOOKUP($N278,Capa!$A:$AE,BJ$5,0)="",0,VLOOKUP($N278,Capa!$A:$AE,BJ$5,0)),0),IF(ISERROR(1/VLOOKUP($N278,Capa!$A:$AE,BJ$5,0)),0,1/VLOOKUP($N278,Capa!$A:$AE,BJ$5,0))))</f>
        <v/>
      </c>
      <c r="BK278" s="118" t="str">
        <f>IF(BK$6="","",IF(BK$3="Maior",IFERROR(IF(VLOOKUP($N278,Capa!$A:$AE,BK$5,0)="",0,VLOOKUP($N278,Capa!$A:$AE,BK$5,0)),0),IF(ISERROR(1/VLOOKUP($N278,Capa!$A:$AE,BK$5,0)),0,1/VLOOKUP($N278,Capa!$A:$AE,BK$5,0))))</f>
        <v/>
      </c>
      <c r="BL278" s="118" t="str">
        <f>IF(BL$6="","",IF(BL$3="Maior",IFERROR(IF(VLOOKUP($N278,Capa!$A:$AE,BL$5,0)="",0,VLOOKUP($N278,Capa!$A:$AE,BL$5,0)),0),IF(ISERROR(1/VLOOKUP($N278,Capa!$A:$AE,BL$5,0)),0,1/VLOOKUP($N278,Capa!$A:$AE,BL$5,0))))</f>
        <v/>
      </c>
      <c r="BM278" s="118" t="str">
        <f>IF(BM$6="","",IF(BM$3="Maior",IFERROR(IF(VLOOKUP($N278,Capa!$A:$AE,BM$5,0)="",0,VLOOKUP($N278,Capa!$A:$AE,BM$5,0)),0),IF(ISERROR(1/VLOOKUP($N278,Capa!$A:$AE,BM$5,0)),0,1/VLOOKUP($N278,Capa!$A:$AE,BM$5,0))))</f>
        <v/>
      </c>
      <c r="BN278" s="118" t="str">
        <f>IF(BN$6="","",IF(BN$3="Maior",IFERROR(IF(VLOOKUP($N278,Capa!$A:$AE,BN$5,0)="",0,VLOOKUP($N278,Capa!$A:$AE,BN$5,0)),0),IF(ISERROR(1/VLOOKUP($N278,Capa!$A:$AE,BN$5,0)),0,1/VLOOKUP($N278,Capa!$A:$AE,BN$5,0))))</f>
        <v/>
      </c>
      <c r="BO278" s="92"/>
    </row>
    <row r="279">
      <c r="G279" s="11"/>
      <c r="H279" s="11"/>
      <c r="I279" s="8"/>
      <c r="J279" s="132"/>
      <c r="K279" s="11"/>
      <c r="L279" s="11"/>
      <c r="M279" s="11"/>
      <c r="N279" s="10" t="s">
        <v>325</v>
      </c>
      <c r="O279" s="113">
        <f t="shared" si="8"/>
        <v>1225.0134</v>
      </c>
      <c r="P279" s="114">
        <f>VLOOKUP(N279,'Dados StatusInvest'!A:Z,26,0)</f>
        <v>1238536</v>
      </c>
      <c r="Q279" s="115">
        <f t="shared" si="9"/>
        <v>134.0134</v>
      </c>
      <c r="R279" s="116">
        <f t="shared" ref="R279:AO279" si="282">IF(AQ279="","", RANK(AQ279,AQ$7:AQ$503,0))</f>
        <v>38</v>
      </c>
      <c r="S279" s="115">
        <f t="shared" si="282"/>
        <v>53</v>
      </c>
      <c r="T279" s="115" t="str">
        <f t="shared" si="282"/>
        <v/>
      </c>
      <c r="U279" s="115" t="str">
        <f t="shared" si="282"/>
        <v/>
      </c>
      <c r="V279" s="115" t="str">
        <f t="shared" si="282"/>
        <v/>
      </c>
      <c r="W279" s="115" t="str">
        <f t="shared" si="282"/>
        <v/>
      </c>
      <c r="X279" s="115" t="str">
        <f t="shared" si="282"/>
        <v/>
      </c>
      <c r="Y279" s="115" t="str">
        <f t="shared" si="282"/>
        <v/>
      </c>
      <c r="Z279" s="115" t="str">
        <f t="shared" si="282"/>
        <v/>
      </c>
      <c r="AA279" s="115" t="str">
        <f t="shared" si="282"/>
        <v/>
      </c>
      <c r="AB279" s="115" t="str">
        <f t="shared" si="282"/>
        <v/>
      </c>
      <c r="AC279" s="115" t="str">
        <f t="shared" si="282"/>
        <v/>
      </c>
      <c r="AD279" s="115" t="str">
        <f t="shared" si="282"/>
        <v/>
      </c>
      <c r="AE279" s="115" t="str">
        <f t="shared" si="282"/>
        <v/>
      </c>
      <c r="AF279" s="115" t="str">
        <f t="shared" si="282"/>
        <v/>
      </c>
      <c r="AG279" s="115" t="str">
        <f t="shared" si="282"/>
        <v/>
      </c>
      <c r="AH279" s="115" t="str">
        <f t="shared" si="282"/>
        <v/>
      </c>
      <c r="AI279" s="115" t="str">
        <f t="shared" si="282"/>
        <v/>
      </c>
      <c r="AJ279" s="115" t="str">
        <f t="shared" si="282"/>
        <v/>
      </c>
      <c r="AK279" s="115" t="str">
        <f t="shared" si="282"/>
        <v/>
      </c>
      <c r="AL279" s="115" t="str">
        <f t="shared" si="282"/>
        <v/>
      </c>
      <c r="AM279" s="115" t="str">
        <f t="shared" si="282"/>
        <v/>
      </c>
      <c r="AN279" s="115" t="str">
        <f t="shared" si="282"/>
        <v/>
      </c>
      <c r="AO279" s="115" t="str">
        <f t="shared" si="282"/>
        <v/>
      </c>
      <c r="AP279" s="117">
        <f>IF(AP$6="","",IF(AP$3="Maior",IFERROR(IF(VLOOKUP($N279,Capa!$A:$AE,AP$5,0)="",0,VLOOKUP($N279,Capa!$A:$AE,AP$5,0)),0),IF(ISERROR(1/VLOOKUP($N279,Capa!$A:$AE,AP$5,0)),0,1/VLOOKUP($N279,Capa!$A:$AE,AP$5,0))))</f>
        <v>0.1431260593</v>
      </c>
      <c r="AQ279" s="118">
        <f>IF(AQ$6="","",IF(AQ$3="Maior",IFERROR(IF(VLOOKUP($N279,Capa!$A:$AE,AQ$5,0)="",0,VLOOKUP($N279,Capa!$A:$AE,AQ$5,0)),0),IF(ISERROR(1/VLOOKUP($N279,Capa!$A:$AE,AQ$5,0)),0,1/VLOOKUP($N279,Capa!$A:$AE,AQ$5,0))))</f>
        <v>32.84</v>
      </c>
      <c r="AR279" s="118">
        <f>IF(AR$6="","",IF(AR$3="Maior",IFERROR(IF(VLOOKUP($N279,Capa!$A:$AE,AR$5,0)="",0,VLOOKUP($N279,Capa!$A:$AE,AR$5,0)),0),IF(ISERROR(1/VLOOKUP($N279,Capa!$A:$AE,AR$5,0)),0,1/VLOOKUP($N279,Capa!$A:$AE,AR$5,0))))</f>
        <v>46.63</v>
      </c>
      <c r="AS279" s="118" t="str">
        <f>IF(AS$6="","",IF(AS$3="Maior",IFERROR(IF(VLOOKUP($N279,Capa!$A:$AE,AS$5,0)="",0,VLOOKUP($N279,Capa!$A:$AE,AS$5,0)),0),IF(ISERROR(1/VLOOKUP($N279,Capa!$A:$AE,AS$5,0)),0,1/VLOOKUP($N279,Capa!$A:$AE,AS$5,0))))</f>
        <v/>
      </c>
      <c r="AT279" s="118" t="str">
        <f>IF(AT$6="","",IF(AT$3="Maior",IFERROR(IF(VLOOKUP($N279,Capa!$A:$AE,AT$5,0)="",0,VLOOKUP($N279,Capa!$A:$AE,AT$5,0)),0),IF(ISERROR(1/VLOOKUP($N279,Capa!$A:$AE,AT$5,0)),0,1/VLOOKUP($N279,Capa!$A:$AE,AT$5,0))))</f>
        <v/>
      </c>
      <c r="AU279" s="118" t="str">
        <f>IF(AU$6="","",IF(AU$3="Maior",IFERROR(IF(VLOOKUP($N279,Capa!$A:$AE,AU$5,0)="",0,VLOOKUP($N279,Capa!$A:$AE,AU$5,0)),0),IF(ISERROR(1/VLOOKUP($N279,Capa!$A:$AE,AU$5,0)),0,1/VLOOKUP($N279,Capa!$A:$AE,AU$5,0))))</f>
        <v/>
      </c>
      <c r="AV279" s="118" t="str">
        <f>IF(AV$6="","",IF(AV$3="Maior",IFERROR(IF(VLOOKUP($N279,Capa!$A:$AE,AV$5,0)="",0,VLOOKUP($N279,Capa!$A:$AE,AV$5,0)),0),IF(ISERROR(1/VLOOKUP($N279,Capa!$A:$AE,AV$5,0)),0,1/VLOOKUP($N279,Capa!$A:$AE,AV$5,0))))</f>
        <v/>
      </c>
      <c r="AW279" s="118" t="str">
        <f>IF(AW$6="","",IF(AW$3="Maior",IFERROR(IF(VLOOKUP($N279,Capa!$A:$AE,AW$5,0)="",0,VLOOKUP($N279,Capa!$A:$AE,AW$5,0)),0),IF(ISERROR(1/VLOOKUP($N279,Capa!$A:$AE,AW$5,0)),0,1/VLOOKUP($N279,Capa!$A:$AE,AW$5,0))))</f>
        <v/>
      </c>
      <c r="AX279" s="118" t="str">
        <f>IF(AX$6="","",IF(AX$3="Maior",IFERROR(IF(VLOOKUP($N279,Capa!$A:$AE,AX$5,0)="",0,VLOOKUP($N279,Capa!$A:$AE,AX$5,0)),0),IF(ISERROR(1/VLOOKUP($N279,Capa!$A:$AE,AX$5,0)),0,1/VLOOKUP($N279,Capa!$A:$AE,AX$5,0))))</f>
        <v/>
      </c>
      <c r="AY279" s="118" t="str">
        <f>IF(AY$6="","",IF(AY$3="Maior",IFERROR(IF(VLOOKUP($N279,Capa!$A:$AE,AY$5,0)="",0,VLOOKUP($N279,Capa!$A:$AE,AY$5,0)),0),IF(ISERROR(1/VLOOKUP($N279,Capa!$A:$AE,AY$5,0)),0,1/VLOOKUP($N279,Capa!$A:$AE,AY$5,0))))</f>
        <v/>
      </c>
      <c r="AZ279" s="118" t="str">
        <f>IF(AZ$6="","",IF(AZ$3="Maior",IFERROR(IF(VLOOKUP($N279,Capa!$A:$AE,AZ$5,0)="",0,VLOOKUP($N279,Capa!$A:$AE,AZ$5,0)),0),IF(ISERROR(1/VLOOKUP($N279,Capa!$A:$AE,AZ$5,0)),0,1/VLOOKUP($N279,Capa!$A:$AE,AZ$5,0))))</f>
        <v/>
      </c>
      <c r="BA279" s="118" t="str">
        <f>IF(BA$6="","",IF(BA$3="Maior",IFERROR(IF(VLOOKUP($N279,Capa!$A:$AE,BA$5,0)="",0,VLOOKUP($N279,Capa!$A:$AE,BA$5,0)),0),IF(ISERROR(1/VLOOKUP($N279,Capa!$A:$AE,BA$5,0)),0,1/VLOOKUP($N279,Capa!$A:$AE,BA$5,0))))</f>
        <v/>
      </c>
      <c r="BB279" s="118" t="str">
        <f>IF(BB$6="","",IF(BB$3="Maior",IFERROR(IF(VLOOKUP($N279,Capa!$A:$AE,BB$5,0)="",0,VLOOKUP($N279,Capa!$A:$AE,BB$5,0)),0),IF(ISERROR(1/VLOOKUP($N279,Capa!$A:$AE,BB$5,0)),0,1/VLOOKUP($N279,Capa!$A:$AE,BB$5,0))))</f>
        <v/>
      </c>
      <c r="BC279" s="118" t="str">
        <f>IF(BC$6="","",IF(BC$3="Maior",IFERROR(IF(VLOOKUP($N279,Capa!$A:$AE,BC$5,0)="",0,VLOOKUP($N279,Capa!$A:$AE,BC$5,0)),0),IF(ISERROR(1/VLOOKUP($N279,Capa!$A:$AE,BC$5,0)),0,1/VLOOKUP($N279,Capa!$A:$AE,BC$5,0))))</f>
        <v/>
      </c>
      <c r="BD279" s="118" t="str">
        <f>IF(BD$6="","",IF(BD$3="Maior",IFERROR(IF(VLOOKUP($N279,Capa!$A:$AE,BD$5,0)="",0,VLOOKUP($N279,Capa!$A:$AE,BD$5,0)),0),IF(ISERROR(1/VLOOKUP($N279,Capa!$A:$AE,BD$5,0)),0,1/VLOOKUP($N279,Capa!$A:$AE,BD$5,0))))</f>
        <v/>
      </c>
      <c r="BE279" s="118" t="str">
        <f>IF(BE$6="","",IF(BE$3="Maior",IFERROR(IF(VLOOKUP($N279,Capa!$A:$AE,BE$5,0)="",0,VLOOKUP($N279,Capa!$A:$AE,BE$5,0)),0),IF(ISERROR(1/VLOOKUP($N279,Capa!$A:$AE,BE$5,0)),0,1/VLOOKUP($N279,Capa!$A:$AE,BE$5,0))))</f>
        <v/>
      </c>
      <c r="BF279" s="118" t="str">
        <f>IF(BF$6="","",IF(BF$3="Maior",IFERROR(IF(VLOOKUP($N279,Capa!$A:$AE,BF$5,0)="",0,VLOOKUP($N279,Capa!$A:$AE,BF$5,0)),0),IF(ISERROR(1/VLOOKUP($N279,Capa!$A:$AE,BF$5,0)),0,1/VLOOKUP($N279,Capa!$A:$AE,BF$5,0))))</f>
        <v/>
      </c>
      <c r="BG279" s="118" t="str">
        <f>IF(BG$6="","",IF(BG$3="Maior",IFERROR(IF(VLOOKUP($N279,Capa!$A:$AE,BG$5,0)="",0,VLOOKUP($N279,Capa!$A:$AE,BG$5,0)),0),IF(ISERROR(1/VLOOKUP($N279,Capa!$A:$AE,BG$5,0)),0,1/VLOOKUP($N279,Capa!$A:$AE,BG$5,0))))</f>
        <v/>
      </c>
      <c r="BH279" s="118" t="str">
        <f>IF(BH$6="","",IF(BH$3="Maior",IFERROR(IF(VLOOKUP($N279,Capa!$A:$AE,BH$5,0)="",0,VLOOKUP($N279,Capa!$A:$AE,BH$5,0)),0),IF(ISERROR(1/VLOOKUP($N279,Capa!$A:$AE,BH$5,0)),0,1/VLOOKUP($N279,Capa!$A:$AE,BH$5,0))))</f>
        <v/>
      </c>
      <c r="BI279" s="118" t="str">
        <f>IF(BI$6="","",IF(BI$3="Maior",IFERROR(IF(VLOOKUP($N279,Capa!$A:$AE,BI$5,0)="",0,VLOOKUP($N279,Capa!$A:$AE,BI$5,0)),0),IF(ISERROR(1/VLOOKUP($N279,Capa!$A:$AE,BI$5,0)),0,1/VLOOKUP($N279,Capa!$A:$AE,BI$5,0))))</f>
        <v/>
      </c>
      <c r="BJ279" s="118" t="str">
        <f>IF(BJ$6="","",IF(BJ$3="Maior",IFERROR(IF(VLOOKUP($N279,Capa!$A:$AE,BJ$5,0)="",0,VLOOKUP($N279,Capa!$A:$AE,BJ$5,0)),0),IF(ISERROR(1/VLOOKUP($N279,Capa!$A:$AE,BJ$5,0)),0,1/VLOOKUP($N279,Capa!$A:$AE,BJ$5,0))))</f>
        <v/>
      </c>
      <c r="BK279" s="118" t="str">
        <f>IF(BK$6="","",IF(BK$3="Maior",IFERROR(IF(VLOOKUP($N279,Capa!$A:$AE,BK$5,0)="",0,VLOOKUP($N279,Capa!$A:$AE,BK$5,0)),0),IF(ISERROR(1/VLOOKUP($N279,Capa!$A:$AE,BK$5,0)),0,1/VLOOKUP($N279,Capa!$A:$AE,BK$5,0))))</f>
        <v/>
      </c>
      <c r="BL279" s="118" t="str">
        <f>IF(BL$6="","",IF(BL$3="Maior",IFERROR(IF(VLOOKUP($N279,Capa!$A:$AE,BL$5,0)="",0,VLOOKUP($N279,Capa!$A:$AE,BL$5,0)),0),IF(ISERROR(1/VLOOKUP($N279,Capa!$A:$AE,BL$5,0)),0,1/VLOOKUP($N279,Capa!$A:$AE,BL$5,0))))</f>
        <v/>
      </c>
      <c r="BM279" s="118" t="str">
        <f>IF(BM$6="","",IF(BM$3="Maior",IFERROR(IF(VLOOKUP($N279,Capa!$A:$AE,BM$5,0)="",0,VLOOKUP($N279,Capa!$A:$AE,BM$5,0)),0),IF(ISERROR(1/VLOOKUP($N279,Capa!$A:$AE,BM$5,0)),0,1/VLOOKUP($N279,Capa!$A:$AE,BM$5,0))))</f>
        <v/>
      </c>
      <c r="BN279" s="118" t="str">
        <f>IF(BN$6="","",IF(BN$3="Maior",IFERROR(IF(VLOOKUP($N279,Capa!$A:$AE,BN$5,0)="",0,VLOOKUP($N279,Capa!$A:$AE,BN$5,0)),0),IF(ISERROR(1/VLOOKUP($N279,Capa!$A:$AE,BN$5,0)),0,1/VLOOKUP($N279,Capa!$A:$AE,BN$5,0))))</f>
        <v/>
      </c>
      <c r="BO279" s="92"/>
    </row>
    <row r="280">
      <c r="G280" s="11"/>
      <c r="H280" s="11"/>
      <c r="I280" s="8"/>
      <c r="J280" s="132"/>
      <c r="K280" s="11"/>
      <c r="L280" s="11"/>
      <c r="M280" s="11"/>
      <c r="N280" s="10" t="s">
        <v>326</v>
      </c>
      <c r="O280" s="113">
        <f t="shared" si="8"/>
        <v>1238.0037</v>
      </c>
      <c r="P280" s="114">
        <f>VLOOKUP(N280,'Dados StatusInvest'!A:Z,26,0)</f>
        <v>1369854.5</v>
      </c>
      <c r="Q280" s="115">
        <f t="shared" si="9"/>
        <v>37.0037</v>
      </c>
      <c r="R280" s="116">
        <f t="shared" ref="R280:AO280" si="283">IF(AQ280="","", RANK(AQ280,AQ$7:AQ$503,0))</f>
        <v>187</v>
      </c>
      <c r="S280" s="115">
        <f t="shared" si="283"/>
        <v>14</v>
      </c>
      <c r="T280" s="115" t="str">
        <f t="shared" si="283"/>
        <v/>
      </c>
      <c r="U280" s="115" t="str">
        <f t="shared" si="283"/>
        <v/>
      </c>
      <c r="V280" s="115" t="str">
        <f t="shared" si="283"/>
        <v/>
      </c>
      <c r="W280" s="115" t="str">
        <f t="shared" si="283"/>
        <v/>
      </c>
      <c r="X280" s="115" t="str">
        <f t="shared" si="283"/>
        <v/>
      </c>
      <c r="Y280" s="115" t="str">
        <f t="shared" si="283"/>
        <v/>
      </c>
      <c r="Z280" s="115" t="str">
        <f t="shared" si="283"/>
        <v/>
      </c>
      <c r="AA280" s="115" t="str">
        <f t="shared" si="283"/>
        <v/>
      </c>
      <c r="AB280" s="115" t="str">
        <f t="shared" si="283"/>
        <v/>
      </c>
      <c r="AC280" s="115" t="str">
        <f t="shared" si="283"/>
        <v/>
      </c>
      <c r="AD280" s="115" t="str">
        <f t="shared" si="283"/>
        <v/>
      </c>
      <c r="AE280" s="115" t="str">
        <f t="shared" si="283"/>
        <v/>
      </c>
      <c r="AF280" s="115" t="str">
        <f t="shared" si="283"/>
        <v/>
      </c>
      <c r="AG280" s="115" t="str">
        <f t="shared" si="283"/>
        <v/>
      </c>
      <c r="AH280" s="115" t="str">
        <f t="shared" si="283"/>
        <v/>
      </c>
      <c r="AI280" s="115" t="str">
        <f t="shared" si="283"/>
        <v/>
      </c>
      <c r="AJ280" s="115" t="str">
        <f t="shared" si="283"/>
        <v/>
      </c>
      <c r="AK280" s="115" t="str">
        <f t="shared" si="283"/>
        <v/>
      </c>
      <c r="AL280" s="115" t="str">
        <f t="shared" si="283"/>
        <v/>
      </c>
      <c r="AM280" s="115" t="str">
        <f t="shared" si="283"/>
        <v/>
      </c>
      <c r="AN280" s="115" t="str">
        <f t="shared" si="283"/>
        <v/>
      </c>
      <c r="AO280" s="115" t="str">
        <f t="shared" si="283"/>
        <v/>
      </c>
      <c r="AP280" s="117">
        <f>IF(AP$6="","",IF(AP$3="Maior",IFERROR(IF(VLOOKUP($N280,Capa!$A:$AE,AP$5,0)="",0,VLOOKUP($N280,Capa!$A:$AE,AP$5,0)),0),IF(ISERROR(1/VLOOKUP($N280,Capa!$A:$AE,AP$5,0)),0,1/VLOOKUP($N280,Capa!$A:$AE,AP$5,0))))</f>
        <v>0.2840583402</v>
      </c>
      <c r="AQ280" s="118">
        <f>IF(AQ$6="","",IF(AQ$3="Maior",IFERROR(IF(VLOOKUP($N280,Capa!$A:$AE,AQ$5,0)="",0,VLOOKUP($N280,Capa!$A:$AE,AQ$5,0)),0),IF(ISERROR(1/VLOOKUP($N280,Capa!$A:$AE,AQ$5,0)),0,1/VLOOKUP($N280,Capa!$A:$AE,AQ$5,0))))</f>
        <v>11.96</v>
      </c>
      <c r="AR280" s="118">
        <f>IF(AR$6="","",IF(AR$3="Maior",IFERROR(IF(VLOOKUP($N280,Capa!$A:$AE,AR$5,0)="",0,VLOOKUP($N280,Capa!$A:$AE,AR$5,0)),0),IF(ISERROR(1/VLOOKUP($N280,Capa!$A:$AE,AR$5,0)),0,1/VLOOKUP($N280,Capa!$A:$AE,AR$5,0))))</f>
        <v>94.72</v>
      </c>
      <c r="AS280" s="118" t="str">
        <f>IF(AS$6="","",IF(AS$3="Maior",IFERROR(IF(VLOOKUP($N280,Capa!$A:$AE,AS$5,0)="",0,VLOOKUP($N280,Capa!$A:$AE,AS$5,0)),0),IF(ISERROR(1/VLOOKUP($N280,Capa!$A:$AE,AS$5,0)),0,1/VLOOKUP($N280,Capa!$A:$AE,AS$5,0))))</f>
        <v/>
      </c>
      <c r="AT280" s="118" t="str">
        <f>IF(AT$6="","",IF(AT$3="Maior",IFERROR(IF(VLOOKUP($N280,Capa!$A:$AE,AT$5,0)="",0,VLOOKUP($N280,Capa!$A:$AE,AT$5,0)),0),IF(ISERROR(1/VLOOKUP($N280,Capa!$A:$AE,AT$5,0)),0,1/VLOOKUP($N280,Capa!$A:$AE,AT$5,0))))</f>
        <v/>
      </c>
      <c r="AU280" s="118" t="str">
        <f>IF(AU$6="","",IF(AU$3="Maior",IFERROR(IF(VLOOKUP($N280,Capa!$A:$AE,AU$5,0)="",0,VLOOKUP($N280,Capa!$A:$AE,AU$5,0)),0),IF(ISERROR(1/VLOOKUP($N280,Capa!$A:$AE,AU$5,0)),0,1/VLOOKUP($N280,Capa!$A:$AE,AU$5,0))))</f>
        <v/>
      </c>
      <c r="AV280" s="118" t="str">
        <f>IF(AV$6="","",IF(AV$3="Maior",IFERROR(IF(VLOOKUP($N280,Capa!$A:$AE,AV$5,0)="",0,VLOOKUP($N280,Capa!$A:$AE,AV$5,0)),0),IF(ISERROR(1/VLOOKUP($N280,Capa!$A:$AE,AV$5,0)),0,1/VLOOKUP($N280,Capa!$A:$AE,AV$5,0))))</f>
        <v/>
      </c>
      <c r="AW280" s="118" t="str">
        <f>IF(AW$6="","",IF(AW$3="Maior",IFERROR(IF(VLOOKUP($N280,Capa!$A:$AE,AW$5,0)="",0,VLOOKUP($N280,Capa!$A:$AE,AW$5,0)),0),IF(ISERROR(1/VLOOKUP($N280,Capa!$A:$AE,AW$5,0)),0,1/VLOOKUP($N280,Capa!$A:$AE,AW$5,0))))</f>
        <v/>
      </c>
      <c r="AX280" s="118" t="str">
        <f>IF(AX$6="","",IF(AX$3="Maior",IFERROR(IF(VLOOKUP($N280,Capa!$A:$AE,AX$5,0)="",0,VLOOKUP($N280,Capa!$A:$AE,AX$5,0)),0),IF(ISERROR(1/VLOOKUP($N280,Capa!$A:$AE,AX$5,0)),0,1/VLOOKUP($N280,Capa!$A:$AE,AX$5,0))))</f>
        <v/>
      </c>
      <c r="AY280" s="118" t="str">
        <f>IF(AY$6="","",IF(AY$3="Maior",IFERROR(IF(VLOOKUP($N280,Capa!$A:$AE,AY$5,0)="",0,VLOOKUP($N280,Capa!$A:$AE,AY$5,0)),0),IF(ISERROR(1/VLOOKUP($N280,Capa!$A:$AE,AY$5,0)),0,1/VLOOKUP($N280,Capa!$A:$AE,AY$5,0))))</f>
        <v/>
      </c>
      <c r="AZ280" s="118" t="str">
        <f>IF(AZ$6="","",IF(AZ$3="Maior",IFERROR(IF(VLOOKUP($N280,Capa!$A:$AE,AZ$5,0)="",0,VLOOKUP($N280,Capa!$A:$AE,AZ$5,0)),0),IF(ISERROR(1/VLOOKUP($N280,Capa!$A:$AE,AZ$5,0)),0,1/VLOOKUP($N280,Capa!$A:$AE,AZ$5,0))))</f>
        <v/>
      </c>
      <c r="BA280" s="118" t="str">
        <f>IF(BA$6="","",IF(BA$3="Maior",IFERROR(IF(VLOOKUP($N280,Capa!$A:$AE,BA$5,0)="",0,VLOOKUP($N280,Capa!$A:$AE,BA$5,0)),0),IF(ISERROR(1/VLOOKUP($N280,Capa!$A:$AE,BA$5,0)),0,1/VLOOKUP($N280,Capa!$A:$AE,BA$5,0))))</f>
        <v/>
      </c>
      <c r="BB280" s="118" t="str">
        <f>IF(BB$6="","",IF(BB$3="Maior",IFERROR(IF(VLOOKUP($N280,Capa!$A:$AE,BB$5,0)="",0,VLOOKUP($N280,Capa!$A:$AE,BB$5,0)),0),IF(ISERROR(1/VLOOKUP($N280,Capa!$A:$AE,BB$5,0)),0,1/VLOOKUP($N280,Capa!$A:$AE,BB$5,0))))</f>
        <v/>
      </c>
      <c r="BC280" s="118" t="str">
        <f>IF(BC$6="","",IF(BC$3="Maior",IFERROR(IF(VLOOKUP($N280,Capa!$A:$AE,BC$5,0)="",0,VLOOKUP($N280,Capa!$A:$AE,BC$5,0)),0),IF(ISERROR(1/VLOOKUP($N280,Capa!$A:$AE,BC$5,0)),0,1/VLOOKUP($N280,Capa!$A:$AE,BC$5,0))))</f>
        <v/>
      </c>
      <c r="BD280" s="118" t="str">
        <f>IF(BD$6="","",IF(BD$3="Maior",IFERROR(IF(VLOOKUP($N280,Capa!$A:$AE,BD$5,0)="",0,VLOOKUP($N280,Capa!$A:$AE,BD$5,0)),0),IF(ISERROR(1/VLOOKUP($N280,Capa!$A:$AE,BD$5,0)),0,1/VLOOKUP($N280,Capa!$A:$AE,BD$5,0))))</f>
        <v/>
      </c>
      <c r="BE280" s="118" t="str">
        <f>IF(BE$6="","",IF(BE$3="Maior",IFERROR(IF(VLOOKUP($N280,Capa!$A:$AE,BE$5,0)="",0,VLOOKUP($N280,Capa!$A:$AE,BE$5,0)),0),IF(ISERROR(1/VLOOKUP($N280,Capa!$A:$AE,BE$5,0)),0,1/VLOOKUP($N280,Capa!$A:$AE,BE$5,0))))</f>
        <v/>
      </c>
      <c r="BF280" s="118" t="str">
        <f>IF(BF$6="","",IF(BF$3="Maior",IFERROR(IF(VLOOKUP($N280,Capa!$A:$AE,BF$5,0)="",0,VLOOKUP($N280,Capa!$A:$AE,BF$5,0)),0),IF(ISERROR(1/VLOOKUP($N280,Capa!$A:$AE,BF$5,0)),0,1/VLOOKUP($N280,Capa!$A:$AE,BF$5,0))))</f>
        <v/>
      </c>
      <c r="BG280" s="118" t="str">
        <f>IF(BG$6="","",IF(BG$3="Maior",IFERROR(IF(VLOOKUP($N280,Capa!$A:$AE,BG$5,0)="",0,VLOOKUP($N280,Capa!$A:$AE,BG$5,0)),0),IF(ISERROR(1/VLOOKUP($N280,Capa!$A:$AE,BG$5,0)),0,1/VLOOKUP($N280,Capa!$A:$AE,BG$5,0))))</f>
        <v/>
      </c>
      <c r="BH280" s="118" t="str">
        <f>IF(BH$6="","",IF(BH$3="Maior",IFERROR(IF(VLOOKUP($N280,Capa!$A:$AE,BH$5,0)="",0,VLOOKUP($N280,Capa!$A:$AE,BH$5,0)),0),IF(ISERROR(1/VLOOKUP($N280,Capa!$A:$AE,BH$5,0)),0,1/VLOOKUP($N280,Capa!$A:$AE,BH$5,0))))</f>
        <v/>
      </c>
      <c r="BI280" s="118" t="str">
        <f>IF(BI$6="","",IF(BI$3="Maior",IFERROR(IF(VLOOKUP($N280,Capa!$A:$AE,BI$5,0)="",0,VLOOKUP($N280,Capa!$A:$AE,BI$5,0)),0),IF(ISERROR(1/VLOOKUP($N280,Capa!$A:$AE,BI$5,0)),0,1/VLOOKUP($N280,Capa!$A:$AE,BI$5,0))))</f>
        <v/>
      </c>
      <c r="BJ280" s="118" t="str">
        <f>IF(BJ$6="","",IF(BJ$3="Maior",IFERROR(IF(VLOOKUP($N280,Capa!$A:$AE,BJ$5,0)="",0,VLOOKUP($N280,Capa!$A:$AE,BJ$5,0)),0),IF(ISERROR(1/VLOOKUP($N280,Capa!$A:$AE,BJ$5,0)),0,1/VLOOKUP($N280,Capa!$A:$AE,BJ$5,0))))</f>
        <v/>
      </c>
      <c r="BK280" s="118" t="str">
        <f>IF(BK$6="","",IF(BK$3="Maior",IFERROR(IF(VLOOKUP($N280,Capa!$A:$AE,BK$5,0)="",0,VLOOKUP($N280,Capa!$A:$AE,BK$5,0)),0),IF(ISERROR(1/VLOOKUP($N280,Capa!$A:$AE,BK$5,0)),0,1/VLOOKUP($N280,Capa!$A:$AE,BK$5,0))))</f>
        <v/>
      </c>
      <c r="BL280" s="118" t="str">
        <f>IF(BL$6="","",IF(BL$3="Maior",IFERROR(IF(VLOOKUP($N280,Capa!$A:$AE,BL$5,0)="",0,VLOOKUP($N280,Capa!$A:$AE,BL$5,0)),0),IF(ISERROR(1/VLOOKUP($N280,Capa!$A:$AE,BL$5,0)),0,1/VLOOKUP($N280,Capa!$A:$AE,BL$5,0))))</f>
        <v/>
      </c>
      <c r="BM280" s="118" t="str">
        <f>IF(BM$6="","",IF(BM$3="Maior",IFERROR(IF(VLOOKUP($N280,Capa!$A:$AE,BM$5,0)="",0,VLOOKUP($N280,Capa!$A:$AE,BM$5,0)),0),IF(ISERROR(1/VLOOKUP($N280,Capa!$A:$AE,BM$5,0)),0,1/VLOOKUP($N280,Capa!$A:$AE,BM$5,0))))</f>
        <v/>
      </c>
      <c r="BN280" s="118" t="str">
        <f>IF(BN$6="","",IF(BN$3="Maior",IFERROR(IF(VLOOKUP($N280,Capa!$A:$AE,BN$5,0)="",0,VLOOKUP($N280,Capa!$A:$AE,BN$5,0)),0),IF(ISERROR(1/VLOOKUP($N280,Capa!$A:$AE,BN$5,0)),0,1/VLOOKUP($N280,Capa!$A:$AE,BN$5,0))))</f>
        <v/>
      </c>
      <c r="BO280" s="92"/>
    </row>
    <row r="281">
      <c r="G281" s="11"/>
      <c r="H281" s="11"/>
      <c r="I281" s="8"/>
      <c r="J281" s="132"/>
      <c r="K281" s="11"/>
      <c r="L281" s="11"/>
      <c r="M281" s="11"/>
      <c r="N281" s="10" t="s">
        <v>327</v>
      </c>
      <c r="O281" s="113">
        <f t="shared" si="8"/>
        <v>1703.0298</v>
      </c>
      <c r="P281" s="114">
        <f>VLOOKUP(N281,'Dados StatusInvest'!A:Z,26,0)</f>
        <v>1425644.5</v>
      </c>
      <c r="Q281" s="115">
        <f t="shared" si="9"/>
        <v>298.0298</v>
      </c>
      <c r="R281" s="116">
        <f t="shared" ref="R281:AO281" si="284">IF(AQ281="","", RANK(AQ281,AQ$7:AQ$503,0))</f>
        <v>186</v>
      </c>
      <c r="S281" s="115">
        <f t="shared" si="284"/>
        <v>219</v>
      </c>
      <c r="T281" s="115" t="str">
        <f t="shared" si="284"/>
        <v/>
      </c>
      <c r="U281" s="115" t="str">
        <f t="shared" si="284"/>
        <v/>
      </c>
      <c r="V281" s="115" t="str">
        <f t="shared" si="284"/>
        <v/>
      </c>
      <c r="W281" s="115" t="str">
        <f t="shared" si="284"/>
        <v/>
      </c>
      <c r="X281" s="115" t="str">
        <f t="shared" si="284"/>
        <v/>
      </c>
      <c r="Y281" s="115" t="str">
        <f t="shared" si="284"/>
        <v/>
      </c>
      <c r="Z281" s="115" t="str">
        <f t="shared" si="284"/>
        <v/>
      </c>
      <c r="AA281" s="115" t="str">
        <f t="shared" si="284"/>
        <v/>
      </c>
      <c r="AB281" s="115" t="str">
        <f t="shared" si="284"/>
        <v/>
      </c>
      <c r="AC281" s="115" t="str">
        <f t="shared" si="284"/>
        <v/>
      </c>
      <c r="AD281" s="115" t="str">
        <f t="shared" si="284"/>
        <v/>
      </c>
      <c r="AE281" s="115" t="str">
        <f t="shared" si="284"/>
        <v/>
      </c>
      <c r="AF281" s="115" t="str">
        <f t="shared" si="284"/>
        <v/>
      </c>
      <c r="AG281" s="115" t="str">
        <f t="shared" si="284"/>
        <v/>
      </c>
      <c r="AH281" s="115" t="str">
        <f t="shared" si="284"/>
        <v/>
      </c>
      <c r="AI281" s="115" t="str">
        <f t="shared" si="284"/>
        <v/>
      </c>
      <c r="AJ281" s="115" t="str">
        <f t="shared" si="284"/>
        <v/>
      </c>
      <c r="AK281" s="115" t="str">
        <f t="shared" si="284"/>
        <v/>
      </c>
      <c r="AL281" s="115" t="str">
        <f t="shared" si="284"/>
        <v/>
      </c>
      <c r="AM281" s="115" t="str">
        <f t="shared" si="284"/>
        <v/>
      </c>
      <c r="AN281" s="115" t="str">
        <f t="shared" si="284"/>
        <v/>
      </c>
      <c r="AO281" s="115" t="str">
        <f t="shared" si="284"/>
        <v/>
      </c>
      <c r="AP281" s="117">
        <f>IF(AP$6="","",IF(AP$3="Maior",IFERROR(IF(VLOOKUP($N281,Capa!$A:$AE,AP$5,0)="",0,VLOOKUP($N281,Capa!$A:$AE,AP$5,0)),0),IF(ISERROR(1/VLOOKUP($N281,Capa!$A:$AE,AP$5,0)),0,1/VLOOKUP($N281,Capa!$A:$AE,AP$5,0))))</f>
        <v>0.0551325596</v>
      </c>
      <c r="AQ281" s="118">
        <f>IF(AQ$6="","",IF(AQ$3="Maior",IFERROR(IF(VLOOKUP($N281,Capa!$A:$AE,AQ$5,0)="",0,VLOOKUP($N281,Capa!$A:$AE,AQ$5,0)),0),IF(ISERROR(1/VLOOKUP($N281,Capa!$A:$AE,AQ$5,0)),0,1/VLOOKUP($N281,Capa!$A:$AE,AQ$5,0))))</f>
        <v>12.08</v>
      </c>
      <c r="AR281" s="118">
        <f>IF(AR$6="","",IF(AR$3="Maior",IFERROR(IF(VLOOKUP($N281,Capa!$A:$AE,AR$5,0)="",0,VLOOKUP($N281,Capa!$A:$AE,AR$5,0)),0),IF(ISERROR(1/VLOOKUP($N281,Capa!$A:$AE,AR$5,0)),0,1/VLOOKUP($N281,Capa!$A:$AE,AR$5,0))))</f>
        <v>0</v>
      </c>
      <c r="AS281" s="118" t="str">
        <f>IF(AS$6="","",IF(AS$3="Maior",IFERROR(IF(VLOOKUP($N281,Capa!$A:$AE,AS$5,0)="",0,VLOOKUP($N281,Capa!$A:$AE,AS$5,0)),0),IF(ISERROR(1/VLOOKUP($N281,Capa!$A:$AE,AS$5,0)),0,1/VLOOKUP($N281,Capa!$A:$AE,AS$5,0))))</f>
        <v/>
      </c>
      <c r="AT281" s="118" t="str">
        <f>IF(AT$6="","",IF(AT$3="Maior",IFERROR(IF(VLOOKUP($N281,Capa!$A:$AE,AT$5,0)="",0,VLOOKUP($N281,Capa!$A:$AE,AT$5,0)),0),IF(ISERROR(1/VLOOKUP($N281,Capa!$A:$AE,AT$5,0)),0,1/VLOOKUP($N281,Capa!$A:$AE,AT$5,0))))</f>
        <v/>
      </c>
      <c r="AU281" s="118" t="str">
        <f>IF(AU$6="","",IF(AU$3="Maior",IFERROR(IF(VLOOKUP($N281,Capa!$A:$AE,AU$5,0)="",0,VLOOKUP($N281,Capa!$A:$AE,AU$5,0)),0),IF(ISERROR(1/VLOOKUP($N281,Capa!$A:$AE,AU$5,0)),0,1/VLOOKUP($N281,Capa!$A:$AE,AU$5,0))))</f>
        <v/>
      </c>
      <c r="AV281" s="118" t="str">
        <f>IF(AV$6="","",IF(AV$3="Maior",IFERROR(IF(VLOOKUP($N281,Capa!$A:$AE,AV$5,0)="",0,VLOOKUP($N281,Capa!$A:$AE,AV$5,0)),0),IF(ISERROR(1/VLOOKUP($N281,Capa!$A:$AE,AV$5,0)),0,1/VLOOKUP($N281,Capa!$A:$AE,AV$5,0))))</f>
        <v/>
      </c>
      <c r="AW281" s="118" t="str">
        <f>IF(AW$6="","",IF(AW$3="Maior",IFERROR(IF(VLOOKUP($N281,Capa!$A:$AE,AW$5,0)="",0,VLOOKUP($N281,Capa!$A:$AE,AW$5,0)),0),IF(ISERROR(1/VLOOKUP($N281,Capa!$A:$AE,AW$5,0)),0,1/VLOOKUP($N281,Capa!$A:$AE,AW$5,0))))</f>
        <v/>
      </c>
      <c r="AX281" s="118" t="str">
        <f>IF(AX$6="","",IF(AX$3="Maior",IFERROR(IF(VLOOKUP($N281,Capa!$A:$AE,AX$5,0)="",0,VLOOKUP($N281,Capa!$A:$AE,AX$5,0)),0),IF(ISERROR(1/VLOOKUP($N281,Capa!$A:$AE,AX$5,0)),0,1/VLOOKUP($N281,Capa!$A:$AE,AX$5,0))))</f>
        <v/>
      </c>
      <c r="AY281" s="118" t="str">
        <f>IF(AY$6="","",IF(AY$3="Maior",IFERROR(IF(VLOOKUP($N281,Capa!$A:$AE,AY$5,0)="",0,VLOOKUP($N281,Capa!$A:$AE,AY$5,0)),0),IF(ISERROR(1/VLOOKUP($N281,Capa!$A:$AE,AY$5,0)),0,1/VLOOKUP($N281,Capa!$A:$AE,AY$5,0))))</f>
        <v/>
      </c>
      <c r="AZ281" s="118" t="str">
        <f>IF(AZ$6="","",IF(AZ$3="Maior",IFERROR(IF(VLOOKUP($N281,Capa!$A:$AE,AZ$5,0)="",0,VLOOKUP($N281,Capa!$A:$AE,AZ$5,0)),0),IF(ISERROR(1/VLOOKUP($N281,Capa!$A:$AE,AZ$5,0)),0,1/VLOOKUP($N281,Capa!$A:$AE,AZ$5,0))))</f>
        <v/>
      </c>
      <c r="BA281" s="118" t="str">
        <f>IF(BA$6="","",IF(BA$3="Maior",IFERROR(IF(VLOOKUP($N281,Capa!$A:$AE,BA$5,0)="",0,VLOOKUP($N281,Capa!$A:$AE,BA$5,0)),0),IF(ISERROR(1/VLOOKUP($N281,Capa!$A:$AE,BA$5,0)),0,1/VLOOKUP($N281,Capa!$A:$AE,BA$5,0))))</f>
        <v/>
      </c>
      <c r="BB281" s="118" t="str">
        <f>IF(BB$6="","",IF(BB$3="Maior",IFERROR(IF(VLOOKUP($N281,Capa!$A:$AE,BB$5,0)="",0,VLOOKUP($N281,Capa!$A:$AE,BB$5,0)),0),IF(ISERROR(1/VLOOKUP($N281,Capa!$A:$AE,BB$5,0)),0,1/VLOOKUP($N281,Capa!$A:$AE,BB$5,0))))</f>
        <v/>
      </c>
      <c r="BC281" s="118" t="str">
        <f>IF(BC$6="","",IF(BC$3="Maior",IFERROR(IF(VLOOKUP($N281,Capa!$A:$AE,BC$5,0)="",0,VLOOKUP($N281,Capa!$A:$AE,BC$5,0)),0),IF(ISERROR(1/VLOOKUP($N281,Capa!$A:$AE,BC$5,0)),0,1/VLOOKUP($N281,Capa!$A:$AE,BC$5,0))))</f>
        <v/>
      </c>
      <c r="BD281" s="118" t="str">
        <f>IF(BD$6="","",IF(BD$3="Maior",IFERROR(IF(VLOOKUP($N281,Capa!$A:$AE,BD$5,0)="",0,VLOOKUP($N281,Capa!$A:$AE,BD$5,0)),0),IF(ISERROR(1/VLOOKUP($N281,Capa!$A:$AE,BD$5,0)),0,1/VLOOKUP($N281,Capa!$A:$AE,BD$5,0))))</f>
        <v/>
      </c>
      <c r="BE281" s="118" t="str">
        <f>IF(BE$6="","",IF(BE$3="Maior",IFERROR(IF(VLOOKUP($N281,Capa!$A:$AE,BE$5,0)="",0,VLOOKUP($N281,Capa!$A:$AE,BE$5,0)),0),IF(ISERROR(1/VLOOKUP($N281,Capa!$A:$AE,BE$5,0)),0,1/VLOOKUP($N281,Capa!$A:$AE,BE$5,0))))</f>
        <v/>
      </c>
      <c r="BF281" s="118" t="str">
        <f>IF(BF$6="","",IF(BF$3="Maior",IFERROR(IF(VLOOKUP($N281,Capa!$A:$AE,BF$5,0)="",0,VLOOKUP($N281,Capa!$A:$AE,BF$5,0)),0),IF(ISERROR(1/VLOOKUP($N281,Capa!$A:$AE,BF$5,0)),0,1/VLOOKUP($N281,Capa!$A:$AE,BF$5,0))))</f>
        <v/>
      </c>
      <c r="BG281" s="118" t="str">
        <f>IF(BG$6="","",IF(BG$3="Maior",IFERROR(IF(VLOOKUP($N281,Capa!$A:$AE,BG$5,0)="",0,VLOOKUP($N281,Capa!$A:$AE,BG$5,0)),0),IF(ISERROR(1/VLOOKUP($N281,Capa!$A:$AE,BG$5,0)),0,1/VLOOKUP($N281,Capa!$A:$AE,BG$5,0))))</f>
        <v/>
      </c>
      <c r="BH281" s="118" t="str">
        <f>IF(BH$6="","",IF(BH$3="Maior",IFERROR(IF(VLOOKUP($N281,Capa!$A:$AE,BH$5,0)="",0,VLOOKUP($N281,Capa!$A:$AE,BH$5,0)),0),IF(ISERROR(1/VLOOKUP($N281,Capa!$A:$AE,BH$5,0)),0,1/VLOOKUP($N281,Capa!$A:$AE,BH$5,0))))</f>
        <v/>
      </c>
      <c r="BI281" s="118" t="str">
        <f>IF(BI$6="","",IF(BI$3="Maior",IFERROR(IF(VLOOKUP($N281,Capa!$A:$AE,BI$5,0)="",0,VLOOKUP($N281,Capa!$A:$AE,BI$5,0)),0),IF(ISERROR(1/VLOOKUP($N281,Capa!$A:$AE,BI$5,0)),0,1/VLOOKUP($N281,Capa!$A:$AE,BI$5,0))))</f>
        <v/>
      </c>
      <c r="BJ281" s="118" t="str">
        <f>IF(BJ$6="","",IF(BJ$3="Maior",IFERROR(IF(VLOOKUP($N281,Capa!$A:$AE,BJ$5,0)="",0,VLOOKUP($N281,Capa!$A:$AE,BJ$5,0)),0),IF(ISERROR(1/VLOOKUP($N281,Capa!$A:$AE,BJ$5,0)),0,1/VLOOKUP($N281,Capa!$A:$AE,BJ$5,0))))</f>
        <v/>
      </c>
      <c r="BK281" s="118" t="str">
        <f>IF(BK$6="","",IF(BK$3="Maior",IFERROR(IF(VLOOKUP($N281,Capa!$A:$AE,BK$5,0)="",0,VLOOKUP($N281,Capa!$A:$AE,BK$5,0)),0),IF(ISERROR(1/VLOOKUP($N281,Capa!$A:$AE,BK$5,0)),0,1/VLOOKUP($N281,Capa!$A:$AE,BK$5,0))))</f>
        <v/>
      </c>
      <c r="BL281" s="118" t="str">
        <f>IF(BL$6="","",IF(BL$3="Maior",IFERROR(IF(VLOOKUP($N281,Capa!$A:$AE,BL$5,0)="",0,VLOOKUP($N281,Capa!$A:$AE,BL$5,0)),0),IF(ISERROR(1/VLOOKUP($N281,Capa!$A:$AE,BL$5,0)),0,1/VLOOKUP($N281,Capa!$A:$AE,BL$5,0))))</f>
        <v/>
      </c>
      <c r="BM281" s="118" t="str">
        <f>IF(BM$6="","",IF(BM$3="Maior",IFERROR(IF(VLOOKUP($N281,Capa!$A:$AE,BM$5,0)="",0,VLOOKUP($N281,Capa!$A:$AE,BM$5,0)),0),IF(ISERROR(1/VLOOKUP($N281,Capa!$A:$AE,BM$5,0)),0,1/VLOOKUP($N281,Capa!$A:$AE,BM$5,0))))</f>
        <v/>
      </c>
      <c r="BN281" s="118" t="str">
        <f>IF(BN$6="","",IF(BN$3="Maior",IFERROR(IF(VLOOKUP($N281,Capa!$A:$AE,BN$5,0)="",0,VLOOKUP($N281,Capa!$A:$AE,BN$5,0)),0),IF(ISERROR(1/VLOOKUP($N281,Capa!$A:$AE,BN$5,0)),0,1/VLOOKUP($N281,Capa!$A:$AE,BN$5,0))))</f>
        <v/>
      </c>
      <c r="BO281" s="92"/>
    </row>
    <row r="282">
      <c r="G282" s="11"/>
      <c r="H282" s="11"/>
      <c r="I282" s="8"/>
      <c r="J282" s="132"/>
      <c r="K282" s="11"/>
      <c r="L282" s="11"/>
      <c r="M282" s="11"/>
      <c r="N282" s="10" t="s">
        <v>328</v>
      </c>
      <c r="O282" s="113">
        <f t="shared" si="8"/>
        <v>1290.0056</v>
      </c>
      <c r="P282" s="114">
        <f>VLOOKUP(N282,'Dados StatusInvest'!A:Z,26,0)</f>
        <v>1003141.08</v>
      </c>
      <c r="Q282" s="115">
        <f t="shared" si="9"/>
        <v>56.0056</v>
      </c>
      <c r="R282" s="116">
        <f t="shared" ref="R282:AO282" si="285">IF(AQ282="","", RANK(AQ282,AQ$7:AQ$503,0))</f>
        <v>15</v>
      </c>
      <c r="S282" s="115">
        <f t="shared" si="285"/>
        <v>219</v>
      </c>
      <c r="T282" s="115" t="str">
        <f t="shared" si="285"/>
        <v/>
      </c>
      <c r="U282" s="115" t="str">
        <f t="shared" si="285"/>
        <v/>
      </c>
      <c r="V282" s="115" t="str">
        <f t="shared" si="285"/>
        <v/>
      </c>
      <c r="W282" s="115" t="str">
        <f t="shared" si="285"/>
        <v/>
      </c>
      <c r="X282" s="115" t="str">
        <f t="shared" si="285"/>
        <v/>
      </c>
      <c r="Y282" s="115" t="str">
        <f t="shared" si="285"/>
        <v/>
      </c>
      <c r="Z282" s="115" t="str">
        <f t="shared" si="285"/>
        <v/>
      </c>
      <c r="AA282" s="115" t="str">
        <f t="shared" si="285"/>
        <v/>
      </c>
      <c r="AB282" s="115" t="str">
        <f t="shared" si="285"/>
        <v/>
      </c>
      <c r="AC282" s="115" t="str">
        <f t="shared" si="285"/>
        <v/>
      </c>
      <c r="AD282" s="115" t="str">
        <f t="shared" si="285"/>
        <v/>
      </c>
      <c r="AE282" s="115" t="str">
        <f t="shared" si="285"/>
        <v/>
      </c>
      <c r="AF282" s="115" t="str">
        <f t="shared" si="285"/>
        <v/>
      </c>
      <c r="AG282" s="115" t="str">
        <f t="shared" si="285"/>
        <v/>
      </c>
      <c r="AH282" s="115" t="str">
        <f t="shared" si="285"/>
        <v/>
      </c>
      <c r="AI282" s="115" t="str">
        <f t="shared" si="285"/>
        <v/>
      </c>
      <c r="AJ282" s="115" t="str">
        <f t="shared" si="285"/>
        <v/>
      </c>
      <c r="AK282" s="115" t="str">
        <f t="shared" si="285"/>
        <v/>
      </c>
      <c r="AL282" s="115" t="str">
        <f t="shared" si="285"/>
        <v/>
      </c>
      <c r="AM282" s="115" t="str">
        <f t="shared" si="285"/>
        <v/>
      </c>
      <c r="AN282" s="115" t="str">
        <f t="shared" si="285"/>
        <v/>
      </c>
      <c r="AO282" s="115" t="str">
        <f t="shared" si="285"/>
        <v/>
      </c>
      <c r="AP282" s="117">
        <f>IF(AP$6="","",IF(AP$3="Maior",IFERROR(IF(VLOOKUP($N282,Capa!$A:$AE,AP$5,0)="",0,VLOOKUP($N282,Capa!$A:$AE,AP$5,0)),0),IF(ISERROR(1/VLOOKUP($N282,Capa!$A:$AE,AP$5,0)),0,1/VLOOKUP($N282,Capa!$A:$AE,AP$5,0))))</f>
        <v>0.2358143605</v>
      </c>
      <c r="AQ282" s="118">
        <f>IF(AQ$6="","",IF(AQ$3="Maior",IFERROR(IF(VLOOKUP($N282,Capa!$A:$AE,AQ$5,0)="",0,VLOOKUP($N282,Capa!$A:$AE,AQ$5,0)),0),IF(ISERROR(1/VLOOKUP($N282,Capa!$A:$AE,AQ$5,0)),0,1/VLOOKUP($N282,Capa!$A:$AE,AQ$5,0))))</f>
        <v>69.02</v>
      </c>
      <c r="AR282" s="118">
        <f>IF(AR$6="","",IF(AR$3="Maior",IFERROR(IF(VLOOKUP($N282,Capa!$A:$AE,AR$5,0)="",0,VLOOKUP($N282,Capa!$A:$AE,AR$5,0)),0),IF(ISERROR(1/VLOOKUP($N282,Capa!$A:$AE,AR$5,0)),0,1/VLOOKUP($N282,Capa!$A:$AE,AR$5,0))))</f>
        <v>0</v>
      </c>
      <c r="AS282" s="118" t="str">
        <f>IF(AS$6="","",IF(AS$3="Maior",IFERROR(IF(VLOOKUP($N282,Capa!$A:$AE,AS$5,0)="",0,VLOOKUP($N282,Capa!$A:$AE,AS$5,0)),0),IF(ISERROR(1/VLOOKUP($N282,Capa!$A:$AE,AS$5,0)),0,1/VLOOKUP($N282,Capa!$A:$AE,AS$5,0))))</f>
        <v/>
      </c>
      <c r="AT282" s="118" t="str">
        <f>IF(AT$6="","",IF(AT$3="Maior",IFERROR(IF(VLOOKUP($N282,Capa!$A:$AE,AT$5,0)="",0,VLOOKUP($N282,Capa!$A:$AE,AT$5,0)),0),IF(ISERROR(1/VLOOKUP($N282,Capa!$A:$AE,AT$5,0)),0,1/VLOOKUP($N282,Capa!$A:$AE,AT$5,0))))</f>
        <v/>
      </c>
      <c r="AU282" s="118" t="str">
        <f>IF(AU$6="","",IF(AU$3="Maior",IFERROR(IF(VLOOKUP($N282,Capa!$A:$AE,AU$5,0)="",0,VLOOKUP($N282,Capa!$A:$AE,AU$5,0)),0),IF(ISERROR(1/VLOOKUP($N282,Capa!$A:$AE,AU$5,0)),0,1/VLOOKUP($N282,Capa!$A:$AE,AU$5,0))))</f>
        <v/>
      </c>
      <c r="AV282" s="118" t="str">
        <f>IF(AV$6="","",IF(AV$3="Maior",IFERROR(IF(VLOOKUP($N282,Capa!$A:$AE,AV$5,0)="",0,VLOOKUP($N282,Capa!$A:$AE,AV$5,0)),0),IF(ISERROR(1/VLOOKUP($N282,Capa!$A:$AE,AV$5,0)),0,1/VLOOKUP($N282,Capa!$A:$AE,AV$5,0))))</f>
        <v/>
      </c>
      <c r="AW282" s="118" t="str">
        <f>IF(AW$6="","",IF(AW$3="Maior",IFERROR(IF(VLOOKUP($N282,Capa!$A:$AE,AW$5,0)="",0,VLOOKUP($N282,Capa!$A:$AE,AW$5,0)),0),IF(ISERROR(1/VLOOKUP($N282,Capa!$A:$AE,AW$5,0)),0,1/VLOOKUP($N282,Capa!$A:$AE,AW$5,0))))</f>
        <v/>
      </c>
      <c r="AX282" s="118" t="str">
        <f>IF(AX$6="","",IF(AX$3="Maior",IFERROR(IF(VLOOKUP($N282,Capa!$A:$AE,AX$5,0)="",0,VLOOKUP($N282,Capa!$A:$AE,AX$5,0)),0),IF(ISERROR(1/VLOOKUP($N282,Capa!$A:$AE,AX$5,0)),0,1/VLOOKUP($N282,Capa!$A:$AE,AX$5,0))))</f>
        <v/>
      </c>
      <c r="AY282" s="118" t="str">
        <f>IF(AY$6="","",IF(AY$3="Maior",IFERROR(IF(VLOOKUP($N282,Capa!$A:$AE,AY$5,0)="",0,VLOOKUP($N282,Capa!$A:$AE,AY$5,0)),0),IF(ISERROR(1/VLOOKUP($N282,Capa!$A:$AE,AY$5,0)),0,1/VLOOKUP($N282,Capa!$A:$AE,AY$5,0))))</f>
        <v/>
      </c>
      <c r="AZ282" s="118" t="str">
        <f>IF(AZ$6="","",IF(AZ$3="Maior",IFERROR(IF(VLOOKUP($N282,Capa!$A:$AE,AZ$5,0)="",0,VLOOKUP($N282,Capa!$A:$AE,AZ$5,0)),0),IF(ISERROR(1/VLOOKUP($N282,Capa!$A:$AE,AZ$5,0)),0,1/VLOOKUP($N282,Capa!$A:$AE,AZ$5,0))))</f>
        <v/>
      </c>
      <c r="BA282" s="118" t="str">
        <f>IF(BA$6="","",IF(BA$3="Maior",IFERROR(IF(VLOOKUP($N282,Capa!$A:$AE,BA$5,0)="",0,VLOOKUP($N282,Capa!$A:$AE,BA$5,0)),0),IF(ISERROR(1/VLOOKUP($N282,Capa!$A:$AE,BA$5,0)),0,1/VLOOKUP($N282,Capa!$A:$AE,BA$5,0))))</f>
        <v/>
      </c>
      <c r="BB282" s="118" t="str">
        <f>IF(BB$6="","",IF(BB$3="Maior",IFERROR(IF(VLOOKUP($N282,Capa!$A:$AE,BB$5,0)="",0,VLOOKUP($N282,Capa!$A:$AE,BB$5,0)),0),IF(ISERROR(1/VLOOKUP($N282,Capa!$A:$AE,BB$5,0)),0,1/VLOOKUP($N282,Capa!$A:$AE,BB$5,0))))</f>
        <v/>
      </c>
      <c r="BC282" s="118" t="str">
        <f>IF(BC$6="","",IF(BC$3="Maior",IFERROR(IF(VLOOKUP($N282,Capa!$A:$AE,BC$5,0)="",0,VLOOKUP($N282,Capa!$A:$AE,BC$5,0)),0),IF(ISERROR(1/VLOOKUP($N282,Capa!$A:$AE,BC$5,0)),0,1/VLOOKUP($N282,Capa!$A:$AE,BC$5,0))))</f>
        <v/>
      </c>
      <c r="BD282" s="118" t="str">
        <f>IF(BD$6="","",IF(BD$3="Maior",IFERROR(IF(VLOOKUP($N282,Capa!$A:$AE,BD$5,0)="",0,VLOOKUP($N282,Capa!$A:$AE,BD$5,0)),0),IF(ISERROR(1/VLOOKUP($N282,Capa!$A:$AE,BD$5,0)),0,1/VLOOKUP($N282,Capa!$A:$AE,BD$5,0))))</f>
        <v/>
      </c>
      <c r="BE282" s="118" t="str">
        <f>IF(BE$6="","",IF(BE$3="Maior",IFERROR(IF(VLOOKUP($N282,Capa!$A:$AE,BE$5,0)="",0,VLOOKUP($N282,Capa!$A:$AE,BE$5,0)),0),IF(ISERROR(1/VLOOKUP($N282,Capa!$A:$AE,BE$5,0)),0,1/VLOOKUP($N282,Capa!$A:$AE,BE$5,0))))</f>
        <v/>
      </c>
      <c r="BF282" s="118" t="str">
        <f>IF(BF$6="","",IF(BF$3="Maior",IFERROR(IF(VLOOKUP($N282,Capa!$A:$AE,BF$5,0)="",0,VLOOKUP($N282,Capa!$A:$AE,BF$5,0)),0),IF(ISERROR(1/VLOOKUP($N282,Capa!$A:$AE,BF$5,0)),0,1/VLOOKUP($N282,Capa!$A:$AE,BF$5,0))))</f>
        <v/>
      </c>
      <c r="BG282" s="118" t="str">
        <f>IF(BG$6="","",IF(BG$3="Maior",IFERROR(IF(VLOOKUP($N282,Capa!$A:$AE,BG$5,0)="",0,VLOOKUP($N282,Capa!$A:$AE,BG$5,0)),0),IF(ISERROR(1/VLOOKUP($N282,Capa!$A:$AE,BG$5,0)),0,1/VLOOKUP($N282,Capa!$A:$AE,BG$5,0))))</f>
        <v/>
      </c>
      <c r="BH282" s="118" t="str">
        <f>IF(BH$6="","",IF(BH$3="Maior",IFERROR(IF(VLOOKUP($N282,Capa!$A:$AE,BH$5,0)="",0,VLOOKUP($N282,Capa!$A:$AE,BH$5,0)),0),IF(ISERROR(1/VLOOKUP($N282,Capa!$A:$AE,BH$5,0)),0,1/VLOOKUP($N282,Capa!$A:$AE,BH$5,0))))</f>
        <v/>
      </c>
      <c r="BI282" s="118" t="str">
        <f>IF(BI$6="","",IF(BI$3="Maior",IFERROR(IF(VLOOKUP($N282,Capa!$A:$AE,BI$5,0)="",0,VLOOKUP($N282,Capa!$A:$AE,BI$5,0)),0),IF(ISERROR(1/VLOOKUP($N282,Capa!$A:$AE,BI$5,0)),0,1/VLOOKUP($N282,Capa!$A:$AE,BI$5,0))))</f>
        <v/>
      </c>
      <c r="BJ282" s="118" t="str">
        <f>IF(BJ$6="","",IF(BJ$3="Maior",IFERROR(IF(VLOOKUP($N282,Capa!$A:$AE,BJ$5,0)="",0,VLOOKUP($N282,Capa!$A:$AE,BJ$5,0)),0),IF(ISERROR(1/VLOOKUP($N282,Capa!$A:$AE,BJ$5,0)),0,1/VLOOKUP($N282,Capa!$A:$AE,BJ$5,0))))</f>
        <v/>
      </c>
      <c r="BK282" s="118" t="str">
        <f>IF(BK$6="","",IF(BK$3="Maior",IFERROR(IF(VLOOKUP($N282,Capa!$A:$AE,BK$5,0)="",0,VLOOKUP($N282,Capa!$A:$AE,BK$5,0)),0),IF(ISERROR(1/VLOOKUP($N282,Capa!$A:$AE,BK$5,0)),0,1/VLOOKUP($N282,Capa!$A:$AE,BK$5,0))))</f>
        <v/>
      </c>
      <c r="BL282" s="118" t="str">
        <f>IF(BL$6="","",IF(BL$3="Maior",IFERROR(IF(VLOOKUP($N282,Capa!$A:$AE,BL$5,0)="",0,VLOOKUP($N282,Capa!$A:$AE,BL$5,0)),0),IF(ISERROR(1/VLOOKUP($N282,Capa!$A:$AE,BL$5,0)),0,1/VLOOKUP($N282,Capa!$A:$AE,BL$5,0))))</f>
        <v/>
      </c>
      <c r="BM282" s="118" t="str">
        <f>IF(BM$6="","",IF(BM$3="Maior",IFERROR(IF(VLOOKUP($N282,Capa!$A:$AE,BM$5,0)="",0,VLOOKUP($N282,Capa!$A:$AE,BM$5,0)),0),IF(ISERROR(1/VLOOKUP($N282,Capa!$A:$AE,BM$5,0)),0,1/VLOOKUP($N282,Capa!$A:$AE,BM$5,0))))</f>
        <v/>
      </c>
      <c r="BN282" s="118" t="str">
        <f>IF(BN$6="","",IF(BN$3="Maior",IFERROR(IF(VLOOKUP($N282,Capa!$A:$AE,BN$5,0)="",0,VLOOKUP($N282,Capa!$A:$AE,BN$5,0)),0),IF(ISERROR(1/VLOOKUP($N282,Capa!$A:$AE,BN$5,0)),0,1/VLOOKUP($N282,Capa!$A:$AE,BN$5,0))))</f>
        <v/>
      </c>
      <c r="BO282" s="92"/>
    </row>
    <row r="283">
      <c r="G283" s="11"/>
      <c r="H283" s="11"/>
      <c r="I283" s="8"/>
      <c r="J283" s="132"/>
      <c r="K283" s="11"/>
      <c r="L283" s="11"/>
      <c r="M283" s="11"/>
      <c r="N283" s="10" t="s">
        <v>329</v>
      </c>
      <c r="O283" s="113">
        <f t="shared" si="8"/>
        <v>2072.0416</v>
      </c>
      <c r="P283" s="114">
        <f>VLOOKUP(N283,'Dados StatusInvest'!A:Z,26,0)</f>
        <v>1128778.46</v>
      </c>
      <c r="Q283" s="115">
        <f t="shared" si="9"/>
        <v>416.0416</v>
      </c>
      <c r="R283" s="116">
        <f t="shared" ref="R283:AO283" si="286">IF(AQ283="","", RANK(AQ283,AQ$7:AQ$503,0))</f>
        <v>437</v>
      </c>
      <c r="S283" s="115">
        <f t="shared" si="286"/>
        <v>219</v>
      </c>
      <c r="T283" s="115" t="str">
        <f t="shared" si="286"/>
        <v/>
      </c>
      <c r="U283" s="115" t="str">
        <f t="shared" si="286"/>
        <v/>
      </c>
      <c r="V283" s="115" t="str">
        <f t="shared" si="286"/>
        <v/>
      </c>
      <c r="W283" s="115" t="str">
        <f t="shared" si="286"/>
        <v/>
      </c>
      <c r="X283" s="115" t="str">
        <f t="shared" si="286"/>
        <v/>
      </c>
      <c r="Y283" s="115" t="str">
        <f t="shared" si="286"/>
        <v/>
      </c>
      <c r="Z283" s="115" t="str">
        <f t="shared" si="286"/>
        <v/>
      </c>
      <c r="AA283" s="115" t="str">
        <f t="shared" si="286"/>
        <v/>
      </c>
      <c r="AB283" s="115" t="str">
        <f t="shared" si="286"/>
        <v/>
      </c>
      <c r="AC283" s="115" t="str">
        <f t="shared" si="286"/>
        <v/>
      </c>
      <c r="AD283" s="115" t="str">
        <f t="shared" si="286"/>
        <v/>
      </c>
      <c r="AE283" s="115" t="str">
        <f t="shared" si="286"/>
        <v/>
      </c>
      <c r="AF283" s="115" t="str">
        <f t="shared" si="286"/>
        <v/>
      </c>
      <c r="AG283" s="115" t="str">
        <f t="shared" si="286"/>
        <v/>
      </c>
      <c r="AH283" s="115" t="str">
        <f t="shared" si="286"/>
        <v/>
      </c>
      <c r="AI283" s="115" t="str">
        <f t="shared" si="286"/>
        <v/>
      </c>
      <c r="AJ283" s="115" t="str">
        <f t="shared" si="286"/>
        <v/>
      </c>
      <c r="AK283" s="115" t="str">
        <f t="shared" si="286"/>
        <v/>
      </c>
      <c r="AL283" s="115" t="str">
        <f t="shared" si="286"/>
        <v/>
      </c>
      <c r="AM283" s="115" t="str">
        <f t="shared" si="286"/>
        <v/>
      </c>
      <c r="AN283" s="115" t="str">
        <f t="shared" si="286"/>
        <v/>
      </c>
      <c r="AO283" s="115" t="str">
        <f t="shared" si="286"/>
        <v/>
      </c>
      <c r="AP283" s="117">
        <f>IF(AP$6="","",IF(AP$3="Maior",IFERROR(IF(VLOOKUP($N283,Capa!$A:$AE,AP$5,0)="",0,VLOOKUP($N283,Capa!$A:$AE,AP$5,0)),0),IF(ISERROR(1/VLOOKUP($N283,Capa!$A:$AE,AP$5,0)),0,1/VLOOKUP($N283,Capa!$A:$AE,AP$5,0))))</f>
        <v>-0.005977067749</v>
      </c>
      <c r="AQ283" s="118">
        <f>IF(AQ$6="","",IF(AQ$3="Maior",IFERROR(IF(VLOOKUP($N283,Capa!$A:$AE,AQ$5,0)="",0,VLOOKUP($N283,Capa!$A:$AE,AQ$5,0)),0),IF(ISERROR(1/VLOOKUP($N283,Capa!$A:$AE,AQ$5,0)),0,1/VLOOKUP($N283,Capa!$A:$AE,AQ$5,0))))</f>
        <v>-1.7</v>
      </c>
      <c r="AR283" s="118">
        <f>IF(AR$6="","",IF(AR$3="Maior",IFERROR(IF(VLOOKUP($N283,Capa!$A:$AE,AR$5,0)="",0,VLOOKUP($N283,Capa!$A:$AE,AR$5,0)),0),IF(ISERROR(1/VLOOKUP($N283,Capa!$A:$AE,AR$5,0)),0,1/VLOOKUP($N283,Capa!$A:$AE,AR$5,0))))</f>
        <v>0</v>
      </c>
      <c r="AS283" s="118" t="str">
        <f>IF(AS$6="","",IF(AS$3="Maior",IFERROR(IF(VLOOKUP($N283,Capa!$A:$AE,AS$5,0)="",0,VLOOKUP($N283,Capa!$A:$AE,AS$5,0)),0),IF(ISERROR(1/VLOOKUP($N283,Capa!$A:$AE,AS$5,0)),0,1/VLOOKUP($N283,Capa!$A:$AE,AS$5,0))))</f>
        <v/>
      </c>
      <c r="AT283" s="118" t="str">
        <f>IF(AT$6="","",IF(AT$3="Maior",IFERROR(IF(VLOOKUP($N283,Capa!$A:$AE,AT$5,0)="",0,VLOOKUP($N283,Capa!$A:$AE,AT$5,0)),0),IF(ISERROR(1/VLOOKUP($N283,Capa!$A:$AE,AT$5,0)),0,1/VLOOKUP($N283,Capa!$A:$AE,AT$5,0))))</f>
        <v/>
      </c>
      <c r="AU283" s="118" t="str">
        <f>IF(AU$6="","",IF(AU$3="Maior",IFERROR(IF(VLOOKUP($N283,Capa!$A:$AE,AU$5,0)="",0,VLOOKUP($N283,Capa!$A:$AE,AU$5,0)),0),IF(ISERROR(1/VLOOKUP($N283,Capa!$A:$AE,AU$5,0)),0,1/VLOOKUP($N283,Capa!$A:$AE,AU$5,0))))</f>
        <v/>
      </c>
      <c r="AV283" s="118" t="str">
        <f>IF(AV$6="","",IF(AV$3="Maior",IFERROR(IF(VLOOKUP($N283,Capa!$A:$AE,AV$5,0)="",0,VLOOKUP($N283,Capa!$A:$AE,AV$5,0)),0),IF(ISERROR(1/VLOOKUP($N283,Capa!$A:$AE,AV$5,0)),0,1/VLOOKUP($N283,Capa!$A:$AE,AV$5,0))))</f>
        <v/>
      </c>
      <c r="AW283" s="118" t="str">
        <f>IF(AW$6="","",IF(AW$3="Maior",IFERROR(IF(VLOOKUP($N283,Capa!$A:$AE,AW$5,0)="",0,VLOOKUP($N283,Capa!$A:$AE,AW$5,0)),0),IF(ISERROR(1/VLOOKUP($N283,Capa!$A:$AE,AW$5,0)),0,1/VLOOKUP($N283,Capa!$A:$AE,AW$5,0))))</f>
        <v/>
      </c>
      <c r="AX283" s="118" t="str">
        <f>IF(AX$6="","",IF(AX$3="Maior",IFERROR(IF(VLOOKUP($N283,Capa!$A:$AE,AX$5,0)="",0,VLOOKUP($N283,Capa!$A:$AE,AX$5,0)),0),IF(ISERROR(1/VLOOKUP($N283,Capa!$A:$AE,AX$5,0)),0,1/VLOOKUP($N283,Capa!$A:$AE,AX$5,0))))</f>
        <v/>
      </c>
      <c r="AY283" s="118" t="str">
        <f>IF(AY$6="","",IF(AY$3="Maior",IFERROR(IF(VLOOKUP($N283,Capa!$A:$AE,AY$5,0)="",0,VLOOKUP($N283,Capa!$A:$AE,AY$5,0)),0),IF(ISERROR(1/VLOOKUP($N283,Capa!$A:$AE,AY$5,0)),0,1/VLOOKUP($N283,Capa!$A:$AE,AY$5,0))))</f>
        <v/>
      </c>
      <c r="AZ283" s="118" t="str">
        <f>IF(AZ$6="","",IF(AZ$3="Maior",IFERROR(IF(VLOOKUP($N283,Capa!$A:$AE,AZ$5,0)="",0,VLOOKUP($N283,Capa!$A:$AE,AZ$5,0)),0),IF(ISERROR(1/VLOOKUP($N283,Capa!$A:$AE,AZ$5,0)),0,1/VLOOKUP($N283,Capa!$A:$AE,AZ$5,0))))</f>
        <v/>
      </c>
      <c r="BA283" s="118" t="str">
        <f>IF(BA$6="","",IF(BA$3="Maior",IFERROR(IF(VLOOKUP($N283,Capa!$A:$AE,BA$5,0)="",0,VLOOKUP($N283,Capa!$A:$AE,BA$5,0)),0),IF(ISERROR(1/VLOOKUP($N283,Capa!$A:$AE,BA$5,0)),0,1/VLOOKUP($N283,Capa!$A:$AE,BA$5,0))))</f>
        <v/>
      </c>
      <c r="BB283" s="118" t="str">
        <f>IF(BB$6="","",IF(BB$3="Maior",IFERROR(IF(VLOOKUP($N283,Capa!$A:$AE,BB$5,0)="",0,VLOOKUP($N283,Capa!$A:$AE,BB$5,0)),0),IF(ISERROR(1/VLOOKUP($N283,Capa!$A:$AE,BB$5,0)),0,1/VLOOKUP($N283,Capa!$A:$AE,BB$5,0))))</f>
        <v/>
      </c>
      <c r="BC283" s="118" t="str">
        <f>IF(BC$6="","",IF(BC$3="Maior",IFERROR(IF(VLOOKUP($N283,Capa!$A:$AE,BC$5,0)="",0,VLOOKUP($N283,Capa!$A:$AE,BC$5,0)),0),IF(ISERROR(1/VLOOKUP($N283,Capa!$A:$AE,BC$5,0)),0,1/VLOOKUP($N283,Capa!$A:$AE,BC$5,0))))</f>
        <v/>
      </c>
      <c r="BD283" s="118" t="str">
        <f>IF(BD$6="","",IF(BD$3="Maior",IFERROR(IF(VLOOKUP($N283,Capa!$A:$AE,BD$5,0)="",0,VLOOKUP($N283,Capa!$A:$AE,BD$5,0)),0),IF(ISERROR(1/VLOOKUP($N283,Capa!$A:$AE,BD$5,0)),0,1/VLOOKUP($N283,Capa!$A:$AE,BD$5,0))))</f>
        <v/>
      </c>
      <c r="BE283" s="118" t="str">
        <f>IF(BE$6="","",IF(BE$3="Maior",IFERROR(IF(VLOOKUP($N283,Capa!$A:$AE,BE$5,0)="",0,VLOOKUP($N283,Capa!$A:$AE,BE$5,0)),0),IF(ISERROR(1/VLOOKUP($N283,Capa!$A:$AE,BE$5,0)),0,1/VLOOKUP($N283,Capa!$A:$AE,BE$5,0))))</f>
        <v/>
      </c>
      <c r="BF283" s="118" t="str">
        <f>IF(BF$6="","",IF(BF$3="Maior",IFERROR(IF(VLOOKUP($N283,Capa!$A:$AE,BF$5,0)="",0,VLOOKUP($N283,Capa!$A:$AE,BF$5,0)),0),IF(ISERROR(1/VLOOKUP($N283,Capa!$A:$AE,BF$5,0)),0,1/VLOOKUP($N283,Capa!$A:$AE,BF$5,0))))</f>
        <v/>
      </c>
      <c r="BG283" s="118" t="str">
        <f>IF(BG$6="","",IF(BG$3="Maior",IFERROR(IF(VLOOKUP($N283,Capa!$A:$AE,BG$5,0)="",0,VLOOKUP($N283,Capa!$A:$AE,BG$5,0)),0),IF(ISERROR(1/VLOOKUP($N283,Capa!$A:$AE,BG$5,0)),0,1/VLOOKUP($N283,Capa!$A:$AE,BG$5,0))))</f>
        <v/>
      </c>
      <c r="BH283" s="118" t="str">
        <f>IF(BH$6="","",IF(BH$3="Maior",IFERROR(IF(VLOOKUP($N283,Capa!$A:$AE,BH$5,0)="",0,VLOOKUP($N283,Capa!$A:$AE,BH$5,0)),0),IF(ISERROR(1/VLOOKUP($N283,Capa!$A:$AE,BH$5,0)),0,1/VLOOKUP($N283,Capa!$A:$AE,BH$5,0))))</f>
        <v/>
      </c>
      <c r="BI283" s="118" t="str">
        <f>IF(BI$6="","",IF(BI$3="Maior",IFERROR(IF(VLOOKUP($N283,Capa!$A:$AE,BI$5,0)="",0,VLOOKUP($N283,Capa!$A:$AE,BI$5,0)),0),IF(ISERROR(1/VLOOKUP($N283,Capa!$A:$AE,BI$5,0)),0,1/VLOOKUP($N283,Capa!$A:$AE,BI$5,0))))</f>
        <v/>
      </c>
      <c r="BJ283" s="118" t="str">
        <f>IF(BJ$6="","",IF(BJ$3="Maior",IFERROR(IF(VLOOKUP($N283,Capa!$A:$AE,BJ$5,0)="",0,VLOOKUP($N283,Capa!$A:$AE,BJ$5,0)),0),IF(ISERROR(1/VLOOKUP($N283,Capa!$A:$AE,BJ$5,0)),0,1/VLOOKUP($N283,Capa!$A:$AE,BJ$5,0))))</f>
        <v/>
      </c>
      <c r="BK283" s="118" t="str">
        <f>IF(BK$6="","",IF(BK$3="Maior",IFERROR(IF(VLOOKUP($N283,Capa!$A:$AE,BK$5,0)="",0,VLOOKUP($N283,Capa!$A:$AE,BK$5,0)),0),IF(ISERROR(1/VLOOKUP($N283,Capa!$A:$AE,BK$5,0)),0,1/VLOOKUP($N283,Capa!$A:$AE,BK$5,0))))</f>
        <v/>
      </c>
      <c r="BL283" s="118" t="str">
        <f>IF(BL$6="","",IF(BL$3="Maior",IFERROR(IF(VLOOKUP($N283,Capa!$A:$AE,BL$5,0)="",0,VLOOKUP($N283,Capa!$A:$AE,BL$5,0)),0),IF(ISERROR(1/VLOOKUP($N283,Capa!$A:$AE,BL$5,0)),0,1/VLOOKUP($N283,Capa!$A:$AE,BL$5,0))))</f>
        <v/>
      </c>
      <c r="BM283" s="118" t="str">
        <f>IF(BM$6="","",IF(BM$3="Maior",IFERROR(IF(VLOOKUP($N283,Capa!$A:$AE,BM$5,0)="",0,VLOOKUP($N283,Capa!$A:$AE,BM$5,0)),0),IF(ISERROR(1/VLOOKUP($N283,Capa!$A:$AE,BM$5,0)),0,1/VLOOKUP($N283,Capa!$A:$AE,BM$5,0))))</f>
        <v/>
      </c>
      <c r="BN283" s="118" t="str">
        <f>IF(BN$6="","",IF(BN$3="Maior",IFERROR(IF(VLOOKUP($N283,Capa!$A:$AE,BN$5,0)="",0,VLOOKUP($N283,Capa!$A:$AE,BN$5,0)),0),IF(ISERROR(1/VLOOKUP($N283,Capa!$A:$AE,BN$5,0)),0,1/VLOOKUP($N283,Capa!$A:$AE,BN$5,0))))</f>
        <v/>
      </c>
      <c r="BO283" s="92"/>
    </row>
    <row r="284">
      <c r="G284" s="11"/>
      <c r="H284" s="11"/>
      <c r="I284" s="8"/>
      <c r="J284" s="132"/>
      <c r="K284" s="11"/>
      <c r="L284" s="11"/>
      <c r="M284" s="11"/>
      <c r="N284" s="10" t="s">
        <v>330</v>
      </c>
      <c r="O284" s="113">
        <f t="shared" si="8"/>
        <v>1695.0235</v>
      </c>
      <c r="P284" s="114">
        <f>VLOOKUP(N284,'Dados StatusInvest'!A:Z,26,0)</f>
        <v>771603.04</v>
      </c>
      <c r="Q284" s="115">
        <f t="shared" si="9"/>
        <v>235.0235</v>
      </c>
      <c r="R284" s="116">
        <f t="shared" ref="R284:AO284" si="287">IF(AQ284="","", RANK(AQ284,AQ$7:AQ$503,0))</f>
        <v>241</v>
      </c>
      <c r="S284" s="115">
        <f t="shared" si="287"/>
        <v>219</v>
      </c>
      <c r="T284" s="115" t="str">
        <f t="shared" si="287"/>
        <v/>
      </c>
      <c r="U284" s="115" t="str">
        <f t="shared" si="287"/>
        <v/>
      </c>
      <c r="V284" s="115" t="str">
        <f t="shared" si="287"/>
        <v/>
      </c>
      <c r="W284" s="115" t="str">
        <f t="shared" si="287"/>
        <v/>
      </c>
      <c r="X284" s="115" t="str">
        <f t="shared" si="287"/>
        <v/>
      </c>
      <c r="Y284" s="115" t="str">
        <f t="shared" si="287"/>
        <v/>
      </c>
      <c r="Z284" s="115" t="str">
        <f t="shared" si="287"/>
        <v/>
      </c>
      <c r="AA284" s="115" t="str">
        <f t="shared" si="287"/>
        <v/>
      </c>
      <c r="AB284" s="115" t="str">
        <f t="shared" si="287"/>
        <v/>
      </c>
      <c r="AC284" s="115" t="str">
        <f t="shared" si="287"/>
        <v/>
      </c>
      <c r="AD284" s="115" t="str">
        <f t="shared" si="287"/>
        <v/>
      </c>
      <c r="AE284" s="115" t="str">
        <f t="shared" si="287"/>
        <v/>
      </c>
      <c r="AF284" s="115" t="str">
        <f t="shared" si="287"/>
        <v/>
      </c>
      <c r="AG284" s="115" t="str">
        <f t="shared" si="287"/>
        <v/>
      </c>
      <c r="AH284" s="115" t="str">
        <f t="shared" si="287"/>
        <v/>
      </c>
      <c r="AI284" s="115" t="str">
        <f t="shared" si="287"/>
        <v/>
      </c>
      <c r="AJ284" s="115" t="str">
        <f t="shared" si="287"/>
        <v/>
      </c>
      <c r="AK284" s="115" t="str">
        <f t="shared" si="287"/>
        <v/>
      </c>
      <c r="AL284" s="115" t="str">
        <f t="shared" si="287"/>
        <v/>
      </c>
      <c r="AM284" s="115" t="str">
        <f t="shared" si="287"/>
        <v/>
      </c>
      <c r="AN284" s="115" t="str">
        <f t="shared" si="287"/>
        <v/>
      </c>
      <c r="AO284" s="115" t="str">
        <f t="shared" si="287"/>
        <v/>
      </c>
      <c r="AP284" s="117">
        <f>IF(AP$6="","",IF(AP$3="Maior",IFERROR(IF(VLOOKUP($N284,Capa!$A:$AE,AP$5,0)="",0,VLOOKUP($N284,Capa!$A:$AE,AP$5,0)),0),IF(ISERROR(1/VLOOKUP($N284,Capa!$A:$AE,AP$5,0)),0,1/VLOOKUP($N284,Capa!$A:$AE,AP$5,0))))</f>
        <v>0.08620967718</v>
      </c>
      <c r="AQ284" s="118">
        <f>IF(AQ$6="","",IF(AQ$3="Maior",IFERROR(IF(VLOOKUP($N284,Capa!$A:$AE,AQ$5,0)="",0,VLOOKUP($N284,Capa!$A:$AE,AQ$5,0)),0),IF(ISERROR(1/VLOOKUP($N284,Capa!$A:$AE,AQ$5,0)),0,1/VLOOKUP($N284,Capa!$A:$AE,AQ$5,0))))</f>
        <v>8.48</v>
      </c>
      <c r="AR284" s="118">
        <f>IF(AR$6="","",IF(AR$3="Maior",IFERROR(IF(VLOOKUP($N284,Capa!$A:$AE,AR$5,0)="",0,VLOOKUP($N284,Capa!$A:$AE,AR$5,0)),0),IF(ISERROR(1/VLOOKUP($N284,Capa!$A:$AE,AR$5,0)),0,1/VLOOKUP($N284,Capa!$A:$AE,AR$5,0))))</f>
        <v>0</v>
      </c>
      <c r="AS284" s="118" t="str">
        <f>IF(AS$6="","",IF(AS$3="Maior",IFERROR(IF(VLOOKUP($N284,Capa!$A:$AE,AS$5,0)="",0,VLOOKUP($N284,Capa!$A:$AE,AS$5,0)),0),IF(ISERROR(1/VLOOKUP($N284,Capa!$A:$AE,AS$5,0)),0,1/VLOOKUP($N284,Capa!$A:$AE,AS$5,0))))</f>
        <v/>
      </c>
      <c r="AT284" s="118" t="str">
        <f>IF(AT$6="","",IF(AT$3="Maior",IFERROR(IF(VLOOKUP($N284,Capa!$A:$AE,AT$5,0)="",0,VLOOKUP($N284,Capa!$A:$AE,AT$5,0)),0),IF(ISERROR(1/VLOOKUP($N284,Capa!$A:$AE,AT$5,0)),0,1/VLOOKUP($N284,Capa!$A:$AE,AT$5,0))))</f>
        <v/>
      </c>
      <c r="AU284" s="118" t="str">
        <f>IF(AU$6="","",IF(AU$3="Maior",IFERROR(IF(VLOOKUP($N284,Capa!$A:$AE,AU$5,0)="",0,VLOOKUP($N284,Capa!$A:$AE,AU$5,0)),0),IF(ISERROR(1/VLOOKUP($N284,Capa!$A:$AE,AU$5,0)),0,1/VLOOKUP($N284,Capa!$A:$AE,AU$5,0))))</f>
        <v/>
      </c>
      <c r="AV284" s="118" t="str">
        <f>IF(AV$6="","",IF(AV$3="Maior",IFERROR(IF(VLOOKUP($N284,Capa!$A:$AE,AV$5,0)="",0,VLOOKUP($N284,Capa!$A:$AE,AV$5,0)),0),IF(ISERROR(1/VLOOKUP($N284,Capa!$A:$AE,AV$5,0)),0,1/VLOOKUP($N284,Capa!$A:$AE,AV$5,0))))</f>
        <v/>
      </c>
      <c r="AW284" s="118" t="str">
        <f>IF(AW$6="","",IF(AW$3="Maior",IFERROR(IF(VLOOKUP($N284,Capa!$A:$AE,AW$5,0)="",0,VLOOKUP($N284,Capa!$A:$AE,AW$5,0)),0),IF(ISERROR(1/VLOOKUP($N284,Capa!$A:$AE,AW$5,0)),0,1/VLOOKUP($N284,Capa!$A:$AE,AW$5,0))))</f>
        <v/>
      </c>
      <c r="AX284" s="118" t="str">
        <f>IF(AX$6="","",IF(AX$3="Maior",IFERROR(IF(VLOOKUP($N284,Capa!$A:$AE,AX$5,0)="",0,VLOOKUP($N284,Capa!$A:$AE,AX$5,0)),0),IF(ISERROR(1/VLOOKUP($N284,Capa!$A:$AE,AX$5,0)),0,1/VLOOKUP($N284,Capa!$A:$AE,AX$5,0))))</f>
        <v/>
      </c>
      <c r="AY284" s="118" t="str">
        <f>IF(AY$6="","",IF(AY$3="Maior",IFERROR(IF(VLOOKUP($N284,Capa!$A:$AE,AY$5,0)="",0,VLOOKUP($N284,Capa!$A:$AE,AY$5,0)),0),IF(ISERROR(1/VLOOKUP($N284,Capa!$A:$AE,AY$5,0)),0,1/VLOOKUP($N284,Capa!$A:$AE,AY$5,0))))</f>
        <v/>
      </c>
      <c r="AZ284" s="118" t="str">
        <f>IF(AZ$6="","",IF(AZ$3="Maior",IFERROR(IF(VLOOKUP($N284,Capa!$A:$AE,AZ$5,0)="",0,VLOOKUP($N284,Capa!$A:$AE,AZ$5,0)),0),IF(ISERROR(1/VLOOKUP($N284,Capa!$A:$AE,AZ$5,0)),0,1/VLOOKUP($N284,Capa!$A:$AE,AZ$5,0))))</f>
        <v/>
      </c>
      <c r="BA284" s="118" t="str">
        <f>IF(BA$6="","",IF(BA$3="Maior",IFERROR(IF(VLOOKUP($N284,Capa!$A:$AE,BA$5,0)="",0,VLOOKUP($N284,Capa!$A:$AE,BA$5,0)),0),IF(ISERROR(1/VLOOKUP($N284,Capa!$A:$AE,BA$5,0)),0,1/VLOOKUP($N284,Capa!$A:$AE,BA$5,0))))</f>
        <v/>
      </c>
      <c r="BB284" s="118" t="str">
        <f>IF(BB$6="","",IF(BB$3="Maior",IFERROR(IF(VLOOKUP($N284,Capa!$A:$AE,BB$5,0)="",0,VLOOKUP($N284,Capa!$A:$AE,BB$5,0)),0),IF(ISERROR(1/VLOOKUP($N284,Capa!$A:$AE,BB$5,0)),0,1/VLOOKUP($N284,Capa!$A:$AE,BB$5,0))))</f>
        <v/>
      </c>
      <c r="BC284" s="118" t="str">
        <f>IF(BC$6="","",IF(BC$3="Maior",IFERROR(IF(VLOOKUP($N284,Capa!$A:$AE,BC$5,0)="",0,VLOOKUP($N284,Capa!$A:$AE,BC$5,0)),0),IF(ISERROR(1/VLOOKUP($N284,Capa!$A:$AE,BC$5,0)),0,1/VLOOKUP($N284,Capa!$A:$AE,BC$5,0))))</f>
        <v/>
      </c>
      <c r="BD284" s="118" t="str">
        <f>IF(BD$6="","",IF(BD$3="Maior",IFERROR(IF(VLOOKUP($N284,Capa!$A:$AE,BD$5,0)="",0,VLOOKUP($N284,Capa!$A:$AE,BD$5,0)),0),IF(ISERROR(1/VLOOKUP($N284,Capa!$A:$AE,BD$5,0)),0,1/VLOOKUP($N284,Capa!$A:$AE,BD$5,0))))</f>
        <v/>
      </c>
      <c r="BE284" s="118" t="str">
        <f>IF(BE$6="","",IF(BE$3="Maior",IFERROR(IF(VLOOKUP($N284,Capa!$A:$AE,BE$5,0)="",0,VLOOKUP($N284,Capa!$A:$AE,BE$5,0)),0),IF(ISERROR(1/VLOOKUP($N284,Capa!$A:$AE,BE$5,0)),0,1/VLOOKUP($N284,Capa!$A:$AE,BE$5,0))))</f>
        <v/>
      </c>
      <c r="BF284" s="118" t="str">
        <f>IF(BF$6="","",IF(BF$3="Maior",IFERROR(IF(VLOOKUP($N284,Capa!$A:$AE,BF$5,0)="",0,VLOOKUP($N284,Capa!$A:$AE,BF$5,0)),0),IF(ISERROR(1/VLOOKUP($N284,Capa!$A:$AE,BF$5,0)),0,1/VLOOKUP($N284,Capa!$A:$AE,BF$5,0))))</f>
        <v/>
      </c>
      <c r="BG284" s="118" t="str">
        <f>IF(BG$6="","",IF(BG$3="Maior",IFERROR(IF(VLOOKUP($N284,Capa!$A:$AE,BG$5,0)="",0,VLOOKUP($N284,Capa!$A:$AE,BG$5,0)),0),IF(ISERROR(1/VLOOKUP($N284,Capa!$A:$AE,BG$5,0)),0,1/VLOOKUP($N284,Capa!$A:$AE,BG$5,0))))</f>
        <v/>
      </c>
      <c r="BH284" s="118" t="str">
        <f>IF(BH$6="","",IF(BH$3="Maior",IFERROR(IF(VLOOKUP($N284,Capa!$A:$AE,BH$5,0)="",0,VLOOKUP($N284,Capa!$A:$AE,BH$5,0)),0),IF(ISERROR(1/VLOOKUP($N284,Capa!$A:$AE,BH$5,0)),0,1/VLOOKUP($N284,Capa!$A:$AE,BH$5,0))))</f>
        <v/>
      </c>
      <c r="BI284" s="118" t="str">
        <f>IF(BI$6="","",IF(BI$3="Maior",IFERROR(IF(VLOOKUP($N284,Capa!$A:$AE,BI$5,0)="",0,VLOOKUP($N284,Capa!$A:$AE,BI$5,0)),0),IF(ISERROR(1/VLOOKUP($N284,Capa!$A:$AE,BI$5,0)),0,1/VLOOKUP($N284,Capa!$A:$AE,BI$5,0))))</f>
        <v/>
      </c>
      <c r="BJ284" s="118" t="str">
        <f>IF(BJ$6="","",IF(BJ$3="Maior",IFERROR(IF(VLOOKUP($N284,Capa!$A:$AE,BJ$5,0)="",0,VLOOKUP($N284,Capa!$A:$AE,BJ$5,0)),0),IF(ISERROR(1/VLOOKUP($N284,Capa!$A:$AE,BJ$5,0)),0,1/VLOOKUP($N284,Capa!$A:$AE,BJ$5,0))))</f>
        <v/>
      </c>
      <c r="BK284" s="118" t="str">
        <f>IF(BK$6="","",IF(BK$3="Maior",IFERROR(IF(VLOOKUP($N284,Capa!$A:$AE,BK$5,0)="",0,VLOOKUP($N284,Capa!$A:$AE,BK$5,0)),0),IF(ISERROR(1/VLOOKUP($N284,Capa!$A:$AE,BK$5,0)),0,1/VLOOKUP($N284,Capa!$A:$AE,BK$5,0))))</f>
        <v/>
      </c>
      <c r="BL284" s="118" t="str">
        <f>IF(BL$6="","",IF(BL$3="Maior",IFERROR(IF(VLOOKUP($N284,Capa!$A:$AE,BL$5,0)="",0,VLOOKUP($N284,Capa!$A:$AE,BL$5,0)),0),IF(ISERROR(1/VLOOKUP($N284,Capa!$A:$AE,BL$5,0)),0,1/VLOOKUP($N284,Capa!$A:$AE,BL$5,0))))</f>
        <v/>
      </c>
      <c r="BM284" s="118" t="str">
        <f>IF(BM$6="","",IF(BM$3="Maior",IFERROR(IF(VLOOKUP($N284,Capa!$A:$AE,BM$5,0)="",0,VLOOKUP($N284,Capa!$A:$AE,BM$5,0)),0),IF(ISERROR(1/VLOOKUP($N284,Capa!$A:$AE,BM$5,0)),0,1/VLOOKUP($N284,Capa!$A:$AE,BM$5,0))))</f>
        <v/>
      </c>
      <c r="BN284" s="118" t="str">
        <f>IF(BN$6="","",IF(BN$3="Maior",IFERROR(IF(VLOOKUP($N284,Capa!$A:$AE,BN$5,0)="",0,VLOOKUP($N284,Capa!$A:$AE,BN$5,0)),0),IF(ISERROR(1/VLOOKUP($N284,Capa!$A:$AE,BN$5,0)),0,1/VLOOKUP($N284,Capa!$A:$AE,BN$5,0))))</f>
        <v/>
      </c>
      <c r="BO284" s="92"/>
    </row>
    <row r="285">
      <c r="G285" s="11"/>
      <c r="H285" s="11"/>
      <c r="I285" s="8"/>
      <c r="J285" s="132"/>
      <c r="K285" s="11"/>
      <c r="L285" s="11"/>
      <c r="M285" s="11"/>
      <c r="N285" s="10" t="s">
        <v>331</v>
      </c>
      <c r="O285" s="113">
        <f t="shared" si="8"/>
        <v>1232.0075</v>
      </c>
      <c r="P285" s="114">
        <f>VLOOKUP(N285,'Dados StatusInvest'!A:Z,26,0)</f>
        <v>1000341</v>
      </c>
      <c r="Q285" s="115">
        <f t="shared" si="9"/>
        <v>75.0075</v>
      </c>
      <c r="R285" s="116">
        <f t="shared" ref="R285:AO285" si="288">IF(AQ285="","", RANK(AQ285,AQ$7:AQ$503,0))</f>
        <v>51</v>
      </c>
      <c r="S285" s="115">
        <f t="shared" si="288"/>
        <v>106</v>
      </c>
      <c r="T285" s="115" t="str">
        <f t="shared" si="288"/>
        <v/>
      </c>
      <c r="U285" s="115" t="str">
        <f t="shared" si="288"/>
        <v/>
      </c>
      <c r="V285" s="115" t="str">
        <f t="shared" si="288"/>
        <v/>
      </c>
      <c r="W285" s="115" t="str">
        <f t="shared" si="288"/>
        <v/>
      </c>
      <c r="X285" s="115" t="str">
        <f t="shared" si="288"/>
        <v/>
      </c>
      <c r="Y285" s="115" t="str">
        <f t="shared" si="288"/>
        <v/>
      </c>
      <c r="Z285" s="115" t="str">
        <f t="shared" si="288"/>
        <v/>
      </c>
      <c r="AA285" s="115" t="str">
        <f t="shared" si="288"/>
        <v/>
      </c>
      <c r="AB285" s="115" t="str">
        <f t="shared" si="288"/>
        <v/>
      </c>
      <c r="AC285" s="115" t="str">
        <f t="shared" si="288"/>
        <v/>
      </c>
      <c r="AD285" s="115" t="str">
        <f t="shared" si="288"/>
        <v/>
      </c>
      <c r="AE285" s="115" t="str">
        <f t="shared" si="288"/>
        <v/>
      </c>
      <c r="AF285" s="115" t="str">
        <f t="shared" si="288"/>
        <v/>
      </c>
      <c r="AG285" s="115" t="str">
        <f t="shared" si="288"/>
        <v/>
      </c>
      <c r="AH285" s="115" t="str">
        <f t="shared" si="288"/>
        <v/>
      </c>
      <c r="AI285" s="115" t="str">
        <f t="shared" si="288"/>
        <v/>
      </c>
      <c r="AJ285" s="115" t="str">
        <f t="shared" si="288"/>
        <v/>
      </c>
      <c r="AK285" s="115" t="str">
        <f t="shared" si="288"/>
        <v/>
      </c>
      <c r="AL285" s="115" t="str">
        <f t="shared" si="288"/>
        <v/>
      </c>
      <c r="AM285" s="115" t="str">
        <f t="shared" si="288"/>
        <v/>
      </c>
      <c r="AN285" s="115" t="str">
        <f t="shared" si="288"/>
        <v/>
      </c>
      <c r="AO285" s="115" t="str">
        <f t="shared" si="288"/>
        <v/>
      </c>
      <c r="AP285" s="117">
        <f>IF(AP$6="","",IF(AP$3="Maior",IFERROR(IF(VLOOKUP($N285,Capa!$A:$AE,AP$5,0)="",0,VLOOKUP($N285,Capa!$A:$AE,AP$5,0)),0),IF(ISERROR(1/VLOOKUP($N285,Capa!$A:$AE,AP$5,0)),0,1/VLOOKUP($N285,Capa!$A:$AE,AP$5,0))))</f>
        <v>0.2126992617</v>
      </c>
      <c r="AQ285" s="118">
        <f>IF(AQ$6="","",IF(AQ$3="Maior",IFERROR(IF(VLOOKUP($N285,Capa!$A:$AE,AQ$5,0)="",0,VLOOKUP($N285,Capa!$A:$AE,AQ$5,0)),0),IF(ISERROR(1/VLOOKUP($N285,Capa!$A:$AE,AQ$5,0)),0,1/VLOOKUP($N285,Capa!$A:$AE,AQ$5,0))))</f>
        <v>25.67</v>
      </c>
      <c r="AR285" s="118">
        <f>IF(AR$6="","",IF(AR$3="Maior",IFERROR(IF(VLOOKUP($N285,Capa!$A:$AE,AR$5,0)="",0,VLOOKUP($N285,Capa!$A:$AE,AR$5,0)),0),IF(ISERROR(1/VLOOKUP($N285,Capa!$A:$AE,AR$5,0)),0,1/VLOOKUP($N285,Capa!$A:$AE,AR$5,0))))</f>
        <v>24.45</v>
      </c>
      <c r="AS285" s="118" t="str">
        <f>IF(AS$6="","",IF(AS$3="Maior",IFERROR(IF(VLOOKUP($N285,Capa!$A:$AE,AS$5,0)="",0,VLOOKUP($N285,Capa!$A:$AE,AS$5,0)),0),IF(ISERROR(1/VLOOKUP($N285,Capa!$A:$AE,AS$5,0)),0,1/VLOOKUP($N285,Capa!$A:$AE,AS$5,0))))</f>
        <v/>
      </c>
      <c r="AT285" s="118" t="str">
        <f>IF(AT$6="","",IF(AT$3="Maior",IFERROR(IF(VLOOKUP($N285,Capa!$A:$AE,AT$5,0)="",0,VLOOKUP($N285,Capa!$A:$AE,AT$5,0)),0),IF(ISERROR(1/VLOOKUP($N285,Capa!$A:$AE,AT$5,0)),0,1/VLOOKUP($N285,Capa!$A:$AE,AT$5,0))))</f>
        <v/>
      </c>
      <c r="AU285" s="118" t="str">
        <f>IF(AU$6="","",IF(AU$3="Maior",IFERROR(IF(VLOOKUP($N285,Capa!$A:$AE,AU$5,0)="",0,VLOOKUP($N285,Capa!$A:$AE,AU$5,0)),0),IF(ISERROR(1/VLOOKUP($N285,Capa!$A:$AE,AU$5,0)),0,1/VLOOKUP($N285,Capa!$A:$AE,AU$5,0))))</f>
        <v/>
      </c>
      <c r="AV285" s="118" t="str">
        <f>IF(AV$6="","",IF(AV$3="Maior",IFERROR(IF(VLOOKUP($N285,Capa!$A:$AE,AV$5,0)="",0,VLOOKUP($N285,Capa!$A:$AE,AV$5,0)),0),IF(ISERROR(1/VLOOKUP($N285,Capa!$A:$AE,AV$5,0)),0,1/VLOOKUP($N285,Capa!$A:$AE,AV$5,0))))</f>
        <v/>
      </c>
      <c r="AW285" s="118" t="str">
        <f>IF(AW$6="","",IF(AW$3="Maior",IFERROR(IF(VLOOKUP($N285,Capa!$A:$AE,AW$5,0)="",0,VLOOKUP($N285,Capa!$A:$AE,AW$5,0)),0),IF(ISERROR(1/VLOOKUP($N285,Capa!$A:$AE,AW$5,0)),0,1/VLOOKUP($N285,Capa!$A:$AE,AW$5,0))))</f>
        <v/>
      </c>
      <c r="AX285" s="118" t="str">
        <f>IF(AX$6="","",IF(AX$3="Maior",IFERROR(IF(VLOOKUP($N285,Capa!$A:$AE,AX$5,0)="",0,VLOOKUP($N285,Capa!$A:$AE,AX$5,0)),0),IF(ISERROR(1/VLOOKUP($N285,Capa!$A:$AE,AX$5,0)),0,1/VLOOKUP($N285,Capa!$A:$AE,AX$5,0))))</f>
        <v/>
      </c>
      <c r="AY285" s="118" t="str">
        <f>IF(AY$6="","",IF(AY$3="Maior",IFERROR(IF(VLOOKUP($N285,Capa!$A:$AE,AY$5,0)="",0,VLOOKUP($N285,Capa!$A:$AE,AY$5,0)),0),IF(ISERROR(1/VLOOKUP($N285,Capa!$A:$AE,AY$5,0)),0,1/VLOOKUP($N285,Capa!$A:$AE,AY$5,0))))</f>
        <v/>
      </c>
      <c r="AZ285" s="118" t="str">
        <f>IF(AZ$6="","",IF(AZ$3="Maior",IFERROR(IF(VLOOKUP($N285,Capa!$A:$AE,AZ$5,0)="",0,VLOOKUP($N285,Capa!$A:$AE,AZ$5,0)),0),IF(ISERROR(1/VLOOKUP($N285,Capa!$A:$AE,AZ$5,0)),0,1/VLOOKUP($N285,Capa!$A:$AE,AZ$5,0))))</f>
        <v/>
      </c>
      <c r="BA285" s="118" t="str">
        <f>IF(BA$6="","",IF(BA$3="Maior",IFERROR(IF(VLOOKUP($N285,Capa!$A:$AE,BA$5,0)="",0,VLOOKUP($N285,Capa!$A:$AE,BA$5,0)),0),IF(ISERROR(1/VLOOKUP($N285,Capa!$A:$AE,BA$5,0)),0,1/VLOOKUP($N285,Capa!$A:$AE,BA$5,0))))</f>
        <v/>
      </c>
      <c r="BB285" s="118" t="str">
        <f>IF(BB$6="","",IF(BB$3="Maior",IFERROR(IF(VLOOKUP($N285,Capa!$A:$AE,BB$5,0)="",0,VLOOKUP($N285,Capa!$A:$AE,BB$5,0)),0),IF(ISERROR(1/VLOOKUP($N285,Capa!$A:$AE,BB$5,0)),0,1/VLOOKUP($N285,Capa!$A:$AE,BB$5,0))))</f>
        <v/>
      </c>
      <c r="BC285" s="118" t="str">
        <f>IF(BC$6="","",IF(BC$3="Maior",IFERROR(IF(VLOOKUP($N285,Capa!$A:$AE,BC$5,0)="",0,VLOOKUP($N285,Capa!$A:$AE,BC$5,0)),0),IF(ISERROR(1/VLOOKUP($N285,Capa!$A:$AE,BC$5,0)),0,1/VLOOKUP($N285,Capa!$A:$AE,BC$5,0))))</f>
        <v/>
      </c>
      <c r="BD285" s="118" t="str">
        <f>IF(BD$6="","",IF(BD$3="Maior",IFERROR(IF(VLOOKUP($N285,Capa!$A:$AE,BD$5,0)="",0,VLOOKUP($N285,Capa!$A:$AE,BD$5,0)),0),IF(ISERROR(1/VLOOKUP($N285,Capa!$A:$AE,BD$5,0)),0,1/VLOOKUP($N285,Capa!$A:$AE,BD$5,0))))</f>
        <v/>
      </c>
      <c r="BE285" s="118" t="str">
        <f>IF(BE$6="","",IF(BE$3="Maior",IFERROR(IF(VLOOKUP($N285,Capa!$A:$AE,BE$5,0)="",0,VLOOKUP($N285,Capa!$A:$AE,BE$5,0)),0),IF(ISERROR(1/VLOOKUP($N285,Capa!$A:$AE,BE$5,0)),0,1/VLOOKUP($N285,Capa!$A:$AE,BE$5,0))))</f>
        <v/>
      </c>
      <c r="BF285" s="118" t="str">
        <f>IF(BF$6="","",IF(BF$3="Maior",IFERROR(IF(VLOOKUP($N285,Capa!$A:$AE,BF$5,0)="",0,VLOOKUP($N285,Capa!$A:$AE,BF$5,0)),0),IF(ISERROR(1/VLOOKUP($N285,Capa!$A:$AE,BF$5,0)),0,1/VLOOKUP($N285,Capa!$A:$AE,BF$5,0))))</f>
        <v/>
      </c>
      <c r="BG285" s="118" t="str">
        <f>IF(BG$6="","",IF(BG$3="Maior",IFERROR(IF(VLOOKUP($N285,Capa!$A:$AE,BG$5,0)="",0,VLOOKUP($N285,Capa!$A:$AE,BG$5,0)),0),IF(ISERROR(1/VLOOKUP($N285,Capa!$A:$AE,BG$5,0)),0,1/VLOOKUP($N285,Capa!$A:$AE,BG$5,0))))</f>
        <v/>
      </c>
      <c r="BH285" s="118" t="str">
        <f>IF(BH$6="","",IF(BH$3="Maior",IFERROR(IF(VLOOKUP($N285,Capa!$A:$AE,BH$5,0)="",0,VLOOKUP($N285,Capa!$A:$AE,BH$5,0)),0),IF(ISERROR(1/VLOOKUP($N285,Capa!$A:$AE,BH$5,0)),0,1/VLOOKUP($N285,Capa!$A:$AE,BH$5,0))))</f>
        <v/>
      </c>
      <c r="BI285" s="118" t="str">
        <f>IF(BI$6="","",IF(BI$3="Maior",IFERROR(IF(VLOOKUP($N285,Capa!$A:$AE,BI$5,0)="",0,VLOOKUP($N285,Capa!$A:$AE,BI$5,0)),0),IF(ISERROR(1/VLOOKUP($N285,Capa!$A:$AE,BI$5,0)),0,1/VLOOKUP($N285,Capa!$A:$AE,BI$5,0))))</f>
        <v/>
      </c>
      <c r="BJ285" s="118" t="str">
        <f>IF(BJ$6="","",IF(BJ$3="Maior",IFERROR(IF(VLOOKUP($N285,Capa!$A:$AE,BJ$5,0)="",0,VLOOKUP($N285,Capa!$A:$AE,BJ$5,0)),0),IF(ISERROR(1/VLOOKUP($N285,Capa!$A:$AE,BJ$5,0)),0,1/VLOOKUP($N285,Capa!$A:$AE,BJ$5,0))))</f>
        <v/>
      </c>
      <c r="BK285" s="118" t="str">
        <f>IF(BK$6="","",IF(BK$3="Maior",IFERROR(IF(VLOOKUP($N285,Capa!$A:$AE,BK$5,0)="",0,VLOOKUP($N285,Capa!$A:$AE,BK$5,0)),0),IF(ISERROR(1/VLOOKUP($N285,Capa!$A:$AE,BK$5,0)),0,1/VLOOKUP($N285,Capa!$A:$AE,BK$5,0))))</f>
        <v/>
      </c>
      <c r="BL285" s="118" t="str">
        <f>IF(BL$6="","",IF(BL$3="Maior",IFERROR(IF(VLOOKUP($N285,Capa!$A:$AE,BL$5,0)="",0,VLOOKUP($N285,Capa!$A:$AE,BL$5,0)),0),IF(ISERROR(1/VLOOKUP($N285,Capa!$A:$AE,BL$5,0)),0,1/VLOOKUP($N285,Capa!$A:$AE,BL$5,0))))</f>
        <v/>
      </c>
      <c r="BM285" s="118" t="str">
        <f>IF(BM$6="","",IF(BM$3="Maior",IFERROR(IF(VLOOKUP($N285,Capa!$A:$AE,BM$5,0)="",0,VLOOKUP($N285,Capa!$A:$AE,BM$5,0)),0),IF(ISERROR(1/VLOOKUP($N285,Capa!$A:$AE,BM$5,0)),0,1/VLOOKUP($N285,Capa!$A:$AE,BM$5,0))))</f>
        <v/>
      </c>
      <c r="BN285" s="118" t="str">
        <f>IF(BN$6="","",IF(BN$3="Maior",IFERROR(IF(VLOOKUP($N285,Capa!$A:$AE,BN$5,0)="",0,VLOOKUP($N285,Capa!$A:$AE,BN$5,0)),0),IF(ISERROR(1/VLOOKUP($N285,Capa!$A:$AE,BN$5,0)),0,1/VLOOKUP($N285,Capa!$A:$AE,BN$5,0))))</f>
        <v/>
      </c>
      <c r="BO285" s="92"/>
    </row>
    <row r="286">
      <c r="G286" s="11"/>
      <c r="H286" s="11"/>
      <c r="I286" s="8"/>
      <c r="J286" s="132"/>
      <c r="K286" s="11"/>
      <c r="L286" s="11"/>
      <c r="M286" s="11"/>
      <c r="N286" s="10" t="s">
        <v>332</v>
      </c>
      <c r="O286" s="113">
        <f t="shared" si="8"/>
        <v>1988.0339</v>
      </c>
      <c r="P286" s="114">
        <f>VLOOKUP(N286,'Dados StatusInvest'!A:Z,26,0)</f>
        <v>663515.75</v>
      </c>
      <c r="Q286" s="115">
        <f t="shared" si="9"/>
        <v>339.0339</v>
      </c>
      <c r="R286" s="116">
        <f t="shared" ref="R286:AO286" si="289">IF(AQ286="","", RANK(AQ286,AQ$7:AQ$503,0))</f>
        <v>430</v>
      </c>
      <c r="S286" s="115">
        <f t="shared" si="289"/>
        <v>219</v>
      </c>
      <c r="T286" s="115" t="str">
        <f t="shared" si="289"/>
        <v/>
      </c>
      <c r="U286" s="115" t="str">
        <f t="shared" si="289"/>
        <v/>
      </c>
      <c r="V286" s="115" t="str">
        <f t="shared" si="289"/>
        <v/>
      </c>
      <c r="W286" s="115" t="str">
        <f t="shared" si="289"/>
        <v/>
      </c>
      <c r="X286" s="115" t="str">
        <f t="shared" si="289"/>
        <v/>
      </c>
      <c r="Y286" s="115" t="str">
        <f t="shared" si="289"/>
        <v/>
      </c>
      <c r="Z286" s="115" t="str">
        <f t="shared" si="289"/>
        <v/>
      </c>
      <c r="AA286" s="115" t="str">
        <f t="shared" si="289"/>
        <v/>
      </c>
      <c r="AB286" s="115" t="str">
        <f t="shared" si="289"/>
        <v/>
      </c>
      <c r="AC286" s="115" t="str">
        <f t="shared" si="289"/>
        <v/>
      </c>
      <c r="AD286" s="115" t="str">
        <f t="shared" si="289"/>
        <v/>
      </c>
      <c r="AE286" s="115" t="str">
        <f t="shared" si="289"/>
        <v/>
      </c>
      <c r="AF286" s="115" t="str">
        <f t="shared" si="289"/>
        <v/>
      </c>
      <c r="AG286" s="115" t="str">
        <f t="shared" si="289"/>
        <v/>
      </c>
      <c r="AH286" s="115" t="str">
        <f t="shared" si="289"/>
        <v/>
      </c>
      <c r="AI286" s="115" t="str">
        <f t="shared" si="289"/>
        <v/>
      </c>
      <c r="AJ286" s="115" t="str">
        <f t="shared" si="289"/>
        <v/>
      </c>
      <c r="AK286" s="115" t="str">
        <f t="shared" si="289"/>
        <v/>
      </c>
      <c r="AL286" s="115" t="str">
        <f t="shared" si="289"/>
        <v/>
      </c>
      <c r="AM286" s="115" t="str">
        <f t="shared" si="289"/>
        <v/>
      </c>
      <c r="AN286" s="115" t="str">
        <f t="shared" si="289"/>
        <v/>
      </c>
      <c r="AO286" s="115" t="str">
        <f t="shared" si="289"/>
        <v/>
      </c>
      <c r="AP286" s="117">
        <f>IF(AP$6="","",IF(AP$3="Maior",IFERROR(IF(VLOOKUP($N286,Capa!$A:$AE,AP$5,0)="",0,VLOOKUP($N286,Capa!$A:$AE,AP$5,0)),0),IF(ISERROR(1/VLOOKUP($N286,Capa!$A:$AE,AP$5,0)),0,1/VLOOKUP($N286,Capa!$A:$AE,AP$5,0))))</f>
        <v>0.03600064197</v>
      </c>
      <c r="AQ286" s="118">
        <f>IF(AQ$6="","",IF(AQ$3="Maior",IFERROR(IF(VLOOKUP($N286,Capa!$A:$AE,AQ$5,0)="",0,VLOOKUP($N286,Capa!$A:$AE,AQ$5,0)),0),IF(ISERROR(1/VLOOKUP($N286,Capa!$A:$AE,AQ$5,0)),0,1/VLOOKUP($N286,Capa!$A:$AE,AQ$5,0))))</f>
        <v>-0.52</v>
      </c>
      <c r="AR286" s="118">
        <f>IF(AR$6="","",IF(AR$3="Maior",IFERROR(IF(VLOOKUP($N286,Capa!$A:$AE,AR$5,0)="",0,VLOOKUP($N286,Capa!$A:$AE,AR$5,0)),0),IF(ISERROR(1/VLOOKUP($N286,Capa!$A:$AE,AR$5,0)),0,1/VLOOKUP($N286,Capa!$A:$AE,AR$5,0))))</f>
        <v>0</v>
      </c>
      <c r="AS286" s="118" t="str">
        <f>IF(AS$6="","",IF(AS$3="Maior",IFERROR(IF(VLOOKUP($N286,Capa!$A:$AE,AS$5,0)="",0,VLOOKUP($N286,Capa!$A:$AE,AS$5,0)),0),IF(ISERROR(1/VLOOKUP($N286,Capa!$A:$AE,AS$5,0)),0,1/VLOOKUP($N286,Capa!$A:$AE,AS$5,0))))</f>
        <v/>
      </c>
      <c r="AT286" s="118" t="str">
        <f>IF(AT$6="","",IF(AT$3="Maior",IFERROR(IF(VLOOKUP($N286,Capa!$A:$AE,AT$5,0)="",0,VLOOKUP($N286,Capa!$A:$AE,AT$5,0)),0),IF(ISERROR(1/VLOOKUP($N286,Capa!$A:$AE,AT$5,0)),0,1/VLOOKUP($N286,Capa!$A:$AE,AT$5,0))))</f>
        <v/>
      </c>
      <c r="AU286" s="118" t="str">
        <f>IF(AU$6="","",IF(AU$3="Maior",IFERROR(IF(VLOOKUP($N286,Capa!$A:$AE,AU$5,0)="",0,VLOOKUP($N286,Capa!$A:$AE,AU$5,0)),0),IF(ISERROR(1/VLOOKUP($N286,Capa!$A:$AE,AU$5,0)),0,1/VLOOKUP($N286,Capa!$A:$AE,AU$5,0))))</f>
        <v/>
      </c>
      <c r="AV286" s="118" t="str">
        <f>IF(AV$6="","",IF(AV$3="Maior",IFERROR(IF(VLOOKUP($N286,Capa!$A:$AE,AV$5,0)="",0,VLOOKUP($N286,Capa!$A:$AE,AV$5,0)),0),IF(ISERROR(1/VLOOKUP($N286,Capa!$A:$AE,AV$5,0)),0,1/VLOOKUP($N286,Capa!$A:$AE,AV$5,0))))</f>
        <v/>
      </c>
      <c r="AW286" s="118" t="str">
        <f>IF(AW$6="","",IF(AW$3="Maior",IFERROR(IF(VLOOKUP($N286,Capa!$A:$AE,AW$5,0)="",0,VLOOKUP($N286,Capa!$A:$AE,AW$5,0)),0),IF(ISERROR(1/VLOOKUP($N286,Capa!$A:$AE,AW$5,0)),0,1/VLOOKUP($N286,Capa!$A:$AE,AW$5,0))))</f>
        <v/>
      </c>
      <c r="AX286" s="118" t="str">
        <f>IF(AX$6="","",IF(AX$3="Maior",IFERROR(IF(VLOOKUP($N286,Capa!$A:$AE,AX$5,0)="",0,VLOOKUP($N286,Capa!$A:$AE,AX$5,0)),0),IF(ISERROR(1/VLOOKUP($N286,Capa!$A:$AE,AX$5,0)),0,1/VLOOKUP($N286,Capa!$A:$AE,AX$5,0))))</f>
        <v/>
      </c>
      <c r="AY286" s="118" t="str">
        <f>IF(AY$6="","",IF(AY$3="Maior",IFERROR(IF(VLOOKUP($N286,Capa!$A:$AE,AY$5,0)="",0,VLOOKUP($N286,Capa!$A:$AE,AY$5,0)),0),IF(ISERROR(1/VLOOKUP($N286,Capa!$A:$AE,AY$5,0)),0,1/VLOOKUP($N286,Capa!$A:$AE,AY$5,0))))</f>
        <v/>
      </c>
      <c r="AZ286" s="118" t="str">
        <f>IF(AZ$6="","",IF(AZ$3="Maior",IFERROR(IF(VLOOKUP($N286,Capa!$A:$AE,AZ$5,0)="",0,VLOOKUP($N286,Capa!$A:$AE,AZ$5,0)),0),IF(ISERROR(1/VLOOKUP($N286,Capa!$A:$AE,AZ$5,0)),0,1/VLOOKUP($N286,Capa!$A:$AE,AZ$5,0))))</f>
        <v/>
      </c>
      <c r="BA286" s="118" t="str">
        <f>IF(BA$6="","",IF(BA$3="Maior",IFERROR(IF(VLOOKUP($N286,Capa!$A:$AE,BA$5,0)="",0,VLOOKUP($N286,Capa!$A:$AE,BA$5,0)),0),IF(ISERROR(1/VLOOKUP($N286,Capa!$A:$AE,BA$5,0)),0,1/VLOOKUP($N286,Capa!$A:$AE,BA$5,0))))</f>
        <v/>
      </c>
      <c r="BB286" s="118" t="str">
        <f>IF(BB$6="","",IF(BB$3="Maior",IFERROR(IF(VLOOKUP($N286,Capa!$A:$AE,BB$5,0)="",0,VLOOKUP($N286,Capa!$A:$AE,BB$5,0)),0),IF(ISERROR(1/VLOOKUP($N286,Capa!$A:$AE,BB$5,0)),0,1/VLOOKUP($N286,Capa!$A:$AE,BB$5,0))))</f>
        <v/>
      </c>
      <c r="BC286" s="118" t="str">
        <f>IF(BC$6="","",IF(BC$3="Maior",IFERROR(IF(VLOOKUP($N286,Capa!$A:$AE,BC$5,0)="",0,VLOOKUP($N286,Capa!$A:$AE,BC$5,0)),0),IF(ISERROR(1/VLOOKUP($N286,Capa!$A:$AE,BC$5,0)),0,1/VLOOKUP($N286,Capa!$A:$AE,BC$5,0))))</f>
        <v/>
      </c>
      <c r="BD286" s="118" t="str">
        <f>IF(BD$6="","",IF(BD$3="Maior",IFERROR(IF(VLOOKUP($N286,Capa!$A:$AE,BD$5,0)="",0,VLOOKUP($N286,Capa!$A:$AE,BD$5,0)),0),IF(ISERROR(1/VLOOKUP($N286,Capa!$A:$AE,BD$5,0)),0,1/VLOOKUP($N286,Capa!$A:$AE,BD$5,0))))</f>
        <v/>
      </c>
      <c r="BE286" s="118" t="str">
        <f>IF(BE$6="","",IF(BE$3="Maior",IFERROR(IF(VLOOKUP($N286,Capa!$A:$AE,BE$5,0)="",0,VLOOKUP($N286,Capa!$A:$AE,BE$5,0)),0),IF(ISERROR(1/VLOOKUP($N286,Capa!$A:$AE,BE$5,0)),0,1/VLOOKUP($N286,Capa!$A:$AE,BE$5,0))))</f>
        <v/>
      </c>
      <c r="BF286" s="118" t="str">
        <f>IF(BF$6="","",IF(BF$3="Maior",IFERROR(IF(VLOOKUP($N286,Capa!$A:$AE,BF$5,0)="",0,VLOOKUP($N286,Capa!$A:$AE,BF$5,0)),0),IF(ISERROR(1/VLOOKUP($N286,Capa!$A:$AE,BF$5,0)),0,1/VLOOKUP($N286,Capa!$A:$AE,BF$5,0))))</f>
        <v/>
      </c>
      <c r="BG286" s="118" t="str">
        <f>IF(BG$6="","",IF(BG$3="Maior",IFERROR(IF(VLOOKUP($N286,Capa!$A:$AE,BG$5,0)="",0,VLOOKUP($N286,Capa!$A:$AE,BG$5,0)),0),IF(ISERROR(1/VLOOKUP($N286,Capa!$A:$AE,BG$5,0)),0,1/VLOOKUP($N286,Capa!$A:$AE,BG$5,0))))</f>
        <v/>
      </c>
      <c r="BH286" s="118" t="str">
        <f>IF(BH$6="","",IF(BH$3="Maior",IFERROR(IF(VLOOKUP($N286,Capa!$A:$AE,BH$5,0)="",0,VLOOKUP($N286,Capa!$A:$AE,BH$5,0)),0),IF(ISERROR(1/VLOOKUP($N286,Capa!$A:$AE,BH$5,0)),0,1/VLOOKUP($N286,Capa!$A:$AE,BH$5,0))))</f>
        <v/>
      </c>
      <c r="BI286" s="118" t="str">
        <f>IF(BI$6="","",IF(BI$3="Maior",IFERROR(IF(VLOOKUP($N286,Capa!$A:$AE,BI$5,0)="",0,VLOOKUP($N286,Capa!$A:$AE,BI$5,0)),0),IF(ISERROR(1/VLOOKUP($N286,Capa!$A:$AE,BI$5,0)),0,1/VLOOKUP($N286,Capa!$A:$AE,BI$5,0))))</f>
        <v/>
      </c>
      <c r="BJ286" s="118" t="str">
        <f>IF(BJ$6="","",IF(BJ$3="Maior",IFERROR(IF(VLOOKUP($N286,Capa!$A:$AE,BJ$5,0)="",0,VLOOKUP($N286,Capa!$A:$AE,BJ$5,0)),0),IF(ISERROR(1/VLOOKUP($N286,Capa!$A:$AE,BJ$5,0)),0,1/VLOOKUP($N286,Capa!$A:$AE,BJ$5,0))))</f>
        <v/>
      </c>
      <c r="BK286" s="118" t="str">
        <f>IF(BK$6="","",IF(BK$3="Maior",IFERROR(IF(VLOOKUP($N286,Capa!$A:$AE,BK$5,0)="",0,VLOOKUP($N286,Capa!$A:$AE,BK$5,0)),0),IF(ISERROR(1/VLOOKUP($N286,Capa!$A:$AE,BK$5,0)),0,1/VLOOKUP($N286,Capa!$A:$AE,BK$5,0))))</f>
        <v/>
      </c>
      <c r="BL286" s="118" t="str">
        <f>IF(BL$6="","",IF(BL$3="Maior",IFERROR(IF(VLOOKUP($N286,Capa!$A:$AE,BL$5,0)="",0,VLOOKUP($N286,Capa!$A:$AE,BL$5,0)),0),IF(ISERROR(1/VLOOKUP($N286,Capa!$A:$AE,BL$5,0)),0,1/VLOOKUP($N286,Capa!$A:$AE,BL$5,0))))</f>
        <v/>
      </c>
      <c r="BM286" s="118" t="str">
        <f>IF(BM$6="","",IF(BM$3="Maior",IFERROR(IF(VLOOKUP($N286,Capa!$A:$AE,BM$5,0)="",0,VLOOKUP($N286,Capa!$A:$AE,BM$5,0)),0),IF(ISERROR(1/VLOOKUP($N286,Capa!$A:$AE,BM$5,0)),0,1/VLOOKUP($N286,Capa!$A:$AE,BM$5,0))))</f>
        <v/>
      </c>
      <c r="BN286" s="118" t="str">
        <f>IF(BN$6="","",IF(BN$3="Maior",IFERROR(IF(VLOOKUP($N286,Capa!$A:$AE,BN$5,0)="",0,VLOOKUP($N286,Capa!$A:$AE,BN$5,0)),0),IF(ISERROR(1/VLOOKUP($N286,Capa!$A:$AE,BN$5,0)),0,1/VLOOKUP($N286,Capa!$A:$AE,BN$5,0))))</f>
        <v/>
      </c>
      <c r="BO286" s="92"/>
    </row>
    <row r="287">
      <c r="G287" s="11"/>
      <c r="H287" s="11"/>
      <c r="I287" s="8"/>
      <c r="J287" s="132"/>
      <c r="K287" s="11"/>
      <c r="L287" s="11"/>
      <c r="M287" s="11"/>
      <c r="N287" s="10" t="s">
        <v>333</v>
      </c>
      <c r="O287" s="113">
        <f t="shared" si="8"/>
        <v>2202.0488</v>
      </c>
      <c r="P287" s="114">
        <f>VLOOKUP(N287,'Dados StatusInvest'!A:Z,26,0)</f>
        <v>959146.75</v>
      </c>
      <c r="Q287" s="115">
        <f t="shared" si="9"/>
        <v>488.0488</v>
      </c>
      <c r="R287" s="116">
        <f t="shared" ref="R287:AO287" si="290">IF(AQ287="","", RANK(AQ287,AQ$7:AQ$503,0))</f>
        <v>495</v>
      </c>
      <c r="S287" s="115">
        <f t="shared" si="290"/>
        <v>219</v>
      </c>
      <c r="T287" s="115" t="str">
        <f t="shared" si="290"/>
        <v/>
      </c>
      <c r="U287" s="115" t="str">
        <f t="shared" si="290"/>
        <v/>
      </c>
      <c r="V287" s="115" t="str">
        <f t="shared" si="290"/>
        <v/>
      </c>
      <c r="W287" s="115" t="str">
        <f t="shared" si="290"/>
        <v/>
      </c>
      <c r="X287" s="115" t="str">
        <f t="shared" si="290"/>
        <v/>
      </c>
      <c r="Y287" s="115" t="str">
        <f t="shared" si="290"/>
        <v/>
      </c>
      <c r="Z287" s="115" t="str">
        <f t="shared" si="290"/>
        <v/>
      </c>
      <c r="AA287" s="115" t="str">
        <f t="shared" si="290"/>
        <v/>
      </c>
      <c r="AB287" s="115" t="str">
        <f t="shared" si="290"/>
        <v/>
      </c>
      <c r="AC287" s="115" t="str">
        <f t="shared" si="290"/>
        <v/>
      </c>
      <c r="AD287" s="115" t="str">
        <f t="shared" si="290"/>
        <v/>
      </c>
      <c r="AE287" s="115" t="str">
        <f t="shared" si="290"/>
        <v/>
      </c>
      <c r="AF287" s="115" t="str">
        <f t="shared" si="290"/>
        <v/>
      </c>
      <c r="AG287" s="115" t="str">
        <f t="shared" si="290"/>
        <v/>
      </c>
      <c r="AH287" s="115" t="str">
        <f t="shared" si="290"/>
        <v/>
      </c>
      <c r="AI287" s="115" t="str">
        <f t="shared" si="290"/>
        <v/>
      </c>
      <c r="AJ287" s="115" t="str">
        <f t="shared" si="290"/>
        <v/>
      </c>
      <c r="AK287" s="115" t="str">
        <f t="shared" si="290"/>
        <v/>
      </c>
      <c r="AL287" s="115" t="str">
        <f t="shared" si="290"/>
        <v/>
      </c>
      <c r="AM287" s="115" t="str">
        <f t="shared" si="290"/>
        <v/>
      </c>
      <c r="AN287" s="115" t="str">
        <f t="shared" si="290"/>
        <v/>
      </c>
      <c r="AO287" s="115" t="str">
        <f t="shared" si="290"/>
        <v/>
      </c>
      <c r="AP287" s="117">
        <f>IF(AP$6="","",IF(AP$3="Maior",IFERROR(IF(VLOOKUP($N287,Capa!$A:$AE,AP$5,0)="",0,VLOOKUP($N287,Capa!$A:$AE,AP$5,0)),0),IF(ISERROR(1/VLOOKUP($N287,Capa!$A:$AE,AP$5,0)),0,1/VLOOKUP($N287,Capa!$A:$AE,AP$5,0))))</f>
        <v>-0.4611348298</v>
      </c>
      <c r="AQ287" s="118">
        <f>IF(AQ$6="","",IF(AQ$3="Maior",IFERROR(IF(VLOOKUP($N287,Capa!$A:$AE,AQ$5,0)="",0,VLOOKUP($N287,Capa!$A:$AE,AQ$5,0)),0),IF(ISERROR(1/VLOOKUP($N287,Capa!$A:$AE,AQ$5,0)),0,1/VLOOKUP($N287,Capa!$A:$AE,AQ$5,0))))</f>
        <v>-419.29</v>
      </c>
      <c r="AR287" s="118">
        <f>IF(AR$6="","",IF(AR$3="Maior",IFERROR(IF(VLOOKUP($N287,Capa!$A:$AE,AR$5,0)="",0,VLOOKUP($N287,Capa!$A:$AE,AR$5,0)),0),IF(ISERROR(1/VLOOKUP($N287,Capa!$A:$AE,AR$5,0)),0,1/VLOOKUP($N287,Capa!$A:$AE,AR$5,0))))</f>
        <v>0</v>
      </c>
      <c r="AS287" s="118" t="str">
        <f>IF(AS$6="","",IF(AS$3="Maior",IFERROR(IF(VLOOKUP($N287,Capa!$A:$AE,AS$5,0)="",0,VLOOKUP($N287,Capa!$A:$AE,AS$5,0)),0),IF(ISERROR(1/VLOOKUP($N287,Capa!$A:$AE,AS$5,0)),0,1/VLOOKUP($N287,Capa!$A:$AE,AS$5,0))))</f>
        <v/>
      </c>
      <c r="AT287" s="118" t="str">
        <f>IF(AT$6="","",IF(AT$3="Maior",IFERROR(IF(VLOOKUP($N287,Capa!$A:$AE,AT$5,0)="",0,VLOOKUP($N287,Capa!$A:$AE,AT$5,0)),0),IF(ISERROR(1/VLOOKUP($N287,Capa!$A:$AE,AT$5,0)),0,1/VLOOKUP($N287,Capa!$A:$AE,AT$5,0))))</f>
        <v/>
      </c>
      <c r="AU287" s="118" t="str">
        <f>IF(AU$6="","",IF(AU$3="Maior",IFERROR(IF(VLOOKUP($N287,Capa!$A:$AE,AU$5,0)="",0,VLOOKUP($N287,Capa!$A:$AE,AU$5,0)),0),IF(ISERROR(1/VLOOKUP($N287,Capa!$A:$AE,AU$5,0)),0,1/VLOOKUP($N287,Capa!$A:$AE,AU$5,0))))</f>
        <v/>
      </c>
      <c r="AV287" s="118" t="str">
        <f>IF(AV$6="","",IF(AV$3="Maior",IFERROR(IF(VLOOKUP($N287,Capa!$A:$AE,AV$5,0)="",0,VLOOKUP($N287,Capa!$A:$AE,AV$5,0)),0),IF(ISERROR(1/VLOOKUP($N287,Capa!$A:$AE,AV$5,0)),0,1/VLOOKUP($N287,Capa!$A:$AE,AV$5,0))))</f>
        <v/>
      </c>
      <c r="AW287" s="118" t="str">
        <f>IF(AW$6="","",IF(AW$3="Maior",IFERROR(IF(VLOOKUP($N287,Capa!$A:$AE,AW$5,0)="",0,VLOOKUP($N287,Capa!$A:$AE,AW$5,0)),0),IF(ISERROR(1/VLOOKUP($N287,Capa!$A:$AE,AW$5,0)),0,1/VLOOKUP($N287,Capa!$A:$AE,AW$5,0))))</f>
        <v/>
      </c>
      <c r="AX287" s="118" t="str">
        <f>IF(AX$6="","",IF(AX$3="Maior",IFERROR(IF(VLOOKUP($N287,Capa!$A:$AE,AX$5,0)="",0,VLOOKUP($N287,Capa!$A:$AE,AX$5,0)),0),IF(ISERROR(1/VLOOKUP($N287,Capa!$A:$AE,AX$5,0)),0,1/VLOOKUP($N287,Capa!$A:$AE,AX$5,0))))</f>
        <v/>
      </c>
      <c r="AY287" s="118" t="str">
        <f>IF(AY$6="","",IF(AY$3="Maior",IFERROR(IF(VLOOKUP($N287,Capa!$A:$AE,AY$5,0)="",0,VLOOKUP($N287,Capa!$A:$AE,AY$5,0)),0),IF(ISERROR(1/VLOOKUP($N287,Capa!$A:$AE,AY$5,0)),0,1/VLOOKUP($N287,Capa!$A:$AE,AY$5,0))))</f>
        <v/>
      </c>
      <c r="AZ287" s="118" t="str">
        <f>IF(AZ$6="","",IF(AZ$3="Maior",IFERROR(IF(VLOOKUP($N287,Capa!$A:$AE,AZ$5,0)="",0,VLOOKUP($N287,Capa!$A:$AE,AZ$5,0)),0),IF(ISERROR(1/VLOOKUP($N287,Capa!$A:$AE,AZ$5,0)),0,1/VLOOKUP($N287,Capa!$A:$AE,AZ$5,0))))</f>
        <v/>
      </c>
      <c r="BA287" s="118" t="str">
        <f>IF(BA$6="","",IF(BA$3="Maior",IFERROR(IF(VLOOKUP($N287,Capa!$A:$AE,BA$5,0)="",0,VLOOKUP($N287,Capa!$A:$AE,BA$5,0)),0),IF(ISERROR(1/VLOOKUP($N287,Capa!$A:$AE,BA$5,0)),0,1/VLOOKUP($N287,Capa!$A:$AE,BA$5,0))))</f>
        <v/>
      </c>
      <c r="BB287" s="118" t="str">
        <f>IF(BB$6="","",IF(BB$3="Maior",IFERROR(IF(VLOOKUP($N287,Capa!$A:$AE,BB$5,0)="",0,VLOOKUP($N287,Capa!$A:$AE,BB$5,0)),0),IF(ISERROR(1/VLOOKUP($N287,Capa!$A:$AE,BB$5,0)),0,1/VLOOKUP($N287,Capa!$A:$AE,BB$5,0))))</f>
        <v/>
      </c>
      <c r="BC287" s="118" t="str">
        <f>IF(BC$6="","",IF(BC$3="Maior",IFERROR(IF(VLOOKUP($N287,Capa!$A:$AE,BC$5,0)="",0,VLOOKUP($N287,Capa!$A:$AE,BC$5,0)),0),IF(ISERROR(1/VLOOKUP($N287,Capa!$A:$AE,BC$5,0)),0,1/VLOOKUP($N287,Capa!$A:$AE,BC$5,0))))</f>
        <v/>
      </c>
      <c r="BD287" s="118" t="str">
        <f>IF(BD$6="","",IF(BD$3="Maior",IFERROR(IF(VLOOKUP($N287,Capa!$A:$AE,BD$5,0)="",0,VLOOKUP($N287,Capa!$A:$AE,BD$5,0)),0),IF(ISERROR(1/VLOOKUP($N287,Capa!$A:$AE,BD$5,0)),0,1/VLOOKUP($N287,Capa!$A:$AE,BD$5,0))))</f>
        <v/>
      </c>
      <c r="BE287" s="118" t="str">
        <f>IF(BE$6="","",IF(BE$3="Maior",IFERROR(IF(VLOOKUP($N287,Capa!$A:$AE,BE$5,0)="",0,VLOOKUP($N287,Capa!$A:$AE,BE$5,0)),0),IF(ISERROR(1/VLOOKUP($N287,Capa!$A:$AE,BE$5,0)),0,1/VLOOKUP($N287,Capa!$A:$AE,BE$5,0))))</f>
        <v/>
      </c>
      <c r="BF287" s="118" t="str">
        <f>IF(BF$6="","",IF(BF$3="Maior",IFERROR(IF(VLOOKUP($N287,Capa!$A:$AE,BF$5,0)="",0,VLOOKUP($N287,Capa!$A:$AE,BF$5,0)),0),IF(ISERROR(1/VLOOKUP($N287,Capa!$A:$AE,BF$5,0)),0,1/VLOOKUP($N287,Capa!$A:$AE,BF$5,0))))</f>
        <v/>
      </c>
      <c r="BG287" s="118" t="str">
        <f>IF(BG$6="","",IF(BG$3="Maior",IFERROR(IF(VLOOKUP($N287,Capa!$A:$AE,BG$5,0)="",0,VLOOKUP($N287,Capa!$A:$AE,BG$5,0)),0),IF(ISERROR(1/VLOOKUP($N287,Capa!$A:$AE,BG$5,0)),0,1/VLOOKUP($N287,Capa!$A:$AE,BG$5,0))))</f>
        <v/>
      </c>
      <c r="BH287" s="118" t="str">
        <f>IF(BH$6="","",IF(BH$3="Maior",IFERROR(IF(VLOOKUP($N287,Capa!$A:$AE,BH$5,0)="",0,VLOOKUP($N287,Capa!$A:$AE,BH$5,0)),0),IF(ISERROR(1/VLOOKUP($N287,Capa!$A:$AE,BH$5,0)),0,1/VLOOKUP($N287,Capa!$A:$AE,BH$5,0))))</f>
        <v/>
      </c>
      <c r="BI287" s="118" t="str">
        <f>IF(BI$6="","",IF(BI$3="Maior",IFERROR(IF(VLOOKUP($N287,Capa!$A:$AE,BI$5,0)="",0,VLOOKUP($N287,Capa!$A:$AE,BI$5,0)),0),IF(ISERROR(1/VLOOKUP($N287,Capa!$A:$AE,BI$5,0)),0,1/VLOOKUP($N287,Capa!$A:$AE,BI$5,0))))</f>
        <v/>
      </c>
      <c r="BJ287" s="118" t="str">
        <f>IF(BJ$6="","",IF(BJ$3="Maior",IFERROR(IF(VLOOKUP($N287,Capa!$A:$AE,BJ$5,0)="",0,VLOOKUP($N287,Capa!$A:$AE,BJ$5,0)),0),IF(ISERROR(1/VLOOKUP($N287,Capa!$A:$AE,BJ$5,0)),0,1/VLOOKUP($N287,Capa!$A:$AE,BJ$5,0))))</f>
        <v/>
      </c>
      <c r="BK287" s="118" t="str">
        <f>IF(BK$6="","",IF(BK$3="Maior",IFERROR(IF(VLOOKUP($N287,Capa!$A:$AE,BK$5,0)="",0,VLOOKUP($N287,Capa!$A:$AE,BK$5,0)),0),IF(ISERROR(1/VLOOKUP($N287,Capa!$A:$AE,BK$5,0)),0,1/VLOOKUP($N287,Capa!$A:$AE,BK$5,0))))</f>
        <v/>
      </c>
      <c r="BL287" s="118" t="str">
        <f>IF(BL$6="","",IF(BL$3="Maior",IFERROR(IF(VLOOKUP($N287,Capa!$A:$AE,BL$5,0)="",0,VLOOKUP($N287,Capa!$A:$AE,BL$5,0)),0),IF(ISERROR(1/VLOOKUP($N287,Capa!$A:$AE,BL$5,0)),0,1/VLOOKUP($N287,Capa!$A:$AE,BL$5,0))))</f>
        <v/>
      </c>
      <c r="BM287" s="118" t="str">
        <f>IF(BM$6="","",IF(BM$3="Maior",IFERROR(IF(VLOOKUP($N287,Capa!$A:$AE,BM$5,0)="",0,VLOOKUP($N287,Capa!$A:$AE,BM$5,0)),0),IF(ISERROR(1/VLOOKUP($N287,Capa!$A:$AE,BM$5,0)),0,1/VLOOKUP($N287,Capa!$A:$AE,BM$5,0))))</f>
        <v/>
      </c>
      <c r="BN287" s="118" t="str">
        <f>IF(BN$6="","",IF(BN$3="Maior",IFERROR(IF(VLOOKUP($N287,Capa!$A:$AE,BN$5,0)="",0,VLOOKUP($N287,Capa!$A:$AE,BN$5,0)),0),IF(ISERROR(1/VLOOKUP($N287,Capa!$A:$AE,BN$5,0)),0,1/VLOOKUP($N287,Capa!$A:$AE,BN$5,0))))</f>
        <v/>
      </c>
      <c r="BO287" s="92"/>
    </row>
    <row r="288">
      <c r="G288" s="11"/>
      <c r="H288" s="11"/>
      <c r="I288" s="8"/>
      <c r="J288" s="132"/>
      <c r="K288" s="11"/>
      <c r="L288" s="11"/>
      <c r="M288" s="11"/>
      <c r="N288" s="10" t="s">
        <v>334</v>
      </c>
      <c r="O288" s="113">
        <f t="shared" si="8"/>
        <v>1626.0085</v>
      </c>
      <c r="P288" s="114">
        <f>VLOOKUP(N288,'Dados StatusInvest'!A:Z,26,0)</f>
        <v>930221.63</v>
      </c>
      <c r="Q288" s="115">
        <f t="shared" si="9"/>
        <v>85.0085</v>
      </c>
      <c r="R288" s="116">
        <f t="shared" ref="R288:AO288" si="291">IF(AQ288="","", RANK(AQ288,AQ$7:AQ$503,0))</f>
        <v>375</v>
      </c>
      <c r="S288" s="115">
        <f t="shared" si="291"/>
        <v>166</v>
      </c>
      <c r="T288" s="115" t="str">
        <f t="shared" si="291"/>
        <v/>
      </c>
      <c r="U288" s="115" t="str">
        <f t="shared" si="291"/>
        <v/>
      </c>
      <c r="V288" s="115" t="str">
        <f t="shared" si="291"/>
        <v/>
      </c>
      <c r="W288" s="115" t="str">
        <f t="shared" si="291"/>
        <v/>
      </c>
      <c r="X288" s="115" t="str">
        <f t="shared" si="291"/>
        <v/>
      </c>
      <c r="Y288" s="115" t="str">
        <f t="shared" si="291"/>
        <v/>
      </c>
      <c r="Z288" s="115" t="str">
        <f t="shared" si="291"/>
        <v/>
      </c>
      <c r="AA288" s="115" t="str">
        <f t="shared" si="291"/>
        <v/>
      </c>
      <c r="AB288" s="115" t="str">
        <f t="shared" si="291"/>
        <v/>
      </c>
      <c r="AC288" s="115" t="str">
        <f t="shared" si="291"/>
        <v/>
      </c>
      <c r="AD288" s="115" t="str">
        <f t="shared" si="291"/>
        <v/>
      </c>
      <c r="AE288" s="115" t="str">
        <f t="shared" si="291"/>
        <v/>
      </c>
      <c r="AF288" s="115" t="str">
        <f t="shared" si="291"/>
        <v/>
      </c>
      <c r="AG288" s="115" t="str">
        <f t="shared" si="291"/>
        <v/>
      </c>
      <c r="AH288" s="115" t="str">
        <f t="shared" si="291"/>
        <v/>
      </c>
      <c r="AI288" s="115" t="str">
        <f t="shared" si="291"/>
        <v/>
      </c>
      <c r="AJ288" s="115" t="str">
        <f t="shared" si="291"/>
        <v/>
      </c>
      <c r="AK288" s="115" t="str">
        <f t="shared" si="291"/>
        <v/>
      </c>
      <c r="AL288" s="115" t="str">
        <f t="shared" si="291"/>
        <v/>
      </c>
      <c r="AM288" s="115" t="str">
        <f t="shared" si="291"/>
        <v/>
      </c>
      <c r="AN288" s="115" t="str">
        <f t="shared" si="291"/>
        <v/>
      </c>
      <c r="AO288" s="115" t="str">
        <f t="shared" si="291"/>
        <v/>
      </c>
      <c r="AP288" s="117">
        <f>IF(AP$6="","",IF(AP$3="Maior",IFERROR(IF(VLOOKUP($N288,Capa!$A:$AE,AP$5,0)="",0,VLOOKUP($N288,Capa!$A:$AE,AP$5,0)),0),IF(ISERROR(1/VLOOKUP($N288,Capa!$A:$AE,AP$5,0)),0,1/VLOOKUP($N288,Capa!$A:$AE,AP$5,0))))</f>
        <v>0.2079255967</v>
      </c>
      <c r="AQ288" s="118">
        <f>IF(AQ$6="","",IF(AQ$3="Maior",IFERROR(IF(VLOOKUP($N288,Capa!$A:$AE,AQ$5,0)="",0,VLOOKUP($N288,Capa!$A:$AE,AQ$5,0)),0),IF(ISERROR(1/VLOOKUP($N288,Capa!$A:$AE,AQ$5,0)),0,1/VLOOKUP($N288,Capa!$A:$AE,AQ$5,0))))</f>
        <v>0</v>
      </c>
      <c r="AR288" s="118">
        <f>IF(AR$6="","",IF(AR$3="Maior",IFERROR(IF(VLOOKUP($N288,Capa!$A:$AE,AR$5,0)="",0,VLOOKUP($N288,Capa!$A:$AE,AR$5,0)),0),IF(ISERROR(1/VLOOKUP($N288,Capa!$A:$AE,AR$5,0)),0,1/VLOOKUP($N288,Capa!$A:$AE,AR$5,0))))</f>
        <v>10.58</v>
      </c>
      <c r="AS288" s="118" t="str">
        <f>IF(AS$6="","",IF(AS$3="Maior",IFERROR(IF(VLOOKUP($N288,Capa!$A:$AE,AS$5,0)="",0,VLOOKUP($N288,Capa!$A:$AE,AS$5,0)),0),IF(ISERROR(1/VLOOKUP($N288,Capa!$A:$AE,AS$5,0)),0,1/VLOOKUP($N288,Capa!$A:$AE,AS$5,0))))</f>
        <v/>
      </c>
      <c r="AT288" s="118" t="str">
        <f>IF(AT$6="","",IF(AT$3="Maior",IFERROR(IF(VLOOKUP($N288,Capa!$A:$AE,AT$5,0)="",0,VLOOKUP($N288,Capa!$A:$AE,AT$5,0)),0),IF(ISERROR(1/VLOOKUP($N288,Capa!$A:$AE,AT$5,0)),0,1/VLOOKUP($N288,Capa!$A:$AE,AT$5,0))))</f>
        <v/>
      </c>
      <c r="AU288" s="118" t="str">
        <f>IF(AU$6="","",IF(AU$3="Maior",IFERROR(IF(VLOOKUP($N288,Capa!$A:$AE,AU$5,0)="",0,VLOOKUP($N288,Capa!$A:$AE,AU$5,0)),0),IF(ISERROR(1/VLOOKUP($N288,Capa!$A:$AE,AU$5,0)),0,1/VLOOKUP($N288,Capa!$A:$AE,AU$5,0))))</f>
        <v/>
      </c>
      <c r="AV288" s="118" t="str">
        <f>IF(AV$6="","",IF(AV$3="Maior",IFERROR(IF(VLOOKUP($N288,Capa!$A:$AE,AV$5,0)="",0,VLOOKUP($N288,Capa!$A:$AE,AV$5,0)),0),IF(ISERROR(1/VLOOKUP($N288,Capa!$A:$AE,AV$5,0)),0,1/VLOOKUP($N288,Capa!$A:$AE,AV$5,0))))</f>
        <v/>
      </c>
      <c r="AW288" s="118" t="str">
        <f>IF(AW$6="","",IF(AW$3="Maior",IFERROR(IF(VLOOKUP($N288,Capa!$A:$AE,AW$5,0)="",0,VLOOKUP($N288,Capa!$A:$AE,AW$5,0)),0),IF(ISERROR(1/VLOOKUP($N288,Capa!$A:$AE,AW$5,0)),0,1/VLOOKUP($N288,Capa!$A:$AE,AW$5,0))))</f>
        <v/>
      </c>
      <c r="AX288" s="118" t="str">
        <f>IF(AX$6="","",IF(AX$3="Maior",IFERROR(IF(VLOOKUP($N288,Capa!$A:$AE,AX$5,0)="",0,VLOOKUP($N288,Capa!$A:$AE,AX$5,0)),0),IF(ISERROR(1/VLOOKUP($N288,Capa!$A:$AE,AX$5,0)),0,1/VLOOKUP($N288,Capa!$A:$AE,AX$5,0))))</f>
        <v/>
      </c>
      <c r="AY288" s="118" t="str">
        <f>IF(AY$6="","",IF(AY$3="Maior",IFERROR(IF(VLOOKUP($N288,Capa!$A:$AE,AY$5,0)="",0,VLOOKUP($N288,Capa!$A:$AE,AY$5,0)),0),IF(ISERROR(1/VLOOKUP($N288,Capa!$A:$AE,AY$5,0)),0,1/VLOOKUP($N288,Capa!$A:$AE,AY$5,0))))</f>
        <v/>
      </c>
      <c r="AZ288" s="118" t="str">
        <f>IF(AZ$6="","",IF(AZ$3="Maior",IFERROR(IF(VLOOKUP($N288,Capa!$A:$AE,AZ$5,0)="",0,VLOOKUP($N288,Capa!$A:$AE,AZ$5,0)),0),IF(ISERROR(1/VLOOKUP($N288,Capa!$A:$AE,AZ$5,0)),0,1/VLOOKUP($N288,Capa!$A:$AE,AZ$5,0))))</f>
        <v/>
      </c>
      <c r="BA288" s="118" t="str">
        <f>IF(BA$6="","",IF(BA$3="Maior",IFERROR(IF(VLOOKUP($N288,Capa!$A:$AE,BA$5,0)="",0,VLOOKUP($N288,Capa!$A:$AE,BA$5,0)),0),IF(ISERROR(1/VLOOKUP($N288,Capa!$A:$AE,BA$5,0)),0,1/VLOOKUP($N288,Capa!$A:$AE,BA$5,0))))</f>
        <v/>
      </c>
      <c r="BB288" s="118" t="str">
        <f>IF(BB$6="","",IF(BB$3="Maior",IFERROR(IF(VLOOKUP($N288,Capa!$A:$AE,BB$5,0)="",0,VLOOKUP($N288,Capa!$A:$AE,BB$5,0)),0),IF(ISERROR(1/VLOOKUP($N288,Capa!$A:$AE,BB$5,0)),0,1/VLOOKUP($N288,Capa!$A:$AE,BB$5,0))))</f>
        <v/>
      </c>
      <c r="BC288" s="118" t="str">
        <f>IF(BC$6="","",IF(BC$3="Maior",IFERROR(IF(VLOOKUP($N288,Capa!$A:$AE,BC$5,0)="",0,VLOOKUP($N288,Capa!$A:$AE,BC$5,0)),0),IF(ISERROR(1/VLOOKUP($N288,Capa!$A:$AE,BC$5,0)),0,1/VLOOKUP($N288,Capa!$A:$AE,BC$5,0))))</f>
        <v/>
      </c>
      <c r="BD288" s="118" t="str">
        <f>IF(BD$6="","",IF(BD$3="Maior",IFERROR(IF(VLOOKUP($N288,Capa!$A:$AE,BD$5,0)="",0,VLOOKUP($N288,Capa!$A:$AE,BD$5,0)),0),IF(ISERROR(1/VLOOKUP($N288,Capa!$A:$AE,BD$5,0)),0,1/VLOOKUP($N288,Capa!$A:$AE,BD$5,0))))</f>
        <v/>
      </c>
      <c r="BE288" s="118" t="str">
        <f>IF(BE$6="","",IF(BE$3="Maior",IFERROR(IF(VLOOKUP($N288,Capa!$A:$AE,BE$5,0)="",0,VLOOKUP($N288,Capa!$A:$AE,BE$5,0)),0),IF(ISERROR(1/VLOOKUP($N288,Capa!$A:$AE,BE$5,0)),0,1/VLOOKUP($N288,Capa!$A:$AE,BE$5,0))))</f>
        <v/>
      </c>
      <c r="BF288" s="118" t="str">
        <f>IF(BF$6="","",IF(BF$3="Maior",IFERROR(IF(VLOOKUP($N288,Capa!$A:$AE,BF$5,0)="",0,VLOOKUP($N288,Capa!$A:$AE,BF$5,0)),0),IF(ISERROR(1/VLOOKUP($N288,Capa!$A:$AE,BF$5,0)),0,1/VLOOKUP($N288,Capa!$A:$AE,BF$5,0))))</f>
        <v/>
      </c>
      <c r="BG288" s="118" t="str">
        <f>IF(BG$6="","",IF(BG$3="Maior",IFERROR(IF(VLOOKUP($N288,Capa!$A:$AE,BG$5,0)="",0,VLOOKUP($N288,Capa!$A:$AE,BG$5,0)),0),IF(ISERROR(1/VLOOKUP($N288,Capa!$A:$AE,BG$5,0)),0,1/VLOOKUP($N288,Capa!$A:$AE,BG$5,0))))</f>
        <v/>
      </c>
      <c r="BH288" s="118" t="str">
        <f>IF(BH$6="","",IF(BH$3="Maior",IFERROR(IF(VLOOKUP($N288,Capa!$A:$AE,BH$5,0)="",0,VLOOKUP($N288,Capa!$A:$AE,BH$5,0)),0),IF(ISERROR(1/VLOOKUP($N288,Capa!$A:$AE,BH$5,0)),0,1/VLOOKUP($N288,Capa!$A:$AE,BH$5,0))))</f>
        <v/>
      </c>
      <c r="BI288" s="118" t="str">
        <f>IF(BI$6="","",IF(BI$3="Maior",IFERROR(IF(VLOOKUP($N288,Capa!$A:$AE,BI$5,0)="",0,VLOOKUP($N288,Capa!$A:$AE,BI$5,0)),0),IF(ISERROR(1/VLOOKUP($N288,Capa!$A:$AE,BI$5,0)),0,1/VLOOKUP($N288,Capa!$A:$AE,BI$5,0))))</f>
        <v/>
      </c>
      <c r="BJ288" s="118" t="str">
        <f>IF(BJ$6="","",IF(BJ$3="Maior",IFERROR(IF(VLOOKUP($N288,Capa!$A:$AE,BJ$5,0)="",0,VLOOKUP($N288,Capa!$A:$AE,BJ$5,0)),0),IF(ISERROR(1/VLOOKUP($N288,Capa!$A:$AE,BJ$5,0)),0,1/VLOOKUP($N288,Capa!$A:$AE,BJ$5,0))))</f>
        <v/>
      </c>
      <c r="BK288" s="118" t="str">
        <f>IF(BK$6="","",IF(BK$3="Maior",IFERROR(IF(VLOOKUP($N288,Capa!$A:$AE,BK$5,0)="",0,VLOOKUP($N288,Capa!$A:$AE,BK$5,0)),0),IF(ISERROR(1/VLOOKUP($N288,Capa!$A:$AE,BK$5,0)),0,1/VLOOKUP($N288,Capa!$A:$AE,BK$5,0))))</f>
        <v/>
      </c>
      <c r="BL288" s="118" t="str">
        <f>IF(BL$6="","",IF(BL$3="Maior",IFERROR(IF(VLOOKUP($N288,Capa!$A:$AE,BL$5,0)="",0,VLOOKUP($N288,Capa!$A:$AE,BL$5,0)),0),IF(ISERROR(1/VLOOKUP($N288,Capa!$A:$AE,BL$5,0)),0,1/VLOOKUP($N288,Capa!$A:$AE,BL$5,0))))</f>
        <v/>
      </c>
      <c r="BM288" s="118" t="str">
        <f>IF(BM$6="","",IF(BM$3="Maior",IFERROR(IF(VLOOKUP($N288,Capa!$A:$AE,BM$5,0)="",0,VLOOKUP($N288,Capa!$A:$AE,BM$5,0)),0),IF(ISERROR(1/VLOOKUP($N288,Capa!$A:$AE,BM$5,0)),0,1/VLOOKUP($N288,Capa!$A:$AE,BM$5,0))))</f>
        <v/>
      </c>
      <c r="BN288" s="118" t="str">
        <f>IF(BN$6="","",IF(BN$3="Maior",IFERROR(IF(VLOOKUP($N288,Capa!$A:$AE,BN$5,0)="",0,VLOOKUP($N288,Capa!$A:$AE,BN$5,0)),0),IF(ISERROR(1/VLOOKUP($N288,Capa!$A:$AE,BN$5,0)),0,1/VLOOKUP($N288,Capa!$A:$AE,BN$5,0))))</f>
        <v/>
      </c>
      <c r="BO288" s="92"/>
    </row>
    <row r="289">
      <c r="G289" s="11"/>
      <c r="H289" s="11"/>
      <c r="I289" s="8"/>
      <c r="J289" s="132"/>
      <c r="K289" s="11"/>
      <c r="L289" s="11"/>
      <c r="M289" s="11"/>
      <c r="N289" s="10" t="s">
        <v>335</v>
      </c>
      <c r="O289" s="113">
        <f t="shared" si="8"/>
        <v>1657.0436</v>
      </c>
      <c r="P289" s="114">
        <f>VLOOKUP(N289,'Dados StatusInvest'!A:Z,26,0)</f>
        <v>970027.96</v>
      </c>
      <c r="Q289" s="115">
        <f t="shared" si="9"/>
        <v>436.0436</v>
      </c>
      <c r="R289" s="116">
        <f t="shared" ref="R289:AO289" si="292">IF(AQ289="","", RANK(AQ289,AQ$7:AQ$503,0))</f>
        <v>2</v>
      </c>
      <c r="S289" s="115">
        <f t="shared" si="292"/>
        <v>219</v>
      </c>
      <c r="T289" s="115" t="str">
        <f t="shared" si="292"/>
        <v/>
      </c>
      <c r="U289" s="115" t="str">
        <f t="shared" si="292"/>
        <v/>
      </c>
      <c r="V289" s="115" t="str">
        <f t="shared" si="292"/>
        <v/>
      </c>
      <c r="W289" s="115" t="str">
        <f t="shared" si="292"/>
        <v/>
      </c>
      <c r="X289" s="115" t="str">
        <f t="shared" si="292"/>
        <v/>
      </c>
      <c r="Y289" s="115" t="str">
        <f t="shared" si="292"/>
        <v/>
      </c>
      <c r="Z289" s="115" t="str">
        <f t="shared" si="292"/>
        <v/>
      </c>
      <c r="AA289" s="115" t="str">
        <f t="shared" si="292"/>
        <v/>
      </c>
      <c r="AB289" s="115" t="str">
        <f t="shared" si="292"/>
        <v/>
      </c>
      <c r="AC289" s="115" t="str">
        <f t="shared" si="292"/>
        <v/>
      </c>
      <c r="AD289" s="115" t="str">
        <f t="shared" si="292"/>
        <v/>
      </c>
      <c r="AE289" s="115" t="str">
        <f t="shared" si="292"/>
        <v/>
      </c>
      <c r="AF289" s="115" t="str">
        <f t="shared" si="292"/>
        <v/>
      </c>
      <c r="AG289" s="115" t="str">
        <f t="shared" si="292"/>
        <v/>
      </c>
      <c r="AH289" s="115" t="str">
        <f t="shared" si="292"/>
        <v/>
      </c>
      <c r="AI289" s="115" t="str">
        <f t="shared" si="292"/>
        <v/>
      </c>
      <c r="AJ289" s="115" t="str">
        <f t="shared" si="292"/>
        <v/>
      </c>
      <c r="AK289" s="115" t="str">
        <f t="shared" si="292"/>
        <v/>
      </c>
      <c r="AL289" s="115" t="str">
        <f t="shared" si="292"/>
        <v/>
      </c>
      <c r="AM289" s="115" t="str">
        <f t="shared" si="292"/>
        <v/>
      </c>
      <c r="AN289" s="115" t="str">
        <f t="shared" si="292"/>
        <v/>
      </c>
      <c r="AO289" s="115" t="str">
        <f t="shared" si="292"/>
        <v/>
      </c>
      <c r="AP289" s="117">
        <f>IF(AP$6="","",IF(AP$3="Maior",IFERROR(IF(VLOOKUP($N289,Capa!$A:$AE,AP$5,0)="",0,VLOOKUP($N289,Capa!$A:$AE,AP$5,0)),0),IF(ISERROR(1/VLOOKUP($N289,Capa!$A:$AE,AP$5,0)),0,1/VLOOKUP($N289,Capa!$A:$AE,AP$5,0))))</f>
        <v>-0.05497061187</v>
      </c>
      <c r="AQ289" s="118">
        <f>IF(AQ$6="","",IF(AQ$3="Maior",IFERROR(IF(VLOOKUP($N289,Capa!$A:$AE,AQ$5,0)="",0,VLOOKUP($N289,Capa!$A:$AE,AQ$5,0)),0),IF(ISERROR(1/VLOOKUP($N289,Capa!$A:$AE,AQ$5,0)),0,1/VLOOKUP($N289,Capa!$A:$AE,AQ$5,0))))</f>
        <v>737.8</v>
      </c>
      <c r="AR289" s="118">
        <f>IF(AR$6="","",IF(AR$3="Maior",IFERROR(IF(VLOOKUP($N289,Capa!$A:$AE,AR$5,0)="",0,VLOOKUP($N289,Capa!$A:$AE,AR$5,0)),0),IF(ISERROR(1/VLOOKUP($N289,Capa!$A:$AE,AR$5,0)),0,1/VLOOKUP($N289,Capa!$A:$AE,AR$5,0))))</f>
        <v>0</v>
      </c>
      <c r="AS289" s="118" t="str">
        <f>IF(AS$6="","",IF(AS$3="Maior",IFERROR(IF(VLOOKUP($N289,Capa!$A:$AE,AS$5,0)="",0,VLOOKUP($N289,Capa!$A:$AE,AS$5,0)),0),IF(ISERROR(1/VLOOKUP($N289,Capa!$A:$AE,AS$5,0)),0,1/VLOOKUP($N289,Capa!$A:$AE,AS$5,0))))</f>
        <v/>
      </c>
      <c r="AT289" s="118" t="str">
        <f>IF(AT$6="","",IF(AT$3="Maior",IFERROR(IF(VLOOKUP($N289,Capa!$A:$AE,AT$5,0)="",0,VLOOKUP($N289,Capa!$A:$AE,AT$5,0)),0),IF(ISERROR(1/VLOOKUP($N289,Capa!$A:$AE,AT$5,0)),0,1/VLOOKUP($N289,Capa!$A:$AE,AT$5,0))))</f>
        <v/>
      </c>
      <c r="AU289" s="118" t="str">
        <f>IF(AU$6="","",IF(AU$3="Maior",IFERROR(IF(VLOOKUP($N289,Capa!$A:$AE,AU$5,0)="",0,VLOOKUP($N289,Capa!$A:$AE,AU$5,0)),0),IF(ISERROR(1/VLOOKUP($N289,Capa!$A:$AE,AU$5,0)),0,1/VLOOKUP($N289,Capa!$A:$AE,AU$5,0))))</f>
        <v/>
      </c>
      <c r="AV289" s="118" t="str">
        <f>IF(AV$6="","",IF(AV$3="Maior",IFERROR(IF(VLOOKUP($N289,Capa!$A:$AE,AV$5,0)="",0,VLOOKUP($N289,Capa!$A:$AE,AV$5,0)),0),IF(ISERROR(1/VLOOKUP($N289,Capa!$A:$AE,AV$5,0)),0,1/VLOOKUP($N289,Capa!$A:$AE,AV$5,0))))</f>
        <v/>
      </c>
      <c r="AW289" s="118" t="str">
        <f>IF(AW$6="","",IF(AW$3="Maior",IFERROR(IF(VLOOKUP($N289,Capa!$A:$AE,AW$5,0)="",0,VLOOKUP($N289,Capa!$A:$AE,AW$5,0)),0),IF(ISERROR(1/VLOOKUP($N289,Capa!$A:$AE,AW$5,0)),0,1/VLOOKUP($N289,Capa!$A:$AE,AW$5,0))))</f>
        <v/>
      </c>
      <c r="AX289" s="118" t="str">
        <f>IF(AX$6="","",IF(AX$3="Maior",IFERROR(IF(VLOOKUP($N289,Capa!$A:$AE,AX$5,0)="",0,VLOOKUP($N289,Capa!$A:$AE,AX$5,0)),0),IF(ISERROR(1/VLOOKUP($N289,Capa!$A:$AE,AX$5,0)),0,1/VLOOKUP($N289,Capa!$A:$AE,AX$5,0))))</f>
        <v/>
      </c>
      <c r="AY289" s="118" t="str">
        <f>IF(AY$6="","",IF(AY$3="Maior",IFERROR(IF(VLOOKUP($N289,Capa!$A:$AE,AY$5,0)="",0,VLOOKUP($N289,Capa!$A:$AE,AY$5,0)),0),IF(ISERROR(1/VLOOKUP($N289,Capa!$A:$AE,AY$5,0)),0,1/VLOOKUP($N289,Capa!$A:$AE,AY$5,0))))</f>
        <v/>
      </c>
      <c r="AZ289" s="118" t="str">
        <f>IF(AZ$6="","",IF(AZ$3="Maior",IFERROR(IF(VLOOKUP($N289,Capa!$A:$AE,AZ$5,0)="",0,VLOOKUP($N289,Capa!$A:$AE,AZ$5,0)),0),IF(ISERROR(1/VLOOKUP($N289,Capa!$A:$AE,AZ$5,0)),0,1/VLOOKUP($N289,Capa!$A:$AE,AZ$5,0))))</f>
        <v/>
      </c>
      <c r="BA289" s="118" t="str">
        <f>IF(BA$6="","",IF(BA$3="Maior",IFERROR(IF(VLOOKUP($N289,Capa!$A:$AE,BA$5,0)="",0,VLOOKUP($N289,Capa!$A:$AE,BA$5,0)),0),IF(ISERROR(1/VLOOKUP($N289,Capa!$A:$AE,BA$5,0)),0,1/VLOOKUP($N289,Capa!$A:$AE,BA$5,0))))</f>
        <v/>
      </c>
      <c r="BB289" s="118" t="str">
        <f>IF(BB$6="","",IF(BB$3="Maior",IFERROR(IF(VLOOKUP($N289,Capa!$A:$AE,BB$5,0)="",0,VLOOKUP($N289,Capa!$A:$AE,BB$5,0)),0),IF(ISERROR(1/VLOOKUP($N289,Capa!$A:$AE,BB$5,0)),0,1/VLOOKUP($N289,Capa!$A:$AE,BB$5,0))))</f>
        <v/>
      </c>
      <c r="BC289" s="118" t="str">
        <f>IF(BC$6="","",IF(BC$3="Maior",IFERROR(IF(VLOOKUP($N289,Capa!$A:$AE,BC$5,0)="",0,VLOOKUP($N289,Capa!$A:$AE,BC$5,0)),0),IF(ISERROR(1/VLOOKUP($N289,Capa!$A:$AE,BC$5,0)),0,1/VLOOKUP($N289,Capa!$A:$AE,BC$5,0))))</f>
        <v/>
      </c>
      <c r="BD289" s="118" t="str">
        <f>IF(BD$6="","",IF(BD$3="Maior",IFERROR(IF(VLOOKUP($N289,Capa!$A:$AE,BD$5,0)="",0,VLOOKUP($N289,Capa!$A:$AE,BD$5,0)),0),IF(ISERROR(1/VLOOKUP($N289,Capa!$A:$AE,BD$5,0)),0,1/VLOOKUP($N289,Capa!$A:$AE,BD$5,0))))</f>
        <v/>
      </c>
      <c r="BE289" s="118" t="str">
        <f>IF(BE$6="","",IF(BE$3="Maior",IFERROR(IF(VLOOKUP($N289,Capa!$A:$AE,BE$5,0)="",0,VLOOKUP($N289,Capa!$A:$AE,BE$5,0)),0),IF(ISERROR(1/VLOOKUP($N289,Capa!$A:$AE,BE$5,0)),0,1/VLOOKUP($N289,Capa!$A:$AE,BE$5,0))))</f>
        <v/>
      </c>
      <c r="BF289" s="118" t="str">
        <f>IF(BF$6="","",IF(BF$3="Maior",IFERROR(IF(VLOOKUP($N289,Capa!$A:$AE,BF$5,0)="",0,VLOOKUP($N289,Capa!$A:$AE,BF$5,0)),0),IF(ISERROR(1/VLOOKUP($N289,Capa!$A:$AE,BF$5,0)),0,1/VLOOKUP($N289,Capa!$A:$AE,BF$5,0))))</f>
        <v/>
      </c>
      <c r="BG289" s="118" t="str">
        <f>IF(BG$6="","",IF(BG$3="Maior",IFERROR(IF(VLOOKUP($N289,Capa!$A:$AE,BG$5,0)="",0,VLOOKUP($N289,Capa!$A:$AE,BG$5,0)),0),IF(ISERROR(1/VLOOKUP($N289,Capa!$A:$AE,BG$5,0)),0,1/VLOOKUP($N289,Capa!$A:$AE,BG$5,0))))</f>
        <v/>
      </c>
      <c r="BH289" s="118" t="str">
        <f>IF(BH$6="","",IF(BH$3="Maior",IFERROR(IF(VLOOKUP($N289,Capa!$A:$AE,BH$5,0)="",0,VLOOKUP($N289,Capa!$A:$AE,BH$5,0)),0),IF(ISERROR(1/VLOOKUP($N289,Capa!$A:$AE,BH$5,0)),0,1/VLOOKUP($N289,Capa!$A:$AE,BH$5,0))))</f>
        <v/>
      </c>
      <c r="BI289" s="118" t="str">
        <f>IF(BI$6="","",IF(BI$3="Maior",IFERROR(IF(VLOOKUP($N289,Capa!$A:$AE,BI$5,0)="",0,VLOOKUP($N289,Capa!$A:$AE,BI$5,0)),0),IF(ISERROR(1/VLOOKUP($N289,Capa!$A:$AE,BI$5,0)),0,1/VLOOKUP($N289,Capa!$A:$AE,BI$5,0))))</f>
        <v/>
      </c>
      <c r="BJ289" s="118" t="str">
        <f>IF(BJ$6="","",IF(BJ$3="Maior",IFERROR(IF(VLOOKUP($N289,Capa!$A:$AE,BJ$5,0)="",0,VLOOKUP($N289,Capa!$A:$AE,BJ$5,0)),0),IF(ISERROR(1/VLOOKUP($N289,Capa!$A:$AE,BJ$5,0)),0,1/VLOOKUP($N289,Capa!$A:$AE,BJ$5,0))))</f>
        <v/>
      </c>
      <c r="BK289" s="118" t="str">
        <f>IF(BK$6="","",IF(BK$3="Maior",IFERROR(IF(VLOOKUP($N289,Capa!$A:$AE,BK$5,0)="",0,VLOOKUP($N289,Capa!$A:$AE,BK$5,0)),0),IF(ISERROR(1/VLOOKUP($N289,Capa!$A:$AE,BK$5,0)),0,1/VLOOKUP($N289,Capa!$A:$AE,BK$5,0))))</f>
        <v/>
      </c>
      <c r="BL289" s="118" t="str">
        <f>IF(BL$6="","",IF(BL$3="Maior",IFERROR(IF(VLOOKUP($N289,Capa!$A:$AE,BL$5,0)="",0,VLOOKUP($N289,Capa!$A:$AE,BL$5,0)),0),IF(ISERROR(1/VLOOKUP($N289,Capa!$A:$AE,BL$5,0)),0,1/VLOOKUP($N289,Capa!$A:$AE,BL$5,0))))</f>
        <v/>
      </c>
      <c r="BM289" s="118" t="str">
        <f>IF(BM$6="","",IF(BM$3="Maior",IFERROR(IF(VLOOKUP($N289,Capa!$A:$AE,BM$5,0)="",0,VLOOKUP($N289,Capa!$A:$AE,BM$5,0)),0),IF(ISERROR(1/VLOOKUP($N289,Capa!$A:$AE,BM$5,0)),0,1/VLOOKUP($N289,Capa!$A:$AE,BM$5,0))))</f>
        <v/>
      </c>
      <c r="BN289" s="118" t="str">
        <f>IF(BN$6="","",IF(BN$3="Maior",IFERROR(IF(VLOOKUP($N289,Capa!$A:$AE,BN$5,0)="",0,VLOOKUP($N289,Capa!$A:$AE,BN$5,0)),0),IF(ISERROR(1/VLOOKUP($N289,Capa!$A:$AE,BN$5,0)),0,1/VLOOKUP($N289,Capa!$A:$AE,BN$5,0))))</f>
        <v/>
      </c>
      <c r="BO289" s="92"/>
    </row>
    <row r="290">
      <c r="G290" s="11"/>
      <c r="H290" s="11"/>
      <c r="I290" s="8"/>
      <c r="J290" s="132"/>
      <c r="K290" s="11"/>
      <c r="L290" s="11"/>
      <c r="M290" s="11"/>
      <c r="N290" s="10" t="s">
        <v>336</v>
      </c>
      <c r="O290" s="113">
        <f t="shared" si="8"/>
        <v>1756.0309</v>
      </c>
      <c r="P290" s="114">
        <f>VLOOKUP(N290,'Dados StatusInvest'!A:Z,26,0)</f>
        <v>866172.63</v>
      </c>
      <c r="Q290" s="115">
        <f t="shared" si="9"/>
        <v>309.0309</v>
      </c>
      <c r="R290" s="116">
        <f t="shared" ref="R290:AO290" si="293">IF(AQ290="","", RANK(AQ290,AQ$7:AQ$503,0))</f>
        <v>350</v>
      </c>
      <c r="S290" s="115">
        <f t="shared" si="293"/>
        <v>97</v>
      </c>
      <c r="T290" s="115" t="str">
        <f t="shared" si="293"/>
        <v/>
      </c>
      <c r="U290" s="115" t="str">
        <f t="shared" si="293"/>
        <v/>
      </c>
      <c r="V290" s="115" t="str">
        <f t="shared" si="293"/>
        <v/>
      </c>
      <c r="W290" s="115" t="str">
        <f t="shared" si="293"/>
        <v/>
      </c>
      <c r="X290" s="115" t="str">
        <f t="shared" si="293"/>
        <v/>
      </c>
      <c r="Y290" s="115" t="str">
        <f t="shared" si="293"/>
        <v/>
      </c>
      <c r="Z290" s="115" t="str">
        <f t="shared" si="293"/>
        <v/>
      </c>
      <c r="AA290" s="115" t="str">
        <f t="shared" si="293"/>
        <v/>
      </c>
      <c r="AB290" s="115" t="str">
        <f t="shared" si="293"/>
        <v/>
      </c>
      <c r="AC290" s="115" t="str">
        <f t="shared" si="293"/>
        <v/>
      </c>
      <c r="AD290" s="115" t="str">
        <f t="shared" si="293"/>
        <v/>
      </c>
      <c r="AE290" s="115" t="str">
        <f t="shared" si="293"/>
        <v/>
      </c>
      <c r="AF290" s="115" t="str">
        <f t="shared" si="293"/>
        <v/>
      </c>
      <c r="AG290" s="115" t="str">
        <f t="shared" si="293"/>
        <v/>
      </c>
      <c r="AH290" s="115" t="str">
        <f t="shared" si="293"/>
        <v/>
      </c>
      <c r="AI290" s="115" t="str">
        <f t="shared" si="293"/>
        <v/>
      </c>
      <c r="AJ290" s="115" t="str">
        <f t="shared" si="293"/>
        <v/>
      </c>
      <c r="AK290" s="115" t="str">
        <f t="shared" si="293"/>
        <v/>
      </c>
      <c r="AL290" s="115" t="str">
        <f t="shared" si="293"/>
        <v/>
      </c>
      <c r="AM290" s="115" t="str">
        <f t="shared" si="293"/>
        <v/>
      </c>
      <c r="AN290" s="115" t="str">
        <f t="shared" si="293"/>
        <v/>
      </c>
      <c r="AO290" s="115" t="str">
        <f t="shared" si="293"/>
        <v/>
      </c>
      <c r="AP290" s="117">
        <f>IF(AP$6="","",IF(AP$3="Maior",IFERROR(IF(VLOOKUP($N290,Capa!$A:$AE,AP$5,0)="",0,VLOOKUP($N290,Capa!$A:$AE,AP$5,0)),0),IF(ISERROR(1/VLOOKUP($N290,Capa!$A:$AE,AP$5,0)),0,1/VLOOKUP($N290,Capa!$A:$AE,AP$5,0))))</f>
        <v>0.05028344298</v>
      </c>
      <c r="AQ290" s="118">
        <f>IF(AQ$6="","",IF(AQ$3="Maior",IFERROR(IF(VLOOKUP($N290,Capa!$A:$AE,AQ$5,0)="",0,VLOOKUP($N290,Capa!$A:$AE,AQ$5,0)),0),IF(ISERROR(1/VLOOKUP($N290,Capa!$A:$AE,AQ$5,0)),0,1/VLOOKUP($N290,Capa!$A:$AE,AQ$5,0))))</f>
        <v>2.3</v>
      </c>
      <c r="AR290" s="118">
        <f>IF(AR$6="","",IF(AR$3="Maior",IFERROR(IF(VLOOKUP($N290,Capa!$A:$AE,AR$5,0)="",0,VLOOKUP($N290,Capa!$A:$AE,AR$5,0)),0),IF(ISERROR(1/VLOOKUP($N290,Capa!$A:$AE,AR$5,0)),0,1/VLOOKUP($N290,Capa!$A:$AE,AR$5,0))))</f>
        <v>25.82</v>
      </c>
      <c r="AS290" s="118" t="str">
        <f>IF(AS$6="","",IF(AS$3="Maior",IFERROR(IF(VLOOKUP($N290,Capa!$A:$AE,AS$5,0)="",0,VLOOKUP($N290,Capa!$A:$AE,AS$5,0)),0),IF(ISERROR(1/VLOOKUP($N290,Capa!$A:$AE,AS$5,0)),0,1/VLOOKUP($N290,Capa!$A:$AE,AS$5,0))))</f>
        <v/>
      </c>
      <c r="AT290" s="118" t="str">
        <f>IF(AT$6="","",IF(AT$3="Maior",IFERROR(IF(VLOOKUP($N290,Capa!$A:$AE,AT$5,0)="",0,VLOOKUP($N290,Capa!$A:$AE,AT$5,0)),0),IF(ISERROR(1/VLOOKUP($N290,Capa!$A:$AE,AT$5,0)),0,1/VLOOKUP($N290,Capa!$A:$AE,AT$5,0))))</f>
        <v/>
      </c>
      <c r="AU290" s="118" t="str">
        <f>IF(AU$6="","",IF(AU$3="Maior",IFERROR(IF(VLOOKUP($N290,Capa!$A:$AE,AU$5,0)="",0,VLOOKUP($N290,Capa!$A:$AE,AU$5,0)),0),IF(ISERROR(1/VLOOKUP($N290,Capa!$A:$AE,AU$5,0)),0,1/VLOOKUP($N290,Capa!$A:$AE,AU$5,0))))</f>
        <v/>
      </c>
      <c r="AV290" s="118" t="str">
        <f>IF(AV$6="","",IF(AV$3="Maior",IFERROR(IF(VLOOKUP($N290,Capa!$A:$AE,AV$5,0)="",0,VLOOKUP($N290,Capa!$A:$AE,AV$5,0)),0),IF(ISERROR(1/VLOOKUP($N290,Capa!$A:$AE,AV$5,0)),0,1/VLOOKUP($N290,Capa!$A:$AE,AV$5,0))))</f>
        <v/>
      </c>
      <c r="AW290" s="118" t="str">
        <f>IF(AW$6="","",IF(AW$3="Maior",IFERROR(IF(VLOOKUP($N290,Capa!$A:$AE,AW$5,0)="",0,VLOOKUP($N290,Capa!$A:$AE,AW$5,0)),0),IF(ISERROR(1/VLOOKUP($N290,Capa!$A:$AE,AW$5,0)),0,1/VLOOKUP($N290,Capa!$A:$AE,AW$5,0))))</f>
        <v/>
      </c>
      <c r="AX290" s="118" t="str">
        <f>IF(AX$6="","",IF(AX$3="Maior",IFERROR(IF(VLOOKUP($N290,Capa!$A:$AE,AX$5,0)="",0,VLOOKUP($N290,Capa!$A:$AE,AX$5,0)),0),IF(ISERROR(1/VLOOKUP($N290,Capa!$A:$AE,AX$5,0)),0,1/VLOOKUP($N290,Capa!$A:$AE,AX$5,0))))</f>
        <v/>
      </c>
      <c r="AY290" s="118" t="str">
        <f>IF(AY$6="","",IF(AY$3="Maior",IFERROR(IF(VLOOKUP($N290,Capa!$A:$AE,AY$5,0)="",0,VLOOKUP($N290,Capa!$A:$AE,AY$5,0)),0),IF(ISERROR(1/VLOOKUP($N290,Capa!$A:$AE,AY$5,0)),0,1/VLOOKUP($N290,Capa!$A:$AE,AY$5,0))))</f>
        <v/>
      </c>
      <c r="AZ290" s="118" t="str">
        <f>IF(AZ$6="","",IF(AZ$3="Maior",IFERROR(IF(VLOOKUP($N290,Capa!$A:$AE,AZ$5,0)="",0,VLOOKUP($N290,Capa!$A:$AE,AZ$5,0)),0),IF(ISERROR(1/VLOOKUP($N290,Capa!$A:$AE,AZ$5,0)),0,1/VLOOKUP($N290,Capa!$A:$AE,AZ$5,0))))</f>
        <v/>
      </c>
      <c r="BA290" s="118" t="str">
        <f>IF(BA$6="","",IF(BA$3="Maior",IFERROR(IF(VLOOKUP($N290,Capa!$A:$AE,BA$5,0)="",0,VLOOKUP($N290,Capa!$A:$AE,BA$5,0)),0),IF(ISERROR(1/VLOOKUP($N290,Capa!$A:$AE,BA$5,0)),0,1/VLOOKUP($N290,Capa!$A:$AE,BA$5,0))))</f>
        <v/>
      </c>
      <c r="BB290" s="118" t="str">
        <f>IF(BB$6="","",IF(BB$3="Maior",IFERROR(IF(VLOOKUP($N290,Capa!$A:$AE,BB$5,0)="",0,VLOOKUP($N290,Capa!$A:$AE,BB$5,0)),0),IF(ISERROR(1/VLOOKUP($N290,Capa!$A:$AE,BB$5,0)),0,1/VLOOKUP($N290,Capa!$A:$AE,BB$5,0))))</f>
        <v/>
      </c>
      <c r="BC290" s="118" t="str">
        <f>IF(BC$6="","",IF(BC$3="Maior",IFERROR(IF(VLOOKUP($N290,Capa!$A:$AE,BC$5,0)="",0,VLOOKUP($N290,Capa!$A:$AE,BC$5,0)),0),IF(ISERROR(1/VLOOKUP($N290,Capa!$A:$AE,BC$5,0)),0,1/VLOOKUP($N290,Capa!$A:$AE,BC$5,0))))</f>
        <v/>
      </c>
      <c r="BD290" s="118" t="str">
        <f>IF(BD$6="","",IF(BD$3="Maior",IFERROR(IF(VLOOKUP($N290,Capa!$A:$AE,BD$5,0)="",0,VLOOKUP($N290,Capa!$A:$AE,BD$5,0)),0),IF(ISERROR(1/VLOOKUP($N290,Capa!$A:$AE,BD$5,0)),0,1/VLOOKUP($N290,Capa!$A:$AE,BD$5,0))))</f>
        <v/>
      </c>
      <c r="BE290" s="118" t="str">
        <f>IF(BE$6="","",IF(BE$3="Maior",IFERROR(IF(VLOOKUP($N290,Capa!$A:$AE,BE$5,0)="",0,VLOOKUP($N290,Capa!$A:$AE,BE$5,0)),0),IF(ISERROR(1/VLOOKUP($N290,Capa!$A:$AE,BE$5,0)),0,1/VLOOKUP($N290,Capa!$A:$AE,BE$5,0))))</f>
        <v/>
      </c>
      <c r="BF290" s="118" t="str">
        <f>IF(BF$6="","",IF(BF$3="Maior",IFERROR(IF(VLOOKUP($N290,Capa!$A:$AE,BF$5,0)="",0,VLOOKUP($N290,Capa!$A:$AE,BF$5,0)),0),IF(ISERROR(1/VLOOKUP($N290,Capa!$A:$AE,BF$5,0)),0,1/VLOOKUP($N290,Capa!$A:$AE,BF$5,0))))</f>
        <v/>
      </c>
      <c r="BG290" s="118" t="str">
        <f>IF(BG$6="","",IF(BG$3="Maior",IFERROR(IF(VLOOKUP($N290,Capa!$A:$AE,BG$5,0)="",0,VLOOKUP($N290,Capa!$A:$AE,BG$5,0)),0),IF(ISERROR(1/VLOOKUP($N290,Capa!$A:$AE,BG$5,0)),0,1/VLOOKUP($N290,Capa!$A:$AE,BG$5,0))))</f>
        <v/>
      </c>
      <c r="BH290" s="118" t="str">
        <f>IF(BH$6="","",IF(BH$3="Maior",IFERROR(IF(VLOOKUP($N290,Capa!$A:$AE,BH$5,0)="",0,VLOOKUP($N290,Capa!$A:$AE,BH$5,0)),0),IF(ISERROR(1/VLOOKUP($N290,Capa!$A:$AE,BH$5,0)),0,1/VLOOKUP($N290,Capa!$A:$AE,BH$5,0))))</f>
        <v/>
      </c>
      <c r="BI290" s="118" t="str">
        <f>IF(BI$6="","",IF(BI$3="Maior",IFERROR(IF(VLOOKUP($N290,Capa!$A:$AE,BI$5,0)="",0,VLOOKUP($N290,Capa!$A:$AE,BI$5,0)),0),IF(ISERROR(1/VLOOKUP($N290,Capa!$A:$AE,BI$5,0)),0,1/VLOOKUP($N290,Capa!$A:$AE,BI$5,0))))</f>
        <v/>
      </c>
      <c r="BJ290" s="118" t="str">
        <f>IF(BJ$6="","",IF(BJ$3="Maior",IFERROR(IF(VLOOKUP($N290,Capa!$A:$AE,BJ$5,0)="",0,VLOOKUP($N290,Capa!$A:$AE,BJ$5,0)),0),IF(ISERROR(1/VLOOKUP($N290,Capa!$A:$AE,BJ$5,0)),0,1/VLOOKUP($N290,Capa!$A:$AE,BJ$5,0))))</f>
        <v/>
      </c>
      <c r="BK290" s="118" t="str">
        <f>IF(BK$6="","",IF(BK$3="Maior",IFERROR(IF(VLOOKUP($N290,Capa!$A:$AE,BK$5,0)="",0,VLOOKUP($N290,Capa!$A:$AE,BK$5,0)),0),IF(ISERROR(1/VLOOKUP($N290,Capa!$A:$AE,BK$5,0)),0,1/VLOOKUP($N290,Capa!$A:$AE,BK$5,0))))</f>
        <v/>
      </c>
      <c r="BL290" s="118" t="str">
        <f>IF(BL$6="","",IF(BL$3="Maior",IFERROR(IF(VLOOKUP($N290,Capa!$A:$AE,BL$5,0)="",0,VLOOKUP($N290,Capa!$A:$AE,BL$5,0)),0),IF(ISERROR(1/VLOOKUP($N290,Capa!$A:$AE,BL$5,0)),0,1/VLOOKUP($N290,Capa!$A:$AE,BL$5,0))))</f>
        <v/>
      </c>
      <c r="BM290" s="118" t="str">
        <f>IF(BM$6="","",IF(BM$3="Maior",IFERROR(IF(VLOOKUP($N290,Capa!$A:$AE,BM$5,0)="",0,VLOOKUP($N290,Capa!$A:$AE,BM$5,0)),0),IF(ISERROR(1/VLOOKUP($N290,Capa!$A:$AE,BM$5,0)),0,1/VLOOKUP($N290,Capa!$A:$AE,BM$5,0))))</f>
        <v/>
      </c>
      <c r="BN290" s="118" t="str">
        <f>IF(BN$6="","",IF(BN$3="Maior",IFERROR(IF(VLOOKUP($N290,Capa!$A:$AE,BN$5,0)="",0,VLOOKUP($N290,Capa!$A:$AE,BN$5,0)),0),IF(ISERROR(1/VLOOKUP($N290,Capa!$A:$AE,BN$5,0)),0,1/VLOOKUP($N290,Capa!$A:$AE,BN$5,0))))</f>
        <v/>
      </c>
      <c r="BO290" s="92"/>
    </row>
    <row r="291">
      <c r="G291" s="11"/>
      <c r="H291" s="11"/>
      <c r="I291" s="8"/>
      <c r="J291" s="132"/>
      <c r="K291" s="11"/>
      <c r="L291" s="11"/>
      <c r="M291" s="11"/>
      <c r="N291" s="10" t="s">
        <v>337</v>
      </c>
      <c r="O291" s="113">
        <f t="shared" si="8"/>
        <v>1190.0049</v>
      </c>
      <c r="P291" s="114">
        <f>VLOOKUP(N291,'Dados StatusInvest'!A:Z,26,0)</f>
        <v>757701.08</v>
      </c>
      <c r="Q291" s="115">
        <f t="shared" si="9"/>
        <v>49.0049</v>
      </c>
      <c r="R291" s="116">
        <f t="shared" ref="R291:AO291" si="294">IF(AQ291="","", RANK(AQ291,AQ$7:AQ$503,0))</f>
        <v>40</v>
      </c>
      <c r="S291" s="115">
        <f t="shared" si="294"/>
        <v>101</v>
      </c>
      <c r="T291" s="115" t="str">
        <f t="shared" si="294"/>
        <v/>
      </c>
      <c r="U291" s="115" t="str">
        <f t="shared" si="294"/>
        <v/>
      </c>
      <c r="V291" s="115" t="str">
        <f t="shared" si="294"/>
        <v/>
      </c>
      <c r="W291" s="115" t="str">
        <f t="shared" si="294"/>
        <v/>
      </c>
      <c r="X291" s="115" t="str">
        <f t="shared" si="294"/>
        <v/>
      </c>
      <c r="Y291" s="115" t="str">
        <f t="shared" si="294"/>
        <v/>
      </c>
      <c r="Z291" s="115" t="str">
        <f t="shared" si="294"/>
        <v/>
      </c>
      <c r="AA291" s="115" t="str">
        <f t="shared" si="294"/>
        <v/>
      </c>
      <c r="AB291" s="115" t="str">
        <f t="shared" si="294"/>
        <v/>
      </c>
      <c r="AC291" s="115" t="str">
        <f t="shared" si="294"/>
        <v/>
      </c>
      <c r="AD291" s="115" t="str">
        <f t="shared" si="294"/>
        <v/>
      </c>
      <c r="AE291" s="115" t="str">
        <f t="shared" si="294"/>
        <v/>
      </c>
      <c r="AF291" s="115" t="str">
        <f t="shared" si="294"/>
        <v/>
      </c>
      <c r="AG291" s="115" t="str">
        <f t="shared" si="294"/>
        <v/>
      </c>
      <c r="AH291" s="115" t="str">
        <f t="shared" si="294"/>
        <v/>
      </c>
      <c r="AI291" s="115" t="str">
        <f t="shared" si="294"/>
        <v/>
      </c>
      <c r="AJ291" s="115" t="str">
        <f t="shared" si="294"/>
        <v/>
      </c>
      <c r="AK291" s="115" t="str">
        <f t="shared" si="294"/>
        <v/>
      </c>
      <c r="AL291" s="115" t="str">
        <f t="shared" si="294"/>
        <v/>
      </c>
      <c r="AM291" s="115" t="str">
        <f t="shared" si="294"/>
        <v/>
      </c>
      <c r="AN291" s="115" t="str">
        <f t="shared" si="294"/>
        <v/>
      </c>
      <c r="AO291" s="115" t="str">
        <f t="shared" si="294"/>
        <v/>
      </c>
      <c r="AP291" s="117">
        <f>IF(AP$6="","",IF(AP$3="Maior",IFERROR(IF(VLOOKUP($N291,Capa!$A:$AE,AP$5,0)="",0,VLOOKUP($N291,Capa!$A:$AE,AP$5,0)),0),IF(ISERROR(1/VLOOKUP($N291,Capa!$A:$AE,AP$5,0)),0,1/VLOOKUP($N291,Capa!$A:$AE,AP$5,0))))</f>
        <v>0.2467798242</v>
      </c>
      <c r="AQ291" s="118">
        <f>IF(AQ$6="","",IF(AQ$3="Maior",IFERROR(IF(VLOOKUP($N291,Capa!$A:$AE,AQ$5,0)="",0,VLOOKUP($N291,Capa!$A:$AE,AQ$5,0)),0),IF(ISERROR(1/VLOOKUP($N291,Capa!$A:$AE,AQ$5,0)),0,1/VLOOKUP($N291,Capa!$A:$AE,AQ$5,0))))</f>
        <v>31.39</v>
      </c>
      <c r="AR291" s="118">
        <f>IF(AR$6="","",IF(AR$3="Maior",IFERROR(IF(VLOOKUP($N291,Capa!$A:$AE,AR$5,0)="",0,VLOOKUP($N291,Capa!$A:$AE,AR$5,0)),0),IF(ISERROR(1/VLOOKUP($N291,Capa!$A:$AE,AR$5,0)),0,1/VLOOKUP($N291,Capa!$A:$AE,AR$5,0))))</f>
        <v>25.52</v>
      </c>
      <c r="AS291" s="118" t="str">
        <f>IF(AS$6="","",IF(AS$3="Maior",IFERROR(IF(VLOOKUP($N291,Capa!$A:$AE,AS$5,0)="",0,VLOOKUP($N291,Capa!$A:$AE,AS$5,0)),0),IF(ISERROR(1/VLOOKUP($N291,Capa!$A:$AE,AS$5,0)),0,1/VLOOKUP($N291,Capa!$A:$AE,AS$5,0))))</f>
        <v/>
      </c>
      <c r="AT291" s="118" t="str">
        <f>IF(AT$6="","",IF(AT$3="Maior",IFERROR(IF(VLOOKUP($N291,Capa!$A:$AE,AT$5,0)="",0,VLOOKUP($N291,Capa!$A:$AE,AT$5,0)),0),IF(ISERROR(1/VLOOKUP($N291,Capa!$A:$AE,AT$5,0)),0,1/VLOOKUP($N291,Capa!$A:$AE,AT$5,0))))</f>
        <v/>
      </c>
      <c r="AU291" s="118" t="str">
        <f>IF(AU$6="","",IF(AU$3="Maior",IFERROR(IF(VLOOKUP($N291,Capa!$A:$AE,AU$5,0)="",0,VLOOKUP($N291,Capa!$A:$AE,AU$5,0)),0),IF(ISERROR(1/VLOOKUP($N291,Capa!$A:$AE,AU$5,0)),0,1/VLOOKUP($N291,Capa!$A:$AE,AU$5,0))))</f>
        <v/>
      </c>
      <c r="AV291" s="118" t="str">
        <f>IF(AV$6="","",IF(AV$3="Maior",IFERROR(IF(VLOOKUP($N291,Capa!$A:$AE,AV$5,0)="",0,VLOOKUP($N291,Capa!$A:$AE,AV$5,0)),0),IF(ISERROR(1/VLOOKUP($N291,Capa!$A:$AE,AV$5,0)),0,1/VLOOKUP($N291,Capa!$A:$AE,AV$5,0))))</f>
        <v/>
      </c>
      <c r="AW291" s="118" t="str">
        <f>IF(AW$6="","",IF(AW$3="Maior",IFERROR(IF(VLOOKUP($N291,Capa!$A:$AE,AW$5,0)="",0,VLOOKUP($N291,Capa!$A:$AE,AW$5,0)),0),IF(ISERROR(1/VLOOKUP($N291,Capa!$A:$AE,AW$5,0)),0,1/VLOOKUP($N291,Capa!$A:$AE,AW$5,0))))</f>
        <v/>
      </c>
      <c r="AX291" s="118" t="str">
        <f>IF(AX$6="","",IF(AX$3="Maior",IFERROR(IF(VLOOKUP($N291,Capa!$A:$AE,AX$5,0)="",0,VLOOKUP($N291,Capa!$A:$AE,AX$5,0)),0),IF(ISERROR(1/VLOOKUP($N291,Capa!$A:$AE,AX$5,0)),0,1/VLOOKUP($N291,Capa!$A:$AE,AX$5,0))))</f>
        <v/>
      </c>
      <c r="AY291" s="118" t="str">
        <f>IF(AY$6="","",IF(AY$3="Maior",IFERROR(IF(VLOOKUP($N291,Capa!$A:$AE,AY$5,0)="",0,VLOOKUP($N291,Capa!$A:$AE,AY$5,0)),0),IF(ISERROR(1/VLOOKUP($N291,Capa!$A:$AE,AY$5,0)),0,1/VLOOKUP($N291,Capa!$A:$AE,AY$5,0))))</f>
        <v/>
      </c>
      <c r="AZ291" s="118" t="str">
        <f>IF(AZ$6="","",IF(AZ$3="Maior",IFERROR(IF(VLOOKUP($N291,Capa!$A:$AE,AZ$5,0)="",0,VLOOKUP($N291,Capa!$A:$AE,AZ$5,0)),0),IF(ISERROR(1/VLOOKUP($N291,Capa!$A:$AE,AZ$5,0)),0,1/VLOOKUP($N291,Capa!$A:$AE,AZ$5,0))))</f>
        <v/>
      </c>
      <c r="BA291" s="118" t="str">
        <f>IF(BA$6="","",IF(BA$3="Maior",IFERROR(IF(VLOOKUP($N291,Capa!$A:$AE,BA$5,0)="",0,VLOOKUP($N291,Capa!$A:$AE,BA$5,0)),0),IF(ISERROR(1/VLOOKUP($N291,Capa!$A:$AE,BA$5,0)),0,1/VLOOKUP($N291,Capa!$A:$AE,BA$5,0))))</f>
        <v/>
      </c>
      <c r="BB291" s="118" t="str">
        <f>IF(BB$6="","",IF(BB$3="Maior",IFERROR(IF(VLOOKUP($N291,Capa!$A:$AE,BB$5,0)="",0,VLOOKUP($N291,Capa!$A:$AE,BB$5,0)),0),IF(ISERROR(1/VLOOKUP($N291,Capa!$A:$AE,BB$5,0)),0,1/VLOOKUP($N291,Capa!$A:$AE,BB$5,0))))</f>
        <v/>
      </c>
      <c r="BC291" s="118" t="str">
        <f>IF(BC$6="","",IF(BC$3="Maior",IFERROR(IF(VLOOKUP($N291,Capa!$A:$AE,BC$5,0)="",0,VLOOKUP($N291,Capa!$A:$AE,BC$5,0)),0),IF(ISERROR(1/VLOOKUP($N291,Capa!$A:$AE,BC$5,0)),0,1/VLOOKUP($N291,Capa!$A:$AE,BC$5,0))))</f>
        <v/>
      </c>
      <c r="BD291" s="118" t="str">
        <f>IF(BD$6="","",IF(BD$3="Maior",IFERROR(IF(VLOOKUP($N291,Capa!$A:$AE,BD$5,0)="",0,VLOOKUP($N291,Capa!$A:$AE,BD$5,0)),0),IF(ISERROR(1/VLOOKUP($N291,Capa!$A:$AE,BD$5,0)),0,1/VLOOKUP($N291,Capa!$A:$AE,BD$5,0))))</f>
        <v/>
      </c>
      <c r="BE291" s="118" t="str">
        <f>IF(BE$6="","",IF(BE$3="Maior",IFERROR(IF(VLOOKUP($N291,Capa!$A:$AE,BE$5,0)="",0,VLOOKUP($N291,Capa!$A:$AE,BE$5,0)),0),IF(ISERROR(1/VLOOKUP($N291,Capa!$A:$AE,BE$5,0)),0,1/VLOOKUP($N291,Capa!$A:$AE,BE$5,0))))</f>
        <v/>
      </c>
      <c r="BF291" s="118" t="str">
        <f>IF(BF$6="","",IF(BF$3="Maior",IFERROR(IF(VLOOKUP($N291,Capa!$A:$AE,BF$5,0)="",0,VLOOKUP($N291,Capa!$A:$AE,BF$5,0)),0),IF(ISERROR(1/VLOOKUP($N291,Capa!$A:$AE,BF$5,0)),0,1/VLOOKUP($N291,Capa!$A:$AE,BF$5,0))))</f>
        <v/>
      </c>
      <c r="BG291" s="118" t="str">
        <f>IF(BG$6="","",IF(BG$3="Maior",IFERROR(IF(VLOOKUP($N291,Capa!$A:$AE,BG$5,0)="",0,VLOOKUP($N291,Capa!$A:$AE,BG$5,0)),0),IF(ISERROR(1/VLOOKUP($N291,Capa!$A:$AE,BG$5,0)),0,1/VLOOKUP($N291,Capa!$A:$AE,BG$5,0))))</f>
        <v/>
      </c>
      <c r="BH291" s="118" t="str">
        <f>IF(BH$6="","",IF(BH$3="Maior",IFERROR(IF(VLOOKUP($N291,Capa!$A:$AE,BH$5,0)="",0,VLOOKUP($N291,Capa!$A:$AE,BH$5,0)),0),IF(ISERROR(1/VLOOKUP($N291,Capa!$A:$AE,BH$5,0)),0,1/VLOOKUP($N291,Capa!$A:$AE,BH$5,0))))</f>
        <v/>
      </c>
      <c r="BI291" s="118" t="str">
        <f>IF(BI$6="","",IF(BI$3="Maior",IFERROR(IF(VLOOKUP($N291,Capa!$A:$AE,BI$5,0)="",0,VLOOKUP($N291,Capa!$A:$AE,BI$5,0)),0),IF(ISERROR(1/VLOOKUP($N291,Capa!$A:$AE,BI$5,0)),0,1/VLOOKUP($N291,Capa!$A:$AE,BI$5,0))))</f>
        <v/>
      </c>
      <c r="BJ291" s="118" t="str">
        <f>IF(BJ$6="","",IF(BJ$3="Maior",IFERROR(IF(VLOOKUP($N291,Capa!$A:$AE,BJ$5,0)="",0,VLOOKUP($N291,Capa!$A:$AE,BJ$5,0)),0),IF(ISERROR(1/VLOOKUP($N291,Capa!$A:$AE,BJ$5,0)),0,1/VLOOKUP($N291,Capa!$A:$AE,BJ$5,0))))</f>
        <v/>
      </c>
      <c r="BK291" s="118" t="str">
        <f>IF(BK$6="","",IF(BK$3="Maior",IFERROR(IF(VLOOKUP($N291,Capa!$A:$AE,BK$5,0)="",0,VLOOKUP($N291,Capa!$A:$AE,BK$5,0)),0),IF(ISERROR(1/VLOOKUP($N291,Capa!$A:$AE,BK$5,0)),0,1/VLOOKUP($N291,Capa!$A:$AE,BK$5,0))))</f>
        <v/>
      </c>
      <c r="BL291" s="118" t="str">
        <f>IF(BL$6="","",IF(BL$3="Maior",IFERROR(IF(VLOOKUP($N291,Capa!$A:$AE,BL$5,0)="",0,VLOOKUP($N291,Capa!$A:$AE,BL$5,0)),0),IF(ISERROR(1/VLOOKUP($N291,Capa!$A:$AE,BL$5,0)),0,1/VLOOKUP($N291,Capa!$A:$AE,BL$5,0))))</f>
        <v/>
      </c>
      <c r="BM291" s="118" t="str">
        <f>IF(BM$6="","",IF(BM$3="Maior",IFERROR(IF(VLOOKUP($N291,Capa!$A:$AE,BM$5,0)="",0,VLOOKUP($N291,Capa!$A:$AE,BM$5,0)),0),IF(ISERROR(1/VLOOKUP($N291,Capa!$A:$AE,BM$5,0)),0,1/VLOOKUP($N291,Capa!$A:$AE,BM$5,0))))</f>
        <v/>
      </c>
      <c r="BN291" s="118" t="str">
        <f>IF(BN$6="","",IF(BN$3="Maior",IFERROR(IF(VLOOKUP($N291,Capa!$A:$AE,BN$5,0)="",0,VLOOKUP($N291,Capa!$A:$AE,BN$5,0)),0),IF(ISERROR(1/VLOOKUP($N291,Capa!$A:$AE,BN$5,0)),0,1/VLOOKUP($N291,Capa!$A:$AE,BN$5,0))))</f>
        <v/>
      </c>
      <c r="BO291" s="92"/>
    </row>
    <row r="292">
      <c r="G292" s="11"/>
      <c r="H292" s="11"/>
      <c r="I292" s="8"/>
      <c r="J292" s="132"/>
      <c r="K292" s="11"/>
      <c r="L292" s="11"/>
      <c r="M292" s="11"/>
      <c r="N292" s="10" t="s">
        <v>338</v>
      </c>
      <c r="O292" s="113">
        <f t="shared" si="8"/>
        <v>1374.0165</v>
      </c>
      <c r="P292" s="114">
        <f>VLOOKUP(N292,'Dados StatusInvest'!A:Z,26,0)</f>
        <v>1188136.58</v>
      </c>
      <c r="Q292" s="115">
        <f t="shared" si="9"/>
        <v>165.0165</v>
      </c>
      <c r="R292" s="116">
        <f t="shared" ref="R292:AO292" si="295">IF(AQ292="","", RANK(AQ292,AQ$7:AQ$503,0))</f>
        <v>145</v>
      </c>
      <c r="S292" s="115">
        <f t="shared" si="295"/>
        <v>64</v>
      </c>
      <c r="T292" s="115" t="str">
        <f t="shared" si="295"/>
        <v/>
      </c>
      <c r="U292" s="115" t="str">
        <f t="shared" si="295"/>
        <v/>
      </c>
      <c r="V292" s="115" t="str">
        <f t="shared" si="295"/>
        <v/>
      </c>
      <c r="W292" s="115" t="str">
        <f t="shared" si="295"/>
        <v/>
      </c>
      <c r="X292" s="115" t="str">
        <f t="shared" si="295"/>
        <v/>
      </c>
      <c r="Y292" s="115" t="str">
        <f t="shared" si="295"/>
        <v/>
      </c>
      <c r="Z292" s="115" t="str">
        <f t="shared" si="295"/>
        <v/>
      </c>
      <c r="AA292" s="115" t="str">
        <f t="shared" si="295"/>
        <v/>
      </c>
      <c r="AB292" s="115" t="str">
        <f t="shared" si="295"/>
        <v/>
      </c>
      <c r="AC292" s="115" t="str">
        <f t="shared" si="295"/>
        <v/>
      </c>
      <c r="AD292" s="115" t="str">
        <f t="shared" si="295"/>
        <v/>
      </c>
      <c r="AE292" s="115" t="str">
        <f t="shared" si="295"/>
        <v/>
      </c>
      <c r="AF292" s="115" t="str">
        <f t="shared" si="295"/>
        <v/>
      </c>
      <c r="AG292" s="115" t="str">
        <f t="shared" si="295"/>
        <v/>
      </c>
      <c r="AH292" s="115" t="str">
        <f t="shared" si="295"/>
        <v/>
      </c>
      <c r="AI292" s="115" t="str">
        <f t="shared" si="295"/>
        <v/>
      </c>
      <c r="AJ292" s="115" t="str">
        <f t="shared" si="295"/>
        <v/>
      </c>
      <c r="AK292" s="115" t="str">
        <f t="shared" si="295"/>
        <v/>
      </c>
      <c r="AL292" s="115" t="str">
        <f t="shared" si="295"/>
        <v/>
      </c>
      <c r="AM292" s="115" t="str">
        <f t="shared" si="295"/>
        <v/>
      </c>
      <c r="AN292" s="115" t="str">
        <f t="shared" si="295"/>
        <v/>
      </c>
      <c r="AO292" s="115" t="str">
        <f t="shared" si="295"/>
        <v/>
      </c>
      <c r="AP292" s="117">
        <f>IF(AP$6="","",IF(AP$3="Maior",IFERROR(IF(VLOOKUP($N292,Capa!$A:$AE,AP$5,0)="",0,VLOOKUP($N292,Capa!$A:$AE,AP$5,0)),0),IF(ISERROR(1/VLOOKUP($N292,Capa!$A:$AE,AP$5,0)),0,1/VLOOKUP($N292,Capa!$A:$AE,AP$5,0))))</f>
        <v>0.125099164</v>
      </c>
      <c r="AQ292" s="118">
        <f>IF(AQ$6="","",IF(AQ$3="Maior",IFERROR(IF(VLOOKUP($N292,Capa!$A:$AE,AQ$5,0)="",0,VLOOKUP($N292,Capa!$A:$AE,AQ$5,0)),0),IF(ISERROR(1/VLOOKUP($N292,Capa!$A:$AE,AQ$5,0)),0,1/VLOOKUP($N292,Capa!$A:$AE,AQ$5,0))))</f>
        <v>14.32</v>
      </c>
      <c r="AR292" s="118">
        <f>IF(AR$6="","",IF(AR$3="Maior",IFERROR(IF(VLOOKUP($N292,Capa!$A:$AE,AR$5,0)="",0,VLOOKUP($N292,Capa!$A:$AE,AR$5,0)),0),IF(ISERROR(1/VLOOKUP($N292,Capa!$A:$AE,AR$5,0)),0,1/VLOOKUP($N292,Capa!$A:$AE,AR$5,0))))</f>
        <v>39.63</v>
      </c>
      <c r="AS292" s="118" t="str">
        <f>IF(AS$6="","",IF(AS$3="Maior",IFERROR(IF(VLOOKUP($N292,Capa!$A:$AE,AS$5,0)="",0,VLOOKUP($N292,Capa!$A:$AE,AS$5,0)),0),IF(ISERROR(1/VLOOKUP($N292,Capa!$A:$AE,AS$5,0)),0,1/VLOOKUP($N292,Capa!$A:$AE,AS$5,0))))</f>
        <v/>
      </c>
      <c r="AT292" s="118" t="str">
        <f>IF(AT$6="","",IF(AT$3="Maior",IFERROR(IF(VLOOKUP($N292,Capa!$A:$AE,AT$5,0)="",0,VLOOKUP($N292,Capa!$A:$AE,AT$5,0)),0),IF(ISERROR(1/VLOOKUP($N292,Capa!$A:$AE,AT$5,0)),0,1/VLOOKUP($N292,Capa!$A:$AE,AT$5,0))))</f>
        <v/>
      </c>
      <c r="AU292" s="118" t="str">
        <f>IF(AU$6="","",IF(AU$3="Maior",IFERROR(IF(VLOOKUP($N292,Capa!$A:$AE,AU$5,0)="",0,VLOOKUP($N292,Capa!$A:$AE,AU$5,0)),0),IF(ISERROR(1/VLOOKUP($N292,Capa!$A:$AE,AU$5,0)),0,1/VLOOKUP($N292,Capa!$A:$AE,AU$5,0))))</f>
        <v/>
      </c>
      <c r="AV292" s="118" t="str">
        <f>IF(AV$6="","",IF(AV$3="Maior",IFERROR(IF(VLOOKUP($N292,Capa!$A:$AE,AV$5,0)="",0,VLOOKUP($N292,Capa!$A:$AE,AV$5,0)),0),IF(ISERROR(1/VLOOKUP($N292,Capa!$A:$AE,AV$5,0)),0,1/VLOOKUP($N292,Capa!$A:$AE,AV$5,0))))</f>
        <v/>
      </c>
      <c r="AW292" s="118" t="str">
        <f>IF(AW$6="","",IF(AW$3="Maior",IFERROR(IF(VLOOKUP($N292,Capa!$A:$AE,AW$5,0)="",0,VLOOKUP($N292,Capa!$A:$AE,AW$5,0)),0),IF(ISERROR(1/VLOOKUP($N292,Capa!$A:$AE,AW$5,0)),0,1/VLOOKUP($N292,Capa!$A:$AE,AW$5,0))))</f>
        <v/>
      </c>
      <c r="AX292" s="118" t="str">
        <f>IF(AX$6="","",IF(AX$3="Maior",IFERROR(IF(VLOOKUP($N292,Capa!$A:$AE,AX$5,0)="",0,VLOOKUP($N292,Capa!$A:$AE,AX$5,0)),0),IF(ISERROR(1/VLOOKUP($N292,Capa!$A:$AE,AX$5,0)),0,1/VLOOKUP($N292,Capa!$A:$AE,AX$5,0))))</f>
        <v/>
      </c>
      <c r="AY292" s="118" t="str">
        <f>IF(AY$6="","",IF(AY$3="Maior",IFERROR(IF(VLOOKUP($N292,Capa!$A:$AE,AY$5,0)="",0,VLOOKUP($N292,Capa!$A:$AE,AY$5,0)),0),IF(ISERROR(1/VLOOKUP($N292,Capa!$A:$AE,AY$5,0)),0,1/VLOOKUP($N292,Capa!$A:$AE,AY$5,0))))</f>
        <v/>
      </c>
      <c r="AZ292" s="118" t="str">
        <f>IF(AZ$6="","",IF(AZ$3="Maior",IFERROR(IF(VLOOKUP($N292,Capa!$A:$AE,AZ$5,0)="",0,VLOOKUP($N292,Capa!$A:$AE,AZ$5,0)),0),IF(ISERROR(1/VLOOKUP($N292,Capa!$A:$AE,AZ$5,0)),0,1/VLOOKUP($N292,Capa!$A:$AE,AZ$5,0))))</f>
        <v/>
      </c>
      <c r="BA292" s="118" t="str">
        <f>IF(BA$6="","",IF(BA$3="Maior",IFERROR(IF(VLOOKUP($N292,Capa!$A:$AE,BA$5,0)="",0,VLOOKUP($N292,Capa!$A:$AE,BA$5,0)),0),IF(ISERROR(1/VLOOKUP($N292,Capa!$A:$AE,BA$5,0)),0,1/VLOOKUP($N292,Capa!$A:$AE,BA$5,0))))</f>
        <v/>
      </c>
      <c r="BB292" s="118" t="str">
        <f>IF(BB$6="","",IF(BB$3="Maior",IFERROR(IF(VLOOKUP($N292,Capa!$A:$AE,BB$5,0)="",0,VLOOKUP($N292,Capa!$A:$AE,BB$5,0)),0),IF(ISERROR(1/VLOOKUP($N292,Capa!$A:$AE,BB$5,0)),0,1/VLOOKUP($N292,Capa!$A:$AE,BB$5,0))))</f>
        <v/>
      </c>
      <c r="BC292" s="118" t="str">
        <f>IF(BC$6="","",IF(BC$3="Maior",IFERROR(IF(VLOOKUP($N292,Capa!$A:$AE,BC$5,0)="",0,VLOOKUP($N292,Capa!$A:$AE,BC$5,0)),0),IF(ISERROR(1/VLOOKUP($N292,Capa!$A:$AE,BC$5,0)),0,1/VLOOKUP($N292,Capa!$A:$AE,BC$5,0))))</f>
        <v/>
      </c>
      <c r="BD292" s="118" t="str">
        <f>IF(BD$6="","",IF(BD$3="Maior",IFERROR(IF(VLOOKUP($N292,Capa!$A:$AE,BD$5,0)="",0,VLOOKUP($N292,Capa!$A:$AE,BD$5,0)),0),IF(ISERROR(1/VLOOKUP($N292,Capa!$A:$AE,BD$5,0)),0,1/VLOOKUP($N292,Capa!$A:$AE,BD$5,0))))</f>
        <v/>
      </c>
      <c r="BE292" s="118" t="str">
        <f>IF(BE$6="","",IF(BE$3="Maior",IFERROR(IF(VLOOKUP($N292,Capa!$A:$AE,BE$5,0)="",0,VLOOKUP($N292,Capa!$A:$AE,BE$5,0)),0),IF(ISERROR(1/VLOOKUP($N292,Capa!$A:$AE,BE$5,0)),0,1/VLOOKUP($N292,Capa!$A:$AE,BE$5,0))))</f>
        <v/>
      </c>
      <c r="BF292" s="118" t="str">
        <f>IF(BF$6="","",IF(BF$3="Maior",IFERROR(IF(VLOOKUP($N292,Capa!$A:$AE,BF$5,0)="",0,VLOOKUP($N292,Capa!$A:$AE,BF$5,0)),0),IF(ISERROR(1/VLOOKUP($N292,Capa!$A:$AE,BF$5,0)),0,1/VLOOKUP($N292,Capa!$A:$AE,BF$5,0))))</f>
        <v/>
      </c>
      <c r="BG292" s="118" t="str">
        <f>IF(BG$6="","",IF(BG$3="Maior",IFERROR(IF(VLOOKUP($N292,Capa!$A:$AE,BG$5,0)="",0,VLOOKUP($N292,Capa!$A:$AE,BG$5,0)),0),IF(ISERROR(1/VLOOKUP($N292,Capa!$A:$AE,BG$5,0)),0,1/VLOOKUP($N292,Capa!$A:$AE,BG$5,0))))</f>
        <v/>
      </c>
      <c r="BH292" s="118" t="str">
        <f>IF(BH$6="","",IF(BH$3="Maior",IFERROR(IF(VLOOKUP($N292,Capa!$A:$AE,BH$5,0)="",0,VLOOKUP($N292,Capa!$A:$AE,BH$5,0)),0),IF(ISERROR(1/VLOOKUP($N292,Capa!$A:$AE,BH$5,0)),0,1/VLOOKUP($N292,Capa!$A:$AE,BH$5,0))))</f>
        <v/>
      </c>
      <c r="BI292" s="118" t="str">
        <f>IF(BI$6="","",IF(BI$3="Maior",IFERROR(IF(VLOOKUP($N292,Capa!$A:$AE,BI$5,0)="",0,VLOOKUP($N292,Capa!$A:$AE,BI$5,0)),0),IF(ISERROR(1/VLOOKUP($N292,Capa!$A:$AE,BI$5,0)),0,1/VLOOKUP($N292,Capa!$A:$AE,BI$5,0))))</f>
        <v/>
      </c>
      <c r="BJ292" s="118" t="str">
        <f>IF(BJ$6="","",IF(BJ$3="Maior",IFERROR(IF(VLOOKUP($N292,Capa!$A:$AE,BJ$5,0)="",0,VLOOKUP($N292,Capa!$A:$AE,BJ$5,0)),0),IF(ISERROR(1/VLOOKUP($N292,Capa!$A:$AE,BJ$5,0)),0,1/VLOOKUP($N292,Capa!$A:$AE,BJ$5,0))))</f>
        <v/>
      </c>
      <c r="BK292" s="118" t="str">
        <f>IF(BK$6="","",IF(BK$3="Maior",IFERROR(IF(VLOOKUP($N292,Capa!$A:$AE,BK$5,0)="",0,VLOOKUP($N292,Capa!$A:$AE,BK$5,0)),0),IF(ISERROR(1/VLOOKUP($N292,Capa!$A:$AE,BK$5,0)),0,1/VLOOKUP($N292,Capa!$A:$AE,BK$5,0))))</f>
        <v/>
      </c>
      <c r="BL292" s="118" t="str">
        <f>IF(BL$6="","",IF(BL$3="Maior",IFERROR(IF(VLOOKUP($N292,Capa!$A:$AE,BL$5,0)="",0,VLOOKUP($N292,Capa!$A:$AE,BL$5,0)),0),IF(ISERROR(1/VLOOKUP($N292,Capa!$A:$AE,BL$5,0)),0,1/VLOOKUP($N292,Capa!$A:$AE,BL$5,0))))</f>
        <v/>
      </c>
      <c r="BM292" s="118" t="str">
        <f>IF(BM$6="","",IF(BM$3="Maior",IFERROR(IF(VLOOKUP($N292,Capa!$A:$AE,BM$5,0)="",0,VLOOKUP($N292,Capa!$A:$AE,BM$5,0)),0),IF(ISERROR(1/VLOOKUP($N292,Capa!$A:$AE,BM$5,0)),0,1/VLOOKUP($N292,Capa!$A:$AE,BM$5,0))))</f>
        <v/>
      </c>
      <c r="BN292" s="118" t="str">
        <f>IF(BN$6="","",IF(BN$3="Maior",IFERROR(IF(VLOOKUP($N292,Capa!$A:$AE,BN$5,0)="",0,VLOOKUP($N292,Capa!$A:$AE,BN$5,0)),0),IF(ISERROR(1/VLOOKUP($N292,Capa!$A:$AE,BN$5,0)),0,1/VLOOKUP($N292,Capa!$A:$AE,BN$5,0))))</f>
        <v/>
      </c>
      <c r="BO292" s="92"/>
    </row>
    <row r="293">
      <c r="G293" s="11"/>
      <c r="H293" s="11"/>
      <c r="I293" s="8"/>
      <c r="J293" s="132"/>
      <c r="K293" s="11"/>
      <c r="L293" s="11"/>
      <c r="M293" s="11"/>
      <c r="N293" s="10" t="s">
        <v>339</v>
      </c>
      <c r="O293" s="113">
        <f t="shared" si="8"/>
        <v>1586.0123</v>
      </c>
      <c r="P293" s="114">
        <f>VLOOKUP(N293,'Dados StatusInvest'!A:Z,26,0)</f>
        <v>753920.71</v>
      </c>
      <c r="Q293" s="115">
        <f t="shared" si="9"/>
        <v>123.0123</v>
      </c>
      <c r="R293" s="116">
        <f t="shared" ref="R293:AO293" si="296">IF(AQ293="","", RANK(AQ293,AQ$7:AQ$503,0))</f>
        <v>244</v>
      </c>
      <c r="S293" s="115">
        <f t="shared" si="296"/>
        <v>219</v>
      </c>
      <c r="T293" s="115" t="str">
        <f t="shared" si="296"/>
        <v/>
      </c>
      <c r="U293" s="115" t="str">
        <f t="shared" si="296"/>
        <v/>
      </c>
      <c r="V293" s="115" t="str">
        <f t="shared" si="296"/>
        <v/>
      </c>
      <c r="W293" s="115" t="str">
        <f t="shared" si="296"/>
        <v/>
      </c>
      <c r="X293" s="115" t="str">
        <f t="shared" si="296"/>
        <v/>
      </c>
      <c r="Y293" s="115" t="str">
        <f t="shared" si="296"/>
        <v/>
      </c>
      <c r="Z293" s="115" t="str">
        <f t="shared" si="296"/>
        <v/>
      </c>
      <c r="AA293" s="115" t="str">
        <f t="shared" si="296"/>
        <v/>
      </c>
      <c r="AB293" s="115" t="str">
        <f t="shared" si="296"/>
        <v/>
      </c>
      <c r="AC293" s="115" t="str">
        <f t="shared" si="296"/>
        <v/>
      </c>
      <c r="AD293" s="115" t="str">
        <f t="shared" si="296"/>
        <v/>
      </c>
      <c r="AE293" s="115" t="str">
        <f t="shared" si="296"/>
        <v/>
      </c>
      <c r="AF293" s="115" t="str">
        <f t="shared" si="296"/>
        <v/>
      </c>
      <c r="AG293" s="115" t="str">
        <f t="shared" si="296"/>
        <v/>
      </c>
      <c r="AH293" s="115" t="str">
        <f t="shared" si="296"/>
        <v/>
      </c>
      <c r="AI293" s="115" t="str">
        <f t="shared" si="296"/>
        <v/>
      </c>
      <c r="AJ293" s="115" t="str">
        <f t="shared" si="296"/>
        <v/>
      </c>
      <c r="AK293" s="115" t="str">
        <f t="shared" si="296"/>
        <v/>
      </c>
      <c r="AL293" s="115" t="str">
        <f t="shared" si="296"/>
        <v/>
      </c>
      <c r="AM293" s="115" t="str">
        <f t="shared" si="296"/>
        <v/>
      </c>
      <c r="AN293" s="115" t="str">
        <f t="shared" si="296"/>
        <v/>
      </c>
      <c r="AO293" s="115" t="str">
        <f t="shared" si="296"/>
        <v/>
      </c>
      <c r="AP293" s="117">
        <f>IF(AP$6="","",IF(AP$3="Maior",IFERROR(IF(VLOOKUP($N293,Capa!$A:$AE,AP$5,0)="",0,VLOOKUP($N293,Capa!$A:$AE,AP$5,0)),0),IF(ISERROR(1/VLOOKUP($N293,Capa!$A:$AE,AP$5,0)),0,1/VLOOKUP($N293,Capa!$A:$AE,AP$5,0))))</f>
        <v>0.1533745731</v>
      </c>
      <c r="AQ293" s="118">
        <f>IF(AQ$6="","",IF(AQ$3="Maior",IFERROR(IF(VLOOKUP($N293,Capa!$A:$AE,AQ$5,0)="",0,VLOOKUP($N293,Capa!$A:$AE,AQ$5,0)),0),IF(ISERROR(1/VLOOKUP($N293,Capa!$A:$AE,AQ$5,0)),0,1/VLOOKUP($N293,Capa!$A:$AE,AQ$5,0))))</f>
        <v>8.45</v>
      </c>
      <c r="AR293" s="118">
        <f>IF(AR$6="","",IF(AR$3="Maior",IFERROR(IF(VLOOKUP($N293,Capa!$A:$AE,AR$5,0)="",0,VLOOKUP($N293,Capa!$A:$AE,AR$5,0)),0),IF(ISERROR(1/VLOOKUP($N293,Capa!$A:$AE,AR$5,0)),0,1/VLOOKUP($N293,Capa!$A:$AE,AR$5,0))))</f>
        <v>0</v>
      </c>
      <c r="AS293" s="118" t="str">
        <f>IF(AS$6="","",IF(AS$3="Maior",IFERROR(IF(VLOOKUP($N293,Capa!$A:$AE,AS$5,0)="",0,VLOOKUP($N293,Capa!$A:$AE,AS$5,0)),0),IF(ISERROR(1/VLOOKUP($N293,Capa!$A:$AE,AS$5,0)),0,1/VLOOKUP($N293,Capa!$A:$AE,AS$5,0))))</f>
        <v/>
      </c>
      <c r="AT293" s="118" t="str">
        <f>IF(AT$6="","",IF(AT$3="Maior",IFERROR(IF(VLOOKUP($N293,Capa!$A:$AE,AT$5,0)="",0,VLOOKUP($N293,Capa!$A:$AE,AT$5,0)),0),IF(ISERROR(1/VLOOKUP($N293,Capa!$A:$AE,AT$5,0)),0,1/VLOOKUP($N293,Capa!$A:$AE,AT$5,0))))</f>
        <v/>
      </c>
      <c r="AU293" s="118" t="str">
        <f>IF(AU$6="","",IF(AU$3="Maior",IFERROR(IF(VLOOKUP($N293,Capa!$A:$AE,AU$5,0)="",0,VLOOKUP($N293,Capa!$A:$AE,AU$5,0)),0),IF(ISERROR(1/VLOOKUP($N293,Capa!$A:$AE,AU$5,0)),0,1/VLOOKUP($N293,Capa!$A:$AE,AU$5,0))))</f>
        <v/>
      </c>
      <c r="AV293" s="118" t="str">
        <f>IF(AV$6="","",IF(AV$3="Maior",IFERROR(IF(VLOOKUP($N293,Capa!$A:$AE,AV$5,0)="",0,VLOOKUP($N293,Capa!$A:$AE,AV$5,0)),0),IF(ISERROR(1/VLOOKUP($N293,Capa!$A:$AE,AV$5,0)),0,1/VLOOKUP($N293,Capa!$A:$AE,AV$5,0))))</f>
        <v/>
      </c>
      <c r="AW293" s="118" t="str">
        <f>IF(AW$6="","",IF(AW$3="Maior",IFERROR(IF(VLOOKUP($N293,Capa!$A:$AE,AW$5,0)="",0,VLOOKUP($N293,Capa!$A:$AE,AW$5,0)),0),IF(ISERROR(1/VLOOKUP($N293,Capa!$A:$AE,AW$5,0)),0,1/VLOOKUP($N293,Capa!$A:$AE,AW$5,0))))</f>
        <v/>
      </c>
      <c r="AX293" s="118" t="str">
        <f>IF(AX$6="","",IF(AX$3="Maior",IFERROR(IF(VLOOKUP($N293,Capa!$A:$AE,AX$5,0)="",0,VLOOKUP($N293,Capa!$A:$AE,AX$5,0)),0),IF(ISERROR(1/VLOOKUP($N293,Capa!$A:$AE,AX$5,0)),0,1/VLOOKUP($N293,Capa!$A:$AE,AX$5,0))))</f>
        <v/>
      </c>
      <c r="AY293" s="118" t="str">
        <f>IF(AY$6="","",IF(AY$3="Maior",IFERROR(IF(VLOOKUP($N293,Capa!$A:$AE,AY$5,0)="",0,VLOOKUP($N293,Capa!$A:$AE,AY$5,0)),0),IF(ISERROR(1/VLOOKUP($N293,Capa!$A:$AE,AY$5,0)),0,1/VLOOKUP($N293,Capa!$A:$AE,AY$5,0))))</f>
        <v/>
      </c>
      <c r="AZ293" s="118" t="str">
        <f>IF(AZ$6="","",IF(AZ$3="Maior",IFERROR(IF(VLOOKUP($N293,Capa!$A:$AE,AZ$5,0)="",0,VLOOKUP($N293,Capa!$A:$AE,AZ$5,0)),0),IF(ISERROR(1/VLOOKUP($N293,Capa!$A:$AE,AZ$5,0)),0,1/VLOOKUP($N293,Capa!$A:$AE,AZ$5,0))))</f>
        <v/>
      </c>
      <c r="BA293" s="118" t="str">
        <f>IF(BA$6="","",IF(BA$3="Maior",IFERROR(IF(VLOOKUP($N293,Capa!$A:$AE,BA$5,0)="",0,VLOOKUP($N293,Capa!$A:$AE,BA$5,0)),0),IF(ISERROR(1/VLOOKUP($N293,Capa!$A:$AE,BA$5,0)),0,1/VLOOKUP($N293,Capa!$A:$AE,BA$5,0))))</f>
        <v/>
      </c>
      <c r="BB293" s="118" t="str">
        <f>IF(BB$6="","",IF(BB$3="Maior",IFERROR(IF(VLOOKUP($N293,Capa!$A:$AE,BB$5,0)="",0,VLOOKUP($N293,Capa!$A:$AE,BB$5,0)),0),IF(ISERROR(1/VLOOKUP($N293,Capa!$A:$AE,BB$5,0)),0,1/VLOOKUP($N293,Capa!$A:$AE,BB$5,0))))</f>
        <v/>
      </c>
      <c r="BC293" s="118" t="str">
        <f>IF(BC$6="","",IF(BC$3="Maior",IFERROR(IF(VLOOKUP($N293,Capa!$A:$AE,BC$5,0)="",0,VLOOKUP($N293,Capa!$A:$AE,BC$5,0)),0),IF(ISERROR(1/VLOOKUP($N293,Capa!$A:$AE,BC$5,0)),0,1/VLOOKUP($N293,Capa!$A:$AE,BC$5,0))))</f>
        <v/>
      </c>
      <c r="BD293" s="118" t="str">
        <f>IF(BD$6="","",IF(BD$3="Maior",IFERROR(IF(VLOOKUP($N293,Capa!$A:$AE,BD$5,0)="",0,VLOOKUP($N293,Capa!$A:$AE,BD$5,0)),0),IF(ISERROR(1/VLOOKUP($N293,Capa!$A:$AE,BD$5,0)),0,1/VLOOKUP($N293,Capa!$A:$AE,BD$5,0))))</f>
        <v/>
      </c>
      <c r="BE293" s="118" t="str">
        <f>IF(BE$6="","",IF(BE$3="Maior",IFERROR(IF(VLOOKUP($N293,Capa!$A:$AE,BE$5,0)="",0,VLOOKUP($N293,Capa!$A:$AE,BE$5,0)),0),IF(ISERROR(1/VLOOKUP($N293,Capa!$A:$AE,BE$5,0)),0,1/VLOOKUP($N293,Capa!$A:$AE,BE$5,0))))</f>
        <v/>
      </c>
      <c r="BF293" s="118" t="str">
        <f>IF(BF$6="","",IF(BF$3="Maior",IFERROR(IF(VLOOKUP($N293,Capa!$A:$AE,BF$5,0)="",0,VLOOKUP($N293,Capa!$A:$AE,BF$5,0)),0),IF(ISERROR(1/VLOOKUP($N293,Capa!$A:$AE,BF$5,0)),0,1/VLOOKUP($N293,Capa!$A:$AE,BF$5,0))))</f>
        <v/>
      </c>
      <c r="BG293" s="118" t="str">
        <f>IF(BG$6="","",IF(BG$3="Maior",IFERROR(IF(VLOOKUP($N293,Capa!$A:$AE,BG$5,0)="",0,VLOOKUP($N293,Capa!$A:$AE,BG$5,0)),0),IF(ISERROR(1/VLOOKUP($N293,Capa!$A:$AE,BG$5,0)),0,1/VLOOKUP($N293,Capa!$A:$AE,BG$5,0))))</f>
        <v/>
      </c>
      <c r="BH293" s="118" t="str">
        <f>IF(BH$6="","",IF(BH$3="Maior",IFERROR(IF(VLOOKUP($N293,Capa!$A:$AE,BH$5,0)="",0,VLOOKUP($N293,Capa!$A:$AE,BH$5,0)),0),IF(ISERROR(1/VLOOKUP($N293,Capa!$A:$AE,BH$5,0)),0,1/VLOOKUP($N293,Capa!$A:$AE,BH$5,0))))</f>
        <v/>
      </c>
      <c r="BI293" s="118" t="str">
        <f>IF(BI$6="","",IF(BI$3="Maior",IFERROR(IF(VLOOKUP($N293,Capa!$A:$AE,BI$5,0)="",0,VLOOKUP($N293,Capa!$A:$AE,BI$5,0)),0),IF(ISERROR(1/VLOOKUP($N293,Capa!$A:$AE,BI$5,0)),0,1/VLOOKUP($N293,Capa!$A:$AE,BI$5,0))))</f>
        <v/>
      </c>
      <c r="BJ293" s="118" t="str">
        <f>IF(BJ$6="","",IF(BJ$3="Maior",IFERROR(IF(VLOOKUP($N293,Capa!$A:$AE,BJ$5,0)="",0,VLOOKUP($N293,Capa!$A:$AE,BJ$5,0)),0),IF(ISERROR(1/VLOOKUP($N293,Capa!$A:$AE,BJ$5,0)),0,1/VLOOKUP($N293,Capa!$A:$AE,BJ$5,0))))</f>
        <v/>
      </c>
      <c r="BK293" s="118" t="str">
        <f>IF(BK$6="","",IF(BK$3="Maior",IFERROR(IF(VLOOKUP($N293,Capa!$A:$AE,BK$5,0)="",0,VLOOKUP($N293,Capa!$A:$AE,BK$5,0)),0),IF(ISERROR(1/VLOOKUP($N293,Capa!$A:$AE,BK$5,0)),0,1/VLOOKUP($N293,Capa!$A:$AE,BK$5,0))))</f>
        <v/>
      </c>
      <c r="BL293" s="118" t="str">
        <f>IF(BL$6="","",IF(BL$3="Maior",IFERROR(IF(VLOOKUP($N293,Capa!$A:$AE,BL$5,0)="",0,VLOOKUP($N293,Capa!$A:$AE,BL$5,0)),0),IF(ISERROR(1/VLOOKUP($N293,Capa!$A:$AE,BL$5,0)),0,1/VLOOKUP($N293,Capa!$A:$AE,BL$5,0))))</f>
        <v/>
      </c>
      <c r="BM293" s="118" t="str">
        <f>IF(BM$6="","",IF(BM$3="Maior",IFERROR(IF(VLOOKUP($N293,Capa!$A:$AE,BM$5,0)="",0,VLOOKUP($N293,Capa!$A:$AE,BM$5,0)),0),IF(ISERROR(1/VLOOKUP($N293,Capa!$A:$AE,BM$5,0)),0,1/VLOOKUP($N293,Capa!$A:$AE,BM$5,0))))</f>
        <v/>
      </c>
      <c r="BN293" s="118" t="str">
        <f>IF(BN$6="","",IF(BN$3="Maior",IFERROR(IF(VLOOKUP($N293,Capa!$A:$AE,BN$5,0)="",0,VLOOKUP($N293,Capa!$A:$AE,BN$5,0)),0),IF(ISERROR(1/VLOOKUP($N293,Capa!$A:$AE,BN$5,0)),0,1/VLOOKUP($N293,Capa!$A:$AE,BN$5,0))))</f>
        <v/>
      </c>
      <c r="BO293" s="92"/>
    </row>
    <row r="294">
      <c r="G294" s="11"/>
      <c r="H294" s="11"/>
      <c r="I294" s="8"/>
      <c r="J294" s="132"/>
      <c r="K294" s="11"/>
      <c r="L294" s="11"/>
      <c r="M294" s="11"/>
      <c r="N294" s="10" t="s">
        <v>340</v>
      </c>
      <c r="O294" s="113">
        <f t="shared" si="8"/>
        <v>2009.0356</v>
      </c>
      <c r="P294" s="114">
        <f>VLOOKUP(N294,'Dados StatusInvest'!A:Z,26,0)</f>
        <v>721020.71</v>
      </c>
      <c r="Q294" s="115">
        <f t="shared" si="9"/>
        <v>356.0356</v>
      </c>
      <c r="R294" s="116">
        <f t="shared" ref="R294:AO294" si="297">IF(AQ294="","", RANK(AQ294,AQ$7:AQ$503,0))</f>
        <v>434</v>
      </c>
      <c r="S294" s="115">
        <f t="shared" si="297"/>
        <v>219</v>
      </c>
      <c r="T294" s="115" t="str">
        <f t="shared" si="297"/>
        <v/>
      </c>
      <c r="U294" s="115" t="str">
        <f t="shared" si="297"/>
        <v/>
      </c>
      <c r="V294" s="115" t="str">
        <f t="shared" si="297"/>
        <v/>
      </c>
      <c r="W294" s="115" t="str">
        <f t="shared" si="297"/>
        <v/>
      </c>
      <c r="X294" s="115" t="str">
        <f t="shared" si="297"/>
        <v/>
      </c>
      <c r="Y294" s="115" t="str">
        <f t="shared" si="297"/>
        <v/>
      </c>
      <c r="Z294" s="115" t="str">
        <f t="shared" si="297"/>
        <v/>
      </c>
      <c r="AA294" s="115" t="str">
        <f t="shared" si="297"/>
        <v/>
      </c>
      <c r="AB294" s="115" t="str">
        <f t="shared" si="297"/>
        <v/>
      </c>
      <c r="AC294" s="115" t="str">
        <f t="shared" si="297"/>
        <v/>
      </c>
      <c r="AD294" s="115" t="str">
        <f t="shared" si="297"/>
        <v/>
      </c>
      <c r="AE294" s="115" t="str">
        <f t="shared" si="297"/>
        <v/>
      </c>
      <c r="AF294" s="115" t="str">
        <f t="shared" si="297"/>
        <v/>
      </c>
      <c r="AG294" s="115" t="str">
        <f t="shared" si="297"/>
        <v/>
      </c>
      <c r="AH294" s="115" t="str">
        <f t="shared" si="297"/>
        <v/>
      </c>
      <c r="AI294" s="115" t="str">
        <f t="shared" si="297"/>
        <v/>
      </c>
      <c r="AJ294" s="115" t="str">
        <f t="shared" si="297"/>
        <v/>
      </c>
      <c r="AK294" s="115" t="str">
        <f t="shared" si="297"/>
        <v/>
      </c>
      <c r="AL294" s="115" t="str">
        <f t="shared" si="297"/>
        <v/>
      </c>
      <c r="AM294" s="115" t="str">
        <f t="shared" si="297"/>
        <v/>
      </c>
      <c r="AN294" s="115" t="str">
        <f t="shared" si="297"/>
        <v/>
      </c>
      <c r="AO294" s="115" t="str">
        <f t="shared" si="297"/>
        <v/>
      </c>
      <c r="AP294" s="117">
        <f>IF(AP$6="","",IF(AP$3="Maior",IFERROR(IF(VLOOKUP($N294,Capa!$A:$AE,AP$5,0)="",0,VLOOKUP($N294,Capa!$A:$AE,AP$5,0)),0),IF(ISERROR(1/VLOOKUP($N294,Capa!$A:$AE,AP$5,0)),0,1/VLOOKUP($N294,Capa!$A:$AE,AP$5,0))))</f>
        <v>0.02861498484</v>
      </c>
      <c r="AQ294" s="118">
        <f>IF(AQ$6="","",IF(AQ$3="Maior",IFERROR(IF(VLOOKUP($N294,Capa!$A:$AE,AQ$5,0)="",0,VLOOKUP($N294,Capa!$A:$AE,AQ$5,0)),0),IF(ISERROR(1/VLOOKUP($N294,Capa!$A:$AE,AQ$5,0)),0,1/VLOOKUP($N294,Capa!$A:$AE,AQ$5,0))))</f>
        <v>-1.33</v>
      </c>
      <c r="AR294" s="118">
        <f>IF(AR$6="","",IF(AR$3="Maior",IFERROR(IF(VLOOKUP($N294,Capa!$A:$AE,AR$5,0)="",0,VLOOKUP($N294,Capa!$A:$AE,AR$5,0)),0),IF(ISERROR(1/VLOOKUP($N294,Capa!$A:$AE,AR$5,0)),0,1/VLOOKUP($N294,Capa!$A:$AE,AR$5,0))))</f>
        <v>0</v>
      </c>
      <c r="AS294" s="118" t="str">
        <f>IF(AS$6="","",IF(AS$3="Maior",IFERROR(IF(VLOOKUP($N294,Capa!$A:$AE,AS$5,0)="",0,VLOOKUP($N294,Capa!$A:$AE,AS$5,0)),0),IF(ISERROR(1/VLOOKUP($N294,Capa!$A:$AE,AS$5,0)),0,1/VLOOKUP($N294,Capa!$A:$AE,AS$5,0))))</f>
        <v/>
      </c>
      <c r="AT294" s="118" t="str">
        <f>IF(AT$6="","",IF(AT$3="Maior",IFERROR(IF(VLOOKUP($N294,Capa!$A:$AE,AT$5,0)="",0,VLOOKUP($N294,Capa!$A:$AE,AT$5,0)),0),IF(ISERROR(1/VLOOKUP($N294,Capa!$A:$AE,AT$5,0)),0,1/VLOOKUP($N294,Capa!$A:$AE,AT$5,0))))</f>
        <v/>
      </c>
      <c r="AU294" s="118" t="str">
        <f>IF(AU$6="","",IF(AU$3="Maior",IFERROR(IF(VLOOKUP($N294,Capa!$A:$AE,AU$5,0)="",0,VLOOKUP($N294,Capa!$A:$AE,AU$5,0)),0),IF(ISERROR(1/VLOOKUP($N294,Capa!$A:$AE,AU$5,0)),0,1/VLOOKUP($N294,Capa!$A:$AE,AU$5,0))))</f>
        <v/>
      </c>
      <c r="AV294" s="118" t="str">
        <f>IF(AV$6="","",IF(AV$3="Maior",IFERROR(IF(VLOOKUP($N294,Capa!$A:$AE,AV$5,0)="",0,VLOOKUP($N294,Capa!$A:$AE,AV$5,0)),0),IF(ISERROR(1/VLOOKUP($N294,Capa!$A:$AE,AV$5,0)),0,1/VLOOKUP($N294,Capa!$A:$AE,AV$5,0))))</f>
        <v/>
      </c>
      <c r="AW294" s="118" t="str">
        <f>IF(AW$6="","",IF(AW$3="Maior",IFERROR(IF(VLOOKUP($N294,Capa!$A:$AE,AW$5,0)="",0,VLOOKUP($N294,Capa!$A:$AE,AW$5,0)),0),IF(ISERROR(1/VLOOKUP($N294,Capa!$A:$AE,AW$5,0)),0,1/VLOOKUP($N294,Capa!$A:$AE,AW$5,0))))</f>
        <v/>
      </c>
      <c r="AX294" s="118" t="str">
        <f>IF(AX$6="","",IF(AX$3="Maior",IFERROR(IF(VLOOKUP($N294,Capa!$A:$AE,AX$5,0)="",0,VLOOKUP($N294,Capa!$A:$AE,AX$5,0)),0),IF(ISERROR(1/VLOOKUP($N294,Capa!$A:$AE,AX$5,0)),0,1/VLOOKUP($N294,Capa!$A:$AE,AX$5,0))))</f>
        <v/>
      </c>
      <c r="AY294" s="118" t="str">
        <f>IF(AY$6="","",IF(AY$3="Maior",IFERROR(IF(VLOOKUP($N294,Capa!$A:$AE,AY$5,0)="",0,VLOOKUP($N294,Capa!$A:$AE,AY$5,0)),0),IF(ISERROR(1/VLOOKUP($N294,Capa!$A:$AE,AY$5,0)),0,1/VLOOKUP($N294,Capa!$A:$AE,AY$5,0))))</f>
        <v/>
      </c>
      <c r="AZ294" s="118" t="str">
        <f>IF(AZ$6="","",IF(AZ$3="Maior",IFERROR(IF(VLOOKUP($N294,Capa!$A:$AE,AZ$5,0)="",0,VLOOKUP($N294,Capa!$A:$AE,AZ$5,0)),0),IF(ISERROR(1/VLOOKUP($N294,Capa!$A:$AE,AZ$5,0)),0,1/VLOOKUP($N294,Capa!$A:$AE,AZ$5,0))))</f>
        <v/>
      </c>
      <c r="BA294" s="118" t="str">
        <f>IF(BA$6="","",IF(BA$3="Maior",IFERROR(IF(VLOOKUP($N294,Capa!$A:$AE,BA$5,0)="",0,VLOOKUP($N294,Capa!$A:$AE,BA$5,0)),0),IF(ISERROR(1/VLOOKUP($N294,Capa!$A:$AE,BA$5,0)),0,1/VLOOKUP($N294,Capa!$A:$AE,BA$5,0))))</f>
        <v/>
      </c>
      <c r="BB294" s="118" t="str">
        <f>IF(BB$6="","",IF(BB$3="Maior",IFERROR(IF(VLOOKUP($N294,Capa!$A:$AE,BB$5,0)="",0,VLOOKUP($N294,Capa!$A:$AE,BB$5,0)),0),IF(ISERROR(1/VLOOKUP($N294,Capa!$A:$AE,BB$5,0)),0,1/VLOOKUP($N294,Capa!$A:$AE,BB$5,0))))</f>
        <v/>
      </c>
      <c r="BC294" s="118" t="str">
        <f>IF(BC$6="","",IF(BC$3="Maior",IFERROR(IF(VLOOKUP($N294,Capa!$A:$AE,BC$5,0)="",0,VLOOKUP($N294,Capa!$A:$AE,BC$5,0)),0),IF(ISERROR(1/VLOOKUP($N294,Capa!$A:$AE,BC$5,0)),0,1/VLOOKUP($N294,Capa!$A:$AE,BC$5,0))))</f>
        <v/>
      </c>
      <c r="BD294" s="118" t="str">
        <f>IF(BD$6="","",IF(BD$3="Maior",IFERROR(IF(VLOOKUP($N294,Capa!$A:$AE,BD$5,0)="",0,VLOOKUP($N294,Capa!$A:$AE,BD$5,0)),0),IF(ISERROR(1/VLOOKUP($N294,Capa!$A:$AE,BD$5,0)),0,1/VLOOKUP($N294,Capa!$A:$AE,BD$5,0))))</f>
        <v/>
      </c>
      <c r="BE294" s="118" t="str">
        <f>IF(BE$6="","",IF(BE$3="Maior",IFERROR(IF(VLOOKUP($N294,Capa!$A:$AE,BE$5,0)="",0,VLOOKUP($N294,Capa!$A:$AE,BE$5,0)),0),IF(ISERROR(1/VLOOKUP($N294,Capa!$A:$AE,BE$5,0)),0,1/VLOOKUP($N294,Capa!$A:$AE,BE$5,0))))</f>
        <v/>
      </c>
      <c r="BF294" s="118" t="str">
        <f>IF(BF$6="","",IF(BF$3="Maior",IFERROR(IF(VLOOKUP($N294,Capa!$A:$AE,BF$5,0)="",0,VLOOKUP($N294,Capa!$A:$AE,BF$5,0)),0),IF(ISERROR(1/VLOOKUP($N294,Capa!$A:$AE,BF$5,0)),0,1/VLOOKUP($N294,Capa!$A:$AE,BF$5,0))))</f>
        <v/>
      </c>
      <c r="BG294" s="118" t="str">
        <f>IF(BG$6="","",IF(BG$3="Maior",IFERROR(IF(VLOOKUP($N294,Capa!$A:$AE,BG$5,0)="",0,VLOOKUP($N294,Capa!$A:$AE,BG$5,0)),0),IF(ISERROR(1/VLOOKUP($N294,Capa!$A:$AE,BG$5,0)),0,1/VLOOKUP($N294,Capa!$A:$AE,BG$5,0))))</f>
        <v/>
      </c>
      <c r="BH294" s="118" t="str">
        <f>IF(BH$6="","",IF(BH$3="Maior",IFERROR(IF(VLOOKUP($N294,Capa!$A:$AE,BH$5,0)="",0,VLOOKUP($N294,Capa!$A:$AE,BH$5,0)),0),IF(ISERROR(1/VLOOKUP($N294,Capa!$A:$AE,BH$5,0)),0,1/VLOOKUP($N294,Capa!$A:$AE,BH$5,0))))</f>
        <v/>
      </c>
      <c r="BI294" s="118" t="str">
        <f>IF(BI$6="","",IF(BI$3="Maior",IFERROR(IF(VLOOKUP($N294,Capa!$A:$AE,BI$5,0)="",0,VLOOKUP($N294,Capa!$A:$AE,BI$5,0)),0),IF(ISERROR(1/VLOOKUP($N294,Capa!$A:$AE,BI$5,0)),0,1/VLOOKUP($N294,Capa!$A:$AE,BI$5,0))))</f>
        <v/>
      </c>
      <c r="BJ294" s="118" t="str">
        <f>IF(BJ$6="","",IF(BJ$3="Maior",IFERROR(IF(VLOOKUP($N294,Capa!$A:$AE,BJ$5,0)="",0,VLOOKUP($N294,Capa!$A:$AE,BJ$5,0)),0),IF(ISERROR(1/VLOOKUP($N294,Capa!$A:$AE,BJ$5,0)),0,1/VLOOKUP($N294,Capa!$A:$AE,BJ$5,0))))</f>
        <v/>
      </c>
      <c r="BK294" s="118" t="str">
        <f>IF(BK$6="","",IF(BK$3="Maior",IFERROR(IF(VLOOKUP($N294,Capa!$A:$AE,BK$5,0)="",0,VLOOKUP($N294,Capa!$A:$AE,BK$5,0)),0),IF(ISERROR(1/VLOOKUP($N294,Capa!$A:$AE,BK$5,0)),0,1/VLOOKUP($N294,Capa!$A:$AE,BK$5,0))))</f>
        <v/>
      </c>
      <c r="BL294" s="118" t="str">
        <f>IF(BL$6="","",IF(BL$3="Maior",IFERROR(IF(VLOOKUP($N294,Capa!$A:$AE,BL$5,0)="",0,VLOOKUP($N294,Capa!$A:$AE,BL$5,0)),0),IF(ISERROR(1/VLOOKUP($N294,Capa!$A:$AE,BL$5,0)),0,1/VLOOKUP($N294,Capa!$A:$AE,BL$5,0))))</f>
        <v/>
      </c>
      <c r="BM294" s="118" t="str">
        <f>IF(BM$6="","",IF(BM$3="Maior",IFERROR(IF(VLOOKUP($N294,Capa!$A:$AE,BM$5,0)="",0,VLOOKUP($N294,Capa!$A:$AE,BM$5,0)),0),IF(ISERROR(1/VLOOKUP($N294,Capa!$A:$AE,BM$5,0)),0,1/VLOOKUP($N294,Capa!$A:$AE,BM$5,0))))</f>
        <v/>
      </c>
      <c r="BN294" s="118" t="str">
        <f>IF(BN$6="","",IF(BN$3="Maior",IFERROR(IF(VLOOKUP($N294,Capa!$A:$AE,BN$5,0)="",0,VLOOKUP($N294,Capa!$A:$AE,BN$5,0)),0),IF(ISERROR(1/VLOOKUP($N294,Capa!$A:$AE,BN$5,0)),0,1/VLOOKUP($N294,Capa!$A:$AE,BN$5,0))))</f>
        <v/>
      </c>
      <c r="BO294" s="92"/>
    </row>
    <row r="295">
      <c r="G295" s="11"/>
      <c r="H295" s="11"/>
      <c r="I295" s="8"/>
      <c r="J295" s="132"/>
      <c r="K295" s="11"/>
      <c r="L295" s="11"/>
      <c r="M295" s="11"/>
      <c r="N295" s="10" t="s">
        <v>341</v>
      </c>
      <c r="O295" s="113">
        <f t="shared" si="8"/>
        <v>1546.0228</v>
      </c>
      <c r="P295" s="114">
        <f>VLOOKUP(N295,'Dados StatusInvest'!A:Z,26,0)</f>
        <v>489417.96</v>
      </c>
      <c r="Q295" s="115">
        <f t="shared" si="9"/>
        <v>228.0228</v>
      </c>
      <c r="R295" s="116">
        <f t="shared" ref="R295:AO295" si="298">IF(AQ295="","", RANK(AQ295,AQ$7:AQ$503,0))</f>
        <v>154</v>
      </c>
      <c r="S295" s="115">
        <f t="shared" si="298"/>
        <v>164</v>
      </c>
      <c r="T295" s="115" t="str">
        <f t="shared" si="298"/>
        <v/>
      </c>
      <c r="U295" s="115" t="str">
        <f t="shared" si="298"/>
        <v/>
      </c>
      <c r="V295" s="115" t="str">
        <f t="shared" si="298"/>
        <v/>
      </c>
      <c r="W295" s="115" t="str">
        <f t="shared" si="298"/>
        <v/>
      </c>
      <c r="X295" s="115" t="str">
        <f t="shared" si="298"/>
        <v/>
      </c>
      <c r="Y295" s="115" t="str">
        <f t="shared" si="298"/>
        <v/>
      </c>
      <c r="Z295" s="115" t="str">
        <f t="shared" si="298"/>
        <v/>
      </c>
      <c r="AA295" s="115" t="str">
        <f t="shared" si="298"/>
        <v/>
      </c>
      <c r="AB295" s="115" t="str">
        <f t="shared" si="298"/>
        <v/>
      </c>
      <c r="AC295" s="115" t="str">
        <f t="shared" si="298"/>
        <v/>
      </c>
      <c r="AD295" s="115" t="str">
        <f t="shared" si="298"/>
        <v/>
      </c>
      <c r="AE295" s="115" t="str">
        <f t="shared" si="298"/>
        <v/>
      </c>
      <c r="AF295" s="115" t="str">
        <f t="shared" si="298"/>
        <v/>
      </c>
      <c r="AG295" s="115" t="str">
        <f t="shared" si="298"/>
        <v/>
      </c>
      <c r="AH295" s="115" t="str">
        <f t="shared" si="298"/>
        <v/>
      </c>
      <c r="AI295" s="115" t="str">
        <f t="shared" si="298"/>
        <v/>
      </c>
      <c r="AJ295" s="115" t="str">
        <f t="shared" si="298"/>
        <v/>
      </c>
      <c r="AK295" s="115" t="str">
        <f t="shared" si="298"/>
        <v/>
      </c>
      <c r="AL295" s="115" t="str">
        <f t="shared" si="298"/>
        <v/>
      </c>
      <c r="AM295" s="115" t="str">
        <f t="shared" si="298"/>
        <v/>
      </c>
      <c r="AN295" s="115" t="str">
        <f t="shared" si="298"/>
        <v/>
      </c>
      <c r="AO295" s="115" t="str">
        <f t="shared" si="298"/>
        <v/>
      </c>
      <c r="AP295" s="117">
        <f>IF(AP$6="","",IF(AP$3="Maior",IFERROR(IF(VLOOKUP($N295,Capa!$A:$AE,AP$5,0)="",0,VLOOKUP($N295,Capa!$A:$AE,AP$5,0)),0),IF(ISERROR(1/VLOOKUP($N295,Capa!$A:$AE,AP$5,0)),0,1/VLOOKUP($N295,Capa!$A:$AE,AP$5,0))))</f>
        <v>0.08907467744</v>
      </c>
      <c r="AQ295" s="118">
        <f>IF(AQ$6="","",IF(AQ$3="Maior",IFERROR(IF(VLOOKUP($N295,Capa!$A:$AE,AQ$5,0)="",0,VLOOKUP($N295,Capa!$A:$AE,AQ$5,0)),0),IF(ISERROR(1/VLOOKUP($N295,Capa!$A:$AE,AQ$5,0)),0,1/VLOOKUP($N295,Capa!$A:$AE,AQ$5,0))))</f>
        <v>14.12</v>
      </c>
      <c r="AR295" s="118">
        <f>IF(AR$6="","",IF(AR$3="Maior",IFERROR(IF(VLOOKUP($N295,Capa!$A:$AE,AR$5,0)="",0,VLOOKUP($N295,Capa!$A:$AE,AR$5,0)),0),IF(ISERROR(1/VLOOKUP($N295,Capa!$A:$AE,AR$5,0)),0,1/VLOOKUP($N295,Capa!$A:$AE,AR$5,0))))</f>
        <v>11.38</v>
      </c>
      <c r="AS295" s="118" t="str">
        <f>IF(AS$6="","",IF(AS$3="Maior",IFERROR(IF(VLOOKUP($N295,Capa!$A:$AE,AS$5,0)="",0,VLOOKUP($N295,Capa!$A:$AE,AS$5,0)),0),IF(ISERROR(1/VLOOKUP($N295,Capa!$A:$AE,AS$5,0)),0,1/VLOOKUP($N295,Capa!$A:$AE,AS$5,0))))</f>
        <v/>
      </c>
      <c r="AT295" s="118" t="str">
        <f>IF(AT$6="","",IF(AT$3="Maior",IFERROR(IF(VLOOKUP($N295,Capa!$A:$AE,AT$5,0)="",0,VLOOKUP($N295,Capa!$A:$AE,AT$5,0)),0),IF(ISERROR(1/VLOOKUP($N295,Capa!$A:$AE,AT$5,0)),0,1/VLOOKUP($N295,Capa!$A:$AE,AT$5,0))))</f>
        <v/>
      </c>
      <c r="AU295" s="118" t="str">
        <f>IF(AU$6="","",IF(AU$3="Maior",IFERROR(IF(VLOOKUP($N295,Capa!$A:$AE,AU$5,0)="",0,VLOOKUP($N295,Capa!$A:$AE,AU$5,0)),0),IF(ISERROR(1/VLOOKUP($N295,Capa!$A:$AE,AU$5,0)),0,1/VLOOKUP($N295,Capa!$A:$AE,AU$5,0))))</f>
        <v/>
      </c>
      <c r="AV295" s="118" t="str">
        <f>IF(AV$6="","",IF(AV$3="Maior",IFERROR(IF(VLOOKUP($N295,Capa!$A:$AE,AV$5,0)="",0,VLOOKUP($N295,Capa!$A:$AE,AV$5,0)),0),IF(ISERROR(1/VLOOKUP($N295,Capa!$A:$AE,AV$5,0)),0,1/VLOOKUP($N295,Capa!$A:$AE,AV$5,0))))</f>
        <v/>
      </c>
      <c r="AW295" s="118" t="str">
        <f>IF(AW$6="","",IF(AW$3="Maior",IFERROR(IF(VLOOKUP($N295,Capa!$A:$AE,AW$5,0)="",0,VLOOKUP($N295,Capa!$A:$AE,AW$5,0)),0),IF(ISERROR(1/VLOOKUP($N295,Capa!$A:$AE,AW$5,0)),0,1/VLOOKUP($N295,Capa!$A:$AE,AW$5,0))))</f>
        <v/>
      </c>
      <c r="AX295" s="118" t="str">
        <f>IF(AX$6="","",IF(AX$3="Maior",IFERROR(IF(VLOOKUP($N295,Capa!$A:$AE,AX$5,0)="",0,VLOOKUP($N295,Capa!$A:$AE,AX$5,0)),0),IF(ISERROR(1/VLOOKUP($N295,Capa!$A:$AE,AX$5,0)),0,1/VLOOKUP($N295,Capa!$A:$AE,AX$5,0))))</f>
        <v/>
      </c>
      <c r="AY295" s="118" t="str">
        <f>IF(AY$6="","",IF(AY$3="Maior",IFERROR(IF(VLOOKUP($N295,Capa!$A:$AE,AY$5,0)="",0,VLOOKUP($N295,Capa!$A:$AE,AY$5,0)),0),IF(ISERROR(1/VLOOKUP($N295,Capa!$A:$AE,AY$5,0)),0,1/VLOOKUP($N295,Capa!$A:$AE,AY$5,0))))</f>
        <v/>
      </c>
      <c r="AZ295" s="118" t="str">
        <f>IF(AZ$6="","",IF(AZ$3="Maior",IFERROR(IF(VLOOKUP($N295,Capa!$A:$AE,AZ$5,0)="",0,VLOOKUP($N295,Capa!$A:$AE,AZ$5,0)),0),IF(ISERROR(1/VLOOKUP($N295,Capa!$A:$AE,AZ$5,0)),0,1/VLOOKUP($N295,Capa!$A:$AE,AZ$5,0))))</f>
        <v/>
      </c>
      <c r="BA295" s="118" t="str">
        <f>IF(BA$6="","",IF(BA$3="Maior",IFERROR(IF(VLOOKUP($N295,Capa!$A:$AE,BA$5,0)="",0,VLOOKUP($N295,Capa!$A:$AE,BA$5,0)),0),IF(ISERROR(1/VLOOKUP($N295,Capa!$A:$AE,BA$5,0)),0,1/VLOOKUP($N295,Capa!$A:$AE,BA$5,0))))</f>
        <v/>
      </c>
      <c r="BB295" s="118" t="str">
        <f>IF(BB$6="","",IF(BB$3="Maior",IFERROR(IF(VLOOKUP($N295,Capa!$A:$AE,BB$5,0)="",0,VLOOKUP($N295,Capa!$A:$AE,BB$5,0)),0),IF(ISERROR(1/VLOOKUP($N295,Capa!$A:$AE,BB$5,0)),0,1/VLOOKUP($N295,Capa!$A:$AE,BB$5,0))))</f>
        <v/>
      </c>
      <c r="BC295" s="118" t="str">
        <f>IF(BC$6="","",IF(BC$3="Maior",IFERROR(IF(VLOOKUP($N295,Capa!$A:$AE,BC$5,0)="",0,VLOOKUP($N295,Capa!$A:$AE,BC$5,0)),0),IF(ISERROR(1/VLOOKUP($N295,Capa!$A:$AE,BC$5,0)),0,1/VLOOKUP($N295,Capa!$A:$AE,BC$5,0))))</f>
        <v/>
      </c>
      <c r="BD295" s="118" t="str">
        <f>IF(BD$6="","",IF(BD$3="Maior",IFERROR(IF(VLOOKUP($N295,Capa!$A:$AE,BD$5,0)="",0,VLOOKUP($N295,Capa!$A:$AE,BD$5,0)),0),IF(ISERROR(1/VLOOKUP($N295,Capa!$A:$AE,BD$5,0)),0,1/VLOOKUP($N295,Capa!$A:$AE,BD$5,0))))</f>
        <v/>
      </c>
      <c r="BE295" s="118" t="str">
        <f>IF(BE$6="","",IF(BE$3="Maior",IFERROR(IF(VLOOKUP($N295,Capa!$A:$AE,BE$5,0)="",0,VLOOKUP($N295,Capa!$A:$AE,BE$5,0)),0),IF(ISERROR(1/VLOOKUP($N295,Capa!$A:$AE,BE$5,0)),0,1/VLOOKUP($N295,Capa!$A:$AE,BE$5,0))))</f>
        <v/>
      </c>
      <c r="BF295" s="118" t="str">
        <f>IF(BF$6="","",IF(BF$3="Maior",IFERROR(IF(VLOOKUP($N295,Capa!$A:$AE,BF$5,0)="",0,VLOOKUP($N295,Capa!$A:$AE,BF$5,0)),0),IF(ISERROR(1/VLOOKUP($N295,Capa!$A:$AE,BF$5,0)),0,1/VLOOKUP($N295,Capa!$A:$AE,BF$5,0))))</f>
        <v/>
      </c>
      <c r="BG295" s="118" t="str">
        <f>IF(BG$6="","",IF(BG$3="Maior",IFERROR(IF(VLOOKUP($N295,Capa!$A:$AE,BG$5,0)="",0,VLOOKUP($N295,Capa!$A:$AE,BG$5,0)),0),IF(ISERROR(1/VLOOKUP($N295,Capa!$A:$AE,BG$5,0)),0,1/VLOOKUP($N295,Capa!$A:$AE,BG$5,0))))</f>
        <v/>
      </c>
      <c r="BH295" s="118" t="str">
        <f>IF(BH$6="","",IF(BH$3="Maior",IFERROR(IF(VLOOKUP($N295,Capa!$A:$AE,BH$5,0)="",0,VLOOKUP($N295,Capa!$A:$AE,BH$5,0)),0),IF(ISERROR(1/VLOOKUP($N295,Capa!$A:$AE,BH$5,0)),0,1/VLOOKUP($N295,Capa!$A:$AE,BH$5,0))))</f>
        <v/>
      </c>
      <c r="BI295" s="118" t="str">
        <f>IF(BI$6="","",IF(BI$3="Maior",IFERROR(IF(VLOOKUP($N295,Capa!$A:$AE,BI$5,0)="",0,VLOOKUP($N295,Capa!$A:$AE,BI$5,0)),0),IF(ISERROR(1/VLOOKUP($N295,Capa!$A:$AE,BI$5,0)),0,1/VLOOKUP($N295,Capa!$A:$AE,BI$5,0))))</f>
        <v/>
      </c>
      <c r="BJ295" s="118" t="str">
        <f>IF(BJ$6="","",IF(BJ$3="Maior",IFERROR(IF(VLOOKUP($N295,Capa!$A:$AE,BJ$5,0)="",0,VLOOKUP($N295,Capa!$A:$AE,BJ$5,0)),0),IF(ISERROR(1/VLOOKUP($N295,Capa!$A:$AE,BJ$5,0)),0,1/VLOOKUP($N295,Capa!$A:$AE,BJ$5,0))))</f>
        <v/>
      </c>
      <c r="BK295" s="118" t="str">
        <f>IF(BK$6="","",IF(BK$3="Maior",IFERROR(IF(VLOOKUP($N295,Capa!$A:$AE,BK$5,0)="",0,VLOOKUP($N295,Capa!$A:$AE,BK$5,0)),0),IF(ISERROR(1/VLOOKUP($N295,Capa!$A:$AE,BK$5,0)),0,1/VLOOKUP($N295,Capa!$A:$AE,BK$5,0))))</f>
        <v/>
      </c>
      <c r="BL295" s="118" t="str">
        <f>IF(BL$6="","",IF(BL$3="Maior",IFERROR(IF(VLOOKUP($N295,Capa!$A:$AE,BL$5,0)="",0,VLOOKUP($N295,Capa!$A:$AE,BL$5,0)),0),IF(ISERROR(1/VLOOKUP($N295,Capa!$A:$AE,BL$5,0)),0,1/VLOOKUP($N295,Capa!$A:$AE,BL$5,0))))</f>
        <v/>
      </c>
      <c r="BM295" s="118" t="str">
        <f>IF(BM$6="","",IF(BM$3="Maior",IFERROR(IF(VLOOKUP($N295,Capa!$A:$AE,BM$5,0)="",0,VLOOKUP($N295,Capa!$A:$AE,BM$5,0)),0),IF(ISERROR(1/VLOOKUP($N295,Capa!$A:$AE,BM$5,0)),0,1/VLOOKUP($N295,Capa!$A:$AE,BM$5,0))))</f>
        <v/>
      </c>
      <c r="BN295" s="118" t="str">
        <f>IF(BN$6="","",IF(BN$3="Maior",IFERROR(IF(VLOOKUP($N295,Capa!$A:$AE,BN$5,0)="",0,VLOOKUP($N295,Capa!$A:$AE,BN$5,0)),0),IF(ISERROR(1/VLOOKUP($N295,Capa!$A:$AE,BN$5,0)),0,1/VLOOKUP($N295,Capa!$A:$AE,BN$5,0))))</f>
        <v/>
      </c>
      <c r="BO295" s="92"/>
    </row>
    <row r="296">
      <c r="G296" s="11"/>
      <c r="H296" s="11"/>
      <c r="I296" s="8"/>
      <c r="J296" s="132"/>
      <c r="K296" s="11"/>
      <c r="L296" s="11"/>
      <c r="M296" s="11"/>
      <c r="N296" s="10" t="s">
        <v>342</v>
      </c>
      <c r="O296" s="113">
        <f t="shared" si="8"/>
        <v>2365.0425</v>
      </c>
      <c r="P296" s="114">
        <f>VLOOKUP(N296,'Dados StatusInvest'!A:Z,26,0)</f>
        <v>774705.83</v>
      </c>
      <c r="Q296" s="115">
        <f t="shared" si="9"/>
        <v>425.0425</v>
      </c>
      <c r="R296" s="116">
        <f t="shared" ref="R296:AO296" si="299">IF(AQ296="","", RANK(AQ296,AQ$7:AQ$503,0))</f>
        <v>448</v>
      </c>
      <c r="S296" s="115">
        <f t="shared" si="299"/>
        <v>492</v>
      </c>
      <c r="T296" s="115" t="str">
        <f t="shared" si="299"/>
        <v/>
      </c>
      <c r="U296" s="115" t="str">
        <f t="shared" si="299"/>
        <v/>
      </c>
      <c r="V296" s="115" t="str">
        <f t="shared" si="299"/>
        <v/>
      </c>
      <c r="W296" s="115" t="str">
        <f t="shared" si="299"/>
        <v/>
      </c>
      <c r="X296" s="115" t="str">
        <f t="shared" si="299"/>
        <v/>
      </c>
      <c r="Y296" s="115" t="str">
        <f t="shared" si="299"/>
        <v/>
      </c>
      <c r="Z296" s="115" t="str">
        <f t="shared" si="299"/>
        <v/>
      </c>
      <c r="AA296" s="115" t="str">
        <f t="shared" si="299"/>
        <v/>
      </c>
      <c r="AB296" s="115" t="str">
        <f t="shared" si="299"/>
        <v/>
      </c>
      <c r="AC296" s="115" t="str">
        <f t="shared" si="299"/>
        <v/>
      </c>
      <c r="AD296" s="115" t="str">
        <f t="shared" si="299"/>
        <v/>
      </c>
      <c r="AE296" s="115" t="str">
        <f t="shared" si="299"/>
        <v/>
      </c>
      <c r="AF296" s="115" t="str">
        <f t="shared" si="299"/>
        <v/>
      </c>
      <c r="AG296" s="115" t="str">
        <f t="shared" si="299"/>
        <v/>
      </c>
      <c r="AH296" s="115" t="str">
        <f t="shared" si="299"/>
        <v/>
      </c>
      <c r="AI296" s="115" t="str">
        <f t="shared" si="299"/>
        <v/>
      </c>
      <c r="AJ296" s="115" t="str">
        <f t="shared" si="299"/>
        <v/>
      </c>
      <c r="AK296" s="115" t="str">
        <f t="shared" si="299"/>
        <v/>
      </c>
      <c r="AL296" s="115" t="str">
        <f t="shared" si="299"/>
        <v/>
      </c>
      <c r="AM296" s="115" t="str">
        <f t="shared" si="299"/>
        <v/>
      </c>
      <c r="AN296" s="115" t="str">
        <f t="shared" si="299"/>
        <v/>
      </c>
      <c r="AO296" s="115" t="str">
        <f t="shared" si="299"/>
        <v/>
      </c>
      <c r="AP296" s="117">
        <f>IF(AP$6="","",IF(AP$3="Maior",IFERROR(IF(VLOOKUP($N296,Capa!$A:$AE,AP$5,0)="",0,VLOOKUP($N296,Capa!$A:$AE,AP$5,0)),0),IF(ISERROR(1/VLOOKUP($N296,Capa!$A:$AE,AP$5,0)),0,1/VLOOKUP($N296,Capa!$A:$AE,AP$5,0))))</f>
        <v>-0.03044178777</v>
      </c>
      <c r="AQ296" s="118">
        <f>IF(AQ$6="","",IF(AQ$3="Maior",IFERROR(IF(VLOOKUP($N296,Capa!$A:$AE,AQ$5,0)="",0,VLOOKUP($N296,Capa!$A:$AE,AQ$5,0)),0),IF(ISERROR(1/VLOOKUP($N296,Capa!$A:$AE,AQ$5,0)),0,1/VLOOKUP($N296,Capa!$A:$AE,AQ$5,0))))</f>
        <v>-5.69</v>
      </c>
      <c r="AR296" s="118">
        <f>IF(AR$6="","",IF(AR$3="Maior",IFERROR(IF(VLOOKUP($N296,Capa!$A:$AE,AR$5,0)="",0,VLOOKUP($N296,Capa!$A:$AE,AR$5,0)),0),IF(ISERROR(1/VLOOKUP($N296,Capa!$A:$AE,AR$5,0)),0,1/VLOOKUP($N296,Capa!$A:$AE,AR$5,0))))</f>
        <v>-18.42</v>
      </c>
      <c r="AS296" s="118" t="str">
        <f>IF(AS$6="","",IF(AS$3="Maior",IFERROR(IF(VLOOKUP($N296,Capa!$A:$AE,AS$5,0)="",0,VLOOKUP($N296,Capa!$A:$AE,AS$5,0)),0),IF(ISERROR(1/VLOOKUP($N296,Capa!$A:$AE,AS$5,0)),0,1/VLOOKUP($N296,Capa!$A:$AE,AS$5,0))))</f>
        <v/>
      </c>
      <c r="AT296" s="118" t="str">
        <f>IF(AT$6="","",IF(AT$3="Maior",IFERROR(IF(VLOOKUP($N296,Capa!$A:$AE,AT$5,0)="",0,VLOOKUP($N296,Capa!$A:$AE,AT$5,0)),0),IF(ISERROR(1/VLOOKUP($N296,Capa!$A:$AE,AT$5,0)),0,1/VLOOKUP($N296,Capa!$A:$AE,AT$5,0))))</f>
        <v/>
      </c>
      <c r="AU296" s="118" t="str">
        <f>IF(AU$6="","",IF(AU$3="Maior",IFERROR(IF(VLOOKUP($N296,Capa!$A:$AE,AU$5,0)="",0,VLOOKUP($N296,Capa!$A:$AE,AU$5,0)),0),IF(ISERROR(1/VLOOKUP($N296,Capa!$A:$AE,AU$5,0)),0,1/VLOOKUP($N296,Capa!$A:$AE,AU$5,0))))</f>
        <v/>
      </c>
      <c r="AV296" s="118" t="str">
        <f>IF(AV$6="","",IF(AV$3="Maior",IFERROR(IF(VLOOKUP($N296,Capa!$A:$AE,AV$5,0)="",0,VLOOKUP($N296,Capa!$A:$AE,AV$5,0)),0),IF(ISERROR(1/VLOOKUP($N296,Capa!$A:$AE,AV$5,0)),0,1/VLOOKUP($N296,Capa!$A:$AE,AV$5,0))))</f>
        <v/>
      </c>
      <c r="AW296" s="118" t="str">
        <f>IF(AW$6="","",IF(AW$3="Maior",IFERROR(IF(VLOOKUP($N296,Capa!$A:$AE,AW$5,0)="",0,VLOOKUP($N296,Capa!$A:$AE,AW$5,0)),0),IF(ISERROR(1/VLOOKUP($N296,Capa!$A:$AE,AW$5,0)),0,1/VLOOKUP($N296,Capa!$A:$AE,AW$5,0))))</f>
        <v/>
      </c>
      <c r="AX296" s="118" t="str">
        <f>IF(AX$6="","",IF(AX$3="Maior",IFERROR(IF(VLOOKUP($N296,Capa!$A:$AE,AX$5,0)="",0,VLOOKUP($N296,Capa!$A:$AE,AX$5,0)),0),IF(ISERROR(1/VLOOKUP($N296,Capa!$A:$AE,AX$5,0)),0,1/VLOOKUP($N296,Capa!$A:$AE,AX$5,0))))</f>
        <v/>
      </c>
      <c r="AY296" s="118" t="str">
        <f>IF(AY$6="","",IF(AY$3="Maior",IFERROR(IF(VLOOKUP($N296,Capa!$A:$AE,AY$5,0)="",0,VLOOKUP($N296,Capa!$A:$AE,AY$5,0)),0),IF(ISERROR(1/VLOOKUP($N296,Capa!$A:$AE,AY$5,0)),0,1/VLOOKUP($N296,Capa!$A:$AE,AY$5,0))))</f>
        <v/>
      </c>
      <c r="AZ296" s="118" t="str">
        <f>IF(AZ$6="","",IF(AZ$3="Maior",IFERROR(IF(VLOOKUP($N296,Capa!$A:$AE,AZ$5,0)="",0,VLOOKUP($N296,Capa!$A:$AE,AZ$5,0)),0),IF(ISERROR(1/VLOOKUP($N296,Capa!$A:$AE,AZ$5,0)),0,1/VLOOKUP($N296,Capa!$A:$AE,AZ$5,0))))</f>
        <v/>
      </c>
      <c r="BA296" s="118" t="str">
        <f>IF(BA$6="","",IF(BA$3="Maior",IFERROR(IF(VLOOKUP($N296,Capa!$A:$AE,BA$5,0)="",0,VLOOKUP($N296,Capa!$A:$AE,BA$5,0)),0),IF(ISERROR(1/VLOOKUP($N296,Capa!$A:$AE,BA$5,0)),0,1/VLOOKUP($N296,Capa!$A:$AE,BA$5,0))))</f>
        <v/>
      </c>
      <c r="BB296" s="118" t="str">
        <f>IF(BB$6="","",IF(BB$3="Maior",IFERROR(IF(VLOOKUP($N296,Capa!$A:$AE,BB$5,0)="",0,VLOOKUP($N296,Capa!$A:$AE,BB$5,0)),0),IF(ISERROR(1/VLOOKUP($N296,Capa!$A:$AE,BB$5,0)),0,1/VLOOKUP($N296,Capa!$A:$AE,BB$5,0))))</f>
        <v/>
      </c>
      <c r="BC296" s="118" t="str">
        <f>IF(BC$6="","",IF(BC$3="Maior",IFERROR(IF(VLOOKUP($N296,Capa!$A:$AE,BC$5,0)="",0,VLOOKUP($N296,Capa!$A:$AE,BC$5,0)),0),IF(ISERROR(1/VLOOKUP($N296,Capa!$A:$AE,BC$5,0)),0,1/VLOOKUP($N296,Capa!$A:$AE,BC$5,0))))</f>
        <v/>
      </c>
      <c r="BD296" s="118" t="str">
        <f>IF(BD$6="","",IF(BD$3="Maior",IFERROR(IF(VLOOKUP($N296,Capa!$A:$AE,BD$5,0)="",0,VLOOKUP($N296,Capa!$A:$AE,BD$5,0)),0),IF(ISERROR(1/VLOOKUP($N296,Capa!$A:$AE,BD$5,0)),0,1/VLOOKUP($N296,Capa!$A:$AE,BD$5,0))))</f>
        <v/>
      </c>
      <c r="BE296" s="118" t="str">
        <f>IF(BE$6="","",IF(BE$3="Maior",IFERROR(IF(VLOOKUP($N296,Capa!$A:$AE,BE$5,0)="",0,VLOOKUP($N296,Capa!$A:$AE,BE$5,0)),0),IF(ISERROR(1/VLOOKUP($N296,Capa!$A:$AE,BE$5,0)),0,1/VLOOKUP($N296,Capa!$A:$AE,BE$5,0))))</f>
        <v/>
      </c>
      <c r="BF296" s="118" t="str">
        <f>IF(BF$6="","",IF(BF$3="Maior",IFERROR(IF(VLOOKUP($N296,Capa!$A:$AE,BF$5,0)="",0,VLOOKUP($N296,Capa!$A:$AE,BF$5,0)),0),IF(ISERROR(1/VLOOKUP($N296,Capa!$A:$AE,BF$5,0)),0,1/VLOOKUP($N296,Capa!$A:$AE,BF$5,0))))</f>
        <v/>
      </c>
      <c r="BG296" s="118" t="str">
        <f>IF(BG$6="","",IF(BG$3="Maior",IFERROR(IF(VLOOKUP($N296,Capa!$A:$AE,BG$5,0)="",0,VLOOKUP($N296,Capa!$A:$AE,BG$5,0)),0),IF(ISERROR(1/VLOOKUP($N296,Capa!$A:$AE,BG$5,0)),0,1/VLOOKUP($N296,Capa!$A:$AE,BG$5,0))))</f>
        <v/>
      </c>
      <c r="BH296" s="118" t="str">
        <f>IF(BH$6="","",IF(BH$3="Maior",IFERROR(IF(VLOOKUP($N296,Capa!$A:$AE,BH$5,0)="",0,VLOOKUP($N296,Capa!$A:$AE,BH$5,0)),0),IF(ISERROR(1/VLOOKUP($N296,Capa!$A:$AE,BH$5,0)),0,1/VLOOKUP($N296,Capa!$A:$AE,BH$5,0))))</f>
        <v/>
      </c>
      <c r="BI296" s="118" t="str">
        <f>IF(BI$6="","",IF(BI$3="Maior",IFERROR(IF(VLOOKUP($N296,Capa!$A:$AE,BI$5,0)="",0,VLOOKUP($N296,Capa!$A:$AE,BI$5,0)),0),IF(ISERROR(1/VLOOKUP($N296,Capa!$A:$AE,BI$5,0)),0,1/VLOOKUP($N296,Capa!$A:$AE,BI$5,0))))</f>
        <v/>
      </c>
      <c r="BJ296" s="118" t="str">
        <f>IF(BJ$6="","",IF(BJ$3="Maior",IFERROR(IF(VLOOKUP($N296,Capa!$A:$AE,BJ$5,0)="",0,VLOOKUP($N296,Capa!$A:$AE,BJ$5,0)),0),IF(ISERROR(1/VLOOKUP($N296,Capa!$A:$AE,BJ$5,0)),0,1/VLOOKUP($N296,Capa!$A:$AE,BJ$5,0))))</f>
        <v/>
      </c>
      <c r="BK296" s="118" t="str">
        <f>IF(BK$6="","",IF(BK$3="Maior",IFERROR(IF(VLOOKUP($N296,Capa!$A:$AE,BK$5,0)="",0,VLOOKUP($N296,Capa!$A:$AE,BK$5,0)),0),IF(ISERROR(1/VLOOKUP($N296,Capa!$A:$AE,BK$5,0)),0,1/VLOOKUP($N296,Capa!$A:$AE,BK$5,0))))</f>
        <v/>
      </c>
      <c r="BL296" s="118" t="str">
        <f>IF(BL$6="","",IF(BL$3="Maior",IFERROR(IF(VLOOKUP($N296,Capa!$A:$AE,BL$5,0)="",0,VLOOKUP($N296,Capa!$A:$AE,BL$5,0)),0),IF(ISERROR(1/VLOOKUP($N296,Capa!$A:$AE,BL$5,0)),0,1/VLOOKUP($N296,Capa!$A:$AE,BL$5,0))))</f>
        <v/>
      </c>
      <c r="BM296" s="118" t="str">
        <f>IF(BM$6="","",IF(BM$3="Maior",IFERROR(IF(VLOOKUP($N296,Capa!$A:$AE,BM$5,0)="",0,VLOOKUP($N296,Capa!$A:$AE,BM$5,0)),0),IF(ISERROR(1/VLOOKUP($N296,Capa!$A:$AE,BM$5,0)),0,1/VLOOKUP($N296,Capa!$A:$AE,BM$5,0))))</f>
        <v/>
      </c>
      <c r="BN296" s="118" t="str">
        <f>IF(BN$6="","",IF(BN$3="Maior",IFERROR(IF(VLOOKUP($N296,Capa!$A:$AE,BN$5,0)="",0,VLOOKUP($N296,Capa!$A:$AE,BN$5,0)),0),IF(ISERROR(1/VLOOKUP($N296,Capa!$A:$AE,BN$5,0)),0,1/VLOOKUP($N296,Capa!$A:$AE,BN$5,0))))</f>
        <v/>
      </c>
      <c r="BO296" s="92"/>
    </row>
    <row r="297">
      <c r="G297" s="11"/>
      <c r="H297" s="11"/>
      <c r="I297" s="8"/>
      <c r="J297" s="132"/>
      <c r="K297" s="11"/>
      <c r="L297" s="11"/>
      <c r="M297" s="11"/>
      <c r="N297" s="10" t="s">
        <v>343</v>
      </c>
      <c r="O297" s="113">
        <f t="shared" si="8"/>
        <v>2085.0491</v>
      </c>
      <c r="P297" s="114">
        <f>VLOOKUP(N297,'Dados StatusInvest'!A:Z,26,0)</f>
        <v>399978.63</v>
      </c>
      <c r="Q297" s="115">
        <f t="shared" si="9"/>
        <v>491.0491</v>
      </c>
      <c r="R297" s="116">
        <f t="shared" ref="R297:AO297" si="300">IF(AQ297="","", RANK(AQ297,AQ$7:AQ$503,0))</f>
        <v>375</v>
      </c>
      <c r="S297" s="115">
        <f t="shared" si="300"/>
        <v>219</v>
      </c>
      <c r="T297" s="115" t="str">
        <f t="shared" si="300"/>
        <v/>
      </c>
      <c r="U297" s="115" t="str">
        <f t="shared" si="300"/>
        <v/>
      </c>
      <c r="V297" s="115" t="str">
        <f t="shared" si="300"/>
        <v/>
      </c>
      <c r="W297" s="115" t="str">
        <f t="shared" si="300"/>
        <v/>
      </c>
      <c r="X297" s="115" t="str">
        <f t="shared" si="300"/>
        <v/>
      </c>
      <c r="Y297" s="115" t="str">
        <f t="shared" si="300"/>
        <v/>
      </c>
      <c r="Z297" s="115" t="str">
        <f t="shared" si="300"/>
        <v/>
      </c>
      <c r="AA297" s="115" t="str">
        <f t="shared" si="300"/>
        <v/>
      </c>
      <c r="AB297" s="115" t="str">
        <f t="shared" si="300"/>
        <v/>
      </c>
      <c r="AC297" s="115" t="str">
        <f t="shared" si="300"/>
        <v/>
      </c>
      <c r="AD297" s="115" t="str">
        <f t="shared" si="300"/>
        <v/>
      </c>
      <c r="AE297" s="115" t="str">
        <f t="shared" si="300"/>
        <v/>
      </c>
      <c r="AF297" s="115" t="str">
        <f t="shared" si="300"/>
        <v/>
      </c>
      <c r="AG297" s="115" t="str">
        <f t="shared" si="300"/>
        <v/>
      </c>
      <c r="AH297" s="115" t="str">
        <f t="shared" si="300"/>
        <v/>
      </c>
      <c r="AI297" s="115" t="str">
        <f t="shared" si="300"/>
        <v/>
      </c>
      <c r="AJ297" s="115" t="str">
        <f t="shared" si="300"/>
        <v/>
      </c>
      <c r="AK297" s="115" t="str">
        <f t="shared" si="300"/>
        <v/>
      </c>
      <c r="AL297" s="115" t="str">
        <f t="shared" si="300"/>
        <v/>
      </c>
      <c r="AM297" s="115" t="str">
        <f t="shared" si="300"/>
        <v/>
      </c>
      <c r="AN297" s="115" t="str">
        <f t="shared" si="300"/>
        <v/>
      </c>
      <c r="AO297" s="115" t="str">
        <f t="shared" si="300"/>
        <v/>
      </c>
      <c r="AP297" s="117">
        <f>IF(AP$6="","",IF(AP$3="Maior",IFERROR(IF(VLOOKUP($N297,Capa!$A:$AE,AP$5,0)="",0,VLOOKUP($N297,Capa!$A:$AE,AP$5,0)),0),IF(ISERROR(1/VLOOKUP($N297,Capa!$A:$AE,AP$5,0)),0,1/VLOOKUP($N297,Capa!$A:$AE,AP$5,0))))</f>
        <v>-0.6753698869</v>
      </c>
      <c r="AQ297" s="118">
        <f>IF(AQ$6="","",IF(AQ$3="Maior",IFERROR(IF(VLOOKUP($N297,Capa!$A:$AE,AQ$5,0)="",0,VLOOKUP($N297,Capa!$A:$AE,AQ$5,0)),0),IF(ISERROR(1/VLOOKUP($N297,Capa!$A:$AE,AQ$5,0)),0,1/VLOOKUP($N297,Capa!$A:$AE,AQ$5,0))))</f>
        <v>0</v>
      </c>
      <c r="AR297" s="118">
        <f>IF(AR$6="","",IF(AR$3="Maior",IFERROR(IF(VLOOKUP($N297,Capa!$A:$AE,AR$5,0)="",0,VLOOKUP($N297,Capa!$A:$AE,AR$5,0)),0),IF(ISERROR(1/VLOOKUP($N297,Capa!$A:$AE,AR$5,0)),0,1/VLOOKUP($N297,Capa!$A:$AE,AR$5,0))))</f>
        <v>0</v>
      </c>
      <c r="AS297" s="118" t="str">
        <f>IF(AS$6="","",IF(AS$3="Maior",IFERROR(IF(VLOOKUP($N297,Capa!$A:$AE,AS$5,0)="",0,VLOOKUP($N297,Capa!$A:$AE,AS$5,0)),0),IF(ISERROR(1/VLOOKUP($N297,Capa!$A:$AE,AS$5,0)),0,1/VLOOKUP($N297,Capa!$A:$AE,AS$5,0))))</f>
        <v/>
      </c>
      <c r="AT297" s="118" t="str">
        <f>IF(AT$6="","",IF(AT$3="Maior",IFERROR(IF(VLOOKUP($N297,Capa!$A:$AE,AT$5,0)="",0,VLOOKUP($N297,Capa!$A:$AE,AT$5,0)),0),IF(ISERROR(1/VLOOKUP($N297,Capa!$A:$AE,AT$5,0)),0,1/VLOOKUP($N297,Capa!$A:$AE,AT$5,0))))</f>
        <v/>
      </c>
      <c r="AU297" s="118" t="str">
        <f>IF(AU$6="","",IF(AU$3="Maior",IFERROR(IF(VLOOKUP($N297,Capa!$A:$AE,AU$5,0)="",0,VLOOKUP($N297,Capa!$A:$AE,AU$5,0)),0),IF(ISERROR(1/VLOOKUP($N297,Capa!$A:$AE,AU$5,0)),0,1/VLOOKUP($N297,Capa!$A:$AE,AU$5,0))))</f>
        <v/>
      </c>
      <c r="AV297" s="118" t="str">
        <f>IF(AV$6="","",IF(AV$3="Maior",IFERROR(IF(VLOOKUP($N297,Capa!$A:$AE,AV$5,0)="",0,VLOOKUP($N297,Capa!$A:$AE,AV$5,0)),0),IF(ISERROR(1/VLOOKUP($N297,Capa!$A:$AE,AV$5,0)),0,1/VLOOKUP($N297,Capa!$A:$AE,AV$5,0))))</f>
        <v/>
      </c>
      <c r="AW297" s="118" t="str">
        <f>IF(AW$6="","",IF(AW$3="Maior",IFERROR(IF(VLOOKUP($N297,Capa!$A:$AE,AW$5,0)="",0,VLOOKUP($N297,Capa!$A:$AE,AW$5,0)),0),IF(ISERROR(1/VLOOKUP($N297,Capa!$A:$AE,AW$5,0)),0,1/VLOOKUP($N297,Capa!$A:$AE,AW$5,0))))</f>
        <v/>
      </c>
      <c r="AX297" s="118" t="str">
        <f>IF(AX$6="","",IF(AX$3="Maior",IFERROR(IF(VLOOKUP($N297,Capa!$A:$AE,AX$5,0)="",0,VLOOKUP($N297,Capa!$A:$AE,AX$5,0)),0),IF(ISERROR(1/VLOOKUP($N297,Capa!$A:$AE,AX$5,0)),0,1/VLOOKUP($N297,Capa!$A:$AE,AX$5,0))))</f>
        <v/>
      </c>
      <c r="AY297" s="118" t="str">
        <f>IF(AY$6="","",IF(AY$3="Maior",IFERROR(IF(VLOOKUP($N297,Capa!$A:$AE,AY$5,0)="",0,VLOOKUP($N297,Capa!$A:$AE,AY$5,0)),0),IF(ISERROR(1/VLOOKUP($N297,Capa!$A:$AE,AY$5,0)),0,1/VLOOKUP($N297,Capa!$A:$AE,AY$5,0))))</f>
        <v/>
      </c>
      <c r="AZ297" s="118" t="str">
        <f>IF(AZ$6="","",IF(AZ$3="Maior",IFERROR(IF(VLOOKUP($N297,Capa!$A:$AE,AZ$5,0)="",0,VLOOKUP($N297,Capa!$A:$AE,AZ$5,0)),0),IF(ISERROR(1/VLOOKUP($N297,Capa!$A:$AE,AZ$5,0)),0,1/VLOOKUP($N297,Capa!$A:$AE,AZ$5,0))))</f>
        <v/>
      </c>
      <c r="BA297" s="118" t="str">
        <f>IF(BA$6="","",IF(BA$3="Maior",IFERROR(IF(VLOOKUP($N297,Capa!$A:$AE,BA$5,0)="",0,VLOOKUP($N297,Capa!$A:$AE,BA$5,0)),0),IF(ISERROR(1/VLOOKUP($N297,Capa!$A:$AE,BA$5,0)),0,1/VLOOKUP($N297,Capa!$A:$AE,BA$5,0))))</f>
        <v/>
      </c>
      <c r="BB297" s="118" t="str">
        <f>IF(BB$6="","",IF(BB$3="Maior",IFERROR(IF(VLOOKUP($N297,Capa!$A:$AE,BB$5,0)="",0,VLOOKUP($N297,Capa!$A:$AE,BB$5,0)),0),IF(ISERROR(1/VLOOKUP($N297,Capa!$A:$AE,BB$5,0)),0,1/VLOOKUP($N297,Capa!$A:$AE,BB$5,0))))</f>
        <v/>
      </c>
      <c r="BC297" s="118" t="str">
        <f>IF(BC$6="","",IF(BC$3="Maior",IFERROR(IF(VLOOKUP($N297,Capa!$A:$AE,BC$5,0)="",0,VLOOKUP($N297,Capa!$A:$AE,BC$5,0)),0),IF(ISERROR(1/VLOOKUP($N297,Capa!$A:$AE,BC$5,0)),0,1/VLOOKUP($N297,Capa!$A:$AE,BC$5,0))))</f>
        <v/>
      </c>
      <c r="BD297" s="118" t="str">
        <f>IF(BD$6="","",IF(BD$3="Maior",IFERROR(IF(VLOOKUP($N297,Capa!$A:$AE,BD$5,0)="",0,VLOOKUP($N297,Capa!$A:$AE,BD$5,0)),0),IF(ISERROR(1/VLOOKUP($N297,Capa!$A:$AE,BD$5,0)),0,1/VLOOKUP($N297,Capa!$A:$AE,BD$5,0))))</f>
        <v/>
      </c>
      <c r="BE297" s="118" t="str">
        <f>IF(BE$6="","",IF(BE$3="Maior",IFERROR(IF(VLOOKUP($N297,Capa!$A:$AE,BE$5,0)="",0,VLOOKUP($N297,Capa!$A:$AE,BE$5,0)),0),IF(ISERROR(1/VLOOKUP($N297,Capa!$A:$AE,BE$5,0)),0,1/VLOOKUP($N297,Capa!$A:$AE,BE$5,0))))</f>
        <v/>
      </c>
      <c r="BF297" s="118" t="str">
        <f>IF(BF$6="","",IF(BF$3="Maior",IFERROR(IF(VLOOKUP($N297,Capa!$A:$AE,BF$5,0)="",0,VLOOKUP($N297,Capa!$A:$AE,BF$5,0)),0),IF(ISERROR(1/VLOOKUP($N297,Capa!$A:$AE,BF$5,0)),0,1/VLOOKUP($N297,Capa!$A:$AE,BF$5,0))))</f>
        <v/>
      </c>
      <c r="BG297" s="118" t="str">
        <f>IF(BG$6="","",IF(BG$3="Maior",IFERROR(IF(VLOOKUP($N297,Capa!$A:$AE,BG$5,0)="",0,VLOOKUP($N297,Capa!$A:$AE,BG$5,0)),0),IF(ISERROR(1/VLOOKUP($N297,Capa!$A:$AE,BG$5,0)),0,1/VLOOKUP($N297,Capa!$A:$AE,BG$5,0))))</f>
        <v/>
      </c>
      <c r="BH297" s="118" t="str">
        <f>IF(BH$6="","",IF(BH$3="Maior",IFERROR(IF(VLOOKUP($N297,Capa!$A:$AE,BH$5,0)="",0,VLOOKUP($N297,Capa!$A:$AE,BH$5,0)),0),IF(ISERROR(1/VLOOKUP($N297,Capa!$A:$AE,BH$5,0)),0,1/VLOOKUP($N297,Capa!$A:$AE,BH$5,0))))</f>
        <v/>
      </c>
      <c r="BI297" s="118" t="str">
        <f>IF(BI$6="","",IF(BI$3="Maior",IFERROR(IF(VLOOKUP($N297,Capa!$A:$AE,BI$5,0)="",0,VLOOKUP($N297,Capa!$A:$AE,BI$5,0)),0),IF(ISERROR(1/VLOOKUP($N297,Capa!$A:$AE,BI$5,0)),0,1/VLOOKUP($N297,Capa!$A:$AE,BI$5,0))))</f>
        <v/>
      </c>
      <c r="BJ297" s="118" t="str">
        <f>IF(BJ$6="","",IF(BJ$3="Maior",IFERROR(IF(VLOOKUP($N297,Capa!$A:$AE,BJ$5,0)="",0,VLOOKUP($N297,Capa!$A:$AE,BJ$5,0)),0),IF(ISERROR(1/VLOOKUP($N297,Capa!$A:$AE,BJ$5,0)),0,1/VLOOKUP($N297,Capa!$A:$AE,BJ$5,0))))</f>
        <v/>
      </c>
      <c r="BK297" s="118" t="str">
        <f>IF(BK$6="","",IF(BK$3="Maior",IFERROR(IF(VLOOKUP($N297,Capa!$A:$AE,BK$5,0)="",0,VLOOKUP($N297,Capa!$A:$AE,BK$5,0)),0),IF(ISERROR(1/VLOOKUP($N297,Capa!$A:$AE,BK$5,0)),0,1/VLOOKUP($N297,Capa!$A:$AE,BK$5,0))))</f>
        <v/>
      </c>
      <c r="BL297" s="118" t="str">
        <f>IF(BL$6="","",IF(BL$3="Maior",IFERROR(IF(VLOOKUP($N297,Capa!$A:$AE,BL$5,0)="",0,VLOOKUP($N297,Capa!$A:$AE,BL$5,0)),0),IF(ISERROR(1/VLOOKUP($N297,Capa!$A:$AE,BL$5,0)),0,1/VLOOKUP($N297,Capa!$A:$AE,BL$5,0))))</f>
        <v/>
      </c>
      <c r="BM297" s="118" t="str">
        <f>IF(BM$6="","",IF(BM$3="Maior",IFERROR(IF(VLOOKUP($N297,Capa!$A:$AE,BM$5,0)="",0,VLOOKUP($N297,Capa!$A:$AE,BM$5,0)),0),IF(ISERROR(1/VLOOKUP($N297,Capa!$A:$AE,BM$5,0)),0,1/VLOOKUP($N297,Capa!$A:$AE,BM$5,0))))</f>
        <v/>
      </c>
      <c r="BN297" s="118" t="str">
        <f>IF(BN$6="","",IF(BN$3="Maior",IFERROR(IF(VLOOKUP($N297,Capa!$A:$AE,BN$5,0)="",0,VLOOKUP($N297,Capa!$A:$AE,BN$5,0)),0),IF(ISERROR(1/VLOOKUP($N297,Capa!$A:$AE,BN$5,0)),0,1/VLOOKUP($N297,Capa!$A:$AE,BN$5,0))))</f>
        <v/>
      </c>
      <c r="BO297" s="92"/>
    </row>
    <row r="298">
      <c r="G298" s="11"/>
      <c r="H298" s="11"/>
      <c r="I298" s="8"/>
      <c r="J298" s="132"/>
      <c r="K298" s="11"/>
      <c r="L298" s="11"/>
      <c r="M298" s="11"/>
      <c r="N298" s="10" t="s">
        <v>344</v>
      </c>
      <c r="O298" s="113">
        <f t="shared" si="8"/>
        <v>1247.0023</v>
      </c>
      <c r="P298" s="114">
        <f>VLOOKUP(N298,'Dados StatusInvest'!A:Z,26,0)</f>
        <v>462291.5</v>
      </c>
      <c r="Q298" s="115">
        <f t="shared" si="9"/>
        <v>23.0023</v>
      </c>
      <c r="R298" s="116">
        <f t="shared" ref="R298:AO298" si="301">IF(AQ298="","", RANK(AQ298,AQ$7:AQ$503,0))</f>
        <v>5</v>
      </c>
      <c r="S298" s="115">
        <f t="shared" si="301"/>
        <v>219</v>
      </c>
      <c r="T298" s="115" t="str">
        <f t="shared" si="301"/>
        <v/>
      </c>
      <c r="U298" s="115" t="str">
        <f t="shared" si="301"/>
        <v/>
      </c>
      <c r="V298" s="115" t="str">
        <f t="shared" si="301"/>
        <v/>
      </c>
      <c r="W298" s="115" t="str">
        <f t="shared" si="301"/>
        <v/>
      </c>
      <c r="X298" s="115" t="str">
        <f t="shared" si="301"/>
        <v/>
      </c>
      <c r="Y298" s="115" t="str">
        <f t="shared" si="301"/>
        <v/>
      </c>
      <c r="Z298" s="115" t="str">
        <f t="shared" si="301"/>
        <v/>
      </c>
      <c r="AA298" s="115" t="str">
        <f t="shared" si="301"/>
        <v/>
      </c>
      <c r="AB298" s="115" t="str">
        <f t="shared" si="301"/>
        <v/>
      </c>
      <c r="AC298" s="115" t="str">
        <f t="shared" si="301"/>
        <v/>
      </c>
      <c r="AD298" s="115" t="str">
        <f t="shared" si="301"/>
        <v/>
      </c>
      <c r="AE298" s="115" t="str">
        <f t="shared" si="301"/>
        <v/>
      </c>
      <c r="AF298" s="115" t="str">
        <f t="shared" si="301"/>
        <v/>
      </c>
      <c r="AG298" s="115" t="str">
        <f t="shared" si="301"/>
        <v/>
      </c>
      <c r="AH298" s="115" t="str">
        <f t="shared" si="301"/>
        <v/>
      </c>
      <c r="AI298" s="115" t="str">
        <f t="shared" si="301"/>
        <v/>
      </c>
      <c r="AJ298" s="115" t="str">
        <f t="shared" si="301"/>
        <v/>
      </c>
      <c r="AK298" s="115" t="str">
        <f t="shared" si="301"/>
        <v/>
      </c>
      <c r="AL298" s="115" t="str">
        <f t="shared" si="301"/>
        <v/>
      </c>
      <c r="AM298" s="115" t="str">
        <f t="shared" si="301"/>
        <v/>
      </c>
      <c r="AN298" s="115" t="str">
        <f t="shared" si="301"/>
        <v/>
      </c>
      <c r="AO298" s="115" t="str">
        <f t="shared" si="301"/>
        <v/>
      </c>
      <c r="AP298" s="117">
        <f>IF(AP$6="","",IF(AP$3="Maior",IFERROR(IF(VLOOKUP($N298,Capa!$A:$AE,AP$5,0)="",0,VLOOKUP($N298,Capa!$A:$AE,AP$5,0)),0),IF(ISERROR(1/VLOOKUP($N298,Capa!$A:$AE,AP$5,0)),0,1/VLOOKUP($N298,Capa!$A:$AE,AP$5,0))))</f>
        <v>0.3747483832</v>
      </c>
      <c r="AQ298" s="118">
        <f>IF(AQ$6="","",IF(AQ$3="Maior",IFERROR(IF(VLOOKUP($N298,Capa!$A:$AE,AQ$5,0)="",0,VLOOKUP($N298,Capa!$A:$AE,AQ$5,0)),0),IF(ISERROR(1/VLOOKUP($N298,Capa!$A:$AE,AQ$5,0)),0,1/VLOOKUP($N298,Capa!$A:$AE,AQ$5,0))))</f>
        <v>112.54</v>
      </c>
      <c r="AR298" s="118">
        <f>IF(AR$6="","",IF(AR$3="Maior",IFERROR(IF(VLOOKUP($N298,Capa!$A:$AE,AR$5,0)="",0,VLOOKUP($N298,Capa!$A:$AE,AR$5,0)),0),IF(ISERROR(1/VLOOKUP($N298,Capa!$A:$AE,AR$5,0)),0,1/VLOOKUP($N298,Capa!$A:$AE,AR$5,0))))</f>
        <v>0</v>
      </c>
      <c r="AS298" s="118" t="str">
        <f>IF(AS$6="","",IF(AS$3="Maior",IFERROR(IF(VLOOKUP($N298,Capa!$A:$AE,AS$5,0)="",0,VLOOKUP($N298,Capa!$A:$AE,AS$5,0)),0),IF(ISERROR(1/VLOOKUP($N298,Capa!$A:$AE,AS$5,0)),0,1/VLOOKUP($N298,Capa!$A:$AE,AS$5,0))))</f>
        <v/>
      </c>
      <c r="AT298" s="118" t="str">
        <f>IF(AT$6="","",IF(AT$3="Maior",IFERROR(IF(VLOOKUP($N298,Capa!$A:$AE,AT$5,0)="",0,VLOOKUP($N298,Capa!$A:$AE,AT$5,0)),0),IF(ISERROR(1/VLOOKUP($N298,Capa!$A:$AE,AT$5,0)),0,1/VLOOKUP($N298,Capa!$A:$AE,AT$5,0))))</f>
        <v/>
      </c>
      <c r="AU298" s="118" t="str">
        <f>IF(AU$6="","",IF(AU$3="Maior",IFERROR(IF(VLOOKUP($N298,Capa!$A:$AE,AU$5,0)="",0,VLOOKUP($N298,Capa!$A:$AE,AU$5,0)),0),IF(ISERROR(1/VLOOKUP($N298,Capa!$A:$AE,AU$5,0)),0,1/VLOOKUP($N298,Capa!$A:$AE,AU$5,0))))</f>
        <v/>
      </c>
      <c r="AV298" s="118" t="str">
        <f>IF(AV$6="","",IF(AV$3="Maior",IFERROR(IF(VLOOKUP($N298,Capa!$A:$AE,AV$5,0)="",0,VLOOKUP($N298,Capa!$A:$AE,AV$5,0)),0),IF(ISERROR(1/VLOOKUP($N298,Capa!$A:$AE,AV$5,0)),0,1/VLOOKUP($N298,Capa!$A:$AE,AV$5,0))))</f>
        <v/>
      </c>
      <c r="AW298" s="118" t="str">
        <f>IF(AW$6="","",IF(AW$3="Maior",IFERROR(IF(VLOOKUP($N298,Capa!$A:$AE,AW$5,0)="",0,VLOOKUP($N298,Capa!$A:$AE,AW$5,0)),0),IF(ISERROR(1/VLOOKUP($N298,Capa!$A:$AE,AW$5,0)),0,1/VLOOKUP($N298,Capa!$A:$AE,AW$5,0))))</f>
        <v/>
      </c>
      <c r="AX298" s="118" t="str">
        <f>IF(AX$6="","",IF(AX$3="Maior",IFERROR(IF(VLOOKUP($N298,Capa!$A:$AE,AX$5,0)="",0,VLOOKUP($N298,Capa!$A:$AE,AX$5,0)),0),IF(ISERROR(1/VLOOKUP($N298,Capa!$A:$AE,AX$5,0)),0,1/VLOOKUP($N298,Capa!$A:$AE,AX$5,0))))</f>
        <v/>
      </c>
      <c r="AY298" s="118" t="str">
        <f>IF(AY$6="","",IF(AY$3="Maior",IFERROR(IF(VLOOKUP($N298,Capa!$A:$AE,AY$5,0)="",0,VLOOKUP($N298,Capa!$A:$AE,AY$5,0)),0),IF(ISERROR(1/VLOOKUP($N298,Capa!$A:$AE,AY$5,0)),0,1/VLOOKUP($N298,Capa!$A:$AE,AY$5,0))))</f>
        <v/>
      </c>
      <c r="AZ298" s="118" t="str">
        <f>IF(AZ$6="","",IF(AZ$3="Maior",IFERROR(IF(VLOOKUP($N298,Capa!$A:$AE,AZ$5,0)="",0,VLOOKUP($N298,Capa!$A:$AE,AZ$5,0)),0),IF(ISERROR(1/VLOOKUP($N298,Capa!$A:$AE,AZ$5,0)),0,1/VLOOKUP($N298,Capa!$A:$AE,AZ$5,0))))</f>
        <v/>
      </c>
      <c r="BA298" s="118" t="str">
        <f>IF(BA$6="","",IF(BA$3="Maior",IFERROR(IF(VLOOKUP($N298,Capa!$A:$AE,BA$5,0)="",0,VLOOKUP($N298,Capa!$A:$AE,BA$5,0)),0),IF(ISERROR(1/VLOOKUP($N298,Capa!$A:$AE,BA$5,0)),0,1/VLOOKUP($N298,Capa!$A:$AE,BA$5,0))))</f>
        <v/>
      </c>
      <c r="BB298" s="118" t="str">
        <f>IF(BB$6="","",IF(BB$3="Maior",IFERROR(IF(VLOOKUP($N298,Capa!$A:$AE,BB$5,0)="",0,VLOOKUP($N298,Capa!$A:$AE,BB$5,0)),0),IF(ISERROR(1/VLOOKUP($N298,Capa!$A:$AE,BB$5,0)),0,1/VLOOKUP($N298,Capa!$A:$AE,BB$5,0))))</f>
        <v/>
      </c>
      <c r="BC298" s="118" t="str">
        <f>IF(BC$6="","",IF(BC$3="Maior",IFERROR(IF(VLOOKUP($N298,Capa!$A:$AE,BC$5,0)="",0,VLOOKUP($N298,Capa!$A:$AE,BC$5,0)),0),IF(ISERROR(1/VLOOKUP($N298,Capa!$A:$AE,BC$5,0)),0,1/VLOOKUP($N298,Capa!$A:$AE,BC$5,0))))</f>
        <v/>
      </c>
      <c r="BD298" s="118" t="str">
        <f>IF(BD$6="","",IF(BD$3="Maior",IFERROR(IF(VLOOKUP($N298,Capa!$A:$AE,BD$5,0)="",0,VLOOKUP($N298,Capa!$A:$AE,BD$5,0)),0),IF(ISERROR(1/VLOOKUP($N298,Capa!$A:$AE,BD$5,0)),0,1/VLOOKUP($N298,Capa!$A:$AE,BD$5,0))))</f>
        <v/>
      </c>
      <c r="BE298" s="118" t="str">
        <f>IF(BE$6="","",IF(BE$3="Maior",IFERROR(IF(VLOOKUP($N298,Capa!$A:$AE,BE$5,0)="",0,VLOOKUP($N298,Capa!$A:$AE,BE$5,0)),0),IF(ISERROR(1/VLOOKUP($N298,Capa!$A:$AE,BE$5,0)),0,1/VLOOKUP($N298,Capa!$A:$AE,BE$5,0))))</f>
        <v/>
      </c>
      <c r="BF298" s="118" t="str">
        <f>IF(BF$6="","",IF(BF$3="Maior",IFERROR(IF(VLOOKUP($N298,Capa!$A:$AE,BF$5,0)="",0,VLOOKUP($N298,Capa!$A:$AE,BF$5,0)),0),IF(ISERROR(1/VLOOKUP($N298,Capa!$A:$AE,BF$5,0)),0,1/VLOOKUP($N298,Capa!$A:$AE,BF$5,0))))</f>
        <v/>
      </c>
      <c r="BG298" s="118" t="str">
        <f>IF(BG$6="","",IF(BG$3="Maior",IFERROR(IF(VLOOKUP($N298,Capa!$A:$AE,BG$5,0)="",0,VLOOKUP($N298,Capa!$A:$AE,BG$5,0)),0),IF(ISERROR(1/VLOOKUP($N298,Capa!$A:$AE,BG$5,0)),0,1/VLOOKUP($N298,Capa!$A:$AE,BG$5,0))))</f>
        <v/>
      </c>
      <c r="BH298" s="118" t="str">
        <f>IF(BH$6="","",IF(BH$3="Maior",IFERROR(IF(VLOOKUP($N298,Capa!$A:$AE,BH$5,0)="",0,VLOOKUP($N298,Capa!$A:$AE,BH$5,0)),0),IF(ISERROR(1/VLOOKUP($N298,Capa!$A:$AE,BH$5,0)),0,1/VLOOKUP($N298,Capa!$A:$AE,BH$5,0))))</f>
        <v/>
      </c>
      <c r="BI298" s="118" t="str">
        <f>IF(BI$6="","",IF(BI$3="Maior",IFERROR(IF(VLOOKUP($N298,Capa!$A:$AE,BI$5,0)="",0,VLOOKUP($N298,Capa!$A:$AE,BI$5,0)),0),IF(ISERROR(1/VLOOKUP($N298,Capa!$A:$AE,BI$5,0)),0,1/VLOOKUP($N298,Capa!$A:$AE,BI$5,0))))</f>
        <v/>
      </c>
      <c r="BJ298" s="118" t="str">
        <f>IF(BJ$6="","",IF(BJ$3="Maior",IFERROR(IF(VLOOKUP($N298,Capa!$A:$AE,BJ$5,0)="",0,VLOOKUP($N298,Capa!$A:$AE,BJ$5,0)),0),IF(ISERROR(1/VLOOKUP($N298,Capa!$A:$AE,BJ$5,0)),0,1/VLOOKUP($N298,Capa!$A:$AE,BJ$5,0))))</f>
        <v/>
      </c>
      <c r="BK298" s="118" t="str">
        <f>IF(BK$6="","",IF(BK$3="Maior",IFERROR(IF(VLOOKUP($N298,Capa!$A:$AE,BK$5,0)="",0,VLOOKUP($N298,Capa!$A:$AE,BK$5,0)),0),IF(ISERROR(1/VLOOKUP($N298,Capa!$A:$AE,BK$5,0)),0,1/VLOOKUP($N298,Capa!$A:$AE,BK$5,0))))</f>
        <v/>
      </c>
      <c r="BL298" s="118" t="str">
        <f>IF(BL$6="","",IF(BL$3="Maior",IFERROR(IF(VLOOKUP($N298,Capa!$A:$AE,BL$5,0)="",0,VLOOKUP($N298,Capa!$A:$AE,BL$5,0)),0),IF(ISERROR(1/VLOOKUP($N298,Capa!$A:$AE,BL$5,0)),0,1/VLOOKUP($N298,Capa!$A:$AE,BL$5,0))))</f>
        <v/>
      </c>
      <c r="BM298" s="118" t="str">
        <f>IF(BM$6="","",IF(BM$3="Maior",IFERROR(IF(VLOOKUP($N298,Capa!$A:$AE,BM$5,0)="",0,VLOOKUP($N298,Capa!$A:$AE,BM$5,0)),0),IF(ISERROR(1/VLOOKUP($N298,Capa!$A:$AE,BM$5,0)),0,1/VLOOKUP($N298,Capa!$A:$AE,BM$5,0))))</f>
        <v/>
      </c>
      <c r="BN298" s="118" t="str">
        <f>IF(BN$6="","",IF(BN$3="Maior",IFERROR(IF(VLOOKUP($N298,Capa!$A:$AE,BN$5,0)="",0,VLOOKUP($N298,Capa!$A:$AE,BN$5,0)),0),IF(ISERROR(1/VLOOKUP($N298,Capa!$A:$AE,BN$5,0)),0,1/VLOOKUP($N298,Capa!$A:$AE,BN$5,0))))</f>
        <v/>
      </c>
      <c r="BO298" s="92"/>
    </row>
    <row r="299">
      <c r="G299" s="11"/>
      <c r="H299" s="11"/>
      <c r="I299" s="8"/>
      <c r="J299" s="132"/>
      <c r="K299" s="11"/>
      <c r="L299" s="11"/>
      <c r="M299" s="11"/>
      <c r="N299" s="10" t="s">
        <v>345</v>
      </c>
      <c r="O299" s="113">
        <f t="shared" si="8"/>
        <v>1412.011</v>
      </c>
      <c r="P299" s="114">
        <f>VLOOKUP(N299,'Dados StatusInvest'!A:Z,26,0)</f>
        <v>565649.79</v>
      </c>
      <c r="Q299" s="115">
        <f t="shared" si="9"/>
        <v>110.011</v>
      </c>
      <c r="R299" s="116">
        <f t="shared" ref="R299:AO299" si="302">IF(AQ299="","", RANK(AQ299,AQ$7:AQ$503,0))</f>
        <v>117</v>
      </c>
      <c r="S299" s="115">
        <f t="shared" si="302"/>
        <v>185</v>
      </c>
      <c r="T299" s="115" t="str">
        <f t="shared" si="302"/>
        <v/>
      </c>
      <c r="U299" s="115" t="str">
        <f t="shared" si="302"/>
        <v/>
      </c>
      <c r="V299" s="115" t="str">
        <f t="shared" si="302"/>
        <v/>
      </c>
      <c r="W299" s="115" t="str">
        <f t="shared" si="302"/>
        <v/>
      </c>
      <c r="X299" s="115" t="str">
        <f t="shared" si="302"/>
        <v/>
      </c>
      <c r="Y299" s="115" t="str">
        <f t="shared" si="302"/>
        <v/>
      </c>
      <c r="Z299" s="115" t="str">
        <f t="shared" si="302"/>
        <v/>
      </c>
      <c r="AA299" s="115" t="str">
        <f t="shared" si="302"/>
        <v/>
      </c>
      <c r="AB299" s="115" t="str">
        <f t="shared" si="302"/>
        <v/>
      </c>
      <c r="AC299" s="115" t="str">
        <f t="shared" si="302"/>
        <v/>
      </c>
      <c r="AD299" s="115" t="str">
        <f t="shared" si="302"/>
        <v/>
      </c>
      <c r="AE299" s="115" t="str">
        <f t="shared" si="302"/>
        <v/>
      </c>
      <c r="AF299" s="115" t="str">
        <f t="shared" si="302"/>
        <v/>
      </c>
      <c r="AG299" s="115" t="str">
        <f t="shared" si="302"/>
        <v/>
      </c>
      <c r="AH299" s="115" t="str">
        <f t="shared" si="302"/>
        <v/>
      </c>
      <c r="AI299" s="115" t="str">
        <f t="shared" si="302"/>
        <v/>
      </c>
      <c r="AJ299" s="115" t="str">
        <f t="shared" si="302"/>
        <v/>
      </c>
      <c r="AK299" s="115" t="str">
        <f t="shared" si="302"/>
        <v/>
      </c>
      <c r="AL299" s="115" t="str">
        <f t="shared" si="302"/>
        <v/>
      </c>
      <c r="AM299" s="115" t="str">
        <f t="shared" si="302"/>
        <v/>
      </c>
      <c r="AN299" s="115" t="str">
        <f t="shared" si="302"/>
        <v/>
      </c>
      <c r="AO299" s="115" t="str">
        <f t="shared" si="302"/>
        <v/>
      </c>
      <c r="AP299" s="117">
        <f>IF(AP$6="","",IF(AP$3="Maior",IFERROR(IF(VLOOKUP($N299,Capa!$A:$AE,AP$5,0)="",0,VLOOKUP($N299,Capa!$A:$AE,AP$5,0)),0),IF(ISERROR(1/VLOOKUP($N299,Capa!$A:$AE,AP$5,0)),0,1/VLOOKUP($N299,Capa!$A:$AE,AP$5,0))))</f>
        <v>0.1727373085</v>
      </c>
      <c r="AQ299" s="118">
        <f>IF(AQ$6="","",IF(AQ$3="Maior",IFERROR(IF(VLOOKUP($N299,Capa!$A:$AE,AQ$5,0)="",0,VLOOKUP($N299,Capa!$A:$AE,AQ$5,0)),0),IF(ISERROR(1/VLOOKUP($N299,Capa!$A:$AE,AQ$5,0)),0,1/VLOOKUP($N299,Capa!$A:$AE,AQ$5,0))))</f>
        <v>15.95</v>
      </c>
      <c r="AR299" s="118">
        <f>IF(AR$6="","",IF(AR$3="Maior",IFERROR(IF(VLOOKUP($N299,Capa!$A:$AE,AR$5,0)="",0,VLOOKUP($N299,Capa!$A:$AE,AR$5,0)),0),IF(ISERROR(1/VLOOKUP($N299,Capa!$A:$AE,AR$5,0)),0,1/VLOOKUP($N299,Capa!$A:$AE,AR$5,0))))</f>
        <v>6.48</v>
      </c>
      <c r="AS299" s="118" t="str">
        <f>IF(AS$6="","",IF(AS$3="Maior",IFERROR(IF(VLOOKUP($N299,Capa!$A:$AE,AS$5,0)="",0,VLOOKUP($N299,Capa!$A:$AE,AS$5,0)),0),IF(ISERROR(1/VLOOKUP($N299,Capa!$A:$AE,AS$5,0)),0,1/VLOOKUP($N299,Capa!$A:$AE,AS$5,0))))</f>
        <v/>
      </c>
      <c r="AT299" s="118" t="str">
        <f>IF(AT$6="","",IF(AT$3="Maior",IFERROR(IF(VLOOKUP($N299,Capa!$A:$AE,AT$5,0)="",0,VLOOKUP($N299,Capa!$A:$AE,AT$5,0)),0),IF(ISERROR(1/VLOOKUP($N299,Capa!$A:$AE,AT$5,0)),0,1/VLOOKUP($N299,Capa!$A:$AE,AT$5,0))))</f>
        <v/>
      </c>
      <c r="AU299" s="118" t="str">
        <f>IF(AU$6="","",IF(AU$3="Maior",IFERROR(IF(VLOOKUP($N299,Capa!$A:$AE,AU$5,0)="",0,VLOOKUP($N299,Capa!$A:$AE,AU$5,0)),0),IF(ISERROR(1/VLOOKUP($N299,Capa!$A:$AE,AU$5,0)),0,1/VLOOKUP($N299,Capa!$A:$AE,AU$5,0))))</f>
        <v/>
      </c>
      <c r="AV299" s="118" t="str">
        <f>IF(AV$6="","",IF(AV$3="Maior",IFERROR(IF(VLOOKUP($N299,Capa!$A:$AE,AV$5,0)="",0,VLOOKUP($N299,Capa!$A:$AE,AV$5,0)),0),IF(ISERROR(1/VLOOKUP($N299,Capa!$A:$AE,AV$5,0)),0,1/VLOOKUP($N299,Capa!$A:$AE,AV$5,0))))</f>
        <v/>
      </c>
      <c r="AW299" s="118" t="str">
        <f>IF(AW$6="","",IF(AW$3="Maior",IFERROR(IF(VLOOKUP($N299,Capa!$A:$AE,AW$5,0)="",0,VLOOKUP($N299,Capa!$A:$AE,AW$5,0)),0),IF(ISERROR(1/VLOOKUP($N299,Capa!$A:$AE,AW$5,0)),0,1/VLOOKUP($N299,Capa!$A:$AE,AW$5,0))))</f>
        <v/>
      </c>
      <c r="AX299" s="118" t="str">
        <f>IF(AX$6="","",IF(AX$3="Maior",IFERROR(IF(VLOOKUP($N299,Capa!$A:$AE,AX$5,0)="",0,VLOOKUP($N299,Capa!$A:$AE,AX$5,0)),0),IF(ISERROR(1/VLOOKUP($N299,Capa!$A:$AE,AX$5,0)),0,1/VLOOKUP($N299,Capa!$A:$AE,AX$5,0))))</f>
        <v/>
      </c>
      <c r="AY299" s="118" t="str">
        <f>IF(AY$6="","",IF(AY$3="Maior",IFERROR(IF(VLOOKUP($N299,Capa!$A:$AE,AY$5,0)="",0,VLOOKUP($N299,Capa!$A:$AE,AY$5,0)),0),IF(ISERROR(1/VLOOKUP($N299,Capa!$A:$AE,AY$5,0)),0,1/VLOOKUP($N299,Capa!$A:$AE,AY$5,0))))</f>
        <v/>
      </c>
      <c r="AZ299" s="118" t="str">
        <f>IF(AZ$6="","",IF(AZ$3="Maior",IFERROR(IF(VLOOKUP($N299,Capa!$A:$AE,AZ$5,0)="",0,VLOOKUP($N299,Capa!$A:$AE,AZ$5,0)),0),IF(ISERROR(1/VLOOKUP($N299,Capa!$A:$AE,AZ$5,0)),0,1/VLOOKUP($N299,Capa!$A:$AE,AZ$5,0))))</f>
        <v/>
      </c>
      <c r="BA299" s="118" t="str">
        <f>IF(BA$6="","",IF(BA$3="Maior",IFERROR(IF(VLOOKUP($N299,Capa!$A:$AE,BA$5,0)="",0,VLOOKUP($N299,Capa!$A:$AE,BA$5,0)),0),IF(ISERROR(1/VLOOKUP($N299,Capa!$A:$AE,BA$5,0)),0,1/VLOOKUP($N299,Capa!$A:$AE,BA$5,0))))</f>
        <v/>
      </c>
      <c r="BB299" s="118" t="str">
        <f>IF(BB$6="","",IF(BB$3="Maior",IFERROR(IF(VLOOKUP($N299,Capa!$A:$AE,BB$5,0)="",0,VLOOKUP($N299,Capa!$A:$AE,BB$5,0)),0),IF(ISERROR(1/VLOOKUP($N299,Capa!$A:$AE,BB$5,0)),0,1/VLOOKUP($N299,Capa!$A:$AE,BB$5,0))))</f>
        <v/>
      </c>
      <c r="BC299" s="118" t="str">
        <f>IF(BC$6="","",IF(BC$3="Maior",IFERROR(IF(VLOOKUP($N299,Capa!$A:$AE,BC$5,0)="",0,VLOOKUP($N299,Capa!$A:$AE,BC$5,0)),0),IF(ISERROR(1/VLOOKUP($N299,Capa!$A:$AE,BC$5,0)),0,1/VLOOKUP($N299,Capa!$A:$AE,BC$5,0))))</f>
        <v/>
      </c>
      <c r="BD299" s="118" t="str">
        <f>IF(BD$6="","",IF(BD$3="Maior",IFERROR(IF(VLOOKUP($N299,Capa!$A:$AE,BD$5,0)="",0,VLOOKUP($N299,Capa!$A:$AE,BD$5,0)),0),IF(ISERROR(1/VLOOKUP($N299,Capa!$A:$AE,BD$5,0)),0,1/VLOOKUP($N299,Capa!$A:$AE,BD$5,0))))</f>
        <v/>
      </c>
      <c r="BE299" s="118" t="str">
        <f>IF(BE$6="","",IF(BE$3="Maior",IFERROR(IF(VLOOKUP($N299,Capa!$A:$AE,BE$5,0)="",0,VLOOKUP($N299,Capa!$A:$AE,BE$5,0)),0),IF(ISERROR(1/VLOOKUP($N299,Capa!$A:$AE,BE$5,0)),0,1/VLOOKUP($N299,Capa!$A:$AE,BE$5,0))))</f>
        <v/>
      </c>
      <c r="BF299" s="118" t="str">
        <f>IF(BF$6="","",IF(BF$3="Maior",IFERROR(IF(VLOOKUP($N299,Capa!$A:$AE,BF$5,0)="",0,VLOOKUP($N299,Capa!$A:$AE,BF$5,0)),0),IF(ISERROR(1/VLOOKUP($N299,Capa!$A:$AE,BF$5,0)),0,1/VLOOKUP($N299,Capa!$A:$AE,BF$5,0))))</f>
        <v/>
      </c>
      <c r="BG299" s="118" t="str">
        <f>IF(BG$6="","",IF(BG$3="Maior",IFERROR(IF(VLOOKUP($N299,Capa!$A:$AE,BG$5,0)="",0,VLOOKUP($N299,Capa!$A:$AE,BG$5,0)),0),IF(ISERROR(1/VLOOKUP($N299,Capa!$A:$AE,BG$5,0)),0,1/VLOOKUP($N299,Capa!$A:$AE,BG$5,0))))</f>
        <v/>
      </c>
      <c r="BH299" s="118" t="str">
        <f>IF(BH$6="","",IF(BH$3="Maior",IFERROR(IF(VLOOKUP($N299,Capa!$A:$AE,BH$5,0)="",0,VLOOKUP($N299,Capa!$A:$AE,BH$5,0)),0),IF(ISERROR(1/VLOOKUP($N299,Capa!$A:$AE,BH$5,0)),0,1/VLOOKUP($N299,Capa!$A:$AE,BH$5,0))))</f>
        <v/>
      </c>
      <c r="BI299" s="118" t="str">
        <f>IF(BI$6="","",IF(BI$3="Maior",IFERROR(IF(VLOOKUP($N299,Capa!$A:$AE,BI$5,0)="",0,VLOOKUP($N299,Capa!$A:$AE,BI$5,0)),0),IF(ISERROR(1/VLOOKUP($N299,Capa!$A:$AE,BI$5,0)),0,1/VLOOKUP($N299,Capa!$A:$AE,BI$5,0))))</f>
        <v/>
      </c>
      <c r="BJ299" s="118" t="str">
        <f>IF(BJ$6="","",IF(BJ$3="Maior",IFERROR(IF(VLOOKUP($N299,Capa!$A:$AE,BJ$5,0)="",0,VLOOKUP($N299,Capa!$A:$AE,BJ$5,0)),0),IF(ISERROR(1/VLOOKUP($N299,Capa!$A:$AE,BJ$5,0)),0,1/VLOOKUP($N299,Capa!$A:$AE,BJ$5,0))))</f>
        <v/>
      </c>
      <c r="BK299" s="118" t="str">
        <f>IF(BK$6="","",IF(BK$3="Maior",IFERROR(IF(VLOOKUP($N299,Capa!$A:$AE,BK$5,0)="",0,VLOOKUP($N299,Capa!$A:$AE,BK$5,0)),0),IF(ISERROR(1/VLOOKUP($N299,Capa!$A:$AE,BK$5,0)),0,1/VLOOKUP($N299,Capa!$A:$AE,BK$5,0))))</f>
        <v/>
      </c>
      <c r="BL299" s="118" t="str">
        <f>IF(BL$6="","",IF(BL$3="Maior",IFERROR(IF(VLOOKUP($N299,Capa!$A:$AE,BL$5,0)="",0,VLOOKUP($N299,Capa!$A:$AE,BL$5,0)),0),IF(ISERROR(1/VLOOKUP($N299,Capa!$A:$AE,BL$5,0)),0,1/VLOOKUP($N299,Capa!$A:$AE,BL$5,0))))</f>
        <v/>
      </c>
      <c r="BM299" s="118" t="str">
        <f>IF(BM$6="","",IF(BM$3="Maior",IFERROR(IF(VLOOKUP($N299,Capa!$A:$AE,BM$5,0)="",0,VLOOKUP($N299,Capa!$A:$AE,BM$5,0)),0),IF(ISERROR(1/VLOOKUP($N299,Capa!$A:$AE,BM$5,0)),0,1/VLOOKUP($N299,Capa!$A:$AE,BM$5,0))))</f>
        <v/>
      </c>
      <c r="BN299" s="118" t="str">
        <f>IF(BN$6="","",IF(BN$3="Maior",IFERROR(IF(VLOOKUP($N299,Capa!$A:$AE,BN$5,0)="",0,VLOOKUP($N299,Capa!$A:$AE,BN$5,0)),0),IF(ISERROR(1/VLOOKUP($N299,Capa!$A:$AE,BN$5,0)),0,1/VLOOKUP($N299,Capa!$A:$AE,BN$5,0))))</f>
        <v/>
      </c>
      <c r="BO299" s="92"/>
    </row>
    <row r="300">
      <c r="G300" s="11"/>
      <c r="H300" s="11"/>
      <c r="I300" s="8"/>
      <c r="J300" s="132"/>
      <c r="K300" s="11"/>
      <c r="L300" s="11"/>
      <c r="M300" s="11"/>
      <c r="N300" s="10" t="s">
        <v>346</v>
      </c>
      <c r="O300" s="113">
        <f t="shared" si="8"/>
        <v>1908.0326</v>
      </c>
      <c r="P300" s="114">
        <f>VLOOKUP(N300,'Dados StatusInvest'!A:Z,26,0)</f>
        <v>290982.58</v>
      </c>
      <c r="Q300" s="115">
        <f t="shared" si="9"/>
        <v>326.0326</v>
      </c>
      <c r="R300" s="116">
        <f t="shared" ref="R300:AO300" si="303">IF(AQ300="","", RANK(AQ300,AQ$7:AQ$503,0))</f>
        <v>363</v>
      </c>
      <c r="S300" s="115">
        <f t="shared" si="303"/>
        <v>219</v>
      </c>
      <c r="T300" s="115" t="str">
        <f t="shared" si="303"/>
        <v/>
      </c>
      <c r="U300" s="115" t="str">
        <f t="shared" si="303"/>
        <v/>
      </c>
      <c r="V300" s="115" t="str">
        <f t="shared" si="303"/>
        <v/>
      </c>
      <c r="W300" s="115" t="str">
        <f t="shared" si="303"/>
        <v/>
      </c>
      <c r="X300" s="115" t="str">
        <f t="shared" si="303"/>
        <v/>
      </c>
      <c r="Y300" s="115" t="str">
        <f t="shared" si="303"/>
        <v/>
      </c>
      <c r="Z300" s="115" t="str">
        <f t="shared" si="303"/>
        <v/>
      </c>
      <c r="AA300" s="115" t="str">
        <f t="shared" si="303"/>
        <v/>
      </c>
      <c r="AB300" s="115" t="str">
        <f t="shared" si="303"/>
        <v/>
      </c>
      <c r="AC300" s="115" t="str">
        <f t="shared" si="303"/>
        <v/>
      </c>
      <c r="AD300" s="115" t="str">
        <f t="shared" si="303"/>
        <v/>
      </c>
      <c r="AE300" s="115" t="str">
        <f t="shared" si="303"/>
        <v/>
      </c>
      <c r="AF300" s="115" t="str">
        <f t="shared" si="303"/>
        <v/>
      </c>
      <c r="AG300" s="115" t="str">
        <f t="shared" si="303"/>
        <v/>
      </c>
      <c r="AH300" s="115" t="str">
        <f t="shared" si="303"/>
        <v/>
      </c>
      <c r="AI300" s="115" t="str">
        <f t="shared" si="303"/>
        <v/>
      </c>
      <c r="AJ300" s="115" t="str">
        <f t="shared" si="303"/>
        <v/>
      </c>
      <c r="AK300" s="115" t="str">
        <f t="shared" si="303"/>
        <v/>
      </c>
      <c r="AL300" s="115" t="str">
        <f t="shared" si="303"/>
        <v/>
      </c>
      <c r="AM300" s="115" t="str">
        <f t="shared" si="303"/>
        <v/>
      </c>
      <c r="AN300" s="115" t="str">
        <f t="shared" si="303"/>
        <v/>
      </c>
      <c r="AO300" s="115" t="str">
        <f t="shared" si="303"/>
        <v/>
      </c>
      <c r="AP300" s="117">
        <f>IF(AP$6="","",IF(AP$3="Maior",IFERROR(IF(VLOOKUP($N300,Capa!$A:$AE,AP$5,0)="",0,VLOOKUP($N300,Capa!$A:$AE,AP$5,0)),0),IF(ISERROR(1/VLOOKUP($N300,Capa!$A:$AE,AP$5,0)),0,1/VLOOKUP($N300,Capa!$A:$AE,AP$5,0))))</f>
        <v>0.04141866318</v>
      </c>
      <c r="AQ300" s="118">
        <f>IF(AQ$6="","",IF(AQ$3="Maior",IFERROR(IF(VLOOKUP($N300,Capa!$A:$AE,AQ$5,0)="",0,VLOOKUP($N300,Capa!$A:$AE,AQ$5,0)),0),IF(ISERROR(1/VLOOKUP($N300,Capa!$A:$AE,AQ$5,0)),0,1/VLOOKUP($N300,Capa!$A:$AE,AQ$5,0))))</f>
        <v>1.26</v>
      </c>
      <c r="AR300" s="118">
        <f>IF(AR$6="","",IF(AR$3="Maior",IFERROR(IF(VLOOKUP($N300,Capa!$A:$AE,AR$5,0)="",0,VLOOKUP($N300,Capa!$A:$AE,AR$5,0)),0),IF(ISERROR(1/VLOOKUP($N300,Capa!$A:$AE,AR$5,0)),0,1/VLOOKUP($N300,Capa!$A:$AE,AR$5,0))))</f>
        <v>0</v>
      </c>
      <c r="AS300" s="118" t="str">
        <f>IF(AS$6="","",IF(AS$3="Maior",IFERROR(IF(VLOOKUP($N300,Capa!$A:$AE,AS$5,0)="",0,VLOOKUP($N300,Capa!$A:$AE,AS$5,0)),0),IF(ISERROR(1/VLOOKUP($N300,Capa!$A:$AE,AS$5,0)),0,1/VLOOKUP($N300,Capa!$A:$AE,AS$5,0))))</f>
        <v/>
      </c>
      <c r="AT300" s="118" t="str">
        <f>IF(AT$6="","",IF(AT$3="Maior",IFERROR(IF(VLOOKUP($N300,Capa!$A:$AE,AT$5,0)="",0,VLOOKUP($N300,Capa!$A:$AE,AT$5,0)),0),IF(ISERROR(1/VLOOKUP($N300,Capa!$A:$AE,AT$5,0)),0,1/VLOOKUP($N300,Capa!$A:$AE,AT$5,0))))</f>
        <v/>
      </c>
      <c r="AU300" s="118" t="str">
        <f>IF(AU$6="","",IF(AU$3="Maior",IFERROR(IF(VLOOKUP($N300,Capa!$A:$AE,AU$5,0)="",0,VLOOKUP($N300,Capa!$A:$AE,AU$5,0)),0),IF(ISERROR(1/VLOOKUP($N300,Capa!$A:$AE,AU$5,0)),0,1/VLOOKUP($N300,Capa!$A:$AE,AU$5,0))))</f>
        <v/>
      </c>
      <c r="AV300" s="118" t="str">
        <f>IF(AV$6="","",IF(AV$3="Maior",IFERROR(IF(VLOOKUP($N300,Capa!$A:$AE,AV$5,0)="",0,VLOOKUP($N300,Capa!$A:$AE,AV$5,0)),0),IF(ISERROR(1/VLOOKUP($N300,Capa!$A:$AE,AV$5,0)),0,1/VLOOKUP($N300,Capa!$A:$AE,AV$5,0))))</f>
        <v/>
      </c>
      <c r="AW300" s="118" t="str">
        <f>IF(AW$6="","",IF(AW$3="Maior",IFERROR(IF(VLOOKUP($N300,Capa!$A:$AE,AW$5,0)="",0,VLOOKUP($N300,Capa!$A:$AE,AW$5,0)),0),IF(ISERROR(1/VLOOKUP($N300,Capa!$A:$AE,AW$5,0)),0,1/VLOOKUP($N300,Capa!$A:$AE,AW$5,0))))</f>
        <v/>
      </c>
      <c r="AX300" s="118" t="str">
        <f>IF(AX$6="","",IF(AX$3="Maior",IFERROR(IF(VLOOKUP($N300,Capa!$A:$AE,AX$5,0)="",0,VLOOKUP($N300,Capa!$A:$AE,AX$5,0)),0),IF(ISERROR(1/VLOOKUP($N300,Capa!$A:$AE,AX$5,0)),0,1/VLOOKUP($N300,Capa!$A:$AE,AX$5,0))))</f>
        <v/>
      </c>
      <c r="AY300" s="118" t="str">
        <f>IF(AY$6="","",IF(AY$3="Maior",IFERROR(IF(VLOOKUP($N300,Capa!$A:$AE,AY$5,0)="",0,VLOOKUP($N300,Capa!$A:$AE,AY$5,0)),0),IF(ISERROR(1/VLOOKUP($N300,Capa!$A:$AE,AY$5,0)),0,1/VLOOKUP($N300,Capa!$A:$AE,AY$5,0))))</f>
        <v/>
      </c>
      <c r="AZ300" s="118" t="str">
        <f>IF(AZ$6="","",IF(AZ$3="Maior",IFERROR(IF(VLOOKUP($N300,Capa!$A:$AE,AZ$5,0)="",0,VLOOKUP($N300,Capa!$A:$AE,AZ$5,0)),0),IF(ISERROR(1/VLOOKUP($N300,Capa!$A:$AE,AZ$5,0)),0,1/VLOOKUP($N300,Capa!$A:$AE,AZ$5,0))))</f>
        <v/>
      </c>
      <c r="BA300" s="118" t="str">
        <f>IF(BA$6="","",IF(BA$3="Maior",IFERROR(IF(VLOOKUP($N300,Capa!$A:$AE,BA$5,0)="",0,VLOOKUP($N300,Capa!$A:$AE,BA$5,0)),0),IF(ISERROR(1/VLOOKUP($N300,Capa!$A:$AE,BA$5,0)),0,1/VLOOKUP($N300,Capa!$A:$AE,BA$5,0))))</f>
        <v/>
      </c>
      <c r="BB300" s="118" t="str">
        <f>IF(BB$6="","",IF(BB$3="Maior",IFERROR(IF(VLOOKUP($N300,Capa!$A:$AE,BB$5,0)="",0,VLOOKUP($N300,Capa!$A:$AE,BB$5,0)),0),IF(ISERROR(1/VLOOKUP($N300,Capa!$A:$AE,BB$5,0)),0,1/VLOOKUP($N300,Capa!$A:$AE,BB$5,0))))</f>
        <v/>
      </c>
      <c r="BC300" s="118" t="str">
        <f>IF(BC$6="","",IF(BC$3="Maior",IFERROR(IF(VLOOKUP($N300,Capa!$A:$AE,BC$5,0)="",0,VLOOKUP($N300,Capa!$A:$AE,BC$5,0)),0),IF(ISERROR(1/VLOOKUP($N300,Capa!$A:$AE,BC$5,0)),0,1/VLOOKUP($N300,Capa!$A:$AE,BC$5,0))))</f>
        <v/>
      </c>
      <c r="BD300" s="118" t="str">
        <f>IF(BD$6="","",IF(BD$3="Maior",IFERROR(IF(VLOOKUP($N300,Capa!$A:$AE,BD$5,0)="",0,VLOOKUP($N300,Capa!$A:$AE,BD$5,0)),0),IF(ISERROR(1/VLOOKUP($N300,Capa!$A:$AE,BD$5,0)),0,1/VLOOKUP($N300,Capa!$A:$AE,BD$5,0))))</f>
        <v/>
      </c>
      <c r="BE300" s="118" t="str">
        <f>IF(BE$6="","",IF(BE$3="Maior",IFERROR(IF(VLOOKUP($N300,Capa!$A:$AE,BE$5,0)="",0,VLOOKUP($N300,Capa!$A:$AE,BE$5,0)),0),IF(ISERROR(1/VLOOKUP($N300,Capa!$A:$AE,BE$5,0)),0,1/VLOOKUP($N300,Capa!$A:$AE,BE$5,0))))</f>
        <v/>
      </c>
      <c r="BF300" s="118" t="str">
        <f>IF(BF$6="","",IF(BF$3="Maior",IFERROR(IF(VLOOKUP($N300,Capa!$A:$AE,BF$5,0)="",0,VLOOKUP($N300,Capa!$A:$AE,BF$5,0)),0),IF(ISERROR(1/VLOOKUP($N300,Capa!$A:$AE,BF$5,0)),0,1/VLOOKUP($N300,Capa!$A:$AE,BF$5,0))))</f>
        <v/>
      </c>
      <c r="BG300" s="118" t="str">
        <f>IF(BG$6="","",IF(BG$3="Maior",IFERROR(IF(VLOOKUP($N300,Capa!$A:$AE,BG$5,0)="",0,VLOOKUP($N300,Capa!$A:$AE,BG$5,0)),0),IF(ISERROR(1/VLOOKUP($N300,Capa!$A:$AE,BG$5,0)),0,1/VLOOKUP($N300,Capa!$A:$AE,BG$5,0))))</f>
        <v/>
      </c>
      <c r="BH300" s="118" t="str">
        <f>IF(BH$6="","",IF(BH$3="Maior",IFERROR(IF(VLOOKUP($N300,Capa!$A:$AE,BH$5,0)="",0,VLOOKUP($N300,Capa!$A:$AE,BH$5,0)),0),IF(ISERROR(1/VLOOKUP($N300,Capa!$A:$AE,BH$5,0)),0,1/VLOOKUP($N300,Capa!$A:$AE,BH$5,0))))</f>
        <v/>
      </c>
      <c r="BI300" s="118" t="str">
        <f>IF(BI$6="","",IF(BI$3="Maior",IFERROR(IF(VLOOKUP($N300,Capa!$A:$AE,BI$5,0)="",0,VLOOKUP($N300,Capa!$A:$AE,BI$5,0)),0),IF(ISERROR(1/VLOOKUP($N300,Capa!$A:$AE,BI$5,0)),0,1/VLOOKUP($N300,Capa!$A:$AE,BI$5,0))))</f>
        <v/>
      </c>
      <c r="BJ300" s="118" t="str">
        <f>IF(BJ$6="","",IF(BJ$3="Maior",IFERROR(IF(VLOOKUP($N300,Capa!$A:$AE,BJ$5,0)="",0,VLOOKUP($N300,Capa!$A:$AE,BJ$5,0)),0),IF(ISERROR(1/VLOOKUP($N300,Capa!$A:$AE,BJ$5,0)),0,1/VLOOKUP($N300,Capa!$A:$AE,BJ$5,0))))</f>
        <v/>
      </c>
      <c r="BK300" s="118" t="str">
        <f>IF(BK$6="","",IF(BK$3="Maior",IFERROR(IF(VLOOKUP($N300,Capa!$A:$AE,BK$5,0)="",0,VLOOKUP($N300,Capa!$A:$AE,BK$5,0)),0),IF(ISERROR(1/VLOOKUP($N300,Capa!$A:$AE,BK$5,0)),0,1/VLOOKUP($N300,Capa!$A:$AE,BK$5,0))))</f>
        <v/>
      </c>
      <c r="BL300" s="118" t="str">
        <f>IF(BL$6="","",IF(BL$3="Maior",IFERROR(IF(VLOOKUP($N300,Capa!$A:$AE,BL$5,0)="",0,VLOOKUP($N300,Capa!$A:$AE,BL$5,0)),0),IF(ISERROR(1/VLOOKUP($N300,Capa!$A:$AE,BL$5,0)),0,1/VLOOKUP($N300,Capa!$A:$AE,BL$5,0))))</f>
        <v/>
      </c>
      <c r="BM300" s="118" t="str">
        <f>IF(BM$6="","",IF(BM$3="Maior",IFERROR(IF(VLOOKUP($N300,Capa!$A:$AE,BM$5,0)="",0,VLOOKUP($N300,Capa!$A:$AE,BM$5,0)),0),IF(ISERROR(1/VLOOKUP($N300,Capa!$A:$AE,BM$5,0)),0,1/VLOOKUP($N300,Capa!$A:$AE,BM$5,0))))</f>
        <v/>
      </c>
      <c r="BN300" s="118" t="str">
        <f>IF(BN$6="","",IF(BN$3="Maior",IFERROR(IF(VLOOKUP($N300,Capa!$A:$AE,BN$5,0)="",0,VLOOKUP($N300,Capa!$A:$AE,BN$5,0)),0),IF(ISERROR(1/VLOOKUP($N300,Capa!$A:$AE,BN$5,0)),0,1/VLOOKUP($N300,Capa!$A:$AE,BN$5,0))))</f>
        <v/>
      </c>
      <c r="BO300" s="92"/>
    </row>
    <row r="301">
      <c r="G301" s="11"/>
      <c r="H301" s="11"/>
      <c r="I301" s="8"/>
      <c r="J301" s="132"/>
      <c r="K301" s="11"/>
      <c r="L301" s="11"/>
      <c r="M301" s="11"/>
      <c r="N301" s="10" t="s">
        <v>347</v>
      </c>
      <c r="O301" s="113">
        <f t="shared" si="8"/>
        <v>1622.0081</v>
      </c>
      <c r="P301" s="114">
        <f>VLOOKUP(N301,'Dados StatusInvest'!A:Z,26,0)</f>
        <v>545358.67</v>
      </c>
      <c r="Q301" s="115">
        <f t="shared" si="9"/>
        <v>81.0081</v>
      </c>
      <c r="R301" s="116">
        <f t="shared" ref="R301:AO301" si="304">IF(AQ301="","", RANK(AQ301,AQ$7:AQ$503,0))</f>
        <v>375</v>
      </c>
      <c r="S301" s="115">
        <f t="shared" si="304"/>
        <v>166</v>
      </c>
      <c r="T301" s="115" t="str">
        <f t="shared" si="304"/>
        <v/>
      </c>
      <c r="U301" s="115" t="str">
        <f t="shared" si="304"/>
        <v/>
      </c>
      <c r="V301" s="115" t="str">
        <f t="shared" si="304"/>
        <v/>
      </c>
      <c r="W301" s="115" t="str">
        <f t="shared" si="304"/>
        <v/>
      </c>
      <c r="X301" s="115" t="str">
        <f t="shared" si="304"/>
        <v/>
      </c>
      <c r="Y301" s="115" t="str">
        <f t="shared" si="304"/>
        <v/>
      </c>
      <c r="Z301" s="115" t="str">
        <f t="shared" si="304"/>
        <v/>
      </c>
      <c r="AA301" s="115" t="str">
        <f t="shared" si="304"/>
        <v/>
      </c>
      <c r="AB301" s="115" t="str">
        <f t="shared" si="304"/>
        <v/>
      </c>
      <c r="AC301" s="115" t="str">
        <f t="shared" si="304"/>
        <v/>
      </c>
      <c r="AD301" s="115" t="str">
        <f t="shared" si="304"/>
        <v/>
      </c>
      <c r="AE301" s="115" t="str">
        <f t="shared" si="304"/>
        <v/>
      </c>
      <c r="AF301" s="115" t="str">
        <f t="shared" si="304"/>
        <v/>
      </c>
      <c r="AG301" s="115" t="str">
        <f t="shared" si="304"/>
        <v/>
      </c>
      <c r="AH301" s="115" t="str">
        <f t="shared" si="304"/>
        <v/>
      </c>
      <c r="AI301" s="115" t="str">
        <f t="shared" si="304"/>
        <v/>
      </c>
      <c r="AJ301" s="115" t="str">
        <f t="shared" si="304"/>
        <v/>
      </c>
      <c r="AK301" s="115" t="str">
        <f t="shared" si="304"/>
        <v/>
      </c>
      <c r="AL301" s="115" t="str">
        <f t="shared" si="304"/>
        <v/>
      </c>
      <c r="AM301" s="115" t="str">
        <f t="shared" si="304"/>
        <v/>
      </c>
      <c r="AN301" s="115" t="str">
        <f t="shared" si="304"/>
        <v/>
      </c>
      <c r="AO301" s="115" t="str">
        <f t="shared" si="304"/>
        <v/>
      </c>
      <c r="AP301" s="117">
        <f>IF(AP$6="","",IF(AP$3="Maior",IFERROR(IF(VLOOKUP($N301,Capa!$A:$AE,AP$5,0)="",0,VLOOKUP($N301,Capa!$A:$AE,AP$5,0)),0),IF(ISERROR(1/VLOOKUP($N301,Capa!$A:$AE,AP$5,0)),0,1/VLOOKUP($N301,Capa!$A:$AE,AP$5,0))))</f>
        <v>0.2097067358</v>
      </c>
      <c r="AQ301" s="118">
        <f>IF(AQ$6="","",IF(AQ$3="Maior",IFERROR(IF(VLOOKUP($N301,Capa!$A:$AE,AQ$5,0)="",0,VLOOKUP($N301,Capa!$A:$AE,AQ$5,0)),0),IF(ISERROR(1/VLOOKUP($N301,Capa!$A:$AE,AQ$5,0)),0,1/VLOOKUP($N301,Capa!$A:$AE,AQ$5,0))))</f>
        <v>0</v>
      </c>
      <c r="AR301" s="118">
        <f>IF(AR$6="","",IF(AR$3="Maior",IFERROR(IF(VLOOKUP($N301,Capa!$A:$AE,AR$5,0)="",0,VLOOKUP($N301,Capa!$A:$AE,AR$5,0)),0),IF(ISERROR(1/VLOOKUP($N301,Capa!$A:$AE,AR$5,0)),0,1/VLOOKUP($N301,Capa!$A:$AE,AR$5,0))))</f>
        <v>10.58</v>
      </c>
      <c r="AS301" s="118" t="str">
        <f>IF(AS$6="","",IF(AS$3="Maior",IFERROR(IF(VLOOKUP($N301,Capa!$A:$AE,AS$5,0)="",0,VLOOKUP($N301,Capa!$A:$AE,AS$5,0)),0),IF(ISERROR(1/VLOOKUP($N301,Capa!$A:$AE,AS$5,0)),0,1/VLOOKUP($N301,Capa!$A:$AE,AS$5,0))))</f>
        <v/>
      </c>
      <c r="AT301" s="118" t="str">
        <f>IF(AT$6="","",IF(AT$3="Maior",IFERROR(IF(VLOOKUP($N301,Capa!$A:$AE,AT$5,0)="",0,VLOOKUP($N301,Capa!$A:$AE,AT$5,0)),0),IF(ISERROR(1/VLOOKUP($N301,Capa!$A:$AE,AT$5,0)),0,1/VLOOKUP($N301,Capa!$A:$AE,AT$5,0))))</f>
        <v/>
      </c>
      <c r="AU301" s="118" t="str">
        <f>IF(AU$6="","",IF(AU$3="Maior",IFERROR(IF(VLOOKUP($N301,Capa!$A:$AE,AU$5,0)="",0,VLOOKUP($N301,Capa!$A:$AE,AU$5,0)),0),IF(ISERROR(1/VLOOKUP($N301,Capa!$A:$AE,AU$5,0)),0,1/VLOOKUP($N301,Capa!$A:$AE,AU$5,0))))</f>
        <v/>
      </c>
      <c r="AV301" s="118" t="str">
        <f>IF(AV$6="","",IF(AV$3="Maior",IFERROR(IF(VLOOKUP($N301,Capa!$A:$AE,AV$5,0)="",0,VLOOKUP($N301,Capa!$A:$AE,AV$5,0)),0),IF(ISERROR(1/VLOOKUP($N301,Capa!$A:$AE,AV$5,0)),0,1/VLOOKUP($N301,Capa!$A:$AE,AV$5,0))))</f>
        <v/>
      </c>
      <c r="AW301" s="118" t="str">
        <f>IF(AW$6="","",IF(AW$3="Maior",IFERROR(IF(VLOOKUP($N301,Capa!$A:$AE,AW$5,0)="",0,VLOOKUP($N301,Capa!$A:$AE,AW$5,0)),0),IF(ISERROR(1/VLOOKUP($N301,Capa!$A:$AE,AW$5,0)),0,1/VLOOKUP($N301,Capa!$A:$AE,AW$5,0))))</f>
        <v/>
      </c>
      <c r="AX301" s="118" t="str">
        <f>IF(AX$6="","",IF(AX$3="Maior",IFERROR(IF(VLOOKUP($N301,Capa!$A:$AE,AX$5,0)="",0,VLOOKUP($N301,Capa!$A:$AE,AX$5,0)),0),IF(ISERROR(1/VLOOKUP($N301,Capa!$A:$AE,AX$5,0)),0,1/VLOOKUP($N301,Capa!$A:$AE,AX$5,0))))</f>
        <v/>
      </c>
      <c r="AY301" s="118" t="str">
        <f>IF(AY$6="","",IF(AY$3="Maior",IFERROR(IF(VLOOKUP($N301,Capa!$A:$AE,AY$5,0)="",0,VLOOKUP($N301,Capa!$A:$AE,AY$5,0)),0),IF(ISERROR(1/VLOOKUP($N301,Capa!$A:$AE,AY$5,0)),0,1/VLOOKUP($N301,Capa!$A:$AE,AY$5,0))))</f>
        <v/>
      </c>
      <c r="AZ301" s="118" t="str">
        <f>IF(AZ$6="","",IF(AZ$3="Maior",IFERROR(IF(VLOOKUP($N301,Capa!$A:$AE,AZ$5,0)="",0,VLOOKUP($N301,Capa!$A:$AE,AZ$5,0)),0),IF(ISERROR(1/VLOOKUP($N301,Capa!$A:$AE,AZ$5,0)),0,1/VLOOKUP($N301,Capa!$A:$AE,AZ$5,0))))</f>
        <v/>
      </c>
      <c r="BA301" s="118" t="str">
        <f>IF(BA$6="","",IF(BA$3="Maior",IFERROR(IF(VLOOKUP($N301,Capa!$A:$AE,BA$5,0)="",0,VLOOKUP($N301,Capa!$A:$AE,BA$5,0)),0),IF(ISERROR(1/VLOOKUP($N301,Capa!$A:$AE,BA$5,0)),0,1/VLOOKUP($N301,Capa!$A:$AE,BA$5,0))))</f>
        <v/>
      </c>
      <c r="BB301" s="118" t="str">
        <f>IF(BB$6="","",IF(BB$3="Maior",IFERROR(IF(VLOOKUP($N301,Capa!$A:$AE,BB$5,0)="",0,VLOOKUP($N301,Capa!$A:$AE,BB$5,0)),0),IF(ISERROR(1/VLOOKUP($N301,Capa!$A:$AE,BB$5,0)),0,1/VLOOKUP($N301,Capa!$A:$AE,BB$5,0))))</f>
        <v/>
      </c>
      <c r="BC301" s="118" t="str">
        <f>IF(BC$6="","",IF(BC$3="Maior",IFERROR(IF(VLOOKUP($N301,Capa!$A:$AE,BC$5,0)="",0,VLOOKUP($N301,Capa!$A:$AE,BC$5,0)),0),IF(ISERROR(1/VLOOKUP($N301,Capa!$A:$AE,BC$5,0)),0,1/VLOOKUP($N301,Capa!$A:$AE,BC$5,0))))</f>
        <v/>
      </c>
      <c r="BD301" s="118" t="str">
        <f>IF(BD$6="","",IF(BD$3="Maior",IFERROR(IF(VLOOKUP($N301,Capa!$A:$AE,BD$5,0)="",0,VLOOKUP($N301,Capa!$A:$AE,BD$5,0)),0),IF(ISERROR(1/VLOOKUP($N301,Capa!$A:$AE,BD$5,0)),0,1/VLOOKUP($N301,Capa!$A:$AE,BD$5,0))))</f>
        <v/>
      </c>
      <c r="BE301" s="118" t="str">
        <f>IF(BE$6="","",IF(BE$3="Maior",IFERROR(IF(VLOOKUP($N301,Capa!$A:$AE,BE$5,0)="",0,VLOOKUP($N301,Capa!$A:$AE,BE$5,0)),0),IF(ISERROR(1/VLOOKUP($N301,Capa!$A:$AE,BE$5,0)),0,1/VLOOKUP($N301,Capa!$A:$AE,BE$5,0))))</f>
        <v/>
      </c>
      <c r="BF301" s="118" t="str">
        <f>IF(BF$6="","",IF(BF$3="Maior",IFERROR(IF(VLOOKUP($N301,Capa!$A:$AE,BF$5,0)="",0,VLOOKUP($N301,Capa!$A:$AE,BF$5,0)),0),IF(ISERROR(1/VLOOKUP($N301,Capa!$A:$AE,BF$5,0)),0,1/VLOOKUP($N301,Capa!$A:$AE,BF$5,0))))</f>
        <v/>
      </c>
      <c r="BG301" s="118" t="str">
        <f>IF(BG$6="","",IF(BG$3="Maior",IFERROR(IF(VLOOKUP($N301,Capa!$A:$AE,BG$5,0)="",0,VLOOKUP($N301,Capa!$A:$AE,BG$5,0)),0),IF(ISERROR(1/VLOOKUP($N301,Capa!$A:$AE,BG$5,0)),0,1/VLOOKUP($N301,Capa!$A:$AE,BG$5,0))))</f>
        <v/>
      </c>
      <c r="BH301" s="118" t="str">
        <f>IF(BH$6="","",IF(BH$3="Maior",IFERROR(IF(VLOOKUP($N301,Capa!$A:$AE,BH$5,0)="",0,VLOOKUP($N301,Capa!$A:$AE,BH$5,0)),0),IF(ISERROR(1/VLOOKUP($N301,Capa!$A:$AE,BH$5,0)),0,1/VLOOKUP($N301,Capa!$A:$AE,BH$5,0))))</f>
        <v/>
      </c>
      <c r="BI301" s="118" t="str">
        <f>IF(BI$6="","",IF(BI$3="Maior",IFERROR(IF(VLOOKUP($N301,Capa!$A:$AE,BI$5,0)="",0,VLOOKUP($N301,Capa!$A:$AE,BI$5,0)),0),IF(ISERROR(1/VLOOKUP($N301,Capa!$A:$AE,BI$5,0)),0,1/VLOOKUP($N301,Capa!$A:$AE,BI$5,0))))</f>
        <v/>
      </c>
      <c r="BJ301" s="118" t="str">
        <f>IF(BJ$6="","",IF(BJ$3="Maior",IFERROR(IF(VLOOKUP($N301,Capa!$A:$AE,BJ$5,0)="",0,VLOOKUP($N301,Capa!$A:$AE,BJ$5,0)),0),IF(ISERROR(1/VLOOKUP($N301,Capa!$A:$AE,BJ$5,0)),0,1/VLOOKUP($N301,Capa!$A:$AE,BJ$5,0))))</f>
        <v/>
      </c>
      <c r="BK301" s="118" t="str">
        <f>IF(BK$6="","",IF(BK$3="Maior",IFERROR(IF(VLOOKUP($N301,Capa!$A:$AE,BK$5,0)="",0,VLOOKUP($N301,Capa!$A:$AE,BK$5,0)),0),IF(ISERROR(1/VLOOKUP($N301,Capa!$A:$AE,BK$5,0)),0,1/VLOOKUP($N301,Capa!$A:$AE,BK$5,0))))</f>
        <v/>
      </c>
      <c r="BL301" s="118" t="str">
        <f>IF(BL$6="","",IF(BL$3="Maior",IFERROR(IF(VLOOKUP($N301,Capa!$A:$AE,BL$5,0)="",0,VLOOKUP($N301,Capa!$A:$AE,BL$5,0)),0),IF(ISERROR(1/VLOOKUP($N301,Capa!$A:$AE,BL$5,0)),0,1/VLOOKUP($N301,Capa!$A:$AE,BL$5,0))))</f>
        <v/>
      </c>
      <c r="BM301" s="118" t="str">
        <f>IF(BM$6="","",IF(BM$3="Maior",IFERROR(IF(VLOOKUP($N301,Capa!$A:$AE,BM$5,0)="",0,VLOOKUP($N301,Capa!$A:$AE,BM$5,0)),0),IF(ISERROR(1/VLOOKUP($N301,Capa!$A:$AE,BM$5,0)),0,1/VLOOKUP($N301,Capa!$A:$AE,BM$5,0))))</f>
        <v/>
      </c>
      <c r="BN301" s="118" t="str">
        <f>IF(BN$6="","",IF(BN$3="Maior",IFERROR(IF(VLOOKUP($N301,Capa!$A:$AE,BN$5,0)="",0,VLOOKUP($N301,Capa!$A:$AE,BN$5,0)),0),IF(ISERROR(1/VLOOKUP($N301,Capa!$A:$AE,BN$5,0)),0,1/VLOOKUP($N301,Capa!$A:$AE,BN$5,0))))</f>
        <v/>
      </c>
      <c r="BO301" s="92"/>
    </row>
    <row r="302">
      <c r="G302" s="11"/>
      <c r="H302" s="11"/>
      <c r="I302" s="8"/>
      <c r="J302" s="132"/>
      <c r="K302" s="11"/>
      <c r="L302" s="11"/>
      <c r="M302" s="11"/>
      <c r="N302" s="10" t="s">
        <v>348</v>
      </c>
      <c r="O302" s="113">
        <f t="shared" si="8"/>
        <v>2076.0419</v>
      </c>
      <c r="P302" s="114">
        <f>VLOOKUP(N302,'Dados StatusInvest'!A:Z,26,0)</f>
        <v>363329.13</v>
      </c>
      <c r="Q302" s="115">
        <f t="shared" si="9"/>
        <v>419.0419</v>
      </c>
      <c r="R302" s="116">
        <f t="shared" ref="R302:AO302" si="305">IF(AQ302="","", RANK(AQ302,AQ$7:AQ$503,0))</f>
        <v>438</v>
      </c>
      <c r="S302" s="115">
        <f t="shared" si="305"/>
        <v>219</v>
      </c>
      <c r="T302" s="115" t="str">
        <f t="shared" si="305"/>
        <v/>
      </c>
      <c r="U302" s="115" t="str">
        <f t="shared" si="305"/>
        <v/>
      </c>
      <c r="V302" s="115" t="str">
        <f t="shared" si="305"/>
        <v/>
      </c>
      <c r="W302" s="115" t="str">
        <f t="shared" si="305"/>
        <v/>
      </c>
      <c r="X302" s="115" t="str">
        <f t="shared" si="305"/>
        <v/>
      </c>
      <c r="Y302" s="115" t="str">
        <f t="shared" si="305"/>
        <v/>
      </c>
      <c r="Z302" s="115" t="str">
        <f t="shared" si="305"/>
        <v/>
      </c>
      <c r="AA302" s="115" t="str">
        <f t="shared" si="305"/>
        <v/>
      </c>
      <c r="AB302" s="115" t="str">
        <f t="shared" si="305"/>
        <v/>
      </c>
      <c r="AC302" s="115" t="str">
        <f t="shared" si="305"/>
        <v/>
      </c>
      <c r="AD302" s="115" t="str">
        <f t="shared" si="305"/>
        <v/>
      </c>
      <c r="AE302" s="115" t="str">
        <f t="shared" si="305"/>
        <v/>
      </c>
      <c r="AF302" s="115" t="str">
        <f t="shared" si="305"/>
        <v/>
      </c>
      <c r="AG302" s="115" t="str">
        <f t="shared" si="305"/>
        <v/>
      </c>
      <c r="AH302" s="115" t="str">
        <f t="shared" si="305"/>
        <v/>
      </c>
      <c r="AI302" s="115" t="str">
        <f t="shared" si="305"/>
        <v/>
      </c>
      <c r="AJ302" s="115" t="str">
        <f t="shared" si="305"/>
        <v/>
      </c>
      <c r="AK302" s="115" t="str">
        <f t="shared" si="305"/>
        <v/>
      </c>
      <c r="AL302" s="115" t="str">
        <f t="shared" si="305"/>
        <v/>
      </c>
      <c r="AM302" s="115" t="str">
        <f t="shared" si="305"/>
        <v/>
      </c>
      <c r="AN302" s="115" t="str">
        <f t="shared" si="305"/>
        <v/>
      </c>
      <c r="AO302" s="115" t="str">
        <f t="shared" si="305"/>
        <v/>
      </c>
      <c r="AP302" s="117">
        <f>IF(AP$6="","",IF(AP$3="Maior",IFERROR(IF(VLOOKUP($N302,Capa!$A:$AE,AP$5,0)="",0,VLOOKUP($N302,Capa!$A:$AE,AP$5,0)),0),IF(ISERROR(1/VLOOKUP($N302,Capa!$A:$AE,AP$5,0)),0,1/VLOOKUP($N302,Capa!$A:$AE,AP$5,0))))</f>
        <v>-0.01628417911</v>
      </c>
      <c r="AQ302" s="118">
        <f>IF(AQ$6="","",IF(AQ$3="Maior",IFERROR(IF(VLOOKUP($N302,Capa!$A:$AE,AQ$5,0)="",0,VLOOKUP($N302,Capa!$A:$AE,AQ$5,0)),0),IF(ISERROR(1/VLOOKUP($N302,Capa!$A:$AE,AQ$5,0)),0,1/VLOOKUP($N302,Capa!$A:$AE,AQ$5,0))))</f>
        <v>-2.47</v>
      </c>
      <c r="AR302" s="118">
        <f>IF(AR$6="","",IF(AR$3="Maior",IFERROR(IF(VLOOKUP($N302,Capa!$A:$AE,AR$5,0)="",0,VLOOKUP($N302,Capa!$A:$AE,AR$5,0)),0),IF(ISERROR(1/VLOOKUP($N302,Capa!$A:$AE,AR$5,0)),0,1/VLOOKUP($N302,Capa!$A:$AE,AR$5,0))))</f>
        <v>0</v>
      </c>
      <c r="AS302" s="118" t="str">
        <f>IF(AS$6="","",IF(AS$3="Maior",IFERROR(IF(VLOOKUP($N302,Capa!$A:$AE,AS$5,0)="",0,VLOOKUP($N302,Capa!$A:$AE,AS$5,0)),0),IF(ISERROR(1/VLOOKUP($N302,Capa!$A:$AE,AS$5,0)),0,1/VLOOKUP($N302,Capa!$A:$AE,AS$5,0))))</f>
        <v/>
      </c>
      <c r="AT302" s="118" t="str">
        <f>IF(AT$6="","",IF(AT$3="Maior",IFERROR(IF(VLOOKUP($N302,Capa!$A:$AE,AT$5,0)="",0,VLOOKUP($N302,Capa!$A:$AE,AT$5,0)),0),IF(ISERROR(1/VLOOKUP($N302,Capa!$A:$AE,AT$5,0)),0,1/VLOOKUP($N302,Capa!$A:$AE,AT$5,0))))</f>
        <v/>
      </c>
      <c r="AU302" s="118" t="str">
        <f>IF(AU$6="","",IF(AU$3="Maior",IFERROR(IF(VLOOKUP($N302,Capa!$A:$AE,AU$5,0)="",0,VLOOKUP($N302,Capa!$A:$AE,AU$5,0)),0),IF(ISERROR(1/VLOOKUP($N302,Capa!$A:$AE,AU$5,0)),0,1/VLOOKUP($N302,Capa!$A:$AE,AU$5,0))))</f>
        <v/>
      </c>
      <c r="AV302" s="118" t="str">
        <f>IF(AV$6="","",IF(AV$3="Maior",IFERROR(IF(VLOOKUP($N302,Capa!$A:$AE,AV$5,0)="",0,VLOOKUP($N302,Capa!$A:$AE,AV$5,0)),0),IF(ISERROR(1/VLOOKUP($N302,Capa!$A:$AE,AV$5,0)),0,1/VLOOKUP($N302,Capa!$A:$AE,AV$5,0))))</f>
        <v/>
      </c>
      <c r="AW302" s="118" t="str">
        <f>IF(AW$6="","",IF(AW$3="Maior",IFERROR(IF(VLOOKUP($N302,Capa!$A:$AE,AW$5,0)="",0,VLOOKUP($N302,Capa!$A:$AE,AW$5,0)),0),IF(ISERROR(1/VLOOKUP($N302,Capa!$A:$AE,AW$5,0)),0,1/VLOOKUP($N302,Capa!$A:$AE,AW$5,0))))</f>
        <v/>
      </c>
      <c r="AX302" s="118" t="str">
        <f>IF(AX$6="","",IF(AX$3="Maior",IFERROR(IF(VLOOKUP($N302,Capa!$A:$AE,AX$5,0)="",0,VLOOKUP($N302,Capa!$A:$AE,AX$5,0)),0),IF(ISERROR(1/VLOOKUP($N302,Capa!$A:$AE,AX$5,0)),0,1/VLOOKUP($N302,Capa!$A:$AE,AX$5,0))))</f>
        <v/>
      </c>
      <c r="AY302" s="118" t="str">
        <f>IF(AY$6="","",IF(AY$3="Maior",IFERROR(IF(VLOOKUP($N302,Capa!$A:$AE,AY$5,0)="",0,VLOOKUP($N302,Capa!$A:$AE,AY$5,0)),0),IF(ISERROR(1/VLOOKUP($N302,Capa!$A:$AE,AY$5,0)),0,1/VLOOKUP($N302,Capa!$A:$AE,AY$5,0))))</f>
        <v/>
      </c>
      <c r="AZ302" s="118" t="str">
        <f>IF(AZ$6="","",IF(AZ$3="Maior",IFERROR(IF(VLOOKUP($N302,Capa!$A:$AE,AZ$5,0)="",0,VLOOKUP($N302,Capa!$A:$AE,AZ$5,0)),0),IF(ISERROR(1/VLOOKUP($N302,Capa!$A:$AE,AZ$5,0)),0,1/VLOOKUP($N302,Capa!$A:$AE,AZ$5,0))))</f>
        <v/>
      </c>
      <c r="BA302" s="118" t="str">
        <f>IF(BA$6="","",IF(BA$3="Maior",IFERROR(IF(VLOOKUP($N302,Capa!$A:$AE,BA$5,0)="",0,VLOOKUP($N302,Capa!$A:$AE,BA$5,0)),0),IF(ISERROR(1/VLOOKUP($N302,Capa!$A:$AE,BA$5,0)),0,1/VLOOKUP($N302,Capa!$A:$AE,BA$5,0))))</f>
        <v/>
      </c>
      <c r="BB302" s="118" t="str">
        <f>IF(BB$6="","",IF(BB$3="Maior",IFERROR(IF(VLOOKUP($N302,Capa!$A:$AE,BB$5,0)="",0,VLOOKUP($N302,Capa!$A:$AE,BB$5,0)),0),IF(ISERROR(1/VLOOKUP($N302,Capa!$A:$AE,BB$5,0)),0,1/VLOOKUP($N302,Capa!$A:$AE,BB$5,0))))</f>
        <v/>
      </c>
      <c r="BC302" s="118" t="str">
        <f>IF(BC$6="","",IF(BC$3="Maior",IFERROR(IF(VLOOKUP($N302,Capa!$A:$AE,BC$5,0)="",0,VLOOKUP($N302,Capa!$A:$AE,BC$5,0)),0),IF(ISERROR(1/VLOOKUP($N302,Capa!$A:$AE,BC$5,0)),0,1/VLOOKUP($N302,Capa!$A:$AE,BC$5,0))))</f>
        <v/>
      </c>
      <c r="BD302" s="118" t="str">
        <f>IF(BD$6="","",IF(BD$3="Maior",IFERROR(IF(VLOOKUP($N302,Capa!$A:$AE,BD$5,0)="",0,VLOOKUP($N302,Capa!$A:$AE,BD$5,0)),0),IF(ISERROR(1/VLOOKUP($N302,Capa!$A:$AE,BD$5,0)),0,1/VLOOKUP($N302,Capa!$A:$AE,BD$5,0))))</f>
        <v/>
      </c>
      <c r="BE302" s="118" t="str">
        <f>IF(BE$6="","",IF(BE$3="Maior",IFERROR(IF(VLOOKUP($N302,Capa!$A:$AE,BE$5,0)="",0,VLOOKUP($N302,Capa!$A:$AE,BE$5,0)),0),IF(ISERROR(1/VLOOKUP($N302,Capa!$A:$AE,BE$5,0)),0,1/VLOOKUP($N302,Capa!$A:$AE,BE$5,0))))</f>
        <v/>
      </c>
      <c r="BF302" s="118" t="str">
        <f>IF(BF$6="","",IF(BF$3="Maior",IFERROR(IF(VLOOKUP($N302,Capa!$A:$AE,BF$5,0)="",0,VLOOKUP($N302,Capa!$A:$AE,BF$5,0)),0),IF(ISERROR(1/VLOOKUP($N302,Capa!$A:$AE,BF$5,0)),0,1/VLOOKUP($N302,Capa!$A:$AE,BF$5,0))))</f>
        <v/>
      </c>
      <c r="BG302" s="118" t="str">
        <f>IF(BG$6="","",IF(BG$3="Maior",IFERROR(IF(VLOOKUP($N302,Capa!$A:$AE,BG$5,0)="",0,VLOOKUP($N302,Capa!$A:$AE,BG$5,0)),0),IF(ISERROR(1/VLOOKUP($N302,Capa!$A:$AE,BG$5,0)),0,1/VLOOKUP($N302,Capa!$A:$AE,BG$5,0))))</f>
        <v/>
      </c>
      <c r="BH302" s="118" t="str">
        <f>IF(BH$6="","",IF(BH$3="Maior",IFERROR(IF(VLOOKUP($N302,Capa!$A:$AE,BH$5,0)="",0,VLOOKUP($N302,Capa!$A:$AE,BH$5,0)),0),IF(ISERROR(1/VLOOKUP($N302,Capa!$A:$AE,BH$5,0)),0,1/VLOOKUP($N302,Capa!$A:$AE,BH$5,0))))</f>
        <v/>
      </c>
      <c r="BI302" s="118" t="str">
        <f>IF(BI$6="","",IF(BI$3="Maior",IFERROR(IF(VLOOKUP($N302,Capa!$A:$AE,BI$5,0)="",0,VLOOKUP($N302,Capa!$A:$AE,BI$5,0)),0),IF(ISERROR(1/VLOOKUP($N302,Capa!$A:$AE,BI$5,0)),0,1/VLOOKUP($N302,Capa!$A:$AE,BI$5,0))))</f>
        <v/>
      </c>
      <c r="BJ302" s="118" t="str">
        <f>IF(BJ$6="","",IF(BJ$3="Maior",IFERROR(IF(VLOOKUP($N302,Capa!$A:$AE,BJ$5,0)="",0,VLOOKUP($N302,Capa!$A:$AE,BJ$5,0)),0),IF(ISERROR(1/VLOOKUP($N302,Capa!$A:$AE,BJ$5,0)),0,1/VLOOKUP($N302,Capa!$A:$AE,BJ$5,0))))</f>
        <v/>
      </c>
      <c r="BK302" s="118" t="str">
        <f>IF(BK$6="","",IF(BK$3="Maior",IFERROR(IF(VLOOKUP($N302,Capa!$A:$AE,BK$5,0)="",0,VLOOKUP($N302,Capa!$A:$AE,BK$5,0)),0),IF(ISERROR(1/VLOOKUP($N302,Capa!$A:$AE,BK$5,0)),0,1/VLOOKUP($N302,Capa!$A:$AE,BK$5,0))))</f>
        <v/>
      </c>
      <c r="BL302" s="118" t="str">
        <f>IF(BL$6="","",IF(BL$3="Maior",IFERROR(IF(VLOOKUP($N302,Capa!$A:$AE,BL$5,0)="",0,VLOOKUP($N302,Capa!$A:$AE,BL$5,0)),0),IF(ISERROR(1/VLOOKUP($N302,Capa!$A:$AE,BL$5,0)),0,1/VLOOKUP($N302,Capa!$A:$AE,BL$5,0))))</f>
        <v/>
      </c>
      <c r="BM302" s="118" t="str">
        <f>IF(BM$6="","",IF(BM$3="Maior",IFERROR(IF(VLOOKUP($N302,Capa!$A:$AE,BM$5,0)="",0,VLOOKUP($N302,Capa!$A:$AE,BM$5,0)),0),IF(ISERROR(1/VLOOKUP($N302,Capa!$A:$AE,BM$5,0)),0,1/VLOOKUP($N302,Capa!$A:$AE,BM$5,0))))</f>
        <v/>
      </c>
      <c r="BN302" s="118" t="str">
        <f>IF(BN$6="","",IF(BN$3="Maior",IFERROR(IF(VLOOKUP($N302,Capa!$A:$AE,BN$5,0)="",0,VLOOKUP($N302,Capa!$A:$AE,BN$5,0)),0),IF(ISERROR(1/VLOOKUP($N302,Capa!$A:$AE,BN$5,0)),0,1/VLOOKUP($N302,Capa!$A:$AE,BN$5,0))))</f>
        <v/>
      </c>
      <c r="BO302" s="92"/>
    </row>
    <row r="303">
      <c r="G303" s="11"/>
      <c r="H303" s="11"/>
      <c r="I303" s="8"/>
      <c r="J303" s="132"/>
      <c r="K303" s="11"/>
      <c r="L303" s="11"/>
      <c r="M303" s="11"/>
      <c r="N303" s="10" t="s">
        <v>349</v>
      </c>
      <c r="O303" s="113">
        <f t="shared" si="8"/>
        <v>1411.0223</v>
      </c>
      <c r="P303" s="114">
        <f>VLOOKUP(N303,'Dados StatusInvest'!A:Z,26,0)</f>
        <v>376041.67</v>
      </c>
      <c r="Q303" s="115">
        <f t="shared" si="9"/>
        <v>223.0223</v>
      </c>
      <c r="R303" s="116">
        <f t="shared" ref="R303:AO303" si="306">IF(AQ303="","", RANK(AQ303,AQ$7:AQ$503,0))</f>
        <v>54</v>
      </c>
      <c r="S303" s="115">
        <f t="shared" si="306"/>
        <v>134</v>
      </c>
      <c r="T303" s="115" t="str">
        <f t="shared" si="306"/>
        <v/>
      </c>
      <c r="U303" s="115" t="str">
        <f t="shared" si="306"/>
        <v/>
      </c>
      <c r="V303" s="115" t="str">
        <f t="shared" si="306"/>
        <v/>
      </c>
      <c r="W303" s="115" t="str">
        <f t="shared" si="306"/>
        <v/>
      </c>
      <c r="X303" s="115" t="str">
        <f t="shared" si="306"/>
        <v/>
      </c>
      <c r="Y303" s="115" t="str">
        <f t="shared" si="306"/>
        <v/>
      </c>
      <c r="Z303" s="115" t="str">
        <f t="shared" si="306"/>
        <v/>
      </c>
      <c r="AA303" s="115" t="str">
        <f t="shared" si="306"/>
        <v/>
      </c>
      <c r="AB303" s="115" t="str">
        <f t="shared" si="306"/>
        <v/>
      </c>
      <c r="AC303" s="115" t="str">
        <f t="shared" si="306"/>
        <v/>
      </c>
      <c r="AD303" s="115" t="str">
        <f t="shared" si="306"/>
        <v/>
      </c>
      <c r="AE303" s="115" t="str">
        <f t="shared" si="306"/>
        <v/>
      </c>
      <c r="AF303" s="115" t="str">
        <f t="shared" si="306"/>
        <v/>
      </c>
      <c r="AG303" s="115" t="str">
        <f t="shared" si="306"/>
        <v/>
      </c>
      <c r="AH303" s="115" t="str">
        <f t="shared" si="306"/>
        <v/>
      </c>
      <c r="AI303" s="115" t="str">
        <f t="shared" si="306"/>
        <v/>
      </c>
      <c r="AJ303" s="115" t="str">
        <f t="shared" si="306"/>
        <v/>
      </c>
      <c r="AK303" s="115" t="str">
        <f t="shared" si="306"/>
        <v/>
      </c>
      <c r="AL303" s="115" t="str">
        <f t="shared" si="306"/>
        <v/>
      </c>
      <c r="AM303" s="115" t="str">
        <f t="shared" si="306"/>
        <v/>
      </c>
      <c r="AN303" s="115" t="str">
        <f t="shared" si="306"/>
        <v/>
      </c>
      <c r="AO303" s="115" t="str">
        <f t="shared" si="306"/>
        <v/>
      </c>
      <c r="AP303" s="117">
        <f>IF(AP$6="","",IF(AP$3="Maior",IFERROR(IF(VLOOKUP($N303,Capa!$A:$AE,AP$5,0)="",0,VLOOKUP($N303,Capa!$A:$AE,AP$5,0)),0),IF(ISERROR(1/VLOOKUP($N303,Capa!$A:$AE,AP$5,0)),0,1/VLOOKUP($N303,Capa!$A:$AE,AP$5,0))))</f>
        <v>0.09275279596</v>
      </c>
      <c r="AQ303" s="118">
        <f>IF(AQ$6="","",IF(AQ$3="Maior",IFERROR(IF(VLOOKUP($N303,Capa!$A:$AE,AQ$5,0)="",0,VLOOKUP($N303,Capa!$A:$AE,AQ$5,0)),0),IF(ISERROR(1/VLOOKUP($N303,Capa!$A:$AE,AQ$5,0)),0,1/VLOOKUP($N303,Capa!$A:$AE,AQ$5,0))))</f>
        <v>25.2</v>
      </c>
      <c r="AR303" s="118">
        <f>IF(AR$6="","",IF(AR$3="Maior",IFERROR(IF(VLOOKUP($N303,Capa!$A:$AE,AR$5,0)="",0,VLOOKUP($N303,Capa!$A:$AE,AR$5,0)),0),IF(ISERROR(1/VLOOKUP($N303,Capa!$A:$AE,AR$5,0)),0,1/VLOOKUP($N303,Capa!$A:$AE,AR$5,0))))</f>
        <v>18.95</v>
      </c>
      <c r="AS303" s="118" t="str">
        <f>IF(AS$6="","",IF(AS$3="Maior",IFERROR(IF(VLOOKUP($N303,Capa!$A:$AE,AS$5,0)="",0,VLOOKUP($N303,Capa!$A:$AE,AS$5,0)),0),IF(ISERROR(1/VLOOKUP($N303,Capa!$A:$AE,AS$5,0)),0,1/VLOOKUP($N303,Capa!$A:$AE,AS$5,0))))</f>
        <v/>
      </c>
      <c r="AT303" s="118" t="str">
        <f>IF(AT$6="","",IF(AT$3="Maior",IFERROR(IF(VLOOKUP($N303,Capa!$A:$AE,AT$5,0)="",0,VLOOKUP($N303,Capa!$A:$AE,AT$5,0)),0),IF(ISERROR(1/VLOOKUP($N303,Capa!$A:$AE,AT$5,0)),0,1/VLOOKUP($N303,Capa!$A:$AE,AT$5,0))))</f>
        <v/>
      </c>
      <c r="AU303" s="118" t="str">
        <f>IF(AU$6="","",IF(AU$3="Maior",IFERROR(IF(VLOOKUP($N303,Capa!$A:$AE,AU$5,0)="",0,VLOOKUP($N303,Capa!$A:$AE,AU$5,0)),0),IF(ISERROR(1/VLOOKUP($N303,Capa!$A:$AE,AU$5,0)),0,1/VLOOKUP($N303,Capa!$A:$AE,AU$5,0))))</f>
        <v/>
      </c>
      <c r="AV303" s="118" t="str">
        <f>IF(AV$6="","",IF(AV$3="Maior",IFERROR(IF(VLOOKUP($N303,Capa!$A:$AE,AV$5,0)="",0,VLOOKUP($N303,Capa!$A:$AE,AV$5,0)),0),IF(ISERROR(1/VLOOKUP($N303,Capa!$A:$AE,AV$5,0)),0,1/VLOOKUP($N303,Capa!$A:$AE,AV$5,0))))</f>
        <v/>
      </c>
      <c r="AW303" s="118" t="str">
        <f>IF(AW$6="","",IF(AW$3="Maior",IFERROR(IF(VLOOKUP($N303,Capa!$A:$AE,AW$5,0)="",0,VLOOKUP($N303,Capa!$A:$AE,AW$5,0)),0),IF(ISERROR(1/VLOOKUP($N303,Capa!$A:$AE,AW$5,0)),0,1/VLOOKUP($N303,Capa!$A:$AE,AW$5,0))))</f>
        <v/>
      </c>
      <c r="AX303" s="118" t="str">
        <f>IF(AX$6="","",IF(AX$3="Maior",IFERROR(IF(VLOOKUP($N303,Capa!$A:$AE,AX$5,0)="",0,VLOOKUP($N303,Capa!$A:$AE,AX$5,0)),0),IF(ISERROR(1/VLOOKUP($N303,Capa!$A:$AE,AX$5,0)),0,1/VLOOKUP($N303,Capa!$A:$AE,AX$5,0))))</f>
        <v/>
      </c>
      <c r="AY303" s="118" t="str">
        <f>IF(AY$6="","",IF(AY$3="Maior",IFERROR(IF(VLOOKUP($N303,Capa!$A:$AE,AY$5,0)="",0,VLOOKUP($N303,Capa!$A:$AE,AY$5,0)),0),IF(ISERROR(1/VLOOKUP($N303,Capa!$A:$AE,AY$5,0)),0,1/VLOOKUP($N303,Capa!$A:$AE,AY$5,0))))</f>
        <v/>
      </c>
      <c r="AZ303" s="118" t="str">
        <f>IF(AZ$6="","",IF(AZ$3="Maior",IFERROR(IF(VLOOKUP($N303,Capa!$A:$AE,AZ$5,0)="",0,VLOOKUP($N303,Capa!$A:$AE,AZ$5,0)),0),IF(ISERROR(1/VLOOKUP($N303,Capa!$A:$AE,AZ$5,0)),0,1/VLOOKUP($N303,Capa!$A:$AE,AZ$5,0))))</f>
        <v/>
      </c>
      <c r="BA303" s="118" t="str">
        <f>IF(BA$6="","",IF(BA$3="Maior",IFERROR(IF(VLOOKUP($N303,Capa!$A:$AE,BA$5,0)="",0,VLOOKUP($N303,Capa!$A:$AE,BA$5,0)),0),IF(ISERROR(1/VLOOKUP($N303,Capa!$A:$AE,BA$5,0)),0,1/VLOOKUP($N303,Capa!$A:$AE,BA$5,0))))</f>
        <v/>
      </c>
      <c r="BB303" s="118" t="str">
        <f>IF(BB$6="","",IF(BB$3="Maior",IFERROR(IF(VLOOKUP($N303,Capa!$A:$AE,BB$5,0)="",0,VLOOKUP($N303,Capa!$A:$AE,BB$5,0)),0),IF(ISERROR(1/VLOOKUP($N303,Capa!$A:$AE,BB$5,0)),0,1/VLOOKUP($N303,Capa!$A:$AE,BB$5,0))))</f>
        <v/>
      </c>
      <c r="BC303" s="118" t="str">
        <f>IF(BC$6="","",IF(BC$3="Maior",IFERROR(IF(VLOOKUP($N303,Capa!$A:$AE,BC$5,0)="",0,VLOOKUP($N303,Capa!$A:$AE,BC$5,0)),0),IF(ISERROR(1/VLOOKUP($N303,Capa!$A:$AE,BC$5,0)),0,1/VLOOKUP($N303,Capa!$A:$AE,BC$5,0))))</f>
        <v/>
      </c>
      <c r="BD303" s="118" t="str">
        <f>IF(BD$6="","",IF(BD$3="Maior",IFERROR(IF(VLOOKUP($N303,Capa!$A:$AE,BD$5,0)="",0,VLOOKUP($N303,Capa!$A:$AE,BD$5,0)),0),IF(ISERROR(1/VLOOKUP($N303,Capa!$A:$AE,BD$5,0)),0,1/VLOOKUP($N303,Capa!$A:$AE,BD$5,0))))</f>
        <v/>
      </c>
      <c r="BE303" s="118" t="str">
        <f>IF(BE$6="","",IF(BE$3="Maior",IFERROR(IF(VLOOKUP($N303,Capa!$A:$AE,BE$5,0)="",0,VLOOKUP($N303,Capa!$A:$AE,BE$5,0)),0),IF(ISERROR(1/VLOOKUP($N303,Capa!$A:$AE,BE$5,0)),0,1/VLOOKUP($N303,Capa!$A:$AE,BE$5,0))))</f>
        <v/>
      </c>
      <c r="BF303" s="118" t="str">
        <f>IF(BF$6="","",IF(BF$3="Maior",IFERROR(IF(VLOOKUP($N303,Capa!$A:$AE,BF$5,0)="",0,VLOOKUP($N303,Capa!$A:$AE,BF$5,0)),0),IF(ISERROR(1/VLOOKUP($N303,Capa!$A:$AE,BF$5,0)),0,1/VLOOKUP($N303,Capa!$A:$AE,BF$5,0))))</f>
        <v/>
      </c>
      <c r="BG303" s="118" t="str">
        <f>IF(BG$6="","",IF(BG$3="Maior",IFERROR(IF(VLOOKUP($N303,Capa!$A:$AE,BG$5,0)="",0,VLOOKUP($N303,Capa!$A:$AE,BG$5,0)),0),IF(ISERROR(1/VLOOKUP($N303,Capa!$A:$AE,BG$5,0)),0,1/VLOOKUP($N303,Capa!$A:$AE,BG$5,0))))</f>
        <v/>
      </c>
      <c r="BH303" s="118" t="str">
        <f>IF(BH$6="","",IF(BH$3="Maior",IFERROR(IF(VLOOKUP($N303,Capa!$A:$AE,BH$5,0)="",0,VLOOKUP($N303,Capa!$A:$AE,BH$5,0)),0),IF(ISERROR(1/VLOOKUP($N303,Capa!$A:$AE,BH$5,0)),0,1/VLOOKUP($N303,Capa!$A:$AE,BH$5,0))))</f>
        <v/>
      </c>
      <c r="BI303" s="118" t="str">
        <f>IF(BI$6="","",IF(BI$3="Maior",IFERROR(IF(VLOOKUP($N303,Capa!$A:$AE,BI$5,0)="",0,VLOOKUP($N303,Capa!$A:$AE,BI$5,0)),0),IF(ISERROR(1/VLOOKUP($N303,Capa!$A:$AE,BI$5,0)),0,1/VLOOKUP($N303,Capa!$A:$AE,BI$5,0))))</f>
        <v/>
      </c>
      <c r="BJ303" s="118" t="str">
        <f>IF(BJ$6="","",IF(BJ$3="Maior",IFERROR(IF(VLOOKUP($N303,Capa!$A:$AE,BJ$5,0)="",0,VLOOKUP($N303,Capa!$A:$AE,BJ$5,0)),0),IF(ISERROR(1/VLOOKUP($N303,Capa!$A:$AE,BJ$5,0)),0,1/VLOOKUP($N303,Capa!$A:$AE,BJ$5,0))))</f>
        <v/>
      </c>
      <c r="BK303" s="118" t="str">
        <f>IF(BK$6="","",IF(BK$3="Maior",IFERROR(IF(VLOOKUP($N303,Capa!$A:$AE,BK$5,0)="",0,VLOOKUP($N303,Capa!$A:$AE,BK$5,0)),0),IF(ISERROR(1/VLOOKUP($N303,Capa!$A:$AE,BK$5,0)),0,1/VLOOKUP($N303,Capa!$A:$AE,BK$5,0))))</f>
        <v/>
      </c>
      <c r="BL303" s="118" t="str">
        <f>IF(BL$6="","",IF(BL$3="Maior",IFERROR(IF(VLOOKUP($N303,Capa!$A:$AE,BL$5,0)="",0,VLOOKUP($N303,Capa!$A:$AE,BL$5,0)),0),IF(ISERROR(1/VLOOKUP($N303,Capa!$A:$AE,BL$5,0)),0,1/VLOOKUP($N303,Capa!$A:$AE,BL$5,0))))</f>
        <v/>
      </c>
      <c r="BM303" s="118" t="str">
        <f>IF(BM$6="","",IF(BM$3="Maior",IFERROR(IF(VLOOKUP($N303,Capa!$A:$AE,BM$5,0)="",0,VLOOKUP($N303,Capa!$A:$AE,BM$5,0)),0),IF(ISERROR(1/VLOOKUP($N303,Capa!$A:$AE,BM$5,0)),0,1/VLOOKUP($N303,Capa!$A:$AE,BM$5,0))))</f>
        <v/>
      </c>
      <c r="BN303" s="118" t="str">
        <f>IF(BN$6="","",IF(BN$3="Maior",IFERROR(IF(VLOOKUP($N303,Capa!$A:$AE,BN$5,0)="",0,VLOOKUP($N303,Capa!$A:$AE,BN$5,0)),0),IF(ISERROR(1/VLOOKUP($N303,Capa!$A:$AE,BN$5,0)),0,1/VLOOKUP($N303,Capa!$A:$AE,BN$5,0))))</f>
        <v/>
      </c>
      <c r="BO303" s="92"/>
    </row>
    <row r="304">
      <c r="G304" s="11"/>
      <c r="H304" s="11"/>
      <c r="I304" s="8"/>
      <c r="J304" s="132"/>
      <c r="K304" s="11"/>
      <c r="L304" s="11"/>
      <c r="M304" s="11"/>
      <c r="N304" s="10" t="s">
        <v>350</v>
      </c>
      <c r="O304" s="113">
        <f t="shared" si="8"/>
        <v>1812.045</v>
      </c>
      <c r="P304" s="114">
        <f>VLOOKUP(N304,'Dados StatusInvest'!A:Z,26,0)</f>
        <v>568615.88</v>
      </c>
      <c r="Q304" s="115">
        <f t="shared" si="9"/>
        <v>450.045</v>
      </c>
      <c r="R304" s="116">
        <f t="shared" ref="R304:AO304" si="307">IF(AQ304="","", RANK(AQ304,AQ$7:AQ$503,0))</f>
        <v>143</v>
      </c>
      <c r="S304" s="115">
        <f t="shared" si="307"/>
        <v>219</v>
      </c>
      <c r="T304" s="115" t="str">
        <f t="shared" si="307"/>
        <v/>
      </c>
      <c r="U304" s="115" t="str">
        <f t="shared" si="307"/>
        <v/>
      </c>
      <c r="V304" s="115" t="str">
        <f t="shared" si="307"/>
        <v/>
      </c>
      <c r="W304" s="115" t="str">
        <f t="shared" si="307"/>
        <v/>
      </c>
      <c r="X304" s="115" t="str">
        <f t="shared" si="307"/>
        <v/>
      </c>
      <c r="Y304" s="115" t="str">
        <f t="shared" si="307"/>
        <v/>
      </c>
      <c r="Z304" s="115" t="str">
        <f t="shared" si="307"/>
        <v/>
      </c>
      <c r="AA304" s="115" t="str">
        <f t="shared" si="307"/>
        <v/>
      </c>
      <c r="AB304" s="115" t="str">
        <f t="shared" si="307"/>
        <v/>
      </c>
      <c r="AC304" s="115" t="str">
        <f t="shared" si="307"/>
        <v/>
      </c>
      <c r="AD304" s="115" t="str">
        <f t="shared" si="307"/>
        <v/>
      </c>
      <c r="AE304" s="115" t="str">
        <f t="shared" si="307"/>
        <v/>
      </c>
      <c r="AF304" s="115" t="str">
        <f t="shared" si="307"/>
        <v/>
      </c>
      <c r="AG304" s="115" t="str">
        <f t="shared" si="307"/>
        <v/>
      </c>
      <c r="AH304" s="115" t="str">
        <f t="shared" si="307"/>
        <v/>
      </c>
      <c r="AI304" s="115" t="str">
        <f t="shared" si="307"/>
        <v/>
      </c>
      <c r="AJ304" s="115" t="str">
        <f t="shared" si="307"/>
        <v/>
      </c>
      <c r="AK304" s="115" t="str">
        <f t="shared" si="307"/>
        <v/>
      </c>
      <c r="AL304" s="115" t="str">
        <f t="shared" si="307"/>
        <v/>
      </c>
      <c r="AM304" s="115" t="str">
        <f t="shared" si="307"/>
        <v/>
      </c>
      <c r="AN304" s="115" t="str">
        <f t="shared" si="307"/>
        <v/>
      </c>
      <c r="AO304" s="115" t="str">
        <f t="shared" si="307"/>
        <v/>
      </c>
      <c r="AP304" s="117">
        <f>IF(AP$6="","",IF(AP$3="Maior",IFERROR(IF(VLOOKUP($N304,Capa!$A:$AE,AP$5,0)="",0,VLOOKUP($N304,Capa!$A:$AE,AP$5,0)),0),IF(ISERROR(1/VLOOKUP($N304,Capa!$A:$AE,AP$5,0)),0,1/VLOOKUP($N304,Capa!$A:$AE,AP$5,0))))</f>
        <v>-0.1196486343</v>
      </c>
      <c r="AQ304" s="118">
        <f>IF(AQ$6="","",IF(AQ$3="Maior",IFERROR(IF(VLOOKUP($N304,Capa!$A:$AE,AQ$5,0)="",0,VLOOKUP($N304,Capa!$A:$AE,AQ$5,0)),0),IF(ISERROR(1/VLOOKUP($N304,Capa!$A:$AE,AQ$5,0)),0,1/VLOOKUP($N304,Capa!$A:$AE,AQ$5,0))))</f>
        <v>14.41</v>
      </c>
      <c r="AR304" s="118">
        <f>IF(AR$6="","",IF(AR$3="Maior",IFERROR(IF(VLOOKUP($N304,Capa!$A:$AE,AR$5,0)="",0,VLOOKUP($N304,Capa!$A:$AE,AR$5,0)),0),IF(ISERROR(1/VLOOKUP($N304,Capa!$A:$AE,AR$5,0)),0,1/VLOOKUP($N304,Capa!$A:$AE,AR$5,0))))</f>
        <v>0</v>
      </c>
      <c r="AS304" s="118" t="str">
        <f>IF(AS$6="","",IF(AS$3="Maior",IFERROR(IF(VLOOKUP($N304,Capa!$A:$AE,AS$5,0)="",0,VLOOKUP($N304,Capa!$A:$AE,AS$5,0)),0),IF(ISERROR(1/VLOOKUP($N304,Capa!$A:$AE,AS$5,0)),0,1/VLOOKUP($N304,Capa!$A:$AE,AS$5,0))))</f>
        <v/>
      </c>
      <c r="AT304" s="118" t="str">
        <f>IF(AT$6="","",IF(AT$3="Maior",IFERROR(IF(VLOOKUP($N304,Capa!$A:$AE,AT$5,0)="",0,VLOOKUP($N304,Capa!$A:$AE,AT$5,0)),0),IF(ISERROR(1/VLOOKUP($N304,Capa!$A:$AE,AT$5,0)),0,1/VLOOKUP($N304,Capa!$A:$AE,AT$5,0))))</f>
        <v/>
      </c>
      <c r="AU304" s="118" t="str">
        <f>IF(AU$6="","",IF(AU$3="Maior",IFERROR(IF(VLOOKUP($N304,Capa!$A:$AE,AU$5,0)="",0,VLOOKUP($N304,Capa!$A:$AE,AU$5,0)),0),IF(ISERROR(1/VLOOKUP($N304,Capa!$A:$AE,AU$5,0)),0,1/VLOOKUP($N304,Capa!$A:$AE,AU$5,0))))</f>
        <v/>
      </c>
      <c r="AV304" s="118" t="str">
        <f>IF(AV$6="","",IF(AV$3="Maior",IFERROR(IF(VLOOKUP($N304,Capa!$A:$AE,AV$5,0)="",0,VLOOKUP($N304,Capa!$A:$AE,AV$5,0)),0),IF(ISERROR(1/VLOOKUP($N304,Capa!$A:$AE,AV$5,0)),0,1/VLOOKUP($N304,Capa!$A:$AE,AV$5,0))))</f>
        <v/>
      </c>
      <c r="AW304" s="118" t="str">
        <f>IF(AW$6="","",IF(AW$3="Maior",IFERROR(IF(VLOOKUP($N304,Capa!$A:$AE,AW$5,0)="",0,VLOOKUP($N304,Capa!$A:$AE,AW$5,0)),0),IF(ISERROR(1/VLOOKUP($N304,Capa!$A:$AE,AW$5,0)),0,1/VLOOKUP($N304,Capa!$A:$AE,AW$5,0))))</f>
        <v/>
      </c>
      <c r="AX304" s="118" t="str">
        <f>IF(AX$6="","",IF(AX$3="Maior",IFERROR(IF(VLOOKUP($N304,Capa!$A:$AE,AX$5,0)="",0,VLOOKUP($N304,Capa!$A:$AE,AX$5,0)),0),IF(ISERROR(1/VLOOKUP($N304,Capa!$A:$AE,AX$5,0)),0,1/VLOOKUP($N304,Capa!$A:$AE,AX$5,0))))</f>
        <v/>
      </c>
      <c r="AY304" s="118" t="str">
        <f>IF(AY$6="","",IF(AY$3="Maior",IFERROR(IF(VLOOKUP($N304,Capa!$A:$AE,AY$5,0)="",0,VLOOKUP($N304,Capa!$A:$AE,AY$5,0)),0),IF(ISERROR(1/VLOOKUP($N304,Capa!$A:$AE,AY$5,0)),0,1/VLOOKUP($N304,Capa!$A:$AE,AY$5,0))))</f>
        <v/>
      </c>
      <c r="AZ304" s="118" t="str">
        <f>IF(AZ$6="","",IF(AZ$3="Maior",IFERROR(IF(VLOOKUP($N304,Capa!$A:$AE,AZ$5,0)="",0,VLOOKUP($N304,Capa!$A:$AE,AZ$5,0)),0),IF(ISERROR(1/VLOOKUP($N304,Capa!$A:$AE,AZ$5,0)),0,1/VLOOKUP($N304,Capa!$A:$AE,AZ$5,0))))</f>
        <v/>
      </c>
      <c r="BA304" s="118" t="str">
        <f>IF(BA$6="","",IF(BA$3="Maior",IFERROR(IF(VLOOKUP($N304,Capa!$A:$AE,BA$5,0)="",0,VLOOKUP($N304,Capa!$A:$AE,BA$5,0)),0),IF(ISERROR(1/VLOOKUP($N304,Capa!$A:$AE,BA$5,0)),0,1/VLOOKUP($N304,Capa!$A:$AE,BA$5,0))))</f>
        <v/>
      </c>
      <c r="BB304" s="118" t="str">
        <f>IF(BB$6="","",IF(BB$3="Maior",IFERROR(IF(VLOOKUP($N304,Capa!$A:$AE,BB$5,0)="",0,VLOOKUP($N304,Capa!$A:$AE,BB$5,0)),0),IF(ISERROR(1/VLOOKUP($N304,Capa!$A:$AE,BB$5,0)),0,1/VLOOKUP($N304,Capa!$A:$AE,BB$5,0))))</f>
        <v/>
      </c>
      <c r="BC304" s="118" t="str">
        <f>IF(BC$6="","",IF(BC$3="Maior",IFERROR(IF(VLOOKUP($N304,Capa!$A:$AE,BC$5,0)="",0,VLOOKUP($N304,Capa!$A:$AE,BC$5,0)),0),IF(ISERROR(1/VLOOKUP($N304,Capa!$A:$AE,BC$5,0)),0,1/VLOOKUP($N304,Capa!$A:$AE,BC$5,0))))</f>
        <v/>
      </c>
      <c r="BD304" s="118" t="str">
        <f>IF(BD$6="","",IF(BD$3="Maior",IFERROR(IF(VLOOKUP($N304,Capa!$A:$AE,BD$5,0)="",0,VLOOKUP($N304,Capa!$A:$AE,BD$5,0)),0),IF(ISERROR(1/VLOOKUP($N304,Capa!$A:$AE,BD$5,0)),0,1/VLOOKUP($N304,Capa!$A:$AE,BD$5,0))))</f>
        <v/>
      </c>
      <c r="BE304" s="118" t="str">
        <f>IF(BE$6="","",IF(BE$3="Maior",IFERROR(IF(VLOOKUP($N304,Capa!$A:$AE,BE$5,0)="",0,VLOOKUP($N304,Capa!$A:$AE,BE$5,0)),0),IF(ISERROR(1/VLOOKUP($N304,Capa!$A:$AE,BE$5,0)),0,1/VLOOKUP($N304,Capa!$A:$AE,BE$5,0))))</f>
        <v/>
      </c>
      <c r="BF304" s="118" t="str">
        <f>IF(BF$6="","",IF(BF$3="Maior",IFERROR(IF(VLOOKUP($N304,Capa!$A:$AE,BF$5,0)="",0,VLOOKUP($N304,Capa!$A:$AE,BF$5,0)),0),IF(ISERROR(1/VLOOKUP($N304,Capa!$A:$AE,BF$5,0)),0,1/VLOOKUP($N304,Capa!$A:$AE,BF$5,0))))</f>
        <v/>
      </c>
      <c r="BG304" s="118" t="str">
        <f>IF(BG$6="","",IF(BG$3="Maior",IFERROR(IF(VLOOKUP($N304,Capa!$A:$AE,BG$5,0)="",0,VLOOKUP($N304,Capa!$A:$AE,BG$5,0)),0),IF(ISERROR(1/VLOOKUP($N304,Capa!$A:$AE,BG$5,0)),0,1/VLOOKUP($N304,Capa!$A:$AE,BG$5,0))))</f>
        <v/>
      </c>
      <c r="BH304" s="118" t="str">
        <f>IF(BH$6="","",IF(BH$3="Maior",IFERROR(IF(VLOOKUP($N304,Capa!$A:$AE,BH$5,0)="",0,VLOOKUP($N304,Capa!$A:$AE,BH$5,0)),0),IF(ISERROR(1/VLOOKUP($N304,Capa!$A:$AE,BH$5,0)),0,1/VLOOKUP($N304,Capa!$A:$AE,BH$5,0))))</f>
        <v/>
      </c>
      <c r="BI304" s="118" t="str">
        <f>IF(BI$6="","",IF(BI$3="Maior",IFERROR(IF(VLOOKUP($N304,Capa!$A:$AE,BI$5,0)="",0,VLOOKUP($N304,Capa!$A:$AE,BI$5,0)),0),IF(ISERROR(1/VLOOKUP($N304,Capa!$A:$AE,BI$5,0)),0,1/VLOOKUP($N304,Capa!$A:$AE,BI$5,0))))</f>
        <v/>
      </c>
      <c r="BJ304" s="118" t="str">
        <f>IF(BJ$6="","",IF(BJ$3="Maior",IFERROR(IF(VLOOKUP($N304,Capa!$A:$AE,BJ$5,0)="",0,VLOOKUP($N304,Capa!$A:$AE,BJ$5,0)),0),IF(ISERROR(1/VLOOKUP($N304,Capa!$A:$AE,BJ$5,0)),0,1/VLOOKUP($N304,Capa!$A:$AE,BJ$5,0))))</f>
        <v/>
      </c>
      <c r="BK304" s="118" t="str">
        <f>IF(BK$6="","",IF(BK$3="Maior",IFERROR(IF(VLOOKUP($N304,Capa!$A:$AE,BK$5,0)="",0,VLOOKUP($N304,Capa!$A:$AE,BK$5,0)),0),IF(ISERROR(1/VLOOKUP($N304,Capa!$A:$AE,BK$5,0)),0,1/VLOOKUP($N304,Capa!$A:$AE,BK$5,0))))</f>
        <v/>
      </c>
      <c r="BL304" s="118" t="str">
        <f>IF(BL$6="","",IF(BL$3="Maior",IFERROR(IF(VLOOKUP($N304,Capa!$A:$AE,BL$5,0)="",0,VLOOKUP($N304,Capa!$A:$AE,BL$5,0)),0),IF(ISERROR(1/VLOOKUP($N304,Capa!$A:$AE,BL$5,0)),0,1/VLOOKUP($N304,Capa!$A:$AE,BL$5,0))))</f>
        <v/>
      </c>
      <c r="BM304" s="118" t="str">
        <f>IF(BM$6="","",IF(BM$3="Maior",IFERROR(IF(VLOOKUP($N304,Capa!$A:$AE,BM$5,0)="",0,VLOOKUP($N304,Capa!$A:$AE,BM$5,0)),0),IF(ISERROR(1/VLOOKUP($N304,Capa!$A:$AE,BM$5,0)),0,1/VLOOKUP($N304,Capa!$A:$AE,BM$5,0))))</f>
        <v/>
      </c>
      <c r="BN304" s="118" t="str">
        <f>IF(BN$6="","",IF(BN$3="Maior",IFERROR(IF(VLOOKUP($N304,Capa!$A:$AE,BN$5,0)="",0,VLOOKUP($N304,Capa!$A:$AE,BN$5,0)),0),IF(ISERROR(1/VLOOKUP($N304,Capa!$A:$AE,BN$5,0)),0,1/VLOOKUP($N304,Capa!$A:$AE,BN$5,0))))</f>
        <v/>
      </c>
      <c r="BO304" s="92"/>
    </row>
    <row r="305">
      <c r="G305" s="11"/>
      <c r="H305" s="11"/>
      <c r="I305" s="8"/>
      <c r="J305" s="132"/>
      <c r="K305" s="11"/>
      <c r="L305" s="11"/>
      <c r="M305" s="11"/>
      <c r="N305" s="10" t="s">
        <v>351</v>
      </c>
      <c r="O305" s="113">
        <f t="shared" si="8"/>
        <v>1943.0349</v>
      </c>
      <c r="P305" s="114">
        <f>VLOOKUP(N305,'Dados StatusInvest'!A:Z,26,0)</f>
        <v>290776.13</v>
      </c>
      <c r="Q305" s="115">
        <f t="shared" si="9"/>
        <v>349.0349</v>
      </c>
      <c r="R305" s="116">
        <f t="shared" ref="R305:AO305" si="308">IF(AQ305="","", RANK(AQ305,AQ$7:AQ$503,0))</f>
        <v>375</v>
      </c>
      <c r="S305" s="115">
        <f t="shared" si="308"/>
        <v>219</v>
      </c>
      <c r="T305" s="115" t="str">
        <f t="shared" si="308"/>
        <v/>
      </c>
      <c r="U305" s="115" t="str">
        <f t="shared" si="308"/>
        <v/>
      </c>
      <c r="V305" s="115" t="str">
        <f t="shared" si="308"/>
        <v/>
      </c>
      <c r="W305" s="115" t="str">
        <f t="shared" si="308"/>
        <v/>
      </c>
      <c r="X305" s="115" t="str">
        <f t="shared" si="308"/>
        <v/>
      </c>
      <c r="Y305" s="115" t="str">
        <f t="shared" si="308"/>
        <v/>
      </c>
      <c r="Z305" s="115" t="str">
        <f t="shared" si="308"/>
        <v/>
      </c>
      <c r="AA305" s="115" t="str">
        <f t="shared" si="308"/>
        <v/>
      </c>
      <c r="AB305" s="115" t="str">
        <f t="shared" si="308"/>
        <v/>
      </c>
      <c r="AC305" s="115" t="str">
        <f t="shared" si="308"/>
        <v/>
      </c>
      <c r="AD305" s="115" t="str">
        <f t="shared" si="308"/>
        <v/>
      </c>
      <c r="AE305" s="115" t="str">
        <f t="shared" si="308"/>
        <v/>
      </c>
      <c r="AF305" s="115" t="str">
        <f t="shared" si="308"/>
        <v/>
      </c>
      <c r="AG305" s="115" t="str">
        <f t="shared" si="308"/>
        <v/>
      </c>
      <c r="AH305" s="115" t="str">
        <f t="shared" si="308"/>
        <v/>
      </c>
      <c r="AI305" s="115" t="str">
        <f t="shared" si="308"/>
        <v/>
      </c>
      <c r="AJ305" s="115" t="str">
        <f t="shared" si="308"/>
        <v/>
      </c>
      <c r="AK305" s="115" t="str">
        <f t="shared" si="308"/>
        <v/>
      </c>
      <c r="AL305" s="115" t="str">
        <f t="shared" si="308"/>
        <v/>
      </c>
      <c r="AM305" s="115" t="str">
        <f t="shared" si="308"/>
        <v/>
      </c>
      <c r="AN305" s="115" t="str">
        <f t="shared" si="308"/>
        <v/>
      </c>
      <c r="AO305" s="115" t="str">
        <f t="shared" si="308"/>
        <v/>
      </c>
      <c r="AP305" s="117">
        <f>IF(AP$6="","",IF(AP$3="Maior",IFERROR(IF(VLOOKUP($N305,Capa!$A:$AE,AP$5,0)="",0,VLOOKUP($N305,Capa!$A:$AE,AP$5,0)),0),IF(ISERROR(1/VLOOKUP($N305,Capa!$A:$AE,AP$5,0)),0,1/VLOOKUP($N305,Capa!$A:$AE,AP$5,0))))</f>
        <v>0.03171327445</v>
      </c>
      <c r="AQ305" s="118">
        <f>IF(AQ$6="","",IF(AQ$3="Maior",IFERROR(IF(VLOOKUP($N305,Capa!$A:$AE,AQ$5,0)="",0,VLOOKUP($N305,Capa!$A:$AE,AQ$5,0)),0),IF(ISERROR(1/VLOOKUP($N305,Capa!$A:$AE,AQ$5,0)),0,1/VLOOKUP($N305,Capa!$A:$AE,AQ$5,0))))</f>
        <v>0</v>
      </c>
      <c r="AR305" s="118">
        <f>IF(AR$6="","",IF(AR$3="Maior",IFERROR(IF(VLOOKUP($N305,Capa!$A:$AE,AR$5,0)="",0,VLOOKUP($N305,Capa!$A:$AE,AR$5,0)),0),IF(ISERROR(1/VLOOKUP($N305,Capa!$A:$AE,AR$5,0)),0,1/VLOOKUP($N305,Capa!$A:$AE,AR$5,0))))</f>
        <v>0</v>
      </c>
      <c r="AS305" s="118" t="str">
        <f>IF(AS$6="","",IF(AS$3="Maior",IFERROR(IF(VLOOKUP($N305,Capa!$A:$AE,AS$5,0)="",0,VLOOKUP($N305,Capa!$A:$AE,AS$5,0)),0),IF(ISERROR(1/VLOOKUP($N305,Capa!$A:$AE,AS$5,0)),0,1/VLOOKUP($N305,Capa!$A:$AE,AS$5,0))))</f>
        <v/>
      </c>
      <c r="AT305" s="118" t="str">
        <f>IF(AT$6="","",IF(AT$3="Maior",IFERROR(IF(VLOOKUP($N305,Capa!$A:$AE,AT$5,0)="",0,VLOOKUP($N305,Capa!$A:$AE,AT$5,0)),0),IF(ISERROR(1/VLOOKUP($N305,Capa!$A:$AE,AT$5,0)),0,1/VLOOKUP($N305,Capa!$A:$AE,AT$5,0))))</f>
        <v/>
      </c>
      <c r="AU305" s="118" t="str">
        <f>IF(AU$6="","",IF(AU$3="Maior",IFERROR(IF(VLOOKUP($N305,Capa!$A:$AE,AU$5,0)="",0,VLOOKUP($N305,Capa!$A:$AE,AU$5,0)),0),IF(ISERROR(1/VLOOKUP($N305,Capa!$A:$AE,AU$5,0)),0,1/VLOOKUP($N305,Capa!$A:$AE,AU$5,0))))</f>
        <v/>
      </c>
      <c r="AV305" s="118" t="str">
        <f>IF(AV$6="","",IF(AV$3="Maior",IFERROR(IF(VLOOKUP($N305,Capa!$A:$AE,AV$5,0)="",0,VLOOKUP($N305,Capa!$A:$AE,AV$5,0)),0),IF(ISERROR(1/VLOOKUP($N305,Capa!$A:$AE,AV$5,0)),0,1/VLOOKUP($N305,Capa!$A:$AE,AV$5,0))))</f>
        <v/>
      </c>
      <c r="AW305" s="118" t="str">
        <f>IF(AW$6="","",IF(AW$3="Maior",IFERROR(IF(VLOOKUP($N305,Capa!$A:$AE,AW$5,0)="",0,VLOOKUP($N305,Capa!$A:$AE,AW$5,0)),0),IF(ISERROR(1/VLOOKUP($N305,Capa!$A:$AE,AW$5,0)),0,1/VLOOKUP($N305,Capa!$A:$AE,AW$5,0))))</f>
        <v/>
      </c>
      <c r="AX305" s="118" t="str">
        <f>IF(AX$6="","",IF(AX$3="Maior",IFERROR(IF(VLOOKUP($N305,Capa!$A:$AE,AX$5,0)="",0,VLOOKUP($N305,Capa!$A:$AE,AX$5,0)),0),IF(ISERROR(1/VLOOKUP($N305,Capa!$A:$AE,AX$5,0)),0,1/VLOOKUP($N305,Capa!$A:$AE,AX$5,0))))</f>
        <v/>
      </c>
      <c r="AY305" s="118" t="str">
        <f>IF(AY$6="","",IF(AY$3="Maior",IFERROR(IF(VLOOKUP($N305,Capa!$A:$AE,AY$5,0)="",0,VLOOKUP($N305,Capa!$A:$AE,AY$5,0)),0),IF(ISERROR(1/VLOOKUP($N305,Capa!$A:$AE,AY$5,0)),0,1/VLOOKUP($N305,Capa!$A:$AE,AY$5,0))))</f>
        <v/>
      </c>
      <c r="AZ305" s="118" t="str">
        <f>IF(AZ$6="","",IF(AZ$3="Maior",IFERROR(IF(VLOOKUP($N305,Capa!$A:$AE,AZ$5,0)="",0,VLOOKUP($N305,Capa!$A:$AE,AZ$5,0)),0),IF(ISERROR(1/VLOOKUP($N305,Capa!$A:$AE,AZ$5,0)),0,1/VLOOKUP($N305,Capa!$A:$AE,AZ$5,0))))</f>
        <v/>
      </c>
      <c r="BA305" s="118" t="str">
        <f>IF(BA$6="","",IF(BA$3="Maior",IFERROR(IF(VLOOKUP($N305,Capa!$A:$AE,BA$5,0)="",0,VLOOKUP($N305,Capa!$A:$AE,BA$5,0)),0),IF(ISERROR(1/VLOOKUP($N305,Capa!$A:$AE,BA$5,0)),0,1/VLOOKUP($N305,Capa!$A:$AE,BA$5,0))))</f>
        <v/>
      </c>
      <c r="BB305" s="118" t="str">
        <f>IF(BB$6="","",IF(BB$3="Maior",IFERROR(IF(VLOOKUP($N305,Capa!$A:$AE,BB$5,0)="",0,VLOOKUP($N305,Capa!$A:$AE,BB$5,0)),0),IF(ISERROR(1/VLOOKUP($N305,Capa!$A:$AE,BB$5,0)),0,1/VLOOKUP($N305,Capa!$A:$AE,BB$5,0))))</f>
        <v/>
      </c>
      <c r="BC305" s="118" t="str">
        <f>IF(BC$6="","",IF(BC$3="Maior",IFERROR(IF(VLOOKUP($N305,Capa!$A:$AE,BC$5,0)="",0,VLOOKUP($N305,Capa!$A:$AE,BC$5,0)),0),IF(ISERROR(1/VLOOKUP($N305,Capa!$A:$AE,BC$5,0)),0,1/VLOOKUP($N305,Capa!$A:$AE,BC$5,0))))</f>
        <v/>
      </c>
      <c r="BD305" s="118" t="str">
        <f>IF(BD$6="","",IF(BD$3="Maior",IFERROR(IF(VLOOKUP($N305,Capa!$A:$AE,BD$5,0)="",0,VLOOKUP($N305,Capa!$A:$AE,BD$5,0)),0),IF(ISERROR(1/VLOOKUP($N305,Capa!$A:$AE,BD$5,0)),0,1/VLOOKUP($N305,Capa!$A:$AE,BD$5,0))))</f>
        <v/>
      </c>
      <c r="BE305" s="118" t="str">
        <f>IF(BE$6="","",IF(BE$3="Maior",IFERROR(IF(VLOOKUP($N305,Capa!$A:$AE,BE$5,0)="",0,VLOOKUP($N305,Capa!$A:$AE,BE$5,0)),0),IF(ISERROR(1/VLOOKUP($N305,Capa!$A:$AE,BE$5,0)),0,1/VLOOKUP($N305,Capa!$A:$AE,BE$5,0))))</f>
        <v/>
      </c>
      <c r="BF305" s="118" t="str">
        <f>IF(BF$6="","",IF(BF$3="Maior",IFERROR(IF(VLOOKUP($N305,Capa!$A:$AE,BF$5,0)="",0,VLOOKUP($N305,Capa!$A:$AE,BF$5,0)),0),IF(ISERROR(1/VLOOKUP($N305,Capa!$A:$AE,BF$5,0)),0,1/VLOOKUP($N305,Capa!$A:$AE,BF$5,0))))</f>
        <v/>
      </c>
      <c r="BG305" s="118" t="str">
        <f>IF(BG$6="","",IF(BG$3="Maior",IFERROR(IF(VLOOKUP($N305,Capa!$A:$AE,BG$5,0)="",0,VLOOKUP($N305,Capa!$A:$AE,BG$5,0)),0),IF(ISERROR(1/VLOOKUP($N305,Capa!$A:$AE,BG$5,0)),0,1/VLOOKUP($N305,Capa!$A:$AE,BG$5,0))))</f>
        <v/>
      </c>
      <c r="BH305" s="118" t="str">
        <f>IF(BH$6="","",IF(BH$3="Maior",IFERROR(IF(VLOOKUP($N305,Capa!$A:$AE,BH$5,0)="",0,VLOOKUP($N305,Capa!$A:$AE,BH$5,0)),0),IF(ISERROR(1/VLOOKUP($N305,Capa!$A:$AE,BH$5,0)),0,1/VLOOKUP($N305,Capa!$A:$AE,BH$5,0))))</f>
        <v/>
      </c>
      <c r="BI305" s="118" t="str">
        <f>IF(BI$6="","",IF(BI$3="Maior",IFERROR(IF(VLOOKUP($N305,Capa!$A:$AE,BI$5,0)="",0,VLOOKUP($N305,Capa!$A:$AE,BI$5,0)),0),IF(ISERROR(1/VLOOKUP($N305,Capa!$A:$AE,BI$5,0)),0,1/VLOOKUP($N305,Capa!$A:$AE,BI$5,0))))</f>
        <v/>
      </c>
      <c r="BJ305" s="118" t="str">
        <f>IF(BJ$6="","",IF(BJ$3="Maior",IFERROR(IF(VLOOKUP($N305,Capa!$A:$AE,BJ$5,0)="",0,VLOOKUP($N305,Capa!$A:$AE,BJ$5,0)),0),IF(ISERROR(1/VLOOKUP($N305,Capa!$A:$AE,BJ$5,0)),0,1/VLOOKUP($N305,Capa!$A:$AE,BJ$5,0))))</f>
        <v/>
      </c>
      <c r="BK305" s="118" t="str">
        <f>IF(BK$6="","",IF(BK$3="Maior",IFERROR(IF(VLOOKUP($N305,Capa!$A:$AE,BK$5,0)="",0,VLOOKUP($N305,Capa!$A:$AE,BK$5,0)),0),IF(ISERROR(1/VLOOKUP($N305,Capa!$A:$AE,BK$5,0)),0,1/VLOOKUP($N305,Capa!$A:$AE,BK$5,0))))</f>
        <v/>
      </c>
      <c r="BL305" s="118" t="str">
        <f>IF(BL$6="","",IF(BL$3="Maior",IFERROR(IF(VLOOKUP($N305,Capa!$A:$AE,BL$5,0)="",0,VLOOKUP($N305,Capa!$A:$AE,BL$5,0)),0),IF(ISERROR(1/VLOOKUP($N305,Capa!$A:$AE,BL$5,0)),0,1/VLOOKUP($N305,Capa!$A:$AE,BL$5,0))))</f>
        <v/>
      </c>
      <c r="BM305" s="118" t="str">
        <f>IF(BM$6="","",IF(BM$3="Maior",IFERROR(IF(VLOOKUP($N305,Capa!$A:$AE,BM$5,0)="",0,VLOOKUP($N305,Capa!$A:$AE,BM$5,0)),0),IF(ISERROR(1/VLOOKUP($N305,Capa!$A:$AE,BM$5,0)),0,1/VLOOKUP($N305,Capa!$A:$AE,BM$5,0))))</f>
        <v/>
      </c>
      <c r="BN305" s="118" t="str">
        <f>IF(BN$6="","",IF(BN$3="Maior",IFERROR(IF(VLOOKUP($N305,Capa!$A:$AE,BN$5,0)="",0,VLOOKUP($N305,Capa!$A:$AE,BN$5,0)),0),IF(ISERROR(1/VLOOKUP($N305,Capa!$A:$AE,BN$5,0)),0,1/VLOOKUP($N305,Capa!$A:$AE,BN$5,0))))</f>
        <v/>
      </c>
      <c r="BO305" s="92"/>
    </row>
    <row r="306">
      <c r="G306" s="11"/>
      <c r="H306" s="11"/>
      <c r="I306" s="8"/>
      <c r="J306" s="132"/>
      <c r="K306" s="11"/>
      <c r="L306" s="11"/>
      <c r="M306" s="11"/>
      <c r="N306" s="10" t="s">
        <v>352</v>
      </c>
      <c r="O306" s="113">
        <f t="shared" si="8"/>
        <v>1331.0012</v>
      </c>
      <c r="P306" s="114">
        <f>VLOOKUP(N306,'Dados StatusInvest'!A:Z,26,0)</f>
        <v>447219.63</v>
      </c>
      <c r="Q306" s="115">
        <f t="shared" si="9"/>
        <v>12.0012</v>
      </c>
      <c r="R306" s="116">
        <f t="shared" ref="R306:AO306" si="309">IF(AQ306="","", RANK(AQ306,AQ$7:AQ$503,0))</f>
        <v>100</v>
      </c>
      <c r="S306" s="115">
        <f t="shared" si="309"/>
        <v>219</v>
      </c>
      <c r="T306" s="115" t="str">
        <f t="shared" si="309"/>
        <v/>
      </c>
      <c r="U306" s="115" t="str">
        <f t="shared" si="309"/>
        <v/>
      </c>
      <c r="V306" s="115" t="str">
        <f t="shared" si="309"/>
        <v/>
      </c>
      <c r="W306" s="115" t="str">
        <f t="shared" si="309"/>
        <v/>
      </c>
      <c r="X306" s="115" t="str">
        <f t="shared" si="309"/>
        <v/>
      </c>
      <c r="Y306" s="115" t="str">
        <f t="shared" si="309"/>
        <v/>
      </c>
      <c r="Z306" s="115" t="str">
        <f t="shared" si="309"/>
        <v/>
      </c>
      <c r="AA306" s="115" t="str">
        <f t="shared" si="309"/>
        <v/>
      </c>
      <c r="AB306" s="115" t="str">
        <f t="shared" si="309"/>
        <v/>
      </c>
      <c r="AC306" s="115" t="str">
        <f t="shared" si="309"/>
        <v/>
      </c>
      <c r="AD306" s="115" t="str">
        <f t="shared" si="309"/>
        <v/>
      </c>
      <c r="AE306" s="115" t="str">
        <f t="shared" si="309"/>
        <v/>
      </c>
      <c r="AF306" s="115" t="str">
        <f t="shared" si="309"/>
        <v/>
      </c>
      <c r="AG306" s="115" t="str">
        <f t="shared" si="309"/>
        <v/>
      </c>
      <c r="AH306" s="115" t="str">
        <f t="shared" si="309"/>
        <v/>
      </c>
      <c r="AI306" s="115" t="str">
        <f t="shared" si="309"/>
        <v/>
      </c>
      <c r="AJ306" s="115" t="str">
        <f t="shared" si="309"/>
        <v/>
      </c>
      <c r="AK306" s="115" t="str">
        <f t="shared" si="309"/>
        <v/>
      </c>
      <c r="AL306" s="115" t="str">
        <f t="shared" si="309"/>
        <v/>
      </c>
      <c r="AM306" s="115" t="str">
        <f t="shared" si="309"/>
        <v/>
      </c>
      <c r="AN306" s="115" t="str">
        <f t="shared" si="309"/>
        <v/>
      </c>
      <c r="AO306" s="115" t="str">
        <f t="shared" si="309"/>
        <v/>
      </c>
      <c r="AP306" s="117">
        <f>IF(AP$6="","",IF(AP$3="Maior",IFERROR(IF(VLOOKUP($N306,Capa!$A:$AE,AP$5,0)="",0,VLOOKUP($N306,Capa!$A:$AE,AP$5,0)),0),IF(ISERROR(1/VLOOKUP($N306,Capa!$A:$AE,AP$5,0)),0,1/VLOOKUP($N306,Capa!$A:$AE,AP$5,0))))</f>
        <v>0.5982064395</v>
      </c>
      <c r="AQ306" s="118">
        <f>IF(AQ$6="","",IF(AQ$3="Maior",IFERROR(IF(VLOOKUP($N306,Capa!$A:$AE,AQ$5,0)="",0,VLOOKUP($N306,Capa!$A:$AE,AQ$5,0)),0),IF(ISERROR(1/VLOOKUP($N306,Capa!$A:$AE,AQ$5,0)),0,1/VLOOKUP($N306,Capa!$A:$AE,AQ$5,0))))</f>
        <v>17.91</v>
      </c>
      <c r="AR306" s="118">
        <f>IF(AR$6="","",IF(AR$3="Maior",IFERROR(IF(VLOOKUP($N306,Capa!$A:$AE,AR$5,0)="",0,VLOOKUP($N306,Capa!$A:$AE,AR$5,0)),0),IF(ISERROR(1/VLOOKUP($N306,Capa!$A:$AE,AR$5,0)),0,1/VLOOKUP($N306,Capa!$A:$AE,AR$5,0))))</f>
        <v>0</v>
      </c>
      <c r="AS306" s="118" t="str">
        <f>IF(AS$6="","",IF(AS$3="Maior",IFERROR(IF(VLOOKUP($N306,Capa!$A:$AE,AS$5,0)="",0,VLOOKUP($N306,Capa!$A:$AE,AS$5,0)),0),IF(ISERROR(1/VLOOKUP($N306,Capa!$A:$AE,AS$5,0)),0,1/VLOOKUP($N306,Capa!$A:$AE,AS$5,0))))</f>
        <v/>
      </c>
      <c r="AT306" s="118" t="str">
        <f>IF(AT$6="","",IF(AT$3="Maior",IFERROR(IF(VLOOKUP($N306,Capa!$A:$AE,AT$5,0)="",0,VLOOKUP($N306,Capa!$A:$AE,AT$5,0)),0),IF(ISERROR(1/VLOOKUP($N306,Capa!$A:$AE,AT$5,0)),0,1/VLOOKUP($N306,Capa!$A:$AE,AT$5,0))))</f>
        <v/>
      </c>
      <c r="AU306" s="118" t="str">
        <f>IF(AU$6="","",IF(AU$3="Maior",IFERROR(IF(VLOOKUP($N306,Capa!$A:$AE,AU$5,0)="",0,VLOOKUP($N306,Capa!$A:$AE,AU$5,0)),0),IF(ISERROR(1/VLOOKUP($N306,Capa!$A:$AE,AU$5,0)),0,1/VLOOKUP($N306,Capa!$A:$AE,AU$5,0))))</f>
        <v/>
      </c>
      <c r="AV306" s="118" t="str">
        <f>IF(AV$6="","",IF(AV$3="Maior",IFERROR(IF(VLOOKUP($N306,Capa!$A:$AE,AV$5,0)="",0,VLOOKUP($N306,Capa!$A:$AE,AV$5,0)),0),IF(ISERROR(1/VLOOKUP($N306,Capa!$A:$AE,AV$5,0)),0,1/VLOOKUP($N306,Capa!$A:$AE,AV$5,0))))</f>
        <v/>
      </c>
      <c r="AW306" s="118" t="str">
        <f>IF(AW$6="","",IF(AW$3="Maior",IFERROR(IF(VLOOKUP($N306,Capa!$A:$AE,AW$5,0)="",0,VLOOKUP($N306,Capa!$A:$AE,AW$5,0)),0),IF(ISERROR(1/VLOOKUP($N306,Capa!$A:$AE,AW$5,0)),0,1/VLOOKUP($N306,Capa!$A:$AE,AW$5,0))))</f>
        <v/>
      </c>
      <c r="AX306" s="118" t="str">
        <f>IF(AX$6="","",IF(AX$3="Maior",IFERROR(IF(VLOOKUP($N306,Capa!$A:$AE,AX$5,0)="",0,VLOOKUP($N306,Capa!$A:$AE,AX$5,0)),0),IF(ISERROR(1/VLOOKUP($N306,Capa!$A:$AE,AX$5,0)),0,1/VLOOKUP($N306,Capa!$A:$AE,AX$5,0))))</f>
        <v/>
      </c>
      <c r="AY306" s="118" t="str">
        <f>IF(AY$6="","",IF(AY$3="Maior",IFERROR(IF(VLOOKUP($N306,Capa!$A:$AE,AY$5,0)="",0,VLOOKUP($N306,Capa!$A:$AE,AY$5,0)),0),IF(ISERROR(1/VLOOKUP($N306,Capa!$A:$AE,AY$5,0)),0,1/VLOOKUP($N306,Capa!$A:$AE,AY$5,0))))</f>
        <v/>
      </c>
      <c r="AZ306" s="118" t="str">
        <f>IF(AZ$6="","",IF(AZ$3="Maior",IFERROR(IF(VLOOKUP($N306,Capa!$A:$AE,AZ$5,0)="",0,VLOOKUP($N306,Capa!$A:$AE,AZ$5,0)),0),IF(ISERROR(1/VLOOKUP($N306,Capa!$A:$AE,AZ$5,0)),0,1/VLOOKUP($N306,Capa!$A:$AE,AZ$5,0))))</f>
        <v/>
      </c>
      <c r="BA306" s="118" t="str">
        <f>IF(BA$6="","",IF(BA$3="Maior",IFERROR(IF(VLOOKUP($N306,Capa!$A:$AE,BA$5,0)="",0,VLOOKUP($N306,Capa!$A:$AE,BA$5,0)),0),IF(ISERROR(1/VLOOKUP($N306,Capa!$A:$AE,BA$5,0)),0,1/VLOOKUP($N306,Capa!$A:$AE,BA$5,0))))</f>
        <v/>
      </c>
      <c r="BB306" s="118" t="str">
        <f>IF(BB$6="","",IF(BB$3="Maior",IFERROR(IF(VLOOKUP($N306,Capa!$A:$AE,BB$5,0)="",0,VLOOKUP($N306,Capa!$A:$AE,BB$5,0)),0),IF(ISERROR(1/VLOOKUP($N306,Capa!$A:$AE,BB$5,0)),0,1/VLOOKUP($N306,Capa!$A:$AE,BB$5,0))))</f>
        <v/>
      </c>
      <c r="BC306" s="118" t="str">
        <f>IF(BC$6="","",IF(BC$3="Maior",IFERROR(IF(VLOOKUP($N306,Capa!$A:$AE,BC$5,0)="",0,VLOOKUP($N306,Capa!$A:$AE,BC$5,0)),0),IF(ISERROR(1/VLOOKUP($N306,Capa!$A:$AE,BC$5,0)),0,1/VLOOKUP($N306,Capa!$A:$AE,BC$5,0))))</f>
        <v/>
      </c>
      <c r="BD306" s="118" t="str">
        <f>IF(BD$6="","",IF(BD$3="Maior",IFERROR(IF(VLOOKUP($N306,Capa!$A:$AE,BD$5,0)="",0,VLOOKUP($N306,Capa!$A:$AE,BD$5,0)),0),IF(ISERROR(1/VLOOKUP($N306,Capa!$A:$AE,BD$5,0)),0,1/VLOOKUP($N306,Capa!$A:$AE,BD$5,0))))</f>
        <v/>
      </c>
      <c r="BE306" s="118" t="str">
        <f>IF(BE$6="","",IF(BE$3="Maior",IFERROR(IF(VLOOKUP($N306,Capa!$A:$AE,BE$5,0)="",0,VLOOKUP($N306,Capa!$A:$AE,BE$5,0)),0),IF(ISERROR(1/VLOOKUP($N306,Capa!$A:$AE,BE$5,0)),0,1/VLOOKUP($N306,Capa!$A:$AE,BE$5,0))))</f>
        <v/>
      </c>
      <c r="BF306" s="118" t="str">
        <f>IF(BF$6="","",IF(BF$3="Maior",IFERROR(IF(VLOOKUP($N306,Capa!$A:$AE,BF$5,0)="",0,VLOOKUP($N306,Capa!$A:$AE,BF$5,0)),0),IF(ISERROR(1/VLOOKUP($N306,Capa!$A:$AE,BF$5,0)),0,1/VLOOKUP($N306,Capa!$A:$AE,BF$5,0))))</f>
        <v/>
      </c>
      <c r="BG306" s="118" t="str">
        <f>IF(BG$6="","",IF(BG$3="Maior",IFERROR(IF(VLOOKUP($N306,Capa!$A:$AE,BG$5,0)="",0,VLOOKUP($N306,Capa!$A:$AE,BG$5,0)),0),IF(ISERROR(1/VLOOKUP($N306,Capa!$A:$AE,BG$5,0)),0,1/VLOOKUP($N306,Capa!$A:$AE,BG$5,0))))</f>
        <v/>
      </c>
      <c r="BH306" s="118" t="str">
        <f>IF(BH$6="","",IF(BH$3="Maior",IFERROR(IF(VLOOKUP($N306,Capa!$A:$AE,BH$5,0)="",0,VLOOKUP($N306,Capa!$A:$AE,BH$5,0)),0),IF(ISERROR(1/VLOOKUP($N306,Capa!$A:$AE,BH$5,0)),0,1/VLOOKUP($N306,Capa!$A:$AE,BH$5,0))))</f>
        <v/>
      </c>
      <c r="BI306" s="118" t="str">
        <f>IF(BI$6="","",IF(BI$3="Maior",IFERROR(IF(VLOOKUP($N306,Capa!$A:$AE,BI$5,0)="",0,VLOOKUP($N306,Capa!$A:$AE,BI$5,0)),0),IF(ISERROR(1/VLOOKUP($N306,Capa!$A:$AE,BI$5,0)),0,1/VLOOKUP($N306,Capa!$A:$AE,BI$5,0))))</f>
        <v/>
      </c>
      <c r="BJ306" s="118" t="str">
        <f>IF(BJ$6="","",IF(BJ$3="Maior",IFERROR(IF(VLOOKUP($N306,Capa!$A:$AE,BJ$5,0)="",0,VLOOKUP($N306,Capa!$A:$AE,BJ$5,0)),0),IF(ISERROR(1/VLOOKUP($N306,Capa!$A:$AE,BJ$5,0)),0,1/VLOOKUP($N306,Capa!$A:$AE,BJ$5,0))))</f>
        <v/>
      </c>
      <c r="BK306" s="118" t="str">
        <f>IF(BK$6="","",IF(BK$3="Maior",IFERROR(IF(VLOOKUP($N306,Capa!$A:$AE,BK$5,0)="",0,VLOOKUP($N306,Capa!$A:$AE,BK$5,0)),0),IF(ISERROR(1/VLOOKUP($N306,Capa!$A:$AE,BK$5,0)),0,1/VLOOKUP($N306,Capa!$A:$AE,BK$5,0))))</f>
        <v/>
      </c>
      <c r="BL306" s="118" t="str">
        <f>IF(BL$6="","",IF(BL$3="Maior",IFERROR(IF(VLOOKUP($N306,Capa!$A:$AE,BL$5,0)="",0,VLOOKUP($N306,Capa!$A:$AE,BL$5,0)),0),IF(ISERROR(1/VLOOKUP($N306,Capa!$A:$AE,BL$5,0)),0,1/VLOOKUP($N306,Capa!$A:$AE,BL$5,0))))</f>
        <v/>
      </c>
      <c r="BM306" s="118" t="str">
        <f>IF(BM$6="","",IF(BM$3="Maior",IFERROR(IF(VLOOKUP($N306,Capa!$A:$AE,BM$5,0)="",0,VLOOKUP($N306,Capa!$A:$AE,BM$5,0)),0),IF(ISERROR(1/VLOOKUP($N306,Capa!$A:$AE,BM$5,0)),0,1/VLOOKUP($N306,Capa!$A:$AE,BM$5,0))))</f>
        <v/>
      </c>
      <c r="BN306" s="118" t="str">
        <f>IF(BN$6="","",IF(BN$3="Maior",IFERROR(IF(VLOOKUP($N306,Capa!$A:$AE,BN$5,0)="",0,VLOOKUP($N306,Capa!$A:$AE,BN$5,0)),0),IF(ISERROR(1/VLOOKUP($N306,Capa!$A:$AE,BN$5,0)),0,1/VLOOKUP($N306,Capa!$A:$AE,BN$5,0))))</f>
        <v/>
      </c>
      <c r="BO306" s="92"/>
    </row>
    <row r="307">
      <c r="G307" s="11"/>
      <c r="H307" s="11"/>
      <c r="I307" s="8"/>
      <c r="J307" s="132"/>
      <c r="K307" s="11"/>
      <c r="L307" s="11"/>
      <c r="M307" s="11"/>
      <c r="N307" s="10" t="s">
        <v>353</v>
      </c>
      <c r="O307" s="113">
        <f t="shared" si="8"/>
        <v>1442.0063</v>
      </c>
      <c r="P307" s="114">
        <f>VLOOKUP(N307,'Dados StatusInvest'!A:Z,26,0)</f>
        <v>328981.25</v>
      </c>
      <c r="Q307" s="115">
        <f t="shared" si="9"/>
        <v>63.0063</v>
      </c>
      <c r="R307" s="116">
        <f t="shared" ref="R307:AO307" si="310">IF(AQ307="","", RANK(AQ307,AQ$7:AQ$503,0))</f>
        <v>160</v>
      </c>
      <c r="S307" s="115">
        <f t="shared" si="310"/>
        <v>219</v>
      </c>
      <c r="T307" s="115" t="str">
        <f t="shared" si="310"/>
        <v/>
      </c>
      <c r="U307" s="115" t="str">
        <f t="shared" si="310"/>
        <v/>
      </c>
      <c r="V307" s="115" t="str">
        <f t="shared" si="310"/>
        <v/>
      </c>
      <c r="W307" s="115" t="str">
        <f t="shared" si="310"/>
        <v/>
      </c>
      <c r="X307" s="115" t="str">
        <f t="shared" si="310"/>
        <v/>
      </c>
      <c r="Y307" s="115" t="str">
        <f t="shared" si="310"/>
        <v/>
      </c>
      <c r="Z307" s="115" t="str">
        <f t="shared" si="310"/>
        <v/>
      </c>
      <c r="AA307" s="115" t="str">
        <f t="shared" si="310"/>
        <v/>
      </c>
      <c r="AB307" s="115" t="str">
        <f t="shared" si="310"/>
        <v/>
      </c>
      <c r="AC307" s="115" t="str">
        <f t="shared" si="310"/>
        <v/>
      </c>
      <c r="AD307" s="115" t="str">
        <f t="shared" si="310"/>
        <v/>
      </c>
      <c r="AE307" s="115" t="str">
        <f t="shared" si="310"/>
        <v/>
      </c>
      <c r="AF307" s="115" t="str">
        <f t="shared" si="310"/>
        <v/>
      </c>
      <c r="AG307" s="115" t="str">
        <f t="shared" si="310"/>
        <v/>
      </c>
      <c r="AH307" s="115" t="str">
        <f t="shared" si="310"/>
        <v/>
      </c>
      <c r="AI307" s="115" t="str">
        <f t="shared" si="310"/>
        <v/>
      </c>
      <c r="AJ307" s="115" t="str">
        <f t="shared" si="310"/>
        <v/>
      </c>
      <c r="AK307" s="115" t="str">
        <f t="shared" si="310"/>
        <v/>
      </c>
      <c r="AL307" s="115" t="str">
        <f t="shared" si="310"/>
        <v/>
      </c>
      <c r="AM307" s="115" t="str">
        <f t="shared" si="310"/>
        <v/>
      </c>
      <c r="AN307" s="115" t="str">
        <f t="shared" si="310"/>
        <v/>
      </c>
      <c r="AO307" s="115" t="str">
        <f t="shared" si="310"/>
        <v/>
      </c>
      <c r="AP307" s="117">
        <f>IF(AP$6="","",IF(AP$3="Maior",IFERROR(IF(VLOOKUP($N307,Capa!$A:$AE,AP$5,0)="",0,VLOOKUP($N307,Capa!$A:$AE,AP$5,0)),0),IF(ISERROR(1/VLOOKUP($N307,Capa!$A:$AE,AP$5,0)),0,1/VLOOKUP($N307,Capa!$A:$AE,AP$5,0))))</f>
        <v>0.229120473</v>
      </c>
      <c r="AQ307" s="118">
        <f>IF(AQ$6="","",IF(AQ$3="Maior",IFERROR(IF(VLOOKUP($N307,Capa!$A:$AE,AQ$5,0)="",0,VLOOKUP($N307,Capa!$A:$AE,AQ$5,0)),0),IF(ISERROR(1/VLOOKUP($N307,Capa!$A:$AE,AQ$5,0)),0,1/VLOOKUP($N307,Capa!$A:$AE,AQ$5,0))))</f>
        <v>13.75</v>
      </c>
      <c r="AR307" s="118">
        <f>IF(AR$6="","",IF(AR$3="Maior",IFERROR(IF(VLOOKUP($N307,Capa!$A:$AE,AR$5,0)="",0,VLOOKUP($N307,Capa!$A:$AE,AR$5,0)),0),IF(ISERROR(1/VLOOKUP($N307,Capa!$A:$AE,AR$5,0)),0,1/VLOOKUP($N307,Capa!$A:$AE,AR$5,0))))</f>
        <v>0</v>
      </c>
      <c r="AS307" s="118" t="str">
        <f>IF(AS$6="","",IF(AS$3="Maior",IFERROR(IF(VLOOKUP($N307,Capa!$A:$AE,AS$5,0)="",0,VLOOKUP($N307,Capa!$A:$AE,AS$5,0)),0),IF(ISERROR(1/VLOOKUP($N307,Capa!$A:$AE,AS$5,0)),0,1/VLOOKUP($N307,Capa!$A:$AE,AS$5,0))))</f>
        <v/>
      </c>
      <c r="AT307" s="118" t="str">
        <f>IF(AT$6="","",IF(AT$3="Maior",IFERROR(IF(VLOOKUP($N307,Capa!$A:$AE,AT$5,0)="",0,VLOOKUP($N307,Capa!$A:$AE,AT$5,0)),0),IF(ISERROR(1/VLOOKUP($N307,Capa!$A:$AE,AT$5,0)),0,1/VLOOKUP($N307,Capa!$A:$AE,AT$5,0))))</f>
        <v/>
      </c>
      <c r="AU307" s="118" t="str">
        <f>IF(AU$6="","",IF(AU$3="Maior",IFERROR(IF(VLOOKUP($N307,Capa!$A:$AE,AU$5,0)="",0,VLOOKUP($N307,Capa!$A:$AE,AU$5,0)),0),IF(ISERROR(1/VLOOKUP($N307,Capa!$A:$AE,AU$5,0)),0,1/VLOOKUP($N307,Capa!$A:$AE,AU$5,0))))</f>
        <v/>
      </c>
      <c r="AV307" s="118" t="str">
        <f>IF(AV$6="","",IF(AV$3="Maior",IFERROR(IF(VLOOKUP($N307,Capa!$A:$AE,AV$5,0)="",0,VLOOKUP($N307,Capa!$A:$AE,AV$5,0)),0),IF(ISERROR(1/VLOOKUP($N307,Capa!$A:$AE,AV$5,0)),0,1/VLOOKUP($N307,Capa!$A:$AE,AV$5,0))))</f>
        <v/>
      </c>
      <c r="AW307" s="118" t="str">
        <f>IF(AW$6="","",IF(AW$3="Maior",IFERROR(IF(VLOOKUP($N307,Capa!$A:$AE,AW$5,0)="",0,VLOOKUP($N307,Capa!$A:$AE,AW$5,0)),0),IF(ISERROR(1/VLOOKUP($N307,Capa!$A:$AE,AW$5,0)),0,1/VLOOKUP($N307,Capa!$A:$AE,AW$5,0))))</f>
        <v/>
      </c>
      <c r="AX307" s="118" t="str">
        <f>IF(AX$6="","",IF(AX$3="Maior",IFERROR(IF(VLOOKUP($N307,Capa!$A:$AE,AX$5,0)="",0,VLOOKUP($N307,Capa!$A:$AE,AX$5,0)),0),IF(ISERROR(1/VLOOKUP($N307,Capa!$A:$AE,AX$5,0)),0,1/VLOOKUP($N307,Capa!$A:$AE,AX$5,0))))</f>
        <v/>
      </c>
      <c r="AY307" s="118" t="str">
        <f>IF(AY$6="","",IF(AY$3="Maior",IFERROR(IF(VLOOKUP($N307,Capa!$A:$AE,AY$5,0)="",0,VLOOKUP($N307,Capa!$A:$AE,AY$5,0)),0),IF(ISERROR(1/VLOOKUP($N307,Capa!$A:$AE,AY$5,0)),0,1/VLOOKUP($N307,Capa!$A:$AE,AY$5,0))))</f>
        <v/>
      </c>
      <c r="AZ307" s="118" t="str">
        <f>IF(AZ$6="","",IF(AZ$3="Maior",IFERROR(IF(VLOOKUP($N307,Capa!$A:$AE,AZ$5,0)="",0,VLOOKUP($N307,Capa!$A:$AE,AZ$5,0)),0),IF(ISERROR(1/VLOOKUP($N307,Capa!$A:$AE,AZ$5,0)),0,1/VLOOKUP($N307,Capa!$A:$AE,AZ$5,0))))</f>
        <v/>
      </c>
      <c r="BA307" s="118" t="str">
        <f>IF(BA$6="","",IF(BA$3="Maior",IFERROR(IF(VLOOKUP($N307,Capa!$A:$AE,BA$5,0)="",0,VLOOKUP($N307,Capa!$A:$AE,BA$5,0)),0),IF(ISERROR(1/VLOOKUP($N307,Capa!$A:$AE,BA$5,0)),0,1/VLOOKUP($N307,Capa!$A:$AE,BA$5,0))))</f>
        <v/>
      </c>
      <c r="BB307" s="118" t="str">
        <f>IF(BB$6="","",IF(BB$3="Maior",IFERROR(IF(VLOOKUP($N307,Capa!$A:$AE,BB$5,0)="",0,VLOOKUP($N307,Capa!$A:$AE,BB$5,0)),0),IF(ISERROR(1/VLOOKUP($N307,Capa!$A:$AE,BB$5,0)),0,1/VLOOKUP($N307,Capa!$A:$AE,BB$5,0))))</f>
        <v/>
      </c>
      <c r="BC307" s="118" t="str">
        <f>IF(BC$6="","",IF(BC$3="Maior",IFERROR(IF(VLOOKUP($N307,Capa!$A:$AE,BC$5,0)="",0,VLOOKUP($N307,Capa!$A:$AE,BC$5,0)),0),IF(ISERROR(1/VLOOKUP($N307,Capa!$A:$AE,BC$5,0)),0,1/VLOOKUP($N307,Capa!$A:$AE,BC$5,0))))</f>
        <v/>
      </c>
      <c r="BD307" s="118" t="str">
        <f>IF(BD$6="","",IF(BD$3="Maior",IFERROR(IF(VLOOKUP($N307,Capa!$A:$AE,BD$5,0)="",0,VLOOKUP($N307,Capa!$A:$AE,BD$5,0)),0),IF(ISERROR(1/VLOOKUP($N307,Capa!$A:$AE,BD$5,0)),0,1/VLOOKUP($N307,Capa!$A:$AE,BD$5,0))))</f>
        <v/>
      </c>
      <c r="BE307" s="118" t="str">
        <f>IF(BE$6="","",IF(BE$3="Maior",IFERROR(IF(VLOOKUP($N307,Capa!$A:$AE,BE$5,0)="",0,VLOOKUP($N307,Capa!$A:$AE,BE$5,0)),0),IF(ISERROR(1/VLOOKUP($N307,Capa!$A:$AE,BE$5,0)),0,1/VLOOKUP($N307,Capa!$A:$AE,BE$5,0))))</f>
        <v/>
      </c>
      <c r="BF307" s="118" t="str">
        <f>IF(BF$6="","",IF(BF$3="Maior",IFERROR(IF(VLOOKUP($N307,Capa!$A:$AE,BF$5,0)="",0,VLOOKUP($N307,Capa!$A:$AE,BF$5,0)),0),IF(ISERROR(1/VLOOKUP($N307,Capa!$A:$AE,BF$5,0)),0,1/VLOOKUP($N307,Capa!$A:$AE,BF$5,0))))</f>
        <v/>
      </c>
      <c r="BG307" s="118" t="str">
        <f>IF(BG$6="","",IF(BG$3="Maior",IFERROR(IF(VLOOKUP($N307,Capa!$A:$AE,BG$5,0)="",0,VLOOKUP($N307,Capa!$A:$AE,BG$5,0)),0),IF(ISERROR(1/VLOOKUP($N307,Capa!$A:$AE,BG$5,0)),0,1/VLOOKUP($N307,Capa!$A:$AE,BG$5,0))))</f>
        <v/>
      </c>
      <c r="BH307" s="118" t="str">
        <f>IF(BH$6="","",IF(BH$3="Maior",IFERROR(IF(VLOOKUP($N307,Capa!$A:$AE,BH$5,0)="",0,VLOOKUP($N307,Capa!$A:$AE,BH$5,0)),0),IF(ISERROR(1/VLOOKUP($N307,Capa!$A:$AE,BH$5,0)),0,1/VLOOKUP($N307,Capa!$A:$AE,BH$5,0))))</f>
        <v/>
      </c>
      <c r="BI307" s="118" t="str">
        <f>IF(BI$6="","",IF(BI$3="Maior",IFERROR(IF(VLOOKUP($N307,Capa!$A:$AE,BI$5,0)="",0,VLOOKUP($N307,Capa!$A:$AE,BI$5,0)),0),IF(ISERROR(1/VLOOKUP($N307,Capa!$A:$AE,BI$5,0)),0,1/VLOOKUP($N307,Capa!$A:$AE,BI$5,0))))</f>
        <v/>
      </c>
      <c r="BJ307" s="118" t="str">
        <f>IF(BJ$6="","",IF(BJ$3="Maior",IFERROR(IF(VLOOKUP($N307,Capa!$A:$AE,BJ$5,0)="",0,VLOOKUP($N307,Capa!$A:$AE,BJ$5,0)),0),IF(ISERROR(1/VLOOKUP($N307,Capa!$A:$AE,BJ$5,0)),0,1/VLOOKUP($N307,Capa!$A:$AE,BJ$5,0))))</f>
        <v/>
      </c>
      <c r="BK307" s="118" t="str">
        <f>IF(BK$6="","",IF(BK$3="Maior",IFERROR(IF(VLOOKUP($N307,Capa!$A:$AE,BK$5,0)="",0,VLOOKUP($N307,Capa!$A:$AE,BK$5,0)),0),IF(ISERROR(1/VLOOKUP($N307,Capa!$A:$AE,BK$5,0)),0,1/VLOOKUP($N307,Capa!$A:$AE,BK$5,0))))</f>
        <v/>
      </c>
      <c r="BL307" s="118" t="str">
        <f>IF(BL$6="","",IF(BL$3="Maior",IFERROR(IF(VLOOKUP($N307,Capa!$A:$AE,BL$5,0)="",0,VLOOKUP($N307,Capa!$A:$AE,BL$5,0)),0),IF(ISERROR(1/VLOOKUP($N307,Capa!$A:$AE,BL$5,0)),0,1/VLOOKUP($N307,Capa!$A:$AE,BL$5,0))))</f>
        <v/>
      </c>
      <c r="BM307" s="118" t="str">
        <f>IF(BM$6="","",IF(BM$3="Maior",IFERROR(IF(VLOOKUP($N307,Capa!$A:$AE,BM$5,0)="",0,VLOOKUP($N307,Capa!$A:$AE,BM$5,0)),0),IF(ISERROR(1/VLOOKUP($N307,Capa!$A:$AE,BM$5,0)),0,1/VLOOKUP($N307,Capa!$A:$AE,BM$5,0))))</f>
        <v/>
      </c>
      <c r="BN307" s="118" t="str">
        <f>IF(BN$6="","",IF(BN$3="Maior",IFERROR(IF(VLOOKUP($N307,Capa!$A:$AE,BN$5,0)="",0,VLOOKUP($N307,Capa!$A:$AE,BN$5,0)),0),IF(ISERROR(1/VLOOKUP($N307,Capa!$A:$AE,BN$5,0)),0,1/VLOOKUP($N307,Capa!$A:$AE,BN$5,0))))</f>
        <v/>
      </c>
      <c r="BO307" s="92"/>
    </row>
    <row r="308">
      <c r="G308" s="11"/>
      <c r="H308" s="11"/>
      <c r="I308" s="8"/>
      <c r="J308" s="132"/>
      <c r="K308" s="11"/>
      <c r="L308" s="11"/>
      <c r="M308" s="11"/>
      <c r="N308" s="10" t="s">
        <v>354</v>
      </c>
      <c r="O308" s="113">
        <f t="shared" si="8"/>
        <v>1316.0064</v>
      </c>
      <c r="P308" s="114">
        <f>VLOOKUP(N308,'Dados StatusInvest'!A:Z,26,0)</f>
        <v>217832</v>
      </c>
      <c r="Q308" s="115">
        <f t="shared" si="9"/>
        <v>64.0064</v>
      </c>
      <c r="R308" s="116">
        <f t="shared" ref="R308:AO308" si="311">IF(AQ308="","", RANK(AQ308,AQ$7:AQ$503,0))</f>
        <v>178</v>
      </c>
      <c r="S308" s="115">
        <f t="shared" si="311"/>
        <v>74</v>
      </c>
      <c r="T308" s="115" t="str">
        <f t="shared" si="311"/>
        <v/>
      </c>
      <c r="U308" s="115" t="str">
        <f t="shared" si="311"/>
        <v/>
      </c>
      <c r="V308" s="115" t="str">
        <f t="shared" si="311"/>
        <v/>
      </c>
      <c r="W308" s="115" t="str">
        <f t="shared" si="311"/>
        <v/>
      </c>
      <c r="X308" s="115" t="str">
        <f t="shared" si="311"/>
        <v/>
      </c>
      <c r="Y308" s="115" t="str">
        <f t="shared" si="311"/>
        <v/>
      </c>
      <c r="Z308" s="115" t="str">
        <f t="shared" si="311"/>
        <v/>
      </c>
      <c r="AA308" s="115" t="str">
        <f t="shared" si="311"/>
        <v/>
      </c>
      <c r="AB308" s="115" t="str">
        <f t="shared" si="311"/>
        <v/>
      </c>
      <c r="AC308" s="115" t="str">
        <f t="shared" si="311"/>
        <v/>
      </c>
      <c r="AD308" s="115" t="str">
        <f t="shared" si="311"/>
        <v/>
      </c>
      <c r="AE308" s="115" t="str">
        <f t="shared" si="311"/>
        <v/>
      </c>
      <c r="AF308" s="115" t="str">
        <f t="shared" si="311"/>
        <v/>
      </c>
      <c r="AG308" s="115" t="str">
        <f t="shared" si="311"/>
        <v/>
      </c>
      <c r="AH308" s="115" t="str">
        <f t="shared" si="311"/>
        <v/>
      </c>
      <c r="AI308" s="115" t="str">
        <f t="shared" si="311"/>
        <v/>
      </c>
      <c r="AJ308" s="115" t="str">
        <f t="shared" si="311"/>
        <v/>
      </c>
      <c r="AK308" s="115" t="str">
        <f t="shared" si="311"/>
        <v/>
      </c>
      <c r="AL308" s="115" t="str">
        <f t="shared" si="311"/>
        <v/>
      </c>
      <c r="AM308" s="115" t="str">
        <f t="shared" si="311"/>
        <v/>
      </c>
      <c r="AN308" s="115" t="str">
        <f t="shared" si="311"/>
        <v/>
      </c>
      <c r="AO308" s="115" t="str">
        <f t="shared" si="311"/>
        <v/>
      </c>
      <c r="AP308" s="117">
        <f>IF(AP$6="","",IF(AP$3="Maior",IFERROR(IF(VLOOKUP($N308,Capa!$A:$AE,AP$5,0)="",0,VLOOKUP($N308,Capa!$A:$AE,AP$5,0)),0),IF(ISERROR(1/VLOOKUP($N308,Capa!$A:$AE,AP$5,0)),0,1/VLOOKUP($N308,Capa!$A:$AE,AP$5,0))))</f>
        <v>0.2273344191</v>
      </c>
      <c r="AQ308" s="118">
        <f>IF(AQ$6="","",IF(AQ$3="Maior",IFERROR(IF(VLOOKUP($N308,Capa!$A:$AE,AQ$5,0)="",0,VLOOKUP($N308,Capa!$A:$AE,AQ$5,0)),0),IF(ISERROR(1/VLOOKUP($N308,Capa!$A:$AE,AQ$5,0)),0,1/VLOOKUP($N308,Capa!$A:$AE,AQ$5,0))))</f>
        <v>12.55</v>
      </c>
      <c r="AR308" s="118">
        <f>IF(AR$6="","",IF(AR$3="Maior",IFERROR(IF(VLOOKUP($N308,Capa!$A:$AE,AR$5,0)="",0,VLOOKUP($N308,Capa!$A:$AE,AR$5,0)),0),IF(ISERROR(1/VLOOKUP($N308,Capa!$A:$AE,AR$5,0)),0,1/VLOOKUP($N308,Capa!$A:$AE,AR$5,0))))</f>
        <v>36.24</v>
      </c>
      <c r="AS308" s="118" t="str">
        <f>IF(AS$6="","",IF(AS$3="Maior",IFERROR(IF(VLOOKUP($N308,Capa!$A:$AE,AS$5,0)="",0,VLOOKUP($N308,Capa!$A:$AE,AS$5,0)),0),IF(ISERROR(1/VLOOKUP($N308,Capa!$A:$AE,AS$5,0)),0,1/VLOOKUP($N308,Capa!$A:$AE,AS$5,0))))</f>
        <v/>
      </c>
      <c r="AT308" s="118" t="str">
        <f>IF(AT$6="","",IF(AT$3="Maior",IFERROR(IF(VLOOKUP($N308,Capa!$A:$AE,AT$5,0)="",0,VLOOKUP($N308,Capa!$A:$AE,AT$5,0)),0),IF(ISERROR(1/VLOOKUP($N308,Capa!$A:$AE,AT$5,0)),0,1/VLOOKUP($N308,Capa!$A:$AE,AT$5,0))))</f>
        <v/>
      </c>
      <c r="AU308" s="118" t="str">
        <f>IF(AU$6="","",IF(AU$3="Maior",IFERROR(IF(VLOOKUP($N308,Capa!$A:$AE,AU$5,0)="",0,VLOOKUP($N308,Capa!$A:$AE,AU$5,0)),0),IF(ISERROR(1/VLOOKUP($N308,Capa!$A:$AE,AU$5,0)),0,1/VLOOKUP($N308,Capa!$A:$AE,AU$5,0))))</f>
        <v/>
      </c>
      <c r="AV308" s="118" t="str">
        <f>IF(AV$6="","",IF(AV$3="Maior",IFERROR(IF(VLOOKUP($N308,Capa!$A:$AE,AV$5,0)="",0,VLOOKUP($N308,Capa!$A:$AE,AV$5,0)),0),IF(ISERROR(1/VLOOKUP($N308,Capa!$A:$AE,AV$5,0)),0,1/VLOOKUP($N308,Capa!$A:$AE,AV$5,0))))</f>
        <v/>
      </c>
      <c r="AW308" s="118" t="str">
        <f>IF(AW$6="","",IF(AW$3="Maior",IFERROR(IF(VLOOKUP($N308,Capa!$A:$AE,AW$5,0)="",0,VLOOKUP($N308,Capa!$A:$AE,AW$5,0)),0),IF(ISERROR(1/VLOOKUP($N308,Capa!$A:$AE,AW$5,0)),0,1/VLOOKUP($N308,Capa!$A:$AE,AW$5,0))))</f>
        <v/>
      </c>
      <c r="AX308" s="118" t="str">
        <f>IF(AX$6="","",IF(AX$3="Maior",IFERROR(IF(VLOOKUP($N308,Capa!$A:$AE,AX$5,0)="",0,VLOOKUP($N308,Capa!$A:$AE,AX$5,0)),0),IF(ISERROR(1/VLOOKUP($N308,Capa!$A:$AE,AX$5,0)),0,1/VLOOKUP($N308,Capa!$A:$AE,AX$5,0))))</f>
        <v/>
      </c>
      <c r="AY308" s="118" t="str">
        <f>IF(AY$6="","",IF(AY$3="Maior",IFERROR(IF(VLOOKUP($N308,Capa!$A:$AE,AY$5,0)="",0,VLOOKUP($N308,Capa!$A:$AE,AY$5,0)),0),IF(ISERROR(1/VLOOKUP($N308,Capa!$A:$AE,AY$5,0)),0,1/VLOOKUP($N308,Capa!$A:$AE,AY$5,0))))</f>
        <v/>
      </c>
      <c r="AZ308" s="118" t="str">
        <f>IF(AZ$6="","",IF(AZ$3="Maior",IFERROR(IF(VLOOKUP($N308,Capa!$A:$AE,AZ$5,0)="",0,VLOOKUP($N308,Capa!$A:$AE,AZ$5,0)),0),IF(ISERROR(1/VLOOKUP($N308,Capa!$A:$AE,AZ$5,0)),0,1/VLOOKUP($N308,Capa!$A:$AE,AZ$5,0))))</f>
        <v/>
      </c>
      <c r="BA308" s="118" t="str">
        <f>IF(BA$6="","",IF(BA$3="Maior",IFERROR(IF(VLOOKUP($N308,Capa!$A:$AE,BA$5,0)="",0,VLOOKUP($N308,Capa!$A:$AE,BA$5,0)),0),IF(ISERROR(1/VLOOKUP($N308,Capa!$A:$AE,BA$5,0)),0,1/VLOOKUP($N308,Capa!$A:$AE,BA$5,0))))</f>
        <v/>
      </c>
      <c r="BB308" s="118" t="str">
        <f>IF(BB$6="","",IF(BB$3="Maior",IFERROR(IF(VLOOKUP($N308,Capa!$A:$AE,BB$5,0)="",0,VLOOKUP($N308,Capa!$A:$AE,BB$5,0)),0),IF(ISERROR(1/VLOOKUP($N308,Capa!$A:$AE,BB$5,0)),0,1/VLOOKUP($N308,Capa!$A:$AE,BB$5,0))))</f>
        <v/>
      </c>
      <c r="BC308" s="118" t="str">
        <f>IF(BC$6="","",IF(BC$3="Maior",IFERROR(IF(VLOOKUP($N308,Capa!$A:$AE,BC$5,0)="",0,VLOOKUP($N308,Capa!$A:$AE,BC$5,0)),0),IF(ISERROR(1/VLOOKUP($N308,Capa!$A:$AE,BC$5,0)),0,1/VLOOKUP($N308,Capa!$A:$AE,BC$5,0))))</f>
        <v/>
      </c>
      <c r="BD308" s="118" t="str">
        <f>IF(BD$6="","",IF(BD$3="Maior",IFERROR(IF(VLOOKUP($N308,Capa!$A:$AE,BD$5,0)="",0,VLOOKUP($N308,Capa!$A:$AE,BD$5,0)),0),IF(ISERROR(1/VLOOKUP($N308,Capa!$A:$AE,BD$5,0)),0,1/VLOOKUP($N308,Capa!$A:$AE,BD$5,0))))</f>
        <v/>
      </c>
      <c r="BE308" s="118" t="str">
        <f>IF(BE$6="","",IF(BE$3="Maior",IFERROR(IF(VLOOKUP($N308,Capa!$A:$AE,BE$5,0)="",0,VLOOKUP($N308,Capa!$A:$AE,BE$5,0)),0),IF(ISERROR(1/VLOOKUP($N308,Capa!$A:$AE,BE$5,0)),0,1/VLOOKUP($N308,Capa!$A:$AE,BE$5,0))))</f>
        <v/>
      </c>
      <c r="BF308" s="118" t="str">
        <f>IF(BF$6="","",IF(BF$3="Maior",IFERROR(IF(VLOOKUP($N308,Capa!$A:$AE,BF$5,0)="",0,VLOOKUP($N308,Capa!$A:$AE,BF$5,0)),0),IF(ISERROR(1/VLOOKUP($N308,Capa!$A:$AE,BF$5,0)),0,1/VLOOKUP($N308,Capa!$A:$AE,BF$5,0))))</f>
        <v/>
      </c>
      <c r="BG308" s="118" t="str">
        <f>IF(BG$6="","",IF(BG$3="Maior",IFERROR(IF(VLOOKUP($N308,Capa!$A:$AE,BG$5,0)="",0,VLOOKUP($N308,Capa!$A:$AE,BG$5,0)),0),IF(ISERROR(1/VLOOKUP($N308,Capa!$A:$AE,BG$5,0)),0,1/VLOOKUP($N308,Capa!$A:$AE,BG$5,0))))</f>
        <v/>
      </c>
      <c r="BH308" s="118" t="str">
        <f>IF(BH$6="","",IF(BH$3="Maior",IFERROR(IF(VLOOKUP($N308,Capa!$A:$AE,BH$5,0)="",0,VLOOKUP($N308,Capa!$A:$AE,BH$5,0)),0),IF(ISERROR(1/VLOOKUP($N308,Capa!$A:$AE,BH$5,0)),0,1/VLOOKUP($N308,Capa!$A:$AE,BH$5,0))))</f>
        <v/>
      </c>
      <c r="BI308" s="118" t="str">
        <f>IF(BI$6="","",IF(BI$3="Maior",IFERROR(IF(VLOOKUP($N308,Capa!$A:$AE,BI$5,0)="",0,VLOOKUP($N308,Capa!$A:$AE,BI$5,0)),0),IF(ISERROR(1/VLOOKUP($N308,Capa!$A:$AE,BI$5,0)),0,1/VLOOKUP($N308,Capa!$A:$AE,BI$5,0))))</f>
        <v/>
      </c>
      <c r="BJ308" s="118" t="str">
        <f>IF(BJ$6="","",IF(BJ$3="Maior",IFERROR(IF(VLOOKUP($N308,Capa!$A:$AE,BJ$5,0)="",0,VLOOKUP($N308,Capa!$A:$AE,BJ$5,0)),0),IF(ISERROR(1/VLOOKUP($N308,Capa!$A:$AE,BJ$5,0)),0,1/VLOOKUP($N308,Capa!$A:$AE,BJ$5,0))))</f>
        <v/>
      </c>
      <c r="BK308" s="118" t="str">
        <f>IF(BK$6="","",IF(BK$3="Maior",IFERROR(IF(VLOOKUP($N308,Capa!$A:$AE,BK$5,0)="",0,VLOOKUP($N308,Capa!$A:$AE,BK$5,0)),0),IF(ISERROR(1/VLOOKUP($N308,Capa!$A:$AE,BK$5,0)),0,1/VLOOKUP($N308,Capa!$A:$AE,BK$5,0))))</f>
        <v/>
      </c>
      <c r="BL308" s="118" t="str">
        <f>IF(BL$6="","",IF(BL$3="Maior",IFERROR(IF(VLOOKUP($N308,Capa!$A:$AE,BL$5,0)="",0,VLOOKUP($N308,Capa!$A:$AE,BL$5,0)),0),IF(ISERROR(1/VLOOKUP($N308,Capa!$A:$AE,BL$5,0)),0,1/VLOOKUP($N308,Capa!$A:$AE,BL$5,0))))</f>
        <v/>
      </c>
      <c r="BM308" s="118" t="str">
        <f>IF(BM$6="","",IF(BM$3="Maior",IFERROR(IF(VLOOKUP($N308,Capa!$A:$AE,BM$5,0)="",0,VLOOKUP($N308,Capa!$A:$AE,BM$5,0)),0),IF(ISERROR(1/VLOOKUP($N308,Capa!$A:$AE,BM$5,0)),0,1/VLOOKUP($N308,Capa!$A:$AE,BM$5,0))))</f>
        <v/>
      </c>
      <c r="BN308" s="118" t="str">
        <f>IF(BN$6="","",IF(BN$3="Maior",IFERROR(IF(VLOOKUP($N308,Capa!$A:$AE,BN$5,0)="",0,VLOOKUP($N308,Capa!$A:$AE,BN$5,0)),0),IF(ISERROR(1/VLOOKUP($N308,Capa!$A:$AE,BN$5,0)),0,1/VLOOKUP($N308,Capa!$A:$AE,BN$5,0))))</f>
        <v/>
      </c>
      <c r="BO308" s="92"/>
    </row>
    <row r="309">
      <c r="G309" s="11"/>
      <c r="H309" s="11"/>
      <c r="I309" s="8"/>
      <c r="J309" s="132"/>
      <c r="K309" s="11"/>
      <c r="L309" s="11"/>
      <c r="M309" s="11"/>
      <c r="N309" s="10" t="s">
        <v>355</v>
      </c>
      <c r="O309" s="113">
        <f t="shared" si="8"/>
        <v>1844.0359</v>
      </c>
      <c r="P309" s="114">
        <f>VLOOKUP(N309,'Dados StatusInvest'!A:Z,26,0)</f>
        <v>312578.46</v>
      </c>
      <c r="Q309" s="115">
        <f t="shared" si="9"/>
        <v>359.0359</v>
      </c>
      <c r="R309" s="116">
        <f t="shared" ref="R309:AO309" si="312">IF(AQ309="","", RANK(AQ309,AQ$7:AQ$503,0))</f>
        <v>364</v>
      </c>
      <c r="S309" s="115">
        <f t="shared" si="312"/>
        <v>121</v>
      </c>
      <c r="T309" s="115" t="str">
        <f t="shared" si="312"/>
        <v/>
      </c>
      <c r="U309" s="115" t="str">
        <f t="shared" si="312"/>
        <v/>
      </c>
      <c r="V309" s="115" t="str">
        <f t="shared" si="312"/>
        <v/>
      </c>
      <c r="W309" s="115" t="str">
        <f t="shared" si="312"/>
        <v/>
      </c>
      <c r="X309" s="115" t="str">
        <f t="shared" si="312"/>
        <v/>
      </c>
      <c r="Y309" s="115" t="str">
        <f t="shared" si="312"/>
        <v/>
      </c>
      <c r="Z309" s="115" t="str">
        <f t="shared" si="312"/>
        <v/>
      </c>
      <c r="AA309" s="115" t="str">
        <f t="shared" si="312"/>
        <v/>
      </c>
      <c r="AB309" s="115" t="str">
        <f t="shared" si="312"/>
        <v/>
      </c>
      <c r="AC309" s="115" t="str">
        <f t="shared" si="312"/>
        <v/>
      </c>
      <c r="AD309" s="115" t="str">
        <f t="shared" si="312"/>
        <v/>
      </c>
      <c r="AE309" s="115" t="str">
        <f t="shared" si="312"/>
        <v/>
      </c>
      <c r="AF309" s="115" t="str">
        <f t="shared" si="312"/>
        <v/>
      </c>
      <c r="AG309" s="115" t="str">
        <f t="shared" si="312"/>
        <v/>
      </c>
      <c r="AH309" s="115" t="str">
        <f t="shared" si="312"/>
        <v/>
      </c>
      <c r="AI309" s="115" t="str">
        <f t="shared" si="312"/>
        <v/>
      </c>
      <c r="AJ309" s="115" t="str">
        <f t="shared" si="312"/>
        <v/>
      </c>
      <c r="AK309" s="115" t="str">
        <f t="shared" si="312"/>
        <v/>
      </c>
      <c r="AL309" s="115" t="str">
        <f t="shared" si="312"/>
        <v/>
      </c>
      <c r="AM309" s="115" t="str">
        <f t="shared" si="312"/>
        <v/>
      </c>
      <c r="AN309" s="115" t="str">
        <f t="shared" si="312"/>
        <v/>
      </c>
      <c r="AO309" s="115" t="str">
        <f t="shared" si="312"/>
        <v/>
      </c>
      <c r="AP309" s="117">
        <f>IF(AP$6="","",IF(AP$3="Maior",IFERROR(IF(VLOOKUP($N309,Capa!$A:$AE,AP$5,0)="",0,VLOOKUP($N309,Capa!$A:$AE,AP$5,0)),0),IF(ISERROR(1/VLOOKUP($N309,Capa!$A:$AE,AP$5,0)),0,1/VLOOKUP($N309,Capa!$A:$AE,AP$5,0))))</f>
        <v>0.02452601344</v>
      </c>
      <c r="AQ309" s="118">
        <f>IF(AQ$6="","",IF(AQ$3="Maior",IFERROR(IF(VLOOKUP($N309,Capa!$A:$AE,AQ$5,0)="",0,VLOOKUP($N309,Capa!$A:$AE,AQ$5,0)),0),IF(ISERROR(1/VLOOKUP($N309,Capa!$A:$AE,AQ$5,0)),0,1/VLOOKUP($N309,Capa!$A:$AE,AQ$5,0))))</f>
        <v>1.13</v>
      </c>
      <c r="AR309" s="118">
        <f>IF(AR$6="","",IF(AR$3="Maior",IFERROR(IF(VLOOKUP($N309,Capa!$A:$AE,AR$5,0)="",0,VLOOKUP($N309,Capa!$A:$AE,AR$5,0)),0),IF(ISERROR(1/VLOOKUP($N309,Capa!$A:$AE,AR$5,0)),0,1/VLOOKUP($N309,Capa!$A:$AE,AR$5,0))))</f>
        <v>22.75</v>
      </c>
      <c r="AS309" s="118" t="str">
        <f>IF(AS$6="","",IF(AS$3="Maior",IFERROR(IF(VLOOKUP($N309,Capa!$A:$AE,AS$5,0)="",0,VLOOKUP($N309,Capa!$A:$AE,AS$5,0)),0),IF(ISERROR(1/VLOOKUP($N309,Capa!$A:$AE,AS$5,0)),0,1/VLOOKUP($N309,Capa!$A:$AE,AS$5,0))))</f>
        <v/>
      </c>
      <c r="AT309" s="118" t="str">
        <f>IF(AT$6="","",IF(AT$3="Maior",IFERROR(IF(VLOOKUP($N309,Capa!$A:$AE,AT$5,0)="",0,VLOOKUP($N309,Capa!$A:$AE,AT$5,0)),0),IF(ISERROR(1/VLOOKUP($N309,Capa!$A:$AE,AT$5,0)),0,1/VLOOKUP($N309,Capa!$A:$AE,AT$5,0))))</f>
        <v/>
      </c>
      <c r="AU309" s="118" t="str">
        <f>IF(AU$6="","",IF(AU$3="Maior",IFERROR(IF(VLOOKUP($N309,Capa!$A:$AE,AU$5,0)="",0,VLOOKUP($N309,Capa!$A:$AE,AU$5,0)),0),IF(ISERROR(1/VLOOKUP($N309,Capa!$A:$AE,AU$5,0)),0,1/VLOOKUP($N309,Capa!$A:$AE,AU$5,0))))</f>
        <v/>
      </c>
      <c r="AV309" s="118" t="str">
        <f>IF(AV$6="","",IF(AV$3="Maior",IFERROR(IF(VLOOKUP($N309,Capa!$A:$AE,AV$5,0)="",0,VLOOKUP($N309,Capa!$A:$AE,AV$5,0)),0),IF(ISERROR(1/VLOOKUP($N309,Capa!$A:$AE,AV$5,0)),0,1/VLOOKUP($N309,Capa!$A:$AE,AV$5,0))))</f>
        <v/>
      </c>
      <c r="AW309" s="118" t="str">
        <f>IF(AW$6="","",IF(AW$3="Maior",IFERROR(IF(VLOOKUP($N309,Capa!$A:$AE,AW$5,0)="",0,VLOOKUP($N309,Capa!$A:$AE,AW$5,0)),0),IF(ISERROR(1/VLOOKUP($N309,Capa!$A:$AE,AW$5,0)),0,1/VLOOKUP($N309,Capa!$A:$AE,AW$5,0))))</f>
        <v/>
      </c>
      <c r="AX309" s="118" t="str">
        <f>IF(AX$6="","",IF(AX$3="Maior",IFERROR(IF(VLOOKUP($N309,Capa!$A:$AE,AX$5,0)="",0,VLOOKUP($N309,Capa!$A:$AE,AX$5,0)),0),IF(ISERROR(1/VLOOKUP($N309,Capa!$A:$AE,AX$5,0)),0,1/VLOOKUP($N309,Capa!$A:$AE,AX$5,0))))</f>
        <v/>
      </c>
      <c r="AY309" s="118" t="str">
        <f>IF(AY$6="","",IF(AY$3="Maior",IFERROR(IF(VLOOKUP($N309,Capa!$A:$AE,AY$5,0)="",0,VLOOKUP($N309,Capa!$A:$AE,AY$5,0)),0),IF(ISERROR(1/VLOOKUP($N309,Capa!$A:$AE,AY$5,0)),0,1/VLOOKUP($N309,Capa!$A:$AE,AY$5,0))))</f>
        <v/>
      </c>
      <c r="AZ309" s="118" t="str">
        <f>IF(AZ$6="","",IF(AZ$3="Maior",IFERROR(IF(VLOOKUP($N309,Capa!$A:$AE,AZ$5,0)="",0,VLOOKUP($N309,Capa!$A:$AE,AZ$5,0)),0),IF(ISERROR(1/VLOOKUP($N309,Capa!$A:$AE,AZ$5,0)),0,1/VLOOKUP($N309,Capa!$A:$AE,AZ$5,0))))</f>
        <v/>
      </c>
      <c r="BA309" s="118" t="str">
        <f>IF(BA$6="","",IF(BA$3="Maior",IFERROR(IF(VLOOKUP($N309,Capa!$A:$AE,BA$5,0)="",0,VLOOKUP($N309,Capa!$A:$AE,BA$5,0)),0),IF(ISERROR(1/VLOOKUP($N309,Capa!$A:$AE,BA$5,0)),0,1/VLOOKUP($N309,Capa!$A:$AE,BA$5,0))))</f>
        <v/>
      </c>
      <c r="BB309" s="118" t="str">
        <f>IF(BB$6="","",IF(BB$3="Maior",IFERROR(IF(VLOOKUP($N309,Capa!$A:$AE,BB$5,0)="",0,VLOOKUP($N309,Capa!$A:$AE,BB$5,0)),0),IF(ISERROR(1/VLOOKUP($N309,Capa!$A:$AE,BB$5,0)),0,1/VLOOKUP($N309,Capa!$A:$AE,BB$5,0))))</f>
        <v/>
      </c>
      <c r="BC309" s="118" t="str">
        <f>IF(BC$6="","",IF(BC$3="Maior",IFERROR(IF(VLOOKUP($N309,Capa!$A:$AE,BC$5,0)="",0,VLOOKUP($N309,Capa!$A:$AE,BC$5,0)),0),IF(ISERROR(1/VLOOKUP($N309,Capa!$A:$AE,BC$5,0)),0,1/VLOOKUP($N309,Capa!$A:$AE,BC$5,0))))</f>
        <v/>
      </c>
      <c r="BD309" s="118" t="str">
        <f>IF(BD$6="","",IF(BD$3="Maior",IFERROR(IF(VLOOKUP($N309,Capa!$A:$AE,BD$5,0)="",0,VLOOKUP($N309,Capa!$A:$AE,BD$5,0)),0),IF(ISERROR(1/VLOOKUP($N309,Capa!$A:$AE,BD$5,0)),0,1/VLOOKUP($N309,Capa!$A:$AE,BD$5,0))))</f>
        <v/>
      </c>
      <c r="BE309" s="118" t="str">
        <f>IF(BE$6="","",IF(BE$3="Maior",IFERROR(IF(VLOOKUP($N309,Capa!$A:$AE,BE$5,0)="",0,VLOOKUP($N309,Capa!$A:$AE,BE$5,0)),0),IF(ISERROR(1/VLOOKUP($N309,Capa!$A:$AE,BE$5,0)),0,1/VLOOKUP($N309,Capa!$A:$AE,BE$5,0))))</f>
        <v/>
      </c>
      <c r="BF309" s="118" t="str">
        <f>IF(BF$6="","",IF(BF$3="Maior",IFERROR(IF(VLOOKUP($N309,Capa!$A:$AE,BF$5,0)="",0,VLOOKUP($N309,Capa!$A:$AE,BF$5,0)),0),IF(ISERROR(1/VLOOKUP($N309,Capa!$A:$AE,BF$5,0)),0,1/VLOOKUP($N309,Capa!$A:$AE,BF$5,0))))</f>
        <v/>
      </c>
      <c r="BG309" s="118" t="str">
        <f>IF(BG$6="","",IF(BG$3="Maior",IFERROR(IF(VLOOKUP($N309,Capa!$A:$AE,BG$5,0)="",0,VLOOKUP($N309,Capa!$A:$AE,BG$5,0)),0),IF(ISERROR(1/VLOOKUP($N309,Capa!$A:$AE,BG$5,0)),0,1/VLOOKUP($N309,Capa!$A:$AE,BG$5,0))))</f>
        <v/>
      </c>
      <c r="BH309" s="118" t="str">
        <f>IF(BH$6="","",IF(BH$3="Maior",IFERROR(IF(VLOOKUP($N309,Capa!$A:$AE,BH$5,0)="",0,VLOOKUP($N309,Capa!$A:$AE,BH$5,0)),0),IF(ISERROR(1/VLOOKUP($N309,Capa!$A:$AE,BH$5,0)),0,1/VLOOKUP($N309,Capa!$A:$AE,BH$5,0))))</f>
        <v/>
      </c>
      <c r="BI309" s="118" t="str">
        <f>IF(BI$6="","",IF(BI$3="Maior",IFERROR(IF(VLOOKUP($N309,Capa!$A:$AE,BI$5,0)="",0,VLOOKUP($N309,Capa!$A:$AE,BI$5,0)),0),IF(ISERROR(1/VLOOKUP($N309,Capa!$A:$AE,BI$5,0)),0,1/VLOOKUP($N309,Capa!$A:$AE,BI$5,0))))</f>
        <v/>
      </c>
      <c r="BJ309" s="118" t="str">
        <f>IF(BJ$6="","",IF(BJ$3="Maior",IFERROR(IF(VLOOKUP($N309,Capa!$A:$AE,BJ$5,0)="",0,VLOOKUP($N309,Capa!$A:$AE,BJ$5,0)),0),IF(ISERROR(1/VLOOKUP($N309,Capa!$A:$AE,BJ$5,0)),0,1/VLOOKUP($N309,Capa!$A:$AE,BJ$5,0))))</f>
        <v/>
      </c>
      <c r="BK309" s="118" t="str">
        <f>IF(BK$6="","",IF(BK$3="Maior",IFERROR(IF(VLOOKUP($N309,Capa!$A:$AE,BK$5,0)="",0,VLOOKUP($N309,Capa!$A:$AE,BK$5,0)),0),IF(ISERROR(1/VLOOKUP($N309,Capa!$A:$AE,BK$5,0)),0,1/VLOOKUP($N309,Capa!$A:$AE,BK$5,0))))</f>
        <v/>
      </c>
      <c r="BL309" s="118" t="str">
        <f>IF(BL$6="","",IF(BL$3="Maior",IFERROR(IF(VLOOKUP($N309,Capa!$A:$AE,BL$5,0)="",0,VLOOKUP($N309,Capa!$A:$AE,BL$5,0)),0),IF(ISERROR(1/VLOOKUP($N309,Capa!$A:$AE,BL$5,0)),0,1/VLOOKUP($N309,Capa!$A:$AE,BL$5,0))))</f>
        <v/>
      </c>
      <c r="BM309" s="118" t="str">
        <f>IF(BM$6="","",IF(BM$3="Maior",IFERROR(IF(VLOOKUP($N309,Capa!$A:$AE,BM$5,0)="",0,VLOOKUP($N309,Capa!$A:$AE,BM$5,0)),0),IF(ISERROR(1/VLOOKUP($N309,Capa!$A:$AE,BM$5,0)),0,1/VLOOKUP($N309,Capa!$A:$AE,BM$5,0))))</f>
        <v/>
      </c>
      <c r="BN309" s="118" t="str">
        <f>IF(BN$6="","",IF(BN$3="Maior",IFERROR(IF(VLOOKUP($N309,Capa!$A:$AE,BN$5,0)="",0,VLOOKUP($N309,Capa!$A:$AE,BN$5,0)),0),IF(ISERROR(1/VLOOKUP($N309,Capa!$A:$AE,BN$5,0)),0,1/VLOOKUP($N309,Capa!$A:$AE,BN$5,0))))</f>
        <v/>
      </c>
      <c r="BO309" s="92"/>
    </row>
    <row r="310">
      <c r="G310" s="11"/>
      <c r="H310" s="11"/>
      <c r="I310" s="8"/>
      <c r="J310" s="132"/>
      <c r="K310" s="11"/>
      <c r="L310" s="11"/>
      <c r="M310" s="11"/>
      <c r="N310" s="10" t="s">
        <v>356</v>
      </c>
      <c r="O310" s="113">
        <f t="shared" si="8"/>
        <v>1718.0493</v>
      </c>
      <c r="P310" s="114">
        <f>VLOOKUP(N310,'Dados StatusInvest'!A:Z,26,0)</f>
        <v>336032.83</v>
      </c>
      <c r="Q310" s="115">
        <f t="shared" si="9"/>
        <v>493.0493</v>
      </c>
      <c r="R310" s="116">
        <f t="shared" ref="R310:AO310" si="313">IF(AQ310="","", RANK(AQ310,AQ$7:AQ$503,0))</f>
        <v>6</v>
      </c>
      <c r="S310" s="115">
        <f t="shared" si="313"/>
        <v>219</v>
      </c>
      <c r="T310" s="115" t="str">
        <f t="shared" si="313"/>
        <v/>
      </c>
      <c r="U310" s="115" t="str">
        <f t="shared" si="313"/>
        <v/>
      </c>
      <c r="V310" s="115" t="str">
        <f t="shared" si="313"/>
        <v/>
      </c>
      <c r="W310" s="115" t="str">
        <f t="shared" si="313"/>
        <v/>
      </c>
      <c r="X310" s="115" t="str">
        <f t="shared" si="313"/>
        <v/>
      </c>
      <c r="Y310" s="115" t="str">
        <f t="shared" si="313"/>
        <v/>
      </c>
      <c r="Z310" s="115" t="str">
        <f t="shared" si="313"/>
        <v/>
      </c>
      <c r="AA310" s="115" t="str">
        <f t="shared" si="313"/>
        <v/>
      </c>
      <c r="AB310" s="115" t="str">
        <f t="shared" si="313"/>
        <v/>
      </c>
      <c r="AC310" s="115" t="str">
        <f t="shared" si="313"/>
        <v/>
      </c>
      <c r="AD310" s="115" t="str">
        <f t="shared" si="313"/>
        <v/>
      </c>
      <c r="AE310" s="115" t="str">
        <f t="shared" si="313"/>
        <v/>
      </c>
      <c r="AF310" s="115" t="str">
        <f t="shared" si="313"/>
        <v/>
      </c>
      <c r="AG310" s="115" t="str">
        <f t="shared" si="313"/>
        <v/>
      </c>
      <c r="AH310" s="115" t="str">
        <f t="shared" si="313"/>
        <v/>
      </c>
      <c r="AI310" s="115" t="str">
        <f t="shared" si="313"/>
        <v/>
      </c>
      <c r="AJ310" s="115" t="str">
        <f t="shared" si="313"/>
        <v/>
      </c>
      <c r="AK310" s="115" t="str">
        <f t="shared" si="313"/>
        <v/>
      </c>
      <c r="AL310" s="115" t="str">
        <f t="shared" si="313"/>
        <v/>
      </c>
      <c r="AM310" s="115" t="str">
        <f t="shared" si="313"/>
        <v/>
      </c>
      <c r="AN310" s="115" t="str">
        <f t="shared" si="313"/>
        <v/>
      </c>
      <c r="AO310" s="115" t="str">
        <f t="shared" si="313"/>
        <v/>
      </c>
      <c r="AP310" s="117">
        <f>IF(AP$6="","",IF(AP$3="Maior",IFERROR(IF(VLOOKUP($N310,Capa!$A:$AE,AP$5,0)="",0,VLOOKUP($N310,Capa!$A:$AE,AP$5,0)),0),IF(ISERROR(1/VLOOKUP($N310,Capa!$A:$AE,AP$5,0)),0,1/VLOOKUP($N310,Capa!$A:$AE,AP$5,0))))</f>
        <v>-0.8639308855</v>
      </c>
      <c r="AQ310" s="118">
        <f>IF(AQ$6="","",IF(AQ$3="Maior",IFERROR(IF(VLOOKUP($N310,Capa!$A:$AE,AQ$5,0)="",0,VLOOKUP($N310,Capa!$A:$AE,AQ$5,0)),0),IF(ISERROR(1/VLOOKUP($N310,Capa!$A:$AE,AQ$5,0)),0,1/VLOOKUP($N310,Capa!$A:$AE,AQ$5,0))))</f>
        <v>88.79</v>
      </c>
      <c r="AR310" s="118">
        <f>IF(AR$6="","",IF(AR$3="Maior",IFERROR(IF(VLOOKUP($N310,Capa!$A:$AE,AR$5,0)="",0,VLOOKUP($N310,Capa!$A:$AE,AR$5,0)),0),IF(ISERROR(1/VLOOKUP($N310,Capa!$A:$AE,AR$5,0)),0,1/VLOOKUP($N310,Capa!$A:$AE,AR$5,0))))</f>
        <v>0</v>
      </c>
      <c r="AS310" s="118" t="str">
        <f>IF(AS$6="","",IF(AS$3="Maior",IFERROR(IF(VLOOKUP($N310,Capa!$A:$AE,AS$5,0)="",0,VLOOKUP($N310,Capa!$A:$AE,AS$5,0)),0),IF(ISERROR(1/VLOOKUP($N310,Capa!$A:$AE,AS$5,0)),0,1/VLOOKUP($N310,Capa!$A:$AE,AS$5,0))))</f>
        <v/>
      </c>
      <c r="AT310" s="118" t="str">
        <f>IF(AT$6="","",IF(AT$3="Maior",IFERROR(IF(VLOOKUP($N310,Capa!$A:$AE,AT$5,0)="",0,VLOOKUP($N310,Capa!$A:$AE,AT$5,0)),0),IF(ISERROR(1/VLOOKUP($N310,Capa!$A:$AE,AT$5,0)),0,1/VLOOKUP($N310,Capa!$A:$AE,AT$5,0))))</f>
        <v/>
      </c>
      <c r="AU310" s="118" t="str">
        <f>IF(AU$6="","",IF(AU$3="Maior",IFERROR(IF(VLOOKUP($N310,Capa!$A:$AE,AU$5,0)="",0,VLOOKUP($N310,Capa!$A:$AE,AU$5,0)),0),IF(ISERROR(1/VLOOKUP($N310,Capa!$A:$AE,AU$5,0)),0,1/VLOOKUP($N310,Capa!$A:$AE,AU$5,0))))</f>
        <v/>
      </c>
      <c r="AV310" s="118" t="str">
        <f>IF(AV$6="","",IF(AV$3="Maior",IFERROR(IF(VLOOKUP($N310,Capa!$A:$AE,AV$5,0)="",0,VLOOKUP($N310,Capa!$A:$AE,AV$5,0)),0),IF(ISERROR(1/VLOOKUP($N310,Capa!$A:$AE,AV$5,0)),0,1/VLOOKUP($N310,Capa!$A:$AE,AV$5,0))))</f>
        <v/>
      </c>
      <c r="AW310" s="118" t="str">
        <f>IF(AW$6="","",IF(AW$3="Maior",IFERROR(IF(VLOOKUP($N310,Capa!$A:$AE,AW$5,0)="",0,VLOOKUP($N310,Capa!$A:$AE,AW$5,0)),0),IF(ISERROR(1/VLOOKUP($N310,Capa!$A:$AE,AW$5,0)),0,1/VLOOKUP($N310,Capa!$A:$AE,AW$5,0))))</f>
        <v/>
      </c>
      <c r="AX310" s="118" t="str">
        <f>IF(AX$6="","",IF(AX$3="Maior",IFERROR(IF(VLOOKUP($N310,Capa!$A:$AE,AX$5,0)="",0,VLOOKUP($N310,Capa!$A:$AE,AX$5,0)),0),IF(ISERROR(1/VLOOKUP($N310,Capa!$A:$AE,AX$5,0)),0,1/VLOOKUP($N310,Capa!$A:$AE,AX$5,0))))</f>
        <v/>
      </c>
      <c r="AY310" s="118" t="str">
        <f>IF(AY$6="","",IF(AY$3="Maior",IFERROR(IF(VLOOKUP($N310,Capa!$A:$AE,AY$5,0)="",0,VLOOKUP($N310,Capa!$A:$AE,AY$5,0)),0),IF(ISERROR(1/VLOOKUP($N310,Capa!$A:$AE,AY$5,0)),0,1/VLOOKUP($N310,Capa!$A:$AE,AY$5,0))))</f>
        <v/>
      </c>
      <c r="AZ310" s="118" t="str">
        <f>IF(AZ$6="","",IF(AZ$3="Maior",IFERROR(IF(VLOOKUP($N310,Capa!$A:$AE,AZ$5,0)="",0,VLOOKUP($N310,Capa!$A:$AE,AZ$5,0)),0),IF(ISERROR(1/VLOOKUP($N310,Capa!$A:$AE,AZ$5,0)),0,1/VLOOKUP($N310,Capa!$A:$AE,AZ$5,0))))</f>
        <v/>
      </c>
      <c r="BA310" s="118" t="str">
        <f>IF(BA$6="","",IF(BA$3="Maior",IFERROR(IF(VLOOKUP($N310,Capa!$A:$AE,BA$5,0)="",0,VLOOKUP($N310,Capa!$A:$AE,BA$5,0)),0),IF(ISERROR(1/VLOOKUP($N310,Capa!$A:$AE,BA$5,0)),0,1/VLOOKUP($N310,Capa!$A:$AE,BA$5,0))))</f>
        <v/>
      </c>
      <c r="BB310" s="118" t="str">
        <f>IF(BB$6="","",IF(BB$3="Maior",IFERROR(IF(VLOOKUP($N310,Capa!$A:$AE,BB$5,0)="",0,VLOOKUP($N310,Capa!$A:$AE,BB$5,0)),0),IF(ISERROR(1/VLOOKUP($N310,Capa!$A:$AE,BB$5,0)),0,1/VLOOKUP($N310,Capa!$A:$AE,BB$5,0))))</f>
        <v/>
      </c>
      <c r="BC310" s="118" t="str">
        <f>IF(BC$6="","",IF(BC$3="Maior",IFERROR(IF(VLOOKUP($N310,Capa!$A:$AE,BC$5,0)="",0,VLOOKUP($N310,Capa!$A:$AE,BC$5,0)),0),IF(ISERROR(1/VLOOKUP($N310,Capa!$A:$AE,BC$5,0)),0,1/VLOOKUP($N310,Capa!$A:$AE,BC$5,0))))</f>
        <v/>
      </c>
      <c r="BD310" s="118" t="str">
        <f>IF(BD$6="","",IF(BD$3="Maior",IFERROR(IF(VLOOKUP($N310,Capa!$A:$AE,BD$5,0)="",0,VLOOKUP($N310,Capa!$A:$AE,BD$5,0)),0),IF(ISERROR(1/VLOOKUP($N310,Capa!$A:$AE,BD$5,0)),0,1/VLOOKUP($N310,Capa!$A:$AE,BD$5,0))))</f>
        <v/>
      </c>
      <c r="BE310" s="118" t="str">
        <f>IF(BE$6="","",IF(BE$3="Maior",IFERROR(IF(VLOOKUP($N310,Capa!$A:$AE,BE$5,0)="",0,VLOOKUP($N310,Capa!$A:$AE,BE$5,0)),0),IF(ISERROR(1/VLOOKUP($N310,Capa!$A:$AE,BE$5,0)),0,1/VLOOKUP($N310,Capa!$A:$AE,BE$5,0))))</f>
        <v/>
      </c>
      <c r="BF310" s="118" t="str">
        <f>IF(BF$6="","",IF(BF$3="Maior",IFERROR(IF(VLOOKUP($N310,Capa!$A:$AE,BF$5,0)="",0,VLOOKUP($N310,Capa!$A:$AE,BF$5,0)),0),IF(ISERROR(1/VLOOKUP($N310,Capa!$A:$AE,BF$5,0)),0,1/VLOOKUP($N310,Capa!$A:$AE,BF$5,0))))</f>
        <v/>
      </c>
      <c r="BG310" s="118" t="str">
        <f>IF(BG$6="","",IF(BG$3="Maior",IFERROR(IF(VLOOKUP($N310,Capa!$A:$AE,BG$5,0)="",0,VLOOKUP($N310,Capa!$A:$AE,BG$5,0)),0),IF(ISERROR(1/VLOOKUP($N310,Capa!$A:$AE,BG$5,0)),0,1/VLOOKUP($N310,Capa!$A:$AE,BG$5,0))))</f>
        <v/>
      </c>
      <c r="BH310" s="118" t="str">
        <f>IF(BH$6="","",IF(BH$3="Maior",IFERROR(IF(VLOOKUP($N310,Capa!$A:$AE,BH$5,0)="",0,VLOOKUP($N310,Capa!$A:$AE,BH$5,0)),0),IF(ISERROR(1/VLOOKUP($N310,Capa!$A:$AE,BH$5,0)),0,1/VLOOKUP($N310,Capa!$A:$AE,BH$5,0))))</f>
        <v/>
      </c>
      <c r="BI310" s="118" t="str">
        <f>IF(BI$6="","",IF(BI$3="Maior",IFERROR(IF(VLOOKUP($N310,Capa!$A:$AE,BI$5,0)="",0,VLOOKUP($N310,Capa!$A:$AE,BI$5,0)),0),IF(ISERROR(1/VLOOKUP($N310,Capa!$A:$AE,BI$5,0)),0,1/VLOOKUP($N310,Capa!$A:$AE,BI$5,0))))</f>
        <v/>
      </c>
      <c r="BJ310" s="118" t="str">
        <f>IF(BJ$6="","",IF(BJ$3="Maior",IFERROR(IF(VLOOKUP($N310,Capa!$A:$AE,BJ$5,0)="",0,VLOOKUP($N310,Capa!$A:$AE,BJ$5,0)),0),IF(ISERROR(1/VLOOKUP($N310,Capa!$A:$AE,BJ$5,0)),0,1/VLOOKUP($N310,Capa!$A:$AE,BJ$5,0))))</f>
        <v/>
      </c>
      <c r="BK310" s="118" t="str">
        <f>IF(BK$6="","",IF(BK$3="Maior",IFERROR(IF(VLOOKUP($N310,Capa!$A:$AE,BK$5,0)="",0,VLOOKUP($N310,Capa!$A:$AE,BK$5,0)),0),IF(ISERROR(1/VLOOKUP($N310,Capa!$A:$AE,BK$5,0)),0,1/VLOOKUP($N310,Capa!$A:$AE,BK$5,0))))</f>
        <v/>
      </c>
      <c r="BL310" s="118" t="str">
        <f>IF(BL$6="","",IF(BL$3="Maior",IFERROR(IF(VLOOKUP($N310,Capa!$A:$AE,BL$5,0)="",0,VLOOKUP($N310,Capa!$A:$AE,BL$5,0)),0),IF(ISERROR(1/VLOOKUP($N310,Capa!$A:$AE,BL$5,0)),0,1/VLOOKUP($N310,Capa!$A:$AE,BL$5,0))))</f>
        <v/>
      </c>
      <c r="BM310" s="118" t="str">
        <f>IF(BM$6="","",IF(BM$3="Maior",IFERROR(IF(VLOOKUP($N310,Capa!$A:$AE,BM$5,0)="",0,VLOOKUP($N310,Capa!$A:$AE,BM$5,0)),0),IF(ISERROR(1/VLOOKUP($N310,Capa!$A:$AE,BM$5,0)),0,1/VLOOKUP($N310,Capa!$A:$AE,BM$5,0))))</f>
        <v/>
      </c>
      <c r="BN310" s="118" t="str">
        <f>IF(BN$6="","",IF(BN$3="Maior",IFERROR(IF(VLOOKUP($N310,Capa!$A:$AE,BN$5,0)="",0,VLOOKUP($N310,Capa!$A:$AE,BN$5,0)),0),IF(ISERROR(1/VLOOKUP($N310,Capa!$A:$AE,BN$5,0)),0,1/VLOOKUP($N310,Capa!$A:$AE,BN$5,0))))</f>
        <v/>
      </c>
      <c r="BO310" s="92"/>
    </row>
    <row r="311">
      <c r="G311" s="11"/>
      <c r="H311" s="11"/>
      <c r="I311" s="8"/>
      <c r="J311" s="132"/>
      <c r="K311" s="11"/>
      <c r="L311" s="11"/>
      <c r="M311" s="11"/>
      <c r="N311" s="10" t="s">
        <v>357</v>
      </c>
      <c r="O311" s="113">
        <f t="shared" si="8"/>
        <v>1557.0176</v>
      </c>
      <c r="P311" s="114">
        <f>VLOOKUP(N311,'Dados StatusInvest'!A:Z,26,0)</f>
        <v>268872.5</v>
      </c>
      <c r="Q311" s="115">
        <f t="shared" si="9"/>
        <v>176.0176</v>
      </c>
      <c r="R311" s="116">
        <f t="shared" ref="R311:AO311" si="314">IF(AQ311="","", RANK(AQ311,AQ$7:AQ$503,0))</f>
        <v>162</v>
      </c>
      <c r="S311" s="115">
        <f t="shared" si="314"/>
        <v>219</v>
      </c>
      <c r="T311" s="115" t="str">
        <f t="shared" si="314"/>
        <v/>
      </c>
      <c r="U311" s="115" t="str">
        <f t="shared" si="314"/>
        <v/>
      </c>
      <c r="V311" s="115" t="str">
        <f t="shared" si="314"/>
        <v/>
      </c>
      <c r="W311" s="115" t="str">
        <f t="shared" si="314"/>
        <v/>
      </c>
      <c r="X311" s="115" t="str">
        <f t="shared" si="314"/>
        <v/>
      </c>
      <c r="Y311" s="115" t="str">
        <f t="shared" si="314"/>
        <v/>
      </c>
      <c r="Z311" s="115" t="str">
        <f t="shared" si="314"/>
        <v/>
      </c>
      <c r="AA311" s="115" t="str">
        <f t="shared" si="314"/>
        <v/>
      </c>
      <c r="AB311" s="115" t="str">
        <f t="shared" si="314"/>
        <v/>
      </c>
      <c r="AC311" s="115" t="str">
        <f t="shared" si="314"/>
        <v/>
      </c>
      <c r="AD311" s="115" t="str">
        <f t="shared" si="314"/>
        <v/>
      </c>
      <c r="AE311" s="115" t="str">
        <f t="shared" si="314"/>
        <v/>
      </c>
      <c r="AF311" s="115" t="str">
        <f t="shared" si="314"/>
        <v/>
      </c>
      <c r="AG311" s="115" t="str">
        <f t="shared" si="314"/>
        <v/>
      </c>
      <c r="AH311" s="115" t="str">
        <f t="shared" si="314"/>
        <v/>
      </c>
      <c r="AI311" s="115" t="str">
        <f t="shared" si="314"/>
        <v/>
      </c>
      <c r="AJ311" s="115" t="str">
        <f t="shared" si="314"/>
        <v/>
      </c>
      <c r="AK311" s="115" t="str">
        <f t="shared" si="314"/>
        <v/>
      </c>
      <c r="AL311" s="115" t="str">
        <f t="shared" si="314"/>
        <v/>
      </c>
      <c r="AM311" s="115" t="str">
        <f t="shared" si="314"/>
        <v/>
      </c>
      <c r="AN311" s="115" t="str">
        <f t="shared" si="314"/>
        <v/>
      </c>
      <c r="AO311" s="115" t="str">
        <f t="shared" si="314"/>
        <v/>
      </c>
      <c r="AP311" s="117">
        <f>IF(AP$6="","",IF(AP$3="Maior",IFERROR(IF(VLOOKUP($N311,Capa!$A:$AE,AP$5,0)="",0,VLOOKUP($N311,Capa!$A:$AE,AP$5,0)),0),IF(ISERROR(1/VLOOKUP($N311,Capa!$A:$AE,AP$5,0)),0,1/VLOOKUP($N311,Capa!$A:$AE,AP$5,0))))</f>
        <v>0.1196163077</v>
      </c>
      <c r="AQ311" s="118">
        <f>IF(AQ$6="","",IF(AQ$3="Maior",IFERROR(IF(VLOOKUP($N311,Capa!$A:$AE,AQ$5,0)="",0,VLOOKUP($N311,Capa!$A:$AE,AQ$5,0)),0),IF(ISERROR(1/VLOOKUP($N311,Capa!$A:$AE,AQ$5,0)),0,1/VLOOKUP($N311,Capa!$A:$AE,AQ$5,0))))</f>
        <v>13.71</v>
      </c>
      <c r="AR311" s="118">
        <f>IF(AR$6="","",IF(AR$3="Maior",IFERROR(IF(VLOOKUP($N311,Capa!$A:$AE,AR$5,0)="",0,VLOOKUP($N311,Capa!$A:$AE,AR$5,0)),0),IF(ISERROR(1/VLOOKUP($N311,Capa!$A:$AE,AR$5,0)),0,1/VLOOKUP($N311,Capa!$A:$AE,AR$5,0))))</f>
        <v>0</v>
      </c>
      <c r="AS311" s="118" t="str">
        <f>IF(AS$6="","",IF(AS$3="Maior",IFERROR(IF(VLOOKUP($N311,Capa!$A:$AE,AS$5,0)="",0,VLOOKUP($N311,Capa!$A:$AE,AS$5,0)),0),IF(ISERROR(1/VLOOKUP($N311,Capa!$A:$AE,AS$5,0)),0,1/VLOOKUP($N311,Capa!$A:$AE,AS$5,0))))</f>
        <v/>
      </c>
      <c r="AT311" s="118" t="str">
        <f>IF(AT$6="","",IF(AT$3="Maior",IFERROR(IF(VLOOKUP($N311,Capa!$A:$AE,AT$5,0)="",0,VLOOKUP($N311,Capa!$A:$AE,AT$5,0)),0),IF(ISERROR(1/VLOOKUP($N311,Capa!$A:$AE,AT$5,0)),0,1/VLOOKUP($N311,Capa!$A:$AE,AT$5,0))))</f>
        <v/>
      </c>
      <c r="AU311" s="118" t="str">
        <f>IF(AU$6="","",IF(AU$3="Maior",IFERROR(IF(VLOOKUP($N311,Capa!$A:$AE,AU$5,0)="",0,VLOOKUP($N311,Capa!$A:$AE,AU$5,0)),0),IF(ISERROR(1/VLOOKUP($N311,Capa!$A:$AE,AU$5,0)),0,1/VLOOKUP($N311,Capa!$A:$AE,AU$5,0))))</f>
        <v/>
      </c>
      <c r="AV311" s="118" t="str">
        <f>IF(AV$6="","",IF(AV$3="Maior",IFERROR(IF(VLOOKUP($N311,Capa!$A:$AE,AV$5,0)="",0,VLOOKUP($N311,Capa!$A:$AE,AV$5,0)),0),IF(ISERROR(1/VLOOKUP($N311,Capa!$A:$AE,AV$5,0)),0,1/VLOOKUP($N311,Capa!$A:$AE,AV$5,0))))</f>
        <v/>
      </c>
      <c r="AW311" s="118" t="str">
        <f>IF(AW$6="","",IF(AW$3="Maior",IFERROR(IF(VLOOKUP($N311,Capa!$A:$AE,AW$5,0)="",0,VLOOKUP($N311,Capa!$A:$AE,AW$5,0)),0),IF(ISERROR(1/VLOOKUP($N311,Capa!$A:$AE,AW$5,0)),0,1/VLOOKUP($N311,Capa!$A:$AE,AW$5,0))))</f>
        <v/>
      </c>
      <c r="AX311" s="118" t="str">
        <f>IF(AX$6="","",IF(AX$3="Maior",IFERROR(IF(VLOOKUP($N311,Capa!$A:$AE,AX$5,0)="",0,VLOOKUP($N311,Capa!$A:$AE,AX$5,0)),0),IF(ISERROR(1/VLOOKUP($N311,Capa!$A:$AE,AX$5,0)),0,1/VLOOKUP($N311,Capa!$A:$AE,AX$5,0))))</f>
        <v/>
      </c>
      <c r="AY311" s="118" t="str">
        <f>IF(AY$6="","",IF(AY$3="Maior",IFERROR(IF(VLOOKUP($N311,Capa!$A:$AE,AY$5,0)="",0,VLOOKUP($N311,Capa!$A:$AE,AY$5,0)),0),IF(ISERROR(1/VLOOKUP($N311,Capa!$A:$AE,AY$5,0)),0,1/VLOOKUP($N311,Capa!$A:$AE,AY$5,0))))</f>
        <v/>
      </c>
      <c r="AZ311" s="118" t="str">
        <f>IF(AZ$6="","",IF(AZ$3="Maior",IFERROR(IF(VLOOKUP($N311,Capa!$A:$AE,AZ$5,0)="",0,VLOOKUP($N311,Capa!$A:$AE,AZ$5,0)),0),IF(ISERROR(1/VLOOKUP($N311,Capa!$A:$AE,AZ$5,0)),0,1/VLOOKUP($N311,Capa!$A:$AE,AZ$5,0))))</f>
        <v/>
      </c>
      <c r="BA311" s="118" t="str">
        <f>IF(BA$6="","",IF(BA$3="Maior",IFERROR(IF(VLOOKUP($N311,Capa!$A:$AE,BA$5,0)="",0,VLOOKUP($N311,Capa!$A:$AE,BA$5,0)),0),IF(ISERROR(1/VLOOKUP($N311,Capa!$A:$AE,BA$5,0)),0,1/VLOOKUP($N311,Capa!$A:$AE,BA$5,0))))</f>
        <v/>
      </c>
      <c r="BB311" s="118" t="str">
        <f>IF(BB$6="","",IF(BB$3="Maior",IFERROR(IF(VLOOKUP($N311,Capa!$A:$AE,BB$5,0)="",0,VLOOKUP($N311,Capa!$A:$AE,BB$5,0)),0),IF(ISERROR(1/VLOOKUP($N311,Capa!$A:$AE,BB$5,0)),0,1/VLOOKUP($N311,Capa!$A:$AE,BB$5,0))))</f>
        <v/>
      </c>
      <c r="BC311" s="118" t="str">
        <f>IF(BC$6="","",IF(BC$3="Maior",IFERROR(IF(VLOOKUP($N311,Capa!$A:$AE,BC$5,0)="",0,VLOOKUP($N311,Capa!$A:$AE,BC$5,0)),0),IF(ISERROR(1/VLOOKUP($N311,Capa!$A:$AE,BC$5,0)),0,1/VLOOKUP($N311,Capa!$A:$AE,BC$5,0))))</f>
        <v/>
      </c>
      <c r="BD311" s="118" t="str">
        <f>IF(BD$6="","",IF(BD$3="Maior",IFERROR(IF(VLOOKUP($N311,Capa!$A:$AE,BD$5,0)="",0,VLOOKUP($N311,Capa!$A:$AE,BD$5,0)),0),IF(ISERROR(1/VLOOKUP($N311,Capa!$A:$AE,BD$5,0)),0,1/VLOOKUP($N311,Capa!$A:$AE,BD$5,0))))</f>
        <v/>
      </c>
      <c r="BE311" s="118" t="str">
        <f>IF(BE$6="","",IF(BE$3="Maior",IFERROR(IF(VLOOKUP($N311,Capa!$A:$AE,BE$5,0)="",0,VLOOKUP($N311,Capa!$A:$AE,BE$5,0)),0),IF(ISERROR(1/VLOOKUP($N311,Capa!$A:$AE,BE$5,0)),0,1/VLOOKUP($N311,Capa!$A:$AE,BE$5,0))))</f>
        <v/>
      </c>
      <c r="BF311" s="118" t="str">
        <f>IF(BF$6="","",IF(BF$3="Maior",IFERROR(IF(VLOOKUP($N311,Capa!$A:$AE,BF$5,0)="",0,VLOOKUP($N311,Capa!$A:$AE,BF$5,0)),0),IF(ISERROR(1/VLOOKUP($N311,Capa!$A:$AE,BF$5,0)),0,1/VLOOKUP($N311,Capa!$A:$AE,BF$5,0))))</f>
        <v/>
      </c>
      <c r="BG311" s="118" t="str">
        <f>IF(BG$6="","",IF(BG$3="Maior",IFERROR(IF(VLOOKUP($N311,Capa!$A:$AE,BG$5,0)="",0,VLOOKUP($N311,Capa!$A:$AE,BG$5,0)),0),IF(ISERROR(1/VLOOKUP($N311,Capa!$A:$AE,BG$5,0)),0,1/VLOOKUP($N311,Capa!$A:$AE,BG$5,0))))</f>
        <v/>
      </c>
      <c r="BH311" s="118" t="str">
        <f>IF(BH$6="","",IF(BH$3="Maior",IFERROR(IF(VLOOKUP($N311,Capa!$A:$AE,BH$5,0)="",0,VLOOKUP($N311,Capa!$A:$AE,BH$5,0)),0),IF(ISERROR(1/VLOOKUP($N311,Capa!$A:$AE,BH$5,0)),0,1/VLOOKUP($N311,Capa!$A:$AE,BH$5,0))))</f>
        <v/>
      </c>
      <c r="BI311" s="118" t="str">
        <f>IF(BI$6="","",IF(BI$3="Maior",IFERROR(IF(VLOOKUP($N311,Capa!$A:$AE,BI$5,0)="",0,VLOOKUP($N311,Capa!$A:$AE,BI$5,0)),0),IF(ISERROR(1/VLOOKUP($N311,Capa!$A:$AE,BI$5,0)),0,1/VLOOKUP($N311,Capa!$A:$AE,BI$5,0))))</f>
        <v/>
      </c>
      <c r="BJ311" s="118" t="str">
        <f>IF(BJ$6="","",IF(BJ$3="Maior",IFERROR(IF(VLOOKUP($N311,Capa!$A:$AE,BJ$5,0)="",0,VLOOKUP($N311,Capa!$A:$AE,BJ$5,0)),0),IF(ISERROR(1/VLOOKUP($N311,Capa!$A:$AE,BJ$5,0)),0,1/VLOOKUP($N311,Capa!$A:$AE,BJ$5,0))))</f>
        <v/>
      </c>
      <c r="BK311" s="118" t="str">
        <f>IF(BK$6="","",IF(BK$3="Maior",IFERROR(IF(VLOOKUP($N311,Capa!$A:$AE,BK$5,0)="",0,VLOOKUP($N311,Capa!$A:$AE,BK$5,0)),0),IF(ISERROR(1/VLOOKUP($N311,Capa!$A:$AE,BK$5,0)),0,1/VLOOKUP($N311,Capa!$A:$AE,BK$5,0))))</f>
        <v/>
      </c>
      <c r="BL311" s="118" t="str">
        <f>IF(BL$6="","",IF(BL$3="Maior",IFERROR(IF(VLOOKUP($N311,Capa!$A:$AE,BL$5,0)="",0,VLOOKUP($N311,Capa!$A:$AE,BL$5,0)),0),IF(ISERROR(1/VLOOKUP($N311,Capa!$A:$AE,BL$5,0)),0,1/VLOOKUP($N311,Capa!$A:$AE,BL$5,0))))</f>
        <v/>
      </c>
      <c r="BM311" s="118" t="str">
        <f>IF(BM$6="","",IF(BM$3="Maior",IFERROR(IF(VLOOKUP($N311,Capa!$A:$AE,BM$5,0)="",0,VLOOKUP($N311,Capa!$A:$AE,BM$5,0)),0),IF(ISERROR(1/VLOOKUP($N311,Capa!$A:$AE,BM$5,0)),0,1/VLOOKUP($N311,Capa!$A:$AE,BM$5,0))))</f>
        <v/>
      </c>
      <c r="BN311" s="118" t="str">
        <f>IF(BN$6="","",IF(BN$3="Maior",IFERROR(IF(VLOOKUP($N311,Capa!$A:$AE,BN$5,0)="",0,VLOOKUP($N311,Capa!$A:$AE,BN$5,0)),0),IF(ISERROR(1/VLOOKUP($N311,Capa!$A:$AE,BN$5,0)),0,1/VLOOKUP($N311,Capa!$A:$AE,BN$5,0))))</f>
        <v/>
      </c>
      <c r="BO311" s="92"/>
    </row>
    <row r="312">
      <c r="G312" s="11"/>
      <c r="H312" s="11"/>
      <c r="I312" s="8"/>
      <c r="J312" s="132"/>
      <c r="K312" s="11"/>
      <c r="L312" s="11"/>
      <c r="M312" s="11"/>
      <c r="N312" s="10" t="s">
        <v>358</v>
      </c>
      <c r="O312" s="113">
        <f t="shared" si="8"/>
        <v>1973.0496</v>
      </c>
      <c r="P312" s="114">
        <f>VLOOKUP(N312,'Dados StatusInvest'!A:Z,26,0)</f>
        <v>431690.71</v>
      </c>
      <c r="Q312" s="115">
        <f t="shared" si="9"/>
        <v>496.0496</v>
      </c>
      <c r="R312" s="116">
        <f t="shared" ref="R312:AO312" si="315">IF(AQ312="","", RANK(AQ312,AQ$7:AQ$503,0))</f>
        <v>258</v>
      </c>
      <c r="S312" s="115">
        <f t="shared" si="315"/>
        <v>219</v>
      </c>
      <c r="T312" s="115" t="str">
        <f t="shared" si="315"/>
        <v/>
      </c>
      <c r="U312" s="115" t="str">
        <f t="shared" si="315"/>
        <v/>
      </c>
      <c r="V312" s="115" t="str">
        <f t="shared" si="315"/>
        <v/>
      </c>
      <c r="W312" s="115" t="str">
        <f t="shared" si="315"/>
        <v/>
      </c>
      <c r="X312" s="115" t="str">
        <f t="shared" si="315"/>
        <v/>
      </c>
      <c r="Y312" s="115" t="str">
        <f t="shared" si="315"/>
        <v/>
      </c>
      <c r="Z312" s="115" t="str">
        <f t="shared" si="315"/>
        <v/>
      </c>
      <c r="AA312" s="115" t="str">
        <f t="shared" si="315"/>
        <v/>
      </c>
      <c r="AB312" s="115" t="str">
        <f t="shared" si="315"/>
        <v/>
      </c>
      <c r="AC312" s="115" t="str">
        <f t="shared" si="315"/>
        <v/>
      </c>
      <c r="AD312" s="115" t="str">
        <f t="shared" si="315"/>
        <v/>
      </c>
      <c r="AE312" s="115" t="str">
        <f t="shared" si="315"/>
        <v/>
      </c>
      <c r="AF312" s="115" t="str">
        <f t="shared" si="315"/>
        <v/>
      </c>
      <c r="AG312" s="115" t="str">
        <f t="shared" si="315"/>
        <v/>
      </c>
      <c r="AH312" s="115" t="str">
        <f t="shared" si="315"/>
        <v/>
      </c>
      <c r="AI312" s="115" t="str">
        <f t="shared" si="315"/>
        <v/>
      </c>
      <c r="AJ312" s="115" t="str">
        <f t="shared" si="315"/>
        <v/>
      </c>
      <c r="AK312" s="115" t="str">
        <f t="shared" si="315"/>
        <v/>
      </c>
      <c r="AL312" s="115" t="str">
        <f t="shared" si="315"/>
        <v/>
      </c>
      <c r="AM312" s="115" t="str">
        <f t="shared" si="315"/>
        <v/>
      </c>
      <c r="AN312" s="115" t="str">
        <f t="shared" si="315"/>
        <v/>
      </c>
      <c r="AO312" s="115" t="str">
        <f t="shared" si="315"/>
        <v/>
      </c>
      <c r="AP312" s="117">
        <f>IF(AP$6="","",IF(AP$3="Maior",IFERROR(IF(VLOOKUP($N312,Capa!$A:$AE,AP$5,0)="",0,VLOOKUP($N312,Capa!$A:$AE,AP$5,0)),0),IF(ISERROR(1/VLOOKUP($N312,Capa!$A:$AE,AP$5,0)),0,1/VLOOKUP($N312,Capa!$A:$AE,AP$5,0))))</f>
        <v>-1.087190859</v>
      </c>
      <c r="AQ312" s="118">
        <f>IF(AQ$6="","",IF(AQ$3="Maior",IFERROR(IF(VLOOKUP($N312,Capa!$A:$AE,AQ$5,0)="",0,VLOOKUP($N312,Capa!$A:$AE,AQ$5,0)),0),IF(ISERROR(1/VLOOKUP($N312,Capa!$A:$AE,AQ$5,0)),0,1/VLOOKUP($N312,Capa!$A:$AE,AQ$5,0))))</f>
        <v>8</v>
      </c>
      <c r="AR312" s="118">
        <f>IF(AR$6="","",IF(AR$3="Maior",IFERROR(IF(VLOOKUP($N312,Capa!$A:$AE,AR$5,0)="",0,VLOOKUP($N312,Capa!$A:$AE,AR$5,0)),0),IF(ISERROR(1/VLOOKUP($N312,Capa!$A:$AE,AR$5,0)),0,1/VLOOKUP($N312,Capa!$A:$AE,AR$5,0))))</f>
        <v>0</v>
      </c>
      <c r="AS312" s="118" t="str">
        <f>IF(AS$6="","",IF(AS$3="Maior",IFERROR(IF(VLOOKUP($N312,Capa!$A:$AE,AS$5,0)="",0,VLOOKUP($N312,Capa!$A:$AE,AS$5,0)),0),IF(ISERROR(1/VLOOKUP($N312,Capa!$A:$AE,AS$5,0)),0,1/VLOOKUP($N312,Capa!$A:$AE,AS$5,0))))</f>
        <v/>
      </c>
      <c r="AT312" s="118" t="str">
        <f>IF(AT$6="","",IF(AT$3="Maior",IFERROR(IF(VLOOKUP($N312,Capa!$A:$AE,AT$5,0)="",0,VLOOKUP($N312,Capa!$A:$AE,AT$5,0)),0),IF(ISERROR(1/VLOOKUP($N312,Capa!$A:$AE,AT$5,0)),0,1/VLOOKUP($N312,Capa!$A:$AE,AT$5,0))))</f>
        <v/>
      </c>
      <c r="AU312" s="118" t="str">
        <f>IF(AU$6="","",IF(AU$3="Maior",IFERROR(IF(VLOOKUP($N312,Capa!$A:$AE,AU$5,0)="",0,VLOOKUP($N312,Capa!$A:$AE,AU$5,0)),0),IF(ISERROR(1/VLOOKUP($N312,Capa!$A:$AE,AU$5,0)),0,1/VLOOKUP($N312,Capa!$A:$AE,AU$5,0))))</f>
        <v/>
      </c>
      <c r="AV312" s="118" t="str">
        <f>IF(AV$6="","",IF(AV$3="Maior",IFERROR(IF(VLOOKUP($N312,Capa!$A:$AE,AV$5,0)="",0,VLOOKUP($N312,Capa!$A:$AE,AV$5,0)),0),IF(ISERROR(1/VLOOKUP($N312,Capa!$A:$AE,AV$5,0)),0,1/VLOOKUP($N312,Capa!$A:$AE,AV$5,0))))</f>
        <v/>
      </c>
      <c r="AW312" s="118" t="str">
        <f>IF(AW$6="","",IF(AW$3="Maior",IFERROR(IF(VLOOKUP($N312,Capa!$A:$AE,AW$5,0)="",0,VLOOKUP($N312,Capa!$A:$AE,AW$5,0)),0),IF(ISERROR(1/VLOOKUP($N312,Capa!$A:$AE,AW$5,0)),0,1/VLOOKUP($N312,Capa!$A:$AE,AW$5,0))))</f>
        <v/>
      </c>
      <c r="AX312" s="118" t="str">
        <f>IF(AX$6="","",IF(AX$3="Maior",IFERROR(IF(VLOOKUP($N312,Capa!$A:$AE,AX$5,0)="",0,VLOOKUP($N312,Capa!$A:$AE,AX$5,0)),0),IF(ISERROR(1/VLOOKUP($N312,Capa!$A:$AE,AX$5,0)),0,1/VLOOKUP($N312,Capa!$A:$AE,AX$5,0))))</f>
        <v/>
      </c>
      <c r="AY312" s="118" t="str">
        <f>IF(AY$6="","",IF(AY$3="Maior",IFERROR(IF(VLOOKUP($N312,Capa!$A:$AE,AY$5,0)="",0,VLOOKUP($N312,Capa!$A:$AE,AY$5,0)),0),IF(ISERROR(1/VLOOKUP($N312,Capa!$A:$AE,AY$5,0)),0,1/VLOOKUP($N312,Capa!$A:$AE,AY$5,0))))</f>
        <v/>
      </c>
      <c r="AZ312" s="118" t="str">
        <f>IF(AZ$6="","",IF(AZ$3="Maior",IFERROR(IF(VLOOKUP($N312,Capa!$A:$AE,AZ$5,0)="",0,VLOOKUP($N312,Capa!$A:$AE,AZ$5,0)),0),IF(ISERROR(1/VLOOKUP($N312,Capa!$A:$AE,AZ$5,0)),0,1/VLOOKUP($N312,Capa!$A:$AE,AZ$5,0))))</f>
        <v/>
      </c>
      <c r="BA312" s="118" t="str">
        <f>IF(BA$6="","",IF(BA$3="Maior",IFERROR(IF(VLOOKUP($N312,Capa!$A:$AE,BA$5,0)="",0,VLOOKUP($N312,Capa!$A:$AE,BA$5,0)),0),IF(ISERROR(1/VLOOKUP($N312,Capa!$A:$AE,BA$5,0)),0,1/VLOOKUP($N312,Capa!$A:$AE,BA$5,0))))</f>
        <v/>
      </c>
      <c r="BB312" s="118" t="str">
        <f>IF(BB$6="","",IF(BB$3="Maior",IFERROR(IF(VLOOKUP($N312,Capa!$A:$AE,BB$5,0)="",0,VLOOKUP($N312,Capa!$A:$AE,BB$5,0)),0),IF(ISERROR(1/VLOOKUP($N312,Capa!$A:$AE,BB$5,0)),0,1/VLOOKUP($N312,Capa!$A:$AE,BB$5,0))))</f>
        <v/>
      </c>
      <c r="BC312" s="118" t="str">
        <f>IF(BC$6="","",IF(BC$3="Maior",IFERROR(IF(VLOOKUP($N312,Capa!$A:$AE,BC$5,0)="",0,VLOOKUP($N312,Capa!$A:$AE,BC$5,0)),0),IF(ISERROR(1/VLOOKUP($N312,Capa!$A:$AE,BC$5,0)),0,1/VLOOKUP($N312,Capa!$A:$AE,BC$5,0))))</f>
        <v/>
      </c>
      <c r="BD312" s="118" t="str">
        <f>IF(BD$6="","",IF(BD$3="Maior",IFERROR(IF(VLOOKUP($N312,Capa!$A:$AE,BD$5,0)="",0,VLOOKUP($N312,Capa!$A:$AE,BD$5,0)),0),IF(ISERROR(1/VLOOKUP($N312,Capa!$A:$AE,BD$5,0)),0,1/VLOOKUP($N312,Capa!$A:$AE,BD$5,0))))</f>
        <v/>
      </c>
      <c r="BE312" s="118" t="str">
        <f>IF(BE$6="","",IF(BE$3="Maior",IFERROR(IF(VLOOKUP($N312,Capa!$A:$AE,BE$5,0)="",0,VLOOKUP($N312,Capa!$A:$AE,BE$5,0)),0),IF(ISERROR(1/VLOOKUP($N312,Capa!$A:$AE,BE$5,0)),0,1/VLOOKUP($N312,Capa!$A:$AE,BE$5,0))))</f>
        <v/>
      </c>
      <c r="BF312" s="118" t="str">
        <f>IF(BF$6="","",IF(BF$3="Maior",IFERROR(IF(VLOOKUP($N312,Capa!$A:$AE,BF$5,0)="",0,VLOOKUP($N312,Capa!$A:$AE,BF$5,0)),0),IF(ISERROR(1/VLOOKUP($N312,Capa!$A:$AE,BF$5,0)),0,1/VLOOKUP($N312,Capa!$A:$AE,BF$5,0))))</f>
        <v/>
      </c>
      <c r="BG312" s="118" t="str">
        <f>IF(BG$6="","",IF(BG$3="Maior",IFERROR(IF(VLOOKUP($N312,Capa!$A:$AE,BG$5,0)="",0,VLOOKUP($N312,Capa!$A:$AE,BG$5,0)),0),IF(ISERROR(1/VLOOKUP($N312,Capa!$A:$AE,BG$5,0)),0,1/VLOOKUP($N312,Capa!$A:$AE,BG$5,0))))</f>
        <v/>
      </c>
      <c r="BH312" s="118" t="str">
        <f>IF(BH$6="","",IF(BH$3="Maior",IFERROR(IF(VLOOKUP($N312,Capa!$A:$AE,BH$5,0)="",0,VLOOKUP($N312,Capa!$A:$AE,BH$5,0)),0),IF(ISERROR(1/VLOOKUP($N312,Capa!$A:$AE,BH$5,0)),0,1/VLOOKUP($N312,Capa!$A:$AE,BH$5,0))))</f>
        <v/>
      </c>
      <c r="BI312" s="118" t="str">
        <f>IF(BI$6="","",IF(BI$3="Maior",IFERROR(IF(VLOOKUP($N312,Capa!$A:$AE,BI$5,0)="",0,VLOOKUP($N312,Capa!$A:$AE,BI$5,0)),0),IF(ISERROR(1/VLOOKUP($N312,Capa!$A:$AE,BI$5,0)),0,1/VLOOKUP($N312,Capa!$A:$AE,BI$5,0))))</f>
        <v/>
      </c>
      <c r="BJ312" s="118" t="str">
        <f>IF(BJ$6="","",IF(BJ$3="Maior",IFERROR(IF(VLOOKUP($N312,Capa!$A:$AE,BJ$5,0)="",0,VLOOKUP($N312,Capa!$A:$AE,BJ$5,0)),0),IF(ISERROR(1/VLOOKUP($N312,Capa!$A:$AE,BJ$5,0)),0,1/VLOOKUP($N312,Capa!$A:$AE,BJ$5,0))))</f>
        <v/>
      </c>
      <c r="BK312" s="118" t="str">
        <f>IF(BK$6="","",IF(BK$3="Maior",IFERROR(IF(VLOOKUP($N312,Capa!$A:$AE,BK$5,0)="",0,VLOOKUP($N312,Capa!$A:$AE,BK$5,0)),0),IF(ISERROR(1/VLOOKUP($N312,Capa!$A:$AE,BK$5,0)),0,1/VLOOKUP($N312,Capa!$A:$AE,BK$5,0))))</f>
        <v/>
      </c>
      <c r="BL312" s="118" t="str">
        <f>IF(BL$6="","",IF(BL$3="Maior",IFERROR(IF(VLOOKUP($N312,Capa!$A:$AE,BL$5,0)="",0,VLOOKUP($N312,Capa!$A:$AE,BL$5,0)),0),IF(ISERROR(1/VLOOKUP($N312,Capa!$A:$AE,BL$5,0)),0,1/VLOOKUP($N312,Capa!$A:$AE,BL$5,0))))</f>
        <v/>
      </c>
      <c r="BM312" s="118" t="str">
        <f>IF(BM$6="","",IF(BM$3="Maior",IFERROR(IF(VLOOKUP($N312,Capa!$A:$AE,BM$5,0)="",0,VLOOKUP($N312,Capa!$A:$AE,BM$5,0)),0),IF(ISERROR(1/VLOOKUP($N312,Capa!$A:$AE,BM$5,0)),0,1/VLOOKUP($N312,Capa!$A:$AE,BM$5,0))))</f>
        <v/>
      </c>
      <c r="BN312" s="118" t="str">
        <f>IF(BN$6="","",IF(BN$3="Maior",IFERROR(IF(VLOOKUP($N312,Capa!$A:$AE,BN$5,0)="",0,VLOOKUP($N312,Capa!$A:$AE,BN$5,0)),0),IF(ISERROR(1/VLOOKUP($N312,Capa!$A:$AE,BN$5,0)),0,1/VLOOKUP($N312,Capa!$A:$AE,BN$5,0))))</f>
        <v/>
      </c>
      <c r="BO312" s="92"/>
    </row>
    <row r="313">
      <c r="G313" s="11"/>
      <c r="H313" s="11"/>
      <c r="I313" s="8"/>
      <c r="J313" s="132"/>
      <c r="K313" s="11"/>
      <c r="L313" s="11"/>
      <c r="M313" s="11"/>
      <c r="N313" s="10" t="s">
        <v>359</v>
      </c>
      <c r="O313" s="113">
        <f t="shared" si="8"/>
        <v>1524.0177</v>
      </c>
      <c r="P313" s="114">
        <f>VLOOKUP(N313,'Dados StatusInvest'!A:Z,26,0)</f>
        <v>195802.13</v>
      </c>
      <c r="Q313" s="115">
        <f t="shared" si="9"/>
        <v>177.0177</v>
      </c>
      <c r="R313" s="116">
        <f t="shared" ref="R313:AO313" si="316">IF(AQ313="","", RANK(AQ313,AQ$7:AQ$503,0))</f>
        <v>192</v>
      </c>
      <c r="S313" s="115">
        <f t="shared" si="316"/>
        <v>155</v>
      </c>
      <c r="T313" s="115" t="str">
        <f t="shared" si="316"/>
        <v/>
      </c>
      <c r="U313" s="115" t="str">
        <f t="shared" si="316"/>
        <v/>
      </c>
      <c r="V313" s="115" t="str">
        <f t="shared" si="316"/>
        <v/>
      </c>
      <c r="W313" s="115" t="str">
        <f t="shared" si="316"/>
        <v/>
      </c>
      <c r="X313" s="115" t="str">
        <f t="shared" si="316"/>
        <v/>
      </c>
      <c r="Y313" s="115" t="str">
        <f t="shared" si="316"/>
        <v/>
      </c>
      <c r="Z313" s="115" t="str">
        <f t="shared" si="316"/>
        <v/>
      </c>
      <c r="AA313" s="115" t="str">
        <f t="shared" si="316"/>
        <v/>
      </c>
      <c r="AB313" s="115" t="str">
        <f t="shared" si="316"/>
        <v/>
      </c>
      <c r="AC313" s="115" t="str">
        <f t="shared" si="316"/>
        <v/>
      </c>
      <c r="AD313" s="115" t="str">
        <f t="shared" si="316"/>
        <v/>
      </c>
      <c r="AE313" s="115" t="str">
        <f t="shared" si="316"/>
        <v/>
      </c>
      <c r="AF313" s="115" t="str">
        <f t="shared" si="316"/>
        <v/>
      </c>
      <c r="AG313" s="115" t="str">
        <f t="shared" si="316"/>
        <v/>
      </c>
      <c r="AH313" s="115" t="str">
        <f t="shared" si="316"/>
        <v/>
      </c>
      <c r="AI313" s="115" t="str">
        <f t="shared" si="316"/>
        <v/>
      </c>
      <c r="AJ313" s="115" t="str">
        <f t="shared" si="316"/>
        <v/>
      </c>
      <c r="AK313" s="115" t="str">
        <f t="shared" si="316"/>
        <v/>
      </c>
      <c r="AL313" s="115" t="str">
        <f t="shared" si="316"/>
        <v/>
      </c>
      <c r="AM313" s="115" t="str">
        <f t="shared" si="316"/>
        <v/>
      </c>
      <c r="AN313" s="115" t="str">
        <f t="shared" si="316"/>
        <v/>
      </c>
      <c r="AO313" s="115" t="str">
        <f t="shared" si="316"/>
        <v/>
      </c>
      <c r="AP313" s="117">
        <f>IF(AP$6="","",IF(AP$3="Maior",IFERROR(IF(VLOOKUP($N313,Capa!$A:$AE,AP$5,0)="",0,VLOOKUP($N313,Capa!$A:$AE,AP$5,0)),0),IF(ISERROR(1/VLOOKUP($N313,Capa!$A:$AE,AP$5,0)),0,1/VLOOKUP($N313,Capa!$A:$AE,AP$5,0))))</f>
        <v>0.1192833799</v>
      </c>
      <c r="AQ313" s="118">
        <f>IF(AQ$6="","",IF(AQ$3="Maior",IFERROR(IF(VLOOKUP($N313,Capa!$A:$AE,AQ$5,0)="",0,VLOOKUP($N313,Capa!$A:$AE,AQ$5,0)),0),IF(ISERROR(1/VLOOKUP($N313,Capa!$A:$AE,AQ$5,0)),0,1/VLOOKUP($N313,Capa!$A:$AE,AQ$5,0))))</f>
        <v>11.29</v>
      </c>
      <c r="AR313" s="118">
        <f>IF(AR$6="","",IF(AR$3="Maior",IFERROR(IF(VLOOKUP($N313,Capa!$A:$AE,AR$5,0)="",0,VLOOKUP($N313,Capa!$A:$AE,AR$5,0)),0),IF(ISERROR(1/VLOOKUP($N313,Capa!$A:$AE,AR$5,0)),0,1/VLOOKUP($N313,Capa!$A:$AE,AR$5,0))))</f>
        <v>12.58</v>
      </c>
      <c r="AS313" s="118" t="str">
        <f>IF(AS$6="","",IF(AS$3="Maior",IFERROR(IF(VLOOKUP($N313,Capa!$A:$AE,AS$5,0)="",0,VLOOKUP($N313,Capa!$A:$AE,AS$5,0)),0),IF(ISERROR(1/VLOOKUP($N313,Capa!$A:$AE,AS$5,0)),0,1/VLOOKUP($N313,Capa!$A:$AE,AS$5,0))))</f>
        <v/>
      </c>
      <c r="AT313" s="118" t="str">
        <f>IF(AT$6="","",IF(AT$3="Maior",IFERROR(IF(VLOOKUP($N313,Capa!$A:$AE,AT$5,0)="",0,VLOOKUP($N313,Capa!$A:$AE,AT$5,0)),0),IF(ISERROR(1/VLOOKUP($N313,Capa!$A:$AE,AT$5,0)),0,1/VLOOKUP($N313,Capa!$A:$AE,AT$5,0))))</f>
        <v/>
      </c>
      <c r="AU313" s="118" t="str">
        <f>IF(AU$6="","",IF(AU$3="Maior",IFERROR(IF(VLOOKUP($N313,Capa!$A:$AE,AU$5,0)="",0,VLOOKUP($N313,Capa!$A:$AE,AU$5,0)),0),IF(ISERROR(1/VLOOKUP($N313,Capa!$A:$AE,AU$5,0)),0,1/VLOOKUP($N313,Capa!$A:$AE,AU$5,0))))</f>
        <v/>
      </c>
      <c r="AV313" s="118" t="str">
        <f>IF(AV$6="","",IF(AV$3="Maior",IFERROR(IF(VLOOKUP($N313,Capa!$A:$AE,AV$5,0)="",0,VLOOKUP($N313,Capa!$A:$AE,AV$5,0)),0),IF(ISERROR(1/VLOOKUP($N313,Capa!$A:$AE,AV$5,0)),0,1/VLOOKUP($N313,Capa!$A:$AE,AV$5,0))))</f>
        <v/>
      </c>
      <c r="AW313" s="118" t="str">
        <f>IF(AW$6="","",IF(AW$3="Maior",IFERROR(IF(VLOOKUP($N313,Capa!$A:$AE,AW$5,0)="",0,VLOOKUP($N313,Capa!$A:$AE,AW$5,0)),0),IF(ISERROR(1/VLOOKUP($N313,Capa!$A:$AE,AW$5,0)),0,1/VLOOKUP($N313,Capa!$A:$AE,AW$5,0))))</f>
        <v/>
      </c>
      <c r="AX313" s="118" t="str">
        <f>IF(AX$6="","",IF(AX$3="Maior",IFERROR(IF(VLOOKUP($N313,Capa!$A:$AE,AX$5,0)="",0,VLOOKUP($N313,Capa!$A:$AE,AX$5,0)),0),IF(ISERROR(1/VLOOKUP($N313,Capa!$A:$AE,AX$5,0)),0,1/VLOOKUP($N313,Capa!$A:$AE,AX$5,0))))</f>
        <v/>
      </c>
      <c r="AY313" s="118" t="str">
        <f>IF(AY$6="","",IF(AY$3="Maior",IFERROR(IF(VLOOKUP($N313,Capa!$A:$AE,AY$5,0)="",0,VLOOKUP($N313,Capa!$A:$AE,AY$5,0)),0),IF(ISERROR(1/VLOOKUP($N313,Capa!$A:$AE,AY$5,0)),0,1/VLOOKUP($N313,Capa!$A:$AE,AY$5,0))))</f>
        <v/>
      </c>
      <c r="AZ313" s="118" t="str">
        <f>IF(AZ$6="","",IF(AZ$3="Maior",IFERROR(IF(VLOOKUP($N313,Capa!$A:$AE,AZ$5,0)="",0,VLOOKUP($N313,Capa!$A:$AE,AZ$5,0)),0),IF(ISERROR(1/VLOOKUP($N313,Capa!$A:$AE,AZ$5,0)),0,1/VLOOKUP($N313,Capa!$A:$AE,AZ$5,0))))</f>
        <v/>
      </c>
      <c r="BA313" s="118" t="str">
        <f>IF(BA$6="","",IF(BA$3="Maior",IFERROR(IF(VLOOKUP($N313,Capa!$A:$AE,BA$5,0)="",0,VLOOKUP($N313,Capa!$A:$AE,BA$5,0)),0),IF(ISERROR(1/VLOOKUP($N313,Capa!$A:$AE,BA$5,0)),0,1/VLOOKUP($N313,Capa!$A:$AE,BA$5,0))))</f>
        <v/>
      </c>
      <c r="BB313" s="118" t="str">
        <f>IF(BB$6="","",IF(BB$3="Maior",IFERROR(IF(VLOOKUP($N313,Capa!$A:$AE,BB$5,0)="",0,VLOOKUP($N313,Capa!$A:$AE,BB$5,0)),0),IF(ISERROR(1/VLOOKUP($N313,Capa!$A:$AE,BB$5,0)),0,1/VLOOKUP($N313,Capa!$A:$AE,BB$5,0))))</f>
        <v/>
      </c>
      <c r="BC313" s="118" t="str">
        <f>IF(BC$6="","",IF(BC$3="Maior",IFERROR(IF(VLOOKUP($N313,Capa!$A:$AE,BC$5,0)="",0,VLOOKUP($N313,Capa!$A:$AE,BC$5,0)),0),IF(ISERROR(1/VLOOKUP($N313,Capa!$A:$AE,BC$5,0)),0,1/VLOOKUP($N313,Capa!$A:$AE,BC$5,0))))</f>
        <v/>
      </c>
      <c r="BD313" s="118" t="str">
        <f>IF(BD$6="","",IF(BD$3="Maior",IFERROR(IF(VLOOKUP($N313,Capa!$A:$AE,BD$5,0)="",0,VLOOKUP($N313,Capa!$A:$AE,BD$5,0)),0),IF(ISERROR(1/VLOOKUP($N313,Capa!$A:$AE,BD$5,0)),0,1/VLOOKUP($N313,Capa!$A:$AE,BD$5,0))))</f>
        <v/>
      </c>
      <c r="BE313" s="118" t="str">
        <f>IF(BE$6="","",IF(BE$3="Maior",IFERROR(IF(VLOOKUP($N313,Capa!$A:$AE,BE$5,0)="",0,VLOOKUP($N313,Capa!$A:$AE,BE$5,0)),0),IF(ISERROR(1/VLOOKUP($N313,Capa!$A:$AE,BE$5,0)),0,1/VLOOKUP($N313,Capa!$A:$AE,BE$5,0))))</f>
        <v/>
      </c>
      <c r="BF313" s="118" t="str">
        <f>IF(BF$6="","",IF(BF$3="Maior",IFERROR(IF(VLOOKUP($N313,Capa!$A:$AE,BF$5,0)="",0,VLOOKUP($N313,Capa!$A:$AE,BF$5,0)),0),IF(ISERROR(1/VLOOKUP($N313,Capa!$A:$AE,BF$5,0)),0,1/VLOOKUP($N313,Capa!$A:$AE,BF$5,0))))</f>
        <v/>
      </c>
      <c r="BG313" s="118" t="str">
        <f>IF(BG$6="","",IF(BG$3="Maior",IFERROR(IF(VLOOKUP($N313,Capa!$A:$AE,BG$5,0)="",0,VLOOKUP($N313,Capa!$A:$AE,BG$5,0)),0),IF(ISERROR(1/VLOOKUP($N313,Capa!$A:$AE,BG$5,0)),0,1/VLOOKUP($N313,Capa!$A:$AE,BG$5,0))))</f>
        <v/>
      </c>
      <c r="BH313" s="118" t="str">
        <f>IF(BH$6="","",IF(BH$3="Maior",IFERROR(IF(VLOOKUP($N313,Capa!$A:$AE,BH$5,0)="",0,VLOOKUP($N313,Capa!$A:$AE,BH$5,0)),0),IF(ISERROR(1/VLOOKUP($N313,Capa!$A:$AE,BH$5,0)),0,1/VLOOKUP($N313,Capa!$A:$AE,BH$5,0))))</f>
        <v/>
      </c>
      <c r="BI313" s="118" t="str">
        <f>IF(BI$6="","",IF(BI$3="Maior",IFERROR(IF(VLOOKUP($N313,Capa!$A:$AE,BI$5,0)="",0,VLOOKUP($N313,Capa!$A:$AE,BI$5,0)),0),IF(ISERROR(1/VLOOKUP($N313,Capa!$A:$AE,BI$5,0)),0,1/VLOOKUP($N313,Capa!$A:$AE,BI$5,0))))</f>
        <v/>
      </c>
      <c r="BJ313" s="118" t="str">
        <f>IF(BJ$6="","",IF(BJ$3="Maior",IFERROR(IF(VLOOKUP($N313,Capa!$A:$AE,BJ$5,0)="",0,VLOOKUP($N313,Capa!$A:$AE,BJ$5,0)),0),IF(ISERROR(1/VLOOKUP($N313,Capa!$A:$AE,BJ$5,0)),0,1/VLOOKUP($N313,Capa!$A:$AE,BJ$5,0))))</f>
        <v/>
      </c>
      <c r="BK313" s="118" t="str">
        <f>IF(BK$6="","",IF(BK$3="Maior",IFERROR(IF(VLOOKUP($N313,Capa!$A:$AE,BK$5,0)="",0,VLOOKUP($N313,Capa!$A:$AE,BK$5,0)),0),IF(ISERROR(1/VLOOKUP($N313,Capa!$A:$AE,BK$5,0)),0,1/VLOOKUP($N313,Capa!$A:$AE,BK$5,0))))</f>
        <v/>
      </c>
      <c r="BL313" s="118" t="str">
        <f>IF(BL$6="","",IF(BL$3="Maior",IFERROR(IF(VLOOKUP($N313,Capa!$A:$AE,BL$5,0)="",0,VLOOKUP($N313,Capa!$A:$AE,BL$5,0)),0),IF(ISERROR(1/VLOOKUP($N313,Capa!$A:$AE,BL$5,0)),0,1/VLOOKUP($N313,Capa!$A:$AE,BL$5,0))))</f>
        <v/>
      </c>
      <c r="BM313" s="118" t="str">
        <f>IF(BM$6="","",IF(BM$3="Maior",IFERROR(IF(VLOOKUP($N313,Capa!$A:$AE,BM$5,0)="",0,VLOOKUP($N313,Capa!$A:$AE,BM$5,0)),0),IF(ISERROR(1/VLOOKUP($N313,Capa!$A:$AE,BM$5,0)),0,1/VLOOKUP($N313,Capa!$A:$AE,BM$5,0))))</f>
        <v/>
      </c>
      <c r="BN313" s="118" t="str">
        <f>IF(BN$6="","",IF(BN$3="Maior",IFERROR(IF(VLOOKUP($N313,Capa!$A:$AE,BN$5,0)="",0,VLOOKUP($N313,Capa!$A:$AE,BN$5,0)),0),IF(ISERROR(1/VLOOKUP($N313,Capa!$A:$AE,BN$5,0)),0,1/VLOOKUP($N313,Capa!$A:$AE,BN$5,0))))</f>
        <v/>
      </c>
      <c r="BO313" s="92"/>
    </row>
    <row r="314">
      <c r="G314" s="11"/>
      <c r="H314" s="11"/>
      <c r="I314" s="8"/>
      <c r="J314" s="132"/>
      <c r="K314" s="11"/>
      <c r="L314" s="11"/>
      <c r="M314" s="11"/>
      <c r="N314" s="10" t="s">
        <v>360</v>
      </c>
      <c r="O314" s="113">
        <f t="shared" si="8"/>
        <v>1368.0159</v>
      </c>
      <c r="P314" s="114">
        <f>VLOOKUP(N314,'Dados StatusInvest'!A:Z,26,0)</f>
        <v>265816.5</v>
      </c>
      <c r="Q314" s="115">
        <f t="shared" si="9"/>
        <v>159.0159</v>
      </c>
      <c r="R314" s="116">
        <f t="shared" ref="R314:AO314" si="317">IF(AQ314="","", RANK(AQ314,AQ$7:AQ$503,0))</f>
        <v>145</v>
      </c>
      <c r="S314" s="115">
        <f t="shared" si="317"/>
        <v>64</v>
      </c>
      <c r="T314" s="115" t="str">
        <f t="shared" si="317"/>
        <v/>
      </c>
      <c r="U314" s="115" t="str">
        <f t="shared" si="317"/>
        <v/>
      </c>
      <c r="V314" s="115" t="str">
        <f t="shared" si="317"/>
        <v/>
      </c>
      <c r="W314" s="115" t="str">
        <f t="shared" si="317"/>
        <v/>
      </c>
      <c r="X314" s="115" t="str">
        <f t="shared" si="317"/>
        <v/>
      </c>
      <c r="Y314" s="115" t="str">
        <f t="shared" si="317"/>
        <v/>
      </c>
      <c r="Z314" s="115" t="str">
        <f t="shared" si="317"/>
        <v/>
      </c>
      <c r="AA314" s="115" t="str">
        <f t="shared" si="317"/>
        <v/>
      </c>
      <c r="AB314" s="115" t="str">
        <f t="shared" si="317"/>
        <v/>
      </c>
      <c r="AC314" s="115" t="str">
        <f t="shared" si="317"/>
        <v/>
      </c>
      <c r="AD314" s="115" t="str">
        <f t="shared" si="317"/>
        <v/>
      </c>
      <c r="AE314" s="115" t="str">
        <f t="shared" si="317"/>
        <v/>
      </c>
      <c r="AF314" s="115" t="str">
        <f t="shared" si="317"/>
        <v/>
      </c>
      <c r="AG314" s="115" t="str">
        <f t="shared" si="317"/>
        <v/>
      </c>
      <c r="AH314" s="115" t="str">
        <f t="shared" si="317"/>
        <v/>
      </c>
      <c r="AI314" s="115" t="str">
        <f t="shared" si="317"/>
        <v/>
      </c>
      <c r="AJ314" s="115" t="str">
        <f t="shared" si="317"/>
        <v/>
      </c>
      <c r="AK314" s="115" t="str">
        <f t="shared" si="317"/>
        <v/>
      </c>
      <c r="AL314" s="115" t="str">
        <f t="shared" si="317"/>
        <v/>
      </c>
      <c r="AM314" s="115" t="str">
        <f t="shared" si="317"/>
        <v/>
      </c>
      <c r="AN314" s="115" t="str">
        <f t="shared" si="317"/>
        <v/>
      </c>
      <c r="AO314" s="115" t="str">
        <f t="shared" si="317"/>
        <v/>
      </c>
      <c r="AP314" s="117">
        <f>IF(AP$6="","",IF(AP$3="Maior",IFERROR(IF(VLOOKUP($N314,Capa!$A:$AE,AP$5,0)="",0,VLOOKUP($N314,Capa!$A:$AE,AP$5,0)),0),IF(ISERROR(1/VLOOKUP($N314,Capa!$A:$AE,AP$5,0)),0,1/VLOOKUP($N314,Capa!$A:$AE,AP$5,0))))</f>
        <v>0.1271640416</v>
      </c>
      <c r="AQ314" s="118">
        <f>IF(AQ$6="","",IF(AQ$3="Maior",IFERROR(IF(VLOOKUP($N314,Capa!$A:$AE,AQ$5,0)="",0,VLOOKUP($N314,Capa!$A:$AE,AQ$5,0)),0),IF(ISERROR(1/VLOOKUP($N314,Capa!$A:$AE,AQ$5,0)),0,1/VLOOKUP($N314,Capa!$A:$AE,AQ$5,0))))</f>
        <v>14.32</v>
      </c>
      <c r="AR314" s="118">
        <f>IF(AR$6="","",IF(AR$3="Maior",IFERROR(IF(VLOOKUP($N314,Capa!$A:$AE,AR$5,0)="",0,VLOOKUP($N314,Capa!$A:$AE,AR$5,0)),0),IF(ISERROR(1/VLOOKUP($N314,Capa!$A:$AE,AR$5,0)),0,1/VLOOKUP($N314,Capa!$A:$AE,AR$5,0))))</f>
        <v>39.63</v>
      </c>
      <c r="AS314" s="118" t="str">
        <f>IF(AS$6="","",IF(AS$3="Maior",IFERROR(IF(VLOOKUP($N314,Capa!$A:$AE,AS$5,0)="",0,VLOOKUP($N314,Capa!$A:$AE,AS$5,0)),0),IF(ISERROR(1/VLOOKUP($N314,Capa!$A:$AE,AS$5,0)),0,1/VLOOKUP($N314,Capa!$A:$AE,AS$5,0))))</f>
        <v/>
      </c>
      <c r="AT314" s="118" t="str">
        <f>IF(AT$6="","",IF(AT$3="Maior",IFERROR(IF(VLOOKUP($N314,Capa!$A:$AE,AT$5,0)="",0,VLOOKUP($N314,Capa!$A:$AE,AT$5,0)),0),IF(ISERROR(1/VLOOKUP($N314,Capa!$A:$AE,AT$5,0)),0,1/VLOOKUP($N314,Capa!$A:$AE,AT$5,0))))</f>
        <v/>
      </c>
      <c r="AU314" s="118" t="str">
        <f>IF(AU$6="","",IF(AU$3="Maior",IFERROR(IF(VLOOKUP($N314,Capa!$A:$AE,AU$5,0)="",0,VLOOKUP($N314,Capa!$A:$AE,AU$5,0)),0),IF(ISERROR(1/VLOOKUP($N314,Capa!$A:$AE,AU$5,0)),0,1/VLOOKUP($N314,Capa!$A:$AE,AU$5,0))))</f>
        <v/>
      </c>
      <c r="AV314" s="118" t="str">
        <f>IF(AV$6="","",IF(AV$3="Maior",IFERROR(IF(VLOOKUP($N314,Capa!$A:$AE,AV$5,0)="",0,VLOOKUP($N314,Capa!$A:$AE,AV$5,0)),0),IF(ISERROR(1/VLOOKUP($N314,Capa!$A:$AE,AV$5,0)),0,1/VLOOKUP($N314,Capa!$A:$AE,AV$5,0))))</f>
        <v/>
      </c>
      <c r="AW314" s="118" t="str">
        <f>IF(AW$6="","",IF(AW$3="Maior",IFERROR(IF(VLOOKUP($N314,Capa!$A:$AE,AW$5,0)="",0,VLOOKUP($N314,Capa!$A:$AE,AW$5,0)),0),IF(ISERROR(1/VLOOKUP($N314,Capa!$A:$AE,AW$5,0)),0,1/VLOOKUP($N314,Capa!$A:$AE,AW$5,0))))</f>
        <v/>
      </c>
      <c r="AX314" s="118" t="str">
        <f>IF(AX$6="","",IF(AX$3="Maior",IFERROR(IF(VLOOKUP($N314,Capa!$A:$AE,AX$5,0)="",0,VLOOKUP($N314,Capa!$A:$AE,AX$5,0)),0),IF(ISERROR(1/VLOOKUP($N314,Capa!$A:$AE,AX$5,0)),0,1/VLOOKUP($N314,Capa!$A:$AE,AX$5,0))))</f>
        <v/>
      </c>
      <c r="AY314" s="118" t="str">
        <f>IF(AY$6="","",IF(AY$3="Maior",IFERROR(IF(VLOOKUP($N314,Capa!$A:$AE,AY$5,0)="",0,VLOOKUP($N314,Capa!$A:$AE,AY$5,0)),0),IF(ISERROR(1/VLOOKUP($N314,Capa!$A:$AE,AY$5,0)),0,1/VLOOKUP($N314,Capa!$A:$AE,AY$5,0))))</f>
        <v/>
      </c>
      <c r="AZ314" s="118" t="str">
        <f>IF(AZ$6="","",IF(AZ$3="Maior",IFERROR(IF(VLOOKUP($N314,Capa!$A:$AE,AZ$5,0)="",0,VLOOKUP($N314,Capa!$A:$AE,AZ$5,0)),0),IF(ISERROR(1/VLOOKUP($N314,Capa!$A:$AE,AZ$5,0)),0,1/VLOOKUP($N314,Capa!$A:$AE,AZ$5,0))))</f>
        <v/>
      </c>
      <c r="BA314" s="118" t="str">
        <f>IF(BA$6="","",IF(BA$3="Maior",IFERROR(IF(VLOOKUP($N314,Capa!$A:$AE,BA$5,0)="",0,VLOOKUP($N314,Capa!$A:$AE,BA$5,0)),0),IF(ISERROR(1/VLOOKUP($N314,Capa!$A:$AE,BA$5,0)),0,1/VLOOKUP($N314,Capa!$A:$AE,BA$5,0))))</f>
        <v/>
      </c>
      <c r="BB314" s="118" t="str">
        <f>IF(BB$6="","",IF(BB$3="Maior",IFERROR(IF(VLOOKUP($N314,Capa!$A:$AE,BB$5,0)="",0,VLOOKUP($N314,Capa!$A:$AE,BB$5,0)),0),IF(ISERROR(1/VLOOKUP($N314,Capa!$A:$AE,BB$5,0)),0,1/VLOOKUP($N314,Capa!$A:$AE,BB$5,0))))</f>
        <v/>
      </c>
      <c r="BC314" s="118" t="str">
        <f>IF(BC$6="","",IF(BC$3="Maior",IFERROR(IF(VLOOKUP($N314,Capa!$A:$AE,BC$5,0)="",0,VLOOKUP($N314,Capa!$A:$AE,BC$5,0)),0),IF(ISERROR(1/VLOOKUP($N314,Capa!$A:$AE,BC$5,0)),0,1/VLOOKUP($N314,Capa!$A:$AE,BC$5,0))))</f>
        <v/>
      </c>
      <c r="BD314" s="118" t="str">
        <f>IF(BD$6="","",IF(BD$3="Maior",IFERROR(IF(VLOOKUP($N314,Capa!$A:$AE,BD$5,0)="",0,VLOOKUP($N314,Capa!$A:$AE,BD$5,0)),0),IF(ISERROR(1/VLOOKUP($N314,Capa!$A:$AE,BD$5,0)),0,1/VLOOKUP($N314,Capa!$A:$AE,BD$5,0))))</f>
        <v/>
      </c>
      <c r="BE314" s="118" t="str">
        <f>IF(BE$6="","",IF(BE$3="Maior",IFERROR(IF(VLOOKUP($N314,Capa!$A:$AE,BE$5,0)="",0,VLOOKUP($N314,Capa!$A:$AE,BE$5,0)),0),IF(ISERROR(1/VLOOKUP($N314,Capa!$A:$AE,BE$5,0)),0,1/VLOOKUP($N314,Capa!$A:$AE,BE$5,0))))</f>
        <v/>
      </c>
      <c r="BF314" s="118" t="str">
        <f>IF(BF$6="","",IF(BF$3="Maior",IFERROR(IF(VLOOKUP($N314,Capa!$A:$AE,BF$5,0)="",0,VLOOKUP($N314,Capa!$A:$AE,BF$5,0)),0),IF(ISERROR(1/VLOOKUP($N314,Capa!$A:$AE,BF$5,0)),0,1/VLOOKUP($N314,Capa!$A:$AE,BF$5,0))))</f>
        <v/>
      </c>
      <c r="BG314" s="118" t="str">
        <f>IF(BG$6="","",IF(BG$3="Maior",IFERROR(IF(VLOOKUP($N314,Capa!$A:$AE,BG$5,0)="",0,VLOOKUP($N314,Capa!$A:$AE,BG$5,0)),0),IF(ISERROR(1/VLOOKUP($N314,Capa!$A:$AE,BG$5,0)),0,1/VLOOKUP($N314,Capa!$A:$AE,BG$5,0))))</f>
        <v/>
      </c>
      <c r="BH314" s="118" t="str">
        <f>IF(BH$6="","",IF(BH$3="Maior",IFERROR(IF(VLOOKUP($N314,Capa!$A:$AE,BH$5,0)="",0,VLOOKUP($N314,Capa!$A:$AE,BH$5,0)),0),IF(ISERROR(1/VLOOKUP($N314,Capa!$A:$AE,BH$5,0)),0,1/VLOOKUP($N314,Capa!$A:$AE,BH$5,0))))</f>
        <v/>
      </c>
      <c r="BI314" s="118" t="str">
        <f>IF(BI$6="","",IF(BI$3="Maior",IFERROR(IF(VLOOKUP($N314,Capa!$A:$AE,BI$5,0)="",0,VLOOKUP($N314,Capa!$A:$AE,BI$5,0)),0),IF(ISERROR(1/VLOOKUP($N314,Capa!$A:$AE,BI$5,0)),0,1/VLOOKUP($N314,Capa!$A:$AE,BI$5,0))))</f>
        <v/>
      </c>
      <c r="BJ314" s="118" t="str">
        <f>IF(BJ$6="","",IF(BJ$3="Maior",IFERROR(IF(VLOOKUP($N314,Capa!$A:$AE,BJ$5,0)="",0,VLOOKUP($N314,Capa!$A:$AE,BJ$5,0)),0),IF(ISERROR(1/VLOOKUP($N314,Capa!$A:$AE,BJ$5,0)),0,1/VLOOKUP($N314,Capa!$A:$AE,BJ$5,0))))</f>
        <v/>
      </c>
      <c r="BK314" s="118" t="str">
        <f>IF(BK$6="","",IF(BK$3="Maior",IFERROR(IF(VLOOKUP($N314,Capa!$A:$AE,BK$5,0)="",0,VLOOKUP($N314,Capa!$A:$AE,BK$5,0)),0),IF(ISERROR(1/VLOOKUP($N314,Capa!$A:$AE,BK$5,0)),0,1/VLOOKUP($N314,Capa!$A:$AE,BK$5,0))))</f>
        <v/>
      </c>
      <c r="BL314" s="118" t="str">
        <f>IF(BL$6="","",IF(BL$3="Maior",IFERROR(IF(VLOOKUP($N314,Capa!$A:$AE,BL$5,0)="",0,VLOOKUP($N314,Capa!$A:$AE,BL$5,0)),0),IF(ISERROR(1/VLOOKUP($N314,Capa!$A:$AE,BL$5,0)),0,1/VLOOKUP($N314,Capa!$A:$AE,BL$5,0))))</f>
        <v/>
      </c>
      <c r="BM314" s="118" t="str">
        <f>IF(BM$6="","",IF(BM$3="Maior",IFERROR(IF(VLOOKUP($N314,Capa!$A:$AE,BM$5,0)="",0,VLOOKUP($N314,Capa!$A:$AE,BM$5,0)),0),IF(ISERROR(1/VLOOKUP($N314,Capa!$A:$AE,BM$5,0)),0,1/VLOOKUP($N314,Capa!$A:$AE,BM$5,0))))</f>
        <v/>
      </c>
      <c r="BN314" s="118" t="str">
        <f>IF(BN$6="","",IF(BN$3="Maior",IFERROR(IF(VLOOKUP($N314,Capa!$A:$AE,BN$5,0)="",0,VLOOKUP($N314,Capa!$A:$AE,BN$5,0)),0),IF(ISERROR(1/VLOOKUP($N314,Capa!$A:$AE,BN$5,0)),0,1/VLOOKUP($N314,Capa!$A:$AE,BN$5,0))))</f>
        <v/>
      </c>
      <c r="BO314" s="92"/>
    </row>
    <row r="315">
      <c r="G315" s="11"/>
      <c r="H315" s="11"/>
      <c r="I315" s="8"/>
      <c r="J315" s="132"/>
      <c r="K315" s="11"/>
      <c r="L315" s="11"/>
      <c r="M315" s="11"/>
      <c r="N315" s="10" t="s">
        <v>361</v>
      </c>
      <c r="O315" s="113">
        <f t="shared" si="8"/>
        <v>1029.0004</v>
      </c>
      <c r="P315" s="114">
        <f>VLOOKUP(N315,'Dados StatusInvest'!A:Z,26,0)</f>
        <v>493015.84</v>
      </c>
      <c r="Q315" s="115">
        <f t="shared" si="9"/>
        <v>4.0004</v>
      </c>
      <c r="R315" s="116">
        <f t="shared" ref="R315:AO315" si="318">IF(AQ315="","", RANK(AQ315,AQ$7:AQ$503,0))</f>
        <v>18</v>
      </c>
      <c r="S315" s="115">
        <f t="shared" si="318"/>
        <v>7</v>
      </c>
      <c r="T315" s="115" t="str">
        <f t="shared" si="318"/>
        <v/>
      </c>
      <c r="U315" s="115" t="str">
        <f t="shared" si="318"/>
        <v/>
      </c>
      <c r="V315" s="115" t="str">
        <f t="shared" si="318"/>
        <v/>
      </c>
      <c r="W315" s="115" t="str">
        <f t="shared" si="318"/>
        <v/>
      </c>
      <c r="X315" s="115" t="str">
        <f t="shared" si="318"/>
        <v/>
      </c>
      <c r="Y315" s="115" t="str">
        <f t="shared" si="318"/>
        <v/>
      </c>
      <c r="Z315" s="115" t="str">
        <f t="shared" si="318"/>
        <v/>
      </c>
      <c r="AA315" s="115" t="str">
        <f t="shared" si="318"/>
        <v/>
      </c>
      <c r="AB315" s="115" t="str">
        <f t="shared" si="318"/>
        <v/>
      </c>
      <c r="AC315" s="115" t="str">
        <f t="shared" si="318"/>
        <v/>
      </c>
      <c r="AD315" s="115" t="str">
        <f t="shared" si="318"/>
        <v/>
      </c>
      <c r="AE315" s="115" t="str">
        <f t="shared" si="318"/>
        <v/>
      </c>
      <c r="AF315" s="115" t="str">
        <f t="shared" si="318"/>
        <v/>
      </c>
      <c r="AG315" s="115" t="str">
        <f t="shared" si="318"/>
        <v/>
      </c>
      <c r="AH315" s="115" t="str">
        <f t="shared" si="318"/>
        <v/>
      </c>
      <c r="AI315" s="115" t="str">
        <f t="shared" si="318"/>
        <v/>
      </c>
      <c r="AJ315" s="115" t="str">
        <f t="shared" si="318"/>
        <v/>
      </c>
      <c r="AK315" s="115" t="str">
        <f t="shared" si="318"/>
        <v/>
      </c>
      <c r="AL315" s="115" t="str">
        <f t="shared" si="318"/>
        <v/>
      </c>
      <c r="AM315" s="115" t="str">
        <f t="shared" si="318"/>
        <v/>
      </c>
      <c r="AN315" s="115" t="str">
        <f t="shared" si="318"/>
        <v/>
      </c>
      <c r="AO315" s="115" t="str">
        <f t="shared" si="318"/>
        <v/>
      </c>
      <c r="AP315" s="117">
        <f>IF(AP$6="","",IF(AP$3="Maior",IFERROR(IF(VLOOKUP($N315,Capa!$A:$AE,AP$5,0)="",0,VLOOKUP($N315,Capa!$A:$AE,AP$5,0)),0),IF(ISERROR(1/VLOOKUP($N315,Capa!$A:$AE,AP$5,0)),0,1/VLOOKUP($N315,Capa!$A:$AE,AP$5,0))))</f>
        <v>1.383075495</v>
      </c>
      <c r="AQ315" s="118">
        <f>IF(AQ$6="","",IF(AQ$3="Maior",IFERROR(IF(VLOOKUP($N315,Capa!$A:$AE,AQ$5,0)="",0,VLOOKUP($N315,Capa!$A:$AE,AQ$5,0)),0),IF(ISERROR(1/VLOOKUP($N315,Capa!$A:$AE,AQ$5,0)),0,1/VLOOKUP($N315,Capa!$A:$AE,AQ$5,0))))</f>
        <v>61.87</v>
      </c>
      <c r="AR315" s="118">
        <f>IF(AR$6="","",IF(AR$3="Maior",IFERROR(IF(VLOOKUP($N315,Capa!$A:$AE,AR$5,0)="",0,VLOOKUP($N315,Capa!$A:$AE,AR$5,0)),0),IF(ISERROR(1/VLOOKUP($N315,Capa!$A:$AE,AR$5,0)),0,1/VLOOKUP($N315,Capa!$A:$AE,AR$5,0))))</f>
        <v>130.5</v>
      </c>
      <c r="AS315" s="118" t="str">
        <f>IF(AS$6="","",IF(AS$3="Maior",IFERROR(IF(VLOOKUP($N315,Capa!$A:$AE,AS$5,0)="",0,VLOOKUP($N315,Capa!$A:$AE,AS$5,0)),0),IF(ISERROR(1/VLOOKUP($N315,Capa!$A:$AE,AS$5,0)),0,1/VLOOKUP($N315,Capa!$A:$AE,AS$5,0))))</f>
        <v/>
      </c>
      <c r="AT315" s="118" t="str">
        <f>IF(AT$6="","",IF(AT$3="Maior",IFERROR(IF(VLOOKUP($N315,Capa!$A:$AE,AT$5,0)="",0,VLOOKUP($N315,Capa!$A:$AE,AT$5,0)),0),IF(ISERROR(1/VLOOKUP($N315,Capa!$A:$AE,AT$5,0)),0,1/VLOOKUP($N315,Capa!$A:$AE,AT$5,0))))</f>
        <v/>
      </c>
      <c r="AU315" s="118" t="str">
        <f>IF(AU$6="","",IF(AU$3="Maior",IFERROR(IF(VLOOKUP($N315,Capa!$A:$AE,AU$5,0)="",0,VLOOKUP($N315,Capa!$A:$AE,AU$5,0)),0),IF(ISERROR(1/VLOOKUP($N315,Capa!$A:$AE,AU$5,0)),0,1/VLOOKUP($N315,Capa!$A:$AE,AU$5,0))))</f>
        <v/>
      </c>
      <c r="AV315" s="118" t="str">
        <f>IF(AV$6="","",IF(AV$3="Maior",IFERROR(IF(VLOOKUP($N315,Capa!$A:$AE,AV$5,0)="",0,VLOOKUP($N315,Capa!$A:$AE,AV$5,0)),0),IF(ISERROR(1/VLOOKUP($N315,Capa!$A:$AE,AV$5,0)),0,1/VLOOKUP($N315,Capa!$A:$AE,AV$5,0))))</f>
        <v/>
      </c>
      <c r="AW315" s="118" t="str">
        <f>IF(AW$6="","",IF(AW$3="Maior",IFERROR(IF(VLOOKUP($N315,Capa!$A:$AE,AW$5,0)="",0,VLOOKUP($N315,Capa!$A:$AE,AW$5,0)),0),IF(ISERROR(1/VLOOKUP($N315,Capa!$A:$AE,AW$5,0)),0,1/VLOOKUP($N315,Capa!$A:$AE,AW$5,0))))</f>
        <v/>
      </c>
      <c r="AX315" s="118" t="str">
        <f>IF(AX$6="","",IF(AX$3="Maior",IFERROR(IF(VLOOKUP($N315,Capa!$A:$AE,AX$5,0)="",0,VLOOKUP($N315,Capa!$A:$AE,AX$5,0)),0),IF(ISERROR(1/VLOOKUP($N315,Capa!$A:$AE,AX$5,0)),0,1/VLOOKUP($N315,Capa!$A:$AE,AX$5,0))))</f>
        <v/>
      </c>
      <c r="AY315" s="118" t="str">
        <f>IF(AY$6="","",IF(AY$3="Maior",IFERROR(IF(VLOOKUP($N315,Capa!$A:$AE,AY$5,0)="",0,VLOOKUP($N315,Capa!$A:$AE,AY$5,0)),0),IF(ISERROR(1/VLOOKUP($N315,Capa!$A:$AE,AY$5,0)),0,1/VLOOKUP($N315,Capa!$A:$AE,AY$5,0))))</f>
        <v/>
      </c>
      <c r="AZ315" s="118" t="str">
        <f>IF(AZ$6="","",IF(AZ$3="Maior",IFERROR(IF(VLOOKUP($N315,Capa!$A:$AE,AZ$5,0)="",0,VLOOKUP($N315,Capa!$A:$AE,AZ$5,0)),0),IF(ISERROR(1/VLOOKUP($N315,Capa!$A:$AE,AZ$5,0)),0,1/VLOOKUP($N315,Capa!$A:$AE,AZ$5,0))))</f>
        <v/>
      </c>
      <c r="BA315" s="118" t="str">
        <f>IF(BA$6="","",IF(BA$3="Maior",IFERROR(IF(VLOOKUP($N315,Capa!$A:$AE,BA$5,0)="",0,VLOOKUP($N315,Capa!$A:$AE,BA$5,0)),0),IF(ISERROR(1/VLOOKUP($N315,Capa!$A:$AE,BA$5,0)),0,1/VLOOKUP($N315,Capa!$A:$AE,BA$5,0))))</f>
        <v/>
      </c>
      <c r="BB315" s="118" t="str">
        <f>IF(BB$6="","",IF(BB$3="Maior",IFERROR(IF(VLOOKUP($N315,Capa!$A:$AE,BB$5,0)="",0,VLOOKUP($N315,Capa!$A:$AE,BB$5,0)),0),IF(ISERROR(1/VLOOKUP($N315,Capa!$A:$AE,BB$5,0)),0,1/VLOOKUP($N315,Capa!$A:$AE,BB$5,0))))</f>
        <v/>
      </c>
      <c r="BC315" s="118" t="str">
        <f>IF(BC$6="","",IF(BC$3="Maior",IFERROR(IF(VLOOKUP($N315,Capa!$A:$AE,BC$5,0)="",0,VLOOKUP($N315,Capa!$A:$AE,BC$5,0)),0),IF(ISERROR(1/VLOOKUP($N315,Capa!$A:$AE,BC$5,0)),0,1/VLOOKUP($N315,Capa!$A:$AE,BC$5,0))))</f>
        <v/>
      </c>
      <c r="BD315" s="118" t="str">
        <f>IF(BD$6="","",IF(BD$3="Maior",IFERROR(IF(VLOOKUP($N315,Capa!$A:$AE,BD$5,0)="",0,VLOOKUP($N315,Capa!$A:$AE,BD$5,0)),0),IF(ISERROR(1/VLOOKUP($N315,Capa!$A:$AE,BD$5,0)),0,1/VLOOKUP($N315,Capa!$A:$AE,BD$5,0))))</f>
        <v/>
      </c>
      <c r="BE315" s="118" t="str">
        <f>IF(BE$6="","",IF(BE$3="Maior",IFERROR(IF(VLOOKUP($N315,Capa!$A:$AE,BE$5,0)="",0,VLOOKUP($N315,Capa!$A:$AE,BE$5,0)),0),IF(ISERROR(1/VLOOKUP($N315,Capa!$A:$AE,BE$5,0)),0,1/VLOOKUP($N315,Capa!$A:$AE,BE$5,0))))</f>
        <v/>
      </c>
      <c r="BF315" s="118" t="str">
        <f>IF(BF$6="","",IF(BF$3="Maior",IFERROR(IF(VLOOKUP($N315,Capa!$A:$AE,BF$5,0)="",0,VLOOKUP($N315,Capa!$A:$AE,BF$5,0)),0),IF(ISERROR(1/VLOOKUP($N315,Capa!$A:$AE,BF$5,0)),0,1/VLOOKUP($N315,Capa!$A:$AE,BF$5,0))))</f>
        <v/>
      </c>
      <c r="BG315" s="118" t="str">
        <f>IF(BG$6="","",IF(BG$3="Maior",IFERROR(IF(VLOOKUP($N315,Capa!$A:$AE,BG$5,0)="",0,VLOOKUP($N315,Capa!$A:$AE,BG$5,0)),0),IF(ISERROR(1/VLOOKUP($N315,Capa!$A:$AE,BG$5,0)),0,1/VLOOKUP($N315,Capa!$A:$AE,BG$5,0))))</f>
        <v/>
      </c>
      <c r="BH315" s="118" t="str">
        <f>IF(BH$6="","",IF(BH$3="Maior",IFERROR(IF(VLOOKUP($N315,Capa!$A:$AE,BH$5,0)="",0,VLOOKUP($N315,Capa!$A:$AE,BH$5,0)),0),IF(ISERROR(1/VLOOKUP($N315,Capa!$A:$AE,BH$5,0)),0,1/VLOOKUP($N315,Capa!$A:$AE,BH$5,0))))</f>
        <v/>
      </c>
      <c r="BI315" s="118" t="str">
        <f>IF(BI$6="","",IF(BI$3="Maior",IFERROR(IF(VLOOKUP($N315,Capa!$A:$AE,BI$5,0)="",0,VLOOKUP($N315,Capa!$A:$AE,BI$5,0)),0),IF(ISERROR(1/VLOOKUP($N315,Capa!$A:$AE,BI$5,0)),0,1/VLOOKUP($N315,Capa!$A:$AE,BI$5,0))))</f>
        <v/>
      </c>
      <c r="BJ315" s="118" t="str">
        <f>IF(BJ$6="","",IF(BJ$3="Maior",IFERROR(IF(VLOOKUP($N315,Capa!$A:$AE,BJ$5,0)="",0,VLOOKUP($N315,Capa!$A:$AE,BJ$5,0)),0),IF(ISERROR(1/VLOOKUP($N315,Capa!$A:$AE,BJ$5,0)),0,1/VLOOKUP($N315,Capa!$A:$AE,BJ$5,0))))</f>
        <v/>
      </c>
      <c r="BK315" s="118" t="str">
        <f>IF(BK$6="","",IF(BK$3="Maior",IFERROR(IF(VLOOKUP($N315,Capa!$A:$AE,BK$5,0)="",0,VLOOKUP($N315,Capa!$A:$AE,BK$5,0)),0),IF(ISERROR(1/VLOOKUP($N315,Capa!$A:$AE,BK$5,0)),0,1/VLOOKUP($N315,Capa!$A:$AE,BK$5,0))))</f>
        <v/>
      </c>
      <c r="BL315" s="118" t="str">
        <f>IF(BL$6="","",IF(BL$3="Maior",IFERROR(IF(VLOOKUP($N315,Capa!$A:$AE,BL$5,0)="",0,VLOOKUP($N315,Capa!$A:$AE,BL$5,0)),0),IF(ISERROR(1/VLOOKUP($N315,Capa!$A:$AE,BL$5,0)),0,1/VLOOKUP($N315,Capa!$A:$AE,BL$5,0))))</f>
        <v/>
      </c>
      <c r="BM315" s="118" t="str">
        <f>IF(BM$6="","",IF(BM$3="Maior",IFERROR(IF(VLOOKUP($N315,Capa!$A:$AE,BM$5,0)="",0,VLOOKUP($N315,Capa!$A:$AE,BM$5,0)),0),IF(ISERROR(1/VLOOKUP($N315,Capa!$A:$AE,BM$5,0)),0,1/VLOOKUP($N315,Capa!$A:$AE,BM$5,0))))</f>
        <v/>
      </c>
      <c r="BN315" s="118" t="str">
        <f>IF(BN$6="","",IF(BN$3="Maior",IFERROR(IF(VLOOKUP($N315,Capa!$A:$AE,BN$5,0)="",0,VLOOKUP($N315,Capa!$A:$AE,BN$5,0)),0),IF(ISERROR(1/VLOOKUP($N315,Capa!$A:$AE,BN$5,0)),0,1/VLOOKUP($N315,Capa!$A:$AE,BN$5,0))))</f>
        <v/>
      </c>
      <c r="BO315" s="92"/>
    </row>
    <row r="316">
      <c r="G316" s="11"/>
      <c r="H316" s="11"/>
      <c r="I316" s="8"/>
      <c r="J316" s="132"/>
      <c r="K316" s="11"/>
      <c r="L316" s="11"/>
      <c r="M316" s="11"/>
      <c r="N316" s="10" t="s">
        <v>362</v>
      </c>
      <c r="O316" s="113">
        <f t="shared" si="8"/>
        <v>1028.0003</v>
      </c>
      <c r="P316" s="114">
        <f>VLOOKUP(N316,'Dados StatusInvest'!A:Z,26,0)</f>
        <v>353701.12</v>
      </c>
      <c r="Q316" s="115">
        <f t="shared" si="9"/>
        <v>3.0003</v>
      </c>
      <c r="R316" s="116">
        <f t="shared" ref="R316:AO316" si="319">IF(AQ316="","", RANK(AQ316,AQ$7:AQ$503,0))</f>
        <v>18</v>
      </c>
      <c r="S316" s="115">
        <f t="shared" si="319"/>
        <v>7</v>
      </c>
      <c r="T316" s="115" t="str">
        <f t="shared" si="319"/>
        <v/>
      </c>
      <c r="U316" s="115" t="str">
        <f t="shared" si="319"/>
        <v/>
      </c>
      <c r="V316" s="115" t="str">
        <f t="shared" si="319"/>
        <v/>
      </c>
      <c r="W316" s="115" t="str">
        <f t="shared" si="319"/>
        <v/>
      </c>
      <c r="X316" s="115" t="str">
        <f t="shared" si="319"/>
        <v/>
      </c>
      <c r="Y316" s="115" t="str">
        <f t="shared" si="319"/>
        <v/>
      </c>
      <c r="Z316" s="115" t="str">
        <f t="shared" si="319"/>
        <v/>
      </c>
      <c r="AA316" s="115" t="str">
        <f t="shared" si="319"/>
        <v/>
      </c>
      <c r="AB316" s="115" t="str">
        <f t="shared" si="319"/>
        <v/>
      </c>
      <c r="AC316" s="115" t="str">
        <f t="shared" si="319"/>
        <v/>
      </c>
      <c r="AD316" s="115" t="str">
        <f t="shared" si="319"/>
        <v/>
      </c>
      <c r="AE316" s="115" t="str">
        <f t="shared" si="319"/>
        <v/>
      </c>
      <c r="AF316" s="115" t="str">
        <f t="shared" si="319"/>
        <v/>
      </c>
      <c r="AG316" s="115" t="str">
        <f t="shared" si="319"/>
        <v/>
      </c>
      <c r="AH316" s="115" t="str">
        <f t="shared" si="319"/>
        <v/>
      </c>
      <c r="AI316" s="115" t="str">
        <f t="shared" si="319"/>
        <v/>
      </c>
      <c r="AJ316" s="115" t="str">
        <f t="shared" si="319"/>
        <v/>
      </c>
      <c r="AK316" s="115" t="str">
        <f t="shared" si="319"/>
        <v/>
      </c>
      <c r="AL316" s="115" t="str">
        <f t="shared" si="319"/>
        <v/>
      </c>
      <c r="AM316" s="115" t="str">
        <f t="shared" si="319"/>
        <v/>
      </c>
      <c r="AN316" s="115" t="str">
        <f t="shared" si="319"/>
        <v/>
      </c>
      <c r="AO316" s="115" t="str">
        <f t="shared" si="319"/>
        <v/>
      </c>
      <c r="AP316" s="117">
        <f>IF(AP$6="","",IF(AP$3="Maior",IFERROR(IF(VLOOKUP($N316,Capa!$A:$AE,AP$5,0)="",0,VLOOKUP($N316,Capa!$A:$AE,AP$5,0)),0),IF(ISERROR(1/VLOOKUP($N316,Capa!$A:$AE,AP$5,0)),0,1/VLOOKUP($N316,Capa!$A:$AE,AP$5,0))))</f>
        <v>1.49289515</v>
      </c>
      <c r="AQ316" s="118">
        <f>IF(AQ$6="","",IF(AQ$3="Maior",IFERROR(IF(VLOOKUP($N316,Capa!$A:$AE,AQ$5,0)="",0,VLOOKUP($N316,Capa!$A:$AE,AQ$5,0)),0),IF(ISERROR(1/VLOOKUP($N316,Capa!$A:$AE,AQ$5,0)),0,1/VLOOKUP($N316,Capa!$A:$AE,AQ$5,0))))</f>
        <v>61.87</v>
      </c>
      <c r="AR316" s="118">
        <f>IF(AR$6="","",IF(AR$3="Maior",IFERROR(IF(VLOOKUP($N316,Capa!$A:$AE,AR$5,0)="",0,VLOOKUP($N316,Capa!$A:$AE,AR$5,0)),0),IF(ISERROR(1/VLOOKUP($N316,Capa!$A:$AE,AR$5,0)),0,1/VLOOKUP($N316,Capa!$A:$AE,AR$5,0))))</f>
        <v>130.5</v>
      </c>
      <c r="AS316" s="118" t="str">
        <f>IF(AS$6="","",IF(AS$3="Maior",IFERROR(IF(VLOOKUP($N316,Capa!$A:$AE,AS$5,0)="",0,VLOOKUP($N316,Capa!$A:$AE,AS$5,0)),0),IF(ISERROR(1/VLOOKUP($N316,Capa!$A:$AE,AS$5,0)),0,1/VLOOKUP($N316,Capa!$A:$AE,AS$5,0))))</f>
        <v/>
      </c>
      <c r="AT316" s="118" t="str">
        <f>IF(AT$6="","",IF(AT$3="Maior",IFERROR(IF(VLOOKUP($N316,Capa!$A:$AE,AT$5,0)="",0,VLOOKUP($N316,Capa!$A:$AE,AT$5,0)),0),IF(ISERROR(1/VLOOKUP($N316,Capa!$A:$AE,AT$5,0)),0,1/VLOOKUP($N316,Capa!$A:$AE,AT$5,0))))</f>
        <v/>
      </c>
      <c r="AU316" s="118" t="str">
        <f>IF(AU$6="","",IF(AU$3="Maior",IFERROR(IF(VLOOKUP($N316,Capa!$A:$AE,AU$5,0)="",0,VLOOKUP($N316,Capa!$A:$AE,AU$5,0)),0),IF(ISERROR(1/VLOOKUP($N316,Capa!$A:$AE,AU$5,0)),0,1/VLOOKUP($N316,Capa!$A:$AE,AU$5,0))))</f>
        <v/>
      </c>
      <c r="AV316" s="118" t="str">
        <f>IF(AV$6="","",IF(AV$3="Maior",IFERROR(IF(VLOOKUP($N316,Capa!$A:$AE,AV$5,0)="",0,VLOOKUP($N316,Capa!$A:$AE,AV$5,0)),0),IF(ISERROR(1/VLOOKUP($N316,Capa!$A:$AE,AV$5,0)),0,1/VLOOKUP($N316,Capa!$A:$AE,AV$5,0))))</f>
        <v/>
      </c>
      <c r="AW316" s="118" t="str">
        <f>IF(AW$6="","",IF(AW$3="Maior",IFERROR(IF(VLOOKUP($N316,Capa!$A:$AE,AW$5,0)="",0,VLOOKUP($N316,Capa!$A:$AE,AW$5,0)),0),IF(ISERROR(1/VLOOKUP($N316,Capa!$A:$AE,AW$5,0)),0,1/VLOOKUP($N316,Capa!$A:$AE,AW$5,0))))</f>
        <v/>
      </c>
      <c r="AX316" s="118" t="str">
        <f>IF(AX$6="","",IF(AX$3="Maior",IFERROR(IF(VLOOKUP($N316,Capa!$A:$AE,AX$5,0)="",0,VLOOKUP($N316,Capa!$A:$AE,AX$5,0)),0),IF(ISERROR(1/VLOOKUP($N316,Capa!$A:$AE,AX$5,0)),0,1/VLOOKUP($N316,Capa!$A:$AE,AX$5,0))))</f>
        <v/>
      </c>
      <c r="AY316" s="118" t="str">
        <f>IF(AY$6="","",IF(AY$3="Maior",IFERROR(IF(VLOOKUP($N316,Capa!$A:$AE,AY$5,0)="",0,VLOOKUP($N316,Capa!$A:$AE,AY$5,0)),0),IF(ISERROR(1/VLOOKUP($N316,Capa!$A:$AE,AY$5,0)),0,1/VLOOKUP($N316,Capa!$A:$AE,AY$5,0))))</f>
        <v/>
      </c>
      <c r="AZ316" s="118" t="str">
        <f>IF(AZ$6="","",IF(AZ$3="Maior",IFERROR(IF(VLOOKUP($N316,Capa!$A:$AE,AZ$5,0)="",0,VLOOKUP($N316,Capa!$A:$AE,AZ$5,0)),0),IF(ISERROR(1/VLOOKUP($N316,Capa!$A:$AE,AZ$5,0)),0,1/VLOOKUP($N316,Capa!$A:$AE,AZ$5,0))))</f>
        <v/>
      </c>
      <c r="BA316" s="118" t="str">
        <f>IF(BA$6="","",IF(BA$3="Maior",IFERROR(IF(VLOOKUP($N316,Capa!$A:$AE,BA$5,0)="",0,VLOOKUP($N316,Capa!$A:$AE,BA$5,0)),0),IF(ISERROR(1/VLOOKUP($N316,Capa!$A:$AE,BA$5,0)),0,1/VLOOKUP($N316,Capa!$A:$AE,BA$5,0))))</f>
        <v/>
      </c>
      <c r="BB316" s="118" t="str">
        <f>IF(BB$6="","",IF(BB$3="Maior",IFERROR(IF(VLOOKUP($N316,Capa!$A:$AE,BB$5,0)="",0,VLOOKUP($N316,Capa!$A:$AE,BB$5,0)),0),IF(ISERROR(1/VLOOKUP($N316,Capa!$A:$AE,BB$5,0)),0,1/VLOOKUP($N316,Capa!$A:$AE,BB$5,0))))</f>
        <v/>
      </c>
      <c r="BC316" s="118" t="str">
        <f>IF(BC$6="","",IF(BC$3="Maior",IFERROR(IF(VLOOKUP($N316,Capa!$A:$AE,BC$5,0)="",0,VLOOKUP($N316,Capa!$A:$AE,BC$5,0)),0),IF(ISERROR(1/VLOOKUP($N316,Capa!$A:$AE,BC$5,0)),0,1/VLOOKUP($N316,Capa!$A:$AE,BC$5,0))))</f>
        <v/>
      </c>
      <c r="BD316" s="118" t="str">
        <f>IF(BD$6="","",IF(BD$3="Maior",IFERROR(IF(VLOOKUP($N316,Capa!$A:$AE,BD$5,0)="",0,VLOOKUP($N316,Capa!$A:$AE,BD$5,0)),0),IF(ISERROR(1/VLOOKUP($N316,Capa!$A:$AE,BD$5,0)),0,1/VLOOKUP($N316,Capa!$A:$AE,BD$5,0))))</f>
        <v/>
      </c>
      <c r="BE316" s="118" t="str">
        <f>IF(BE$6="","",IF(BE$3="Maior",IFERROR(IF(VLOOKUP($N316,Capa!$A:$AE,BE$5,0)="",0,VLOOKUP($N316,Capa!$A:$AE,BE$5,0)),0),IF(ISERROR(1/VLOOKUP($N316,Capa!$A:$AE,BE$5,0)),0,1/VLOOKUP($N316,Capa!$A:$AE,BE$5,0))))</f>
        <v/>
      </c>
      <c r="BF316" s="118" t="str">
        <f>IF(BF$6="","",IF(BF$3="Maior",IFERROR(IF(VLOOKUP($N316,Capa!$A:$AE,BF$5,0)="",0,VLOOKUP($N316,Capa!$A:$AE,BF$5,0)),0),IF(ISERROR(1/VLOOKUP($N316,Capa!$A:$AE,BF$5,0)),0,1/VLOOKUP($N316,Capa!$A:$AE,BF$5,0))))</f>
        <v/>
      </c>
      <c r="BG316" s="118" t="str">
        <f>IF(BG$6="","",IF(BG$3="Maior",IFERROR(IF(VLOOKUP($N316,Capa!$A:$AE,BG$5,0)="",0,VLOOKUP($N316,Capa!$A:$AE,BG$5,0)),0),IF(ISERROR(1/VLOOKUP($N316,Capa!$A:$AE,BG$5,0)),0,1/VLOOKUP($N316,Capa!$A:$AE,BG$5,0))))</f>
        <v/>
      </c>
      <c r="BH316" s="118" t="str">
        <f>IF(BH$6="","",IF(BH$3="Maior",IFERROR(IF(VLOOKUP($N316,Capa!$A:$AE,BH$5,0)="",0,VLOOKUP($N316,Capa!$A:$AE,BH$5,0)),0),IF(ISERROR(1/VLOOKUP($N316,Capa!$A:$AE,BH$5,0)),0,1/VLOOKUP($N316,Capa!$A:$AE,BH$5,0))))</f>
        <v/>
      </c>
      <c r="BI316" s="118" t="str">
        <f>IF(BI$6="","",IF(BI$3="Maior",IFERROR(IF(VLOOKUP($N316,Capa!$A:$AE,BI$5,0)="",0,VLOOKUP($N316,Capa!$A:$AE,BI$5,0)),0),IF(ISERROR(1/VLOOKUP($N316,Capa!$A:$AE,BI$5,0)),0,1/VLOOKUP($N316,Capa!$A:$AE,BI$5,0))))</f>
        <v/>
      </c>
      <c r="BJ316" s="118" t="str">
        <f>IF(BJ$6="","",IF(BJ$3="Maior",IFERROR(IF(VLOOKUP($N316,Capa!$A:$AE,BJ$5,0)="",0,VLOOKUP($N316,Capa!$A:$AE,BJ$5,0)),0),IF(ISERROR(1/VLOOKUP($N316,Capa!$A:$AE,BJ$5,0)),0,1/VLOOKUP($N316,Capa!$A:$AE,BJ$5,0))))</f>
        <v/>
      </c>
      <c r="BK316" s="118" t="str">
        <f>IF(BK$6="","",IF(BK$3="Maior",IFERROR(IF(VLOOKUP($N316,Capa!$A:$AE,BK$5,0)="",0,VLOOKUP($N316,Capa!$A:$AE,BK$5,0)),0),IF(ISERROR(1/VLOOKUP($N316,Capa!$A:$AE,BK$5,0)),0,1/VLOOKUP($N316,Capa!$A:$AE,BK$5,0))))</f>
        <v/>
      </c>
      <c r="BL316" s="118" t="str">
        <f>IF(BL$6="","",IF(BL$3="Maior",IFERROR(IF(VLOOKUP($N316,Capa!$A:$AE,BL$5,0)="",0,VLOOKUP($N316,Capa!$A:$AE,BL$5,0)),0),IF(ISERROR(1/VLOOKUP($N316,Capa!$A:$AE,BL$5,0)),0,1/VLOOKUP($N316,Capa!$A:$AE,BL$5,0))))</f>
        <v/>
      </c>
      <c r="BM316" s="118" t="str">
        <f>IF(BM$6="","",IF(BM$3="Maior",IFERROR(IF(VLOOKUP($N316,Capa!$A:$AE,BM$5,0)="",0,VLOOKUP($N316,Capa!$A:$AE,BM$5,0)),0),IF(ISERROR(1/VLOOKUP($N316,Capa!$A:$AE,BM$5,0)),0,1/VLOOKUP($N316,Capa!$A:$AE,BM$5,0))))</f>
        <v/>
      </c>
      <c r="BN316" s="118" t="str">
        <f>IF(BN$6="","",IF(BN$3="Maior",IFERROR(IF(VLOOKUP($N316,Capa!$A:$AE,BN$5,0)="",0,VLOOKUP($N316,Capa!$A:$AE,BN$5,0)),0),IF(ISERROR(1/VLOOKUP($N316,Capa!$A:$AE,BN$5,0)),0,1/VLOOKUP($N316,Capa!$A:$AE,BN$5,0))))</f>
        <v/>
      </c>
      <c r="BO316" s="92"/>
    </row>
    <row r="317">
      <c r="G317" s="11"/>
      <c r="H317" s="11"/>
      <c r="I317" s="8"/>
      <c r="J317" s="132"/>
      <c r="K317" s="11"/>
      <c r="L317" s="11"/>
      <c r="M317" s="11"/>
      <c r="N317" s="10" t="s">
        <v>363</v>
      </c>
      <c r="O317" s="113">
        <f t="shared" si="8"/>
        <v>1898.0447</v>
      </c>
      <c r="P317" s="114">
        <f>VLOOKUP(N317,'Dados StatusInvest'!A:Z,26,0)</f>
        <v>377064.71</v>
      </c>
      <c r="Q317" s="115">
        <f t="shared" si="9"/>
        <v>447.0447</v>
      </c>
      <c r="R317" s="116">
        <f t="shared" ref="R317:AO317" si="320">IF(AQ317="","", RANK(AQ317,AQ$7:AQ$503,0))</f>
        <v>324</v>
      </c>
      <c r="S317" s="115">
        <f t="shared" si="320"/>
        <v>127</v>
      </c>
      <c r="T317" s="115" t="str">
        <f t="shared" si="320"/>
        <v/>
      </c>
      <c r="U317" s="115" t="str">
        <f t="shared" si="320"/>
        <v/>
      </c>
      <c r="V317" s="115" t="str">
        <f t="shared" si="320"/>
        <v/>
      </c>
      <c r="W317" s="115" t="str">
        <f t="shared" si="320"/>
        <v/>
      </c>
      <c r="X317" s="115" t="str">
        <f t="shared" si="320"/>
        <v/>
      </c>
      <c r="Y317" s="115" t="str">
        <f t="shared" si="320"/>
        <v/>
      </c>
      <c r="Z317" s="115" t="str">
        <f t="shared" si="320"/>
        <v/>
      </c>
      <c r="AA317" s="115" t="str">
        <f t="shared" si="320"/>
        <v/>
      </c>
      <c r="AB317" s="115" t="str">
        <f t="shared" si="320"/>
        <v/>
      </c>
      <c r="AC317" s="115" t="str">
        <f t="shared" si="320"/>
        <v/>
      </c>
      <c r="AD317" s="115" t="str">
        <f t="shared" si="320"/>
        <v/>
      </c>
      <c r="AE317" s="115" t="str">
        <f t="shared" si="320"/>
        <v/>
      </c>
      <c r="AF317" s="115" t="str">
        <f t="shared" si="320"/>
        <v/>
      </c>
      <c r="AG317" s="115" t="str">
        <f t="shared" si="320"/>
        <v/>
      </c>
      <c r="AH317" s="115" t="str">
        <f t="shared" si="320"/>
        <v/>
      </c>
      <c r="AI317" s="115" t="str">
        <f t="shared" si="320"/>
        <v/>
      </c>
      <c r="AJ317" s="115" t="str">
        <f t="shared" si="320"/>
        <v/>
      </c>
      <c r="AK317" s="115" t="str">
        <f t="shared" si="320"/>
        <v/>
      </c>
      <c r="AL317" s="115" t="str">
        <f t="shared" si="320"/>
        <v/>
      </c>
      <c r="AM317" s="115" t="str">
        <f t="shared" si="320"/>
        <v/>
      </c>
      <c r="AN317" s="115" t="str">
        <f t="shared" si="320"/>
        <v/>
      </c>
      <c r="AO317" s="115" t="str">
        <f t="shared" si="320"/>
        <v/>
      </c>
      <c r="AP317" s="117">
        <f>IF(AP$6="","",IF(AP$3="Maior",IFERROR(IF(VLOOKUP($N317,Capa!$A:$AE,AP$5,0)="",0,VLOOKUP($N317,Capa!$A:$AE,AP$5,0)),0),IF(ISERROR(1/VLOOKUP($N317,Capa!$A:$AE,AP$5,0)),0,1/VLOOKUP($N317,Capa!$A:$AE,AP$5,0))))</f>
        <v>-0.1101524756</v>
      </c>
      <c r="AQ317" s="118">
        <f>IF(AQ$6="","",IF(AQ$3="Maior",IFERROR(IF(VLOOKUP($N317,Capa!$A:$AE,AQ$5,0)="",0,VLOOKUP($N317,Capa!$A:$AE,AQ$5,0)),0),IF(ISERROR(1/VLOOKUP($N317,Capa!$A:$AE,AQ$5,0)),0,1/VLOOKUP($N317,Capa!$A:$AE,AQ$5,0))))</f>
        <v>3.34</v>
      </c>
      <c r="AR317" s="118">
        <f>IF(AR$6="","",IF(AR$3="Maior",IFERROR(IF(VLOOKUP($N317,Capa!$A:$AE,AR$5,0)="",0,VLOOKUP($N317,Capa!$A:$AE,AR$5,0)),0),IF(ISERROR(1/VLOOKUP($N317,Capa!$A:$AE,AR$5,0)),0,1/VLOOKUP($N317,Capa!$A:$AE,AR$5,0))))</f>
        <v>20.34</v>
      </c>
      <c r="AS317" s="118" t="str">
        <f>IF(AS$6="","",IF(AS$3="Maior",IFERROR(IF(VLOOKUP($N317,Capa!$A:$AE,AS$5,0)="",0,VLOOKUP($N317,Capa!$A:$AE,AS$5,0)),0),IF(ISERROR(1/VLOOKUP($N317,Capa!$A:$AE,AS$5,0)),0,1/VLOOKUP($N317,Capa!$A:$AE,AS$5,0))))</f>
        <v/>
      </c>
      <c r="AT317" s="118" t="str">
        <f>IF(AT$6="","",IF(AT$3="Maior",IFERROR(IF(VLOOKUP($N317,Capa!$A:$AE,AT$5,0)="",0,VLOOKUP($N317,Capa!$A:$AE,AT$5,0)),0),IF(ISERROR(1/VLOOKUP($N317,Capa!$A:$AE,AT$5,0)),0,1/VLOOKUP($N317,Capa!$A:$AE,AT$5,0))))</f>
        <v/>
      </c>
      <c r="AU317" s="118" t="str">
        <f>IF(AU$6="","",IF(AU$3="Maior",IFERROR(IF(VLOOKUP($N317,Capa!$A:$AE,AU$5,0)="",0,VLOOKUP($N317,Capa!$A:$AE,AU$5,0)),0),IF(ISERROR(1/VLOOKUP($N317,Capa!$A:$AE,AU$5,0)),0,1/VLOOKUP($N317,Capa!$A:$AE,AU$5,0))))</f>
        <v/>
      </c>
      <c r="AV317" s="118" t="str">
        <f>IF(AV$6="","",IF(AV$3="Maior",IFERROR(IF(VLOOKUP($N317,Capa!$A:$AE,AV$5,0)="",0,VLOOKUP($N317,Capa!$A:$AE,AV$5,0)),0),IF(ISERROR(1/VLOOKUP($N317,Capa!$A:$AE,AV$5,0)),0,1/VLOOKUP($N317,Capa!$A:$AE,AV$5,0))))</f>
        <v/>
      </c>
      <c r="AW317" s="118" t="str">
        <f>IF(AW$6="","",IF(AW$3="Maior",IFERROR(IF(VLOOKUP($N317,Capa!$A:$AE,AW$5,0)="",0,VLOOKUP($N317,Capa!$A:$AE,AW$5,0)),0),IF(ISERROR(1/VLOOKUP($N317,Capa!$A:$AE,AW$5,0)),0,1/VLOOKUP($N317,Capa!$A:$AE,AW$5,0))))</f>
        <v/>
      </c>
      <c r="AX317" s="118" t="str">
        <f>IF(AX$6="","",IF(AX$3="Maior",IFERROR(IF(VLOOKUP($N317,Capa!$A:$AE,AX$5,0)="",0,VLOOKUP($N317,Capa!$A:$AE,AX$5,0)),0),IF(ISERROR(1/VLOOKUP($N317,Capa!$A:$AE,AX$5,0)),0,1/VLOOKUP($N317,Capa!$A:$AE,AX$5,0))))</f>
        <v/>
      </c>
      <c r="AY317" s="118" t="str">
        <f>IF(AY$6="","",IF(AY$3="Maior",IFERROR(IF(VLOOKUP($N317,Capa!$A:$AE,AY$5,0)="",0,VLOOKUP($N317,Capa!$A:$AE,AY$5,0)),0),IF(ISERROR(1/VLOOKUP($N317,Capa!$A:$AE,AY$5,0)),0,1/VLOOKUP($N317,Capa!$A:$AE,AY$5,0))))</f>
        <v/>
      </c>
      <c r="AZ317" s="118" t="str">
        <f>IF(AZ$6="","",IF(AZ$3="Maior",IFERROR(IF(VLOOKUP($N317,Capa!$A:$AE,AZ$5,0)="",0,VLOOKUP($N317,Capa!$A:$AE,AZ$5,0)),0),IF(ISERROR(1/VLOOKUP($N317,Capa!$A:$AE,AZ$5,0)),0,1/VLOOKUP($N317,Capa!$A:$AE,AZ$5,0))))</f>
        <v/>
      </c>
      <c r="BA317" s="118" t="str">
        <f>IF(BA$6="","",IF(BA$3="Maior",IFERROR(IF(VLOOKUP($N317,Capa!$A:$AE,BA$5,0)="",0,VLOOKUP($N317,Capa!$A:$AE,BA$5,0)),0),IF(ISERROR(1/VLOOKUP($N317,Capa!$A:$AE,BA$5,0)),0,1/VLOOKUP($N317,Capa!$A:$AE,BA$5,0))))</f>
        <v/>
      </c>
      <c r="BB317" s="118" t="str">
        <f>IF(BB$6="","",IF(BB$3="Maior",IFERROR(IF(VLOOKUP($N317,Capa!$A:$AE,BB$5,0)="",0,VLOOKUP($N317,Capa!$A:$AE,BB$5,0)),0),IF(ISERROR(1/VLOOKUP($N317,Capa!$A:$AE,BB$5,0)),0,1/VLOOKUP($N317,Capa!$A:$AE,BB$5,0))))</f>
        <v/>
      </c>
      <c r="BC317" s="118" t="str">
        <f>IF(BC$6="","",IF(BC$3="Maior",IFERROR(IF(VLOOKUP($N317,Capa!$A:$AE,BC$5,0)="",0,VLOOKUP($N317,Capa!$A:$AE,BC$5,0)),0),IF(ISERROR(1/VLOOKUP($N317,Capa!$A:$AE,BC$5,0)),0,1/VLOOKUP($N317,Capa!$A:$AE,BC$5,0))))</f>
        <v/>
      </c>
      <c r="BD317" s="118" t="str">
        <f>IF(BD$6="","",IF(BD$3="Maior",IFERROR(IF(VLOOKUP($N317,Capa!$A:$AE,BD$5,0)="",0,VLOOKUP($N317,Capa!$A:$AE,BD$5,0)),0),IF(ISERROR(1/VLOOKUP($N317,Capa!$A:$AE,BD$5,0)),0,1/VLOOKUP($N317,Capa!$A:$AE,BD$5,0))))</f>
        <v/>
      </c>
      <c r="BE317" s="118" t="str">
        <f>IF(BE$6="","",IF(BE$3="Maior",IFERROR(IF(VLOOKUP($N317,Capa!$A:$AE,BE$5,0)="",0,VLOOKUP($N317,Capa!$A:$AE,BE$5,0)),0),IF(ISERROR(1/VLOOKUP($N317,Capa!$A:$AE,BE$5,0)),0,1/VLOOKUP($N317,Capa!$A:$AE,BE$5,0))))</f>
        <v/>
      </c>
      <c r="BF317" s="118" t="str">
        <f>IF(BF$6="","",IF(BF$3="Maior",IFERROR(IF(VLOOKUP($N317,Capa!$A:$AE,BF$5,0)="",0,VLOOKUP($N317,Capa!$A:$AE,BF$5,0)),0),IF(ISERROR(1/VLOOKUP($N317,Capa!$A:$AE,BF$5,0)),0,1/VLOOKUP($N317,Capa!$A:$AE,BF$5,0))))</f>
        <v/>
      </c>
      <c r="BG317" s="118" t="str">
        <f>IF(BG$6="","",IF(BG$3="Maior",IFERROR(IF(VLOOKUP($N317,Capa!$A:$AE,BG$5,0)="",0,VLOOKUP($N317,Capa!$A:$AE,BG$5,0)),0),IF(ISERROR(1/VLOOKUP($N317,Capa!$A:$AE,BG$5,0)),0,1/VLOOKUP($N317,Capa!$A:$AE,BG$5,0))))</f>
        <v/>
      </c>
      <c r="BH317" s="118" t="str">
        <f>IF(BH$6="","",IF(BH$3="Maior",IFERROR(IF(VLOOKUP($N317,Capa!$A:$AE,BH$5,0)="",0,VLOOKUP($N317,Capa!$A:$AE,BH$5,0)),0),IF(ISERROR(1/VLOOKUP($N317,Capa!$A:$AE,BH$5,0)),0,1/VLOOKUP($N317,Capa!$A:$AE,BH$5,0))))</f>
        <v/>
      </c>
      <c r="BI317" s="118" t="str">
        <f>IF(BI$6="","",IF(BI$3="Maior",IFERROR(IF(VLOOKUP($N317,Capa!$A:$AE,BI$5,0)="",0,VLOOKUP($N317,Capa!$A:$AE,BI$5,0)),0),IF(ISERROR(1/VLOOKUP($N317,Capa!$A:$AE,BI$5,0)),0,1/VLOOKUP($N317,Capa!$A:$AE,BI$5,0))))</f>
        <v/>
      </c>
      <c r="BJ317" s="118" t="str">
        <f>IF(BJ$6="","",IF(BJ$3="Maior",IFERROR(IF(VLOOKUP($N317,Capa!$A:$AE,BJ$5,0)="",0,VLOOKUP($N317,Capa!$A:$AE,BJ$5,0)),0),IF(ISERROR(1/VLOOKUP($N317,Capa!$A:$AE,BJ$5,0)),0,1/VLOOKUP($N317,Capa!$A:$AE,BJ$5,0))))</f>
        <v/>
      </c>
      <c r="BK317" s="118" t="str">
        <f>IF(BK$6="","",IF(BK$3="Maior",IFERROR(IF(VLOOKUP($N317,Capa!$A:$AE,BK$5,0)="",0,VLOOKUP($N317,Capa!$A:$AE,BK$5,0)),0),IF(ISERROR(1/VLOOKUP($N317,Capa!$A:$AE,BK$5,0)),0,1/VLOOKUP($N317,Capa!$A:$AE,BK$5,0))))</f>
        <v/>
      </c>
      <c r="BL317" s="118" t="str">
        <f>IF(BL$6="","",IF(BL$3="Maior",IFERROR(IF(VLOOKUP($N317,Capa!$A:$AE,BL$5,0)="",0,VLOOKUP($N317,Capa!$A:$AE,BL$5,0)),0),IF(ISERROR(1/VLOOKUP($N317,Capa!$A:$AE,BL$5,0)),0,1/VLOOKUP($N317,Capa!$A:$AE,BL$5,0))))</f>
        <v/>
      </c>
      <c r="BM317" s="118" t="str">
        <f>IF(BM$6="","",IF(BM$3="Maior",IFERROR(IF(VLOOKUP($N317,Capa!$A:$AE,BM$5,0)="",0,VLOOKUP($N317,Capa!$A:$AE,BM$5,0)),0),IF(ISERROR(1/VLOOKUP($N317,Capa!$A:$AE,BM$5,0)),0,1/VLOOKUP($N317,Capa!$A:$AE,BM$5,0))))</f>
        <v/>
      </c>
      <c r="BN317" s="118" t="str">
        <f>IF(BN$6="","",IF(BN$3="Maior",IFERROR(IF(VLOOKUP($N317,Capa!$A:$AE,BN$5,0)="",0,VLOOKUP($N317,Capa!$A:$AE,BN$5,0)),0),IF(ISERROR(1/VLOOKUP($N317,Capa!$A:$AE,BN$5,0)),0,1/VLOOKUP($N317,Capa!$A:$AE,BN$5,0))))</f>
        <v/>
      </c>
      <c r="BO317" s="92"/>
    </row>
    <row r="318">
      <c r="G318" s="11"/>
      <c r="H318" s="11"/>
      <c r="I318" s="8"/>
      <c r="J318" s="132"/>
      <c r="K318" s="11"/>
      <c r="L318" s="11"/>
      <c r="M318" s="11"/>
      <c r="N318" s="10" t="s">
        <v>364</v>
      </c>
      <c r="O318" s="113">
        <f t="shared" si="8"/>
        <v>2033.0273</v>
      </c>
      <c r="P318" s="114">
        <f>VLOOKUP(N318,'Dados StatusInvest'!A:Z,26,0)</f>
        <v>308684.38</v>
      </c>
      <c r="Q318" s="115">
        <f t="shared" si="9"/>
        <v>273.0273</v>
      </c>
      <c r="R318" s="116">
        <f t="shared" ref="R318:AO318" si="321">IF(AQ318="","", RANK(AQ318,AQ$7:AQ$503,0))</f>
        <v>285</v>
      </c>
      <c r="S318" s="115">
        <f t="shared" si="321"/>
        <v>475</v>
      </c>
      <c r="T318" s="115" t="str">
        <f t="shared" si="321"/>
        <v/>
      </c>
      <c r="U318" s="115" t="str">
        <f t="shared" si="321"/>
        <v/>
      </c>
      <c r="V318" s="115" t="str">
        <f t="shared" si="321"/>
        <v/>
      </c>
      <c r="W318" s="115" t="str">
        <f t="shared" si="321"/>
        <v/>
      </c>
      <c r="X318" s="115" t="str">
        <f t="shared" si="321"/>
        <v/>
      </c>
      <c r="Y318" s="115" t="str">
        <f t="shared" si="321"/>
        <v/>
      </c>
      <c r="Z318" s="115" t="str">
        <f t="shared" si="321"/>
        <v/>
      </c>
      <c r="AA318" s="115" t="str">
        <f t="shared" si="321"/>
        <v/>
      </c>
      <c r="AB318" s="115" t="str">
        <f t="shared" si="321"/>
        <v/>
      </c>
      <c r="AC318" s="115" t="str">
        <f t="shared" si="321"/>
        <v/>
      </c>
      <c r="AD318" s="115" t="str">
        <f t="shared" si="321"/>
        <v/>
      </c>
      <c r="AE318" s="115" t="str">
        <f t="shared" si="321"/>
        <v/>
      </c>
      <c r="AF318" s="115" t="str">
        <f t="shared" si="321"/>
        <v/>
      </c>
      <c r="AG318" s="115" t="str">
        <f t="shared" si="321"/>
        <v/>
      </c>
      <c r="AH318" s="115" t="str">
        <f t="shared" si="321"/>
        <v/>
      </c>
      <c r="AI318" s="115" t="str">
        <f t="shared" si="321"/>
        <v/>
      </c>
      <c r="AJ318" s="115" t="str">
        <f t="shared" si="321"/>
        <v/>
      </c>
      <c r="AK318" s="115" t="str">
        <f t="shared" si="321"/>
        <v/>
      </c>
      <c r="AL318" s="115" t="str">
        <f t="shared" si="321"/>
        <v/>
      </c>
      <c r="AM318" s="115" t="str">
        <f t="shared" si="321"/>
        <v/>
      </c>
      <c r="AN318" s="115" t="str">
        <f t="shared" si="321"/>
        <v/>
      </c>
      <c r="AO318" s="115" t="str">
        <f t="shared" si="321"/>
        <v/>
      </c>
      <c r="AP318" s="117">
        <f>IF(AP$6="","",IF(AP$3="Maior",IFERROR(IF(VLOOKUP($N318,Capa!$A:$AE,AP$5,0)="",0,VLOOKUP($N318,Capa!$A:$AE,AP$5,0)),0),IF(ISERROR(1/VLOOKUP($N318,Capa!$A:$AE,AP$5,0)),0,1/VLOOKUP($N318,Capa!$A:$AE,AP$5,0))))</f>
        <v>0.06980402199</v>
      </c>
      <c r="AQ318" s="118">
        <f>IF(AQ$6="","",IF(AQ$3="Maior",IFERROR(IF(VLOOKUP($N318,Capa!$A:$AE,AQ$5,0)="",0,VLOOKUP($N318,Capa!$A:$AE,AQ$5,0)),0),IF(ISERROR(1/VLOOKUP($N318,Capa!$A:$AE,AQ$5,0)),0,1/VLOOKUP($N318,Capa!$A:$AE,AQ$5,0))))</f>
        <v>5.95</v>
      </c>
      <c r="AR318" s="118">
        <f>IF(AR$6="","",IF(AR$3="Maior",IFERROR(IF(VLOOKUP($N318,Capa!$A:$AE,AR$5,0)="",0,VLOOKUP($N318,Capa!$A:$AE,AR$5,0)),0),IF(ISERROR(1/VLOOKUP($N318,Capa!$A:$AE,AR$5,0)),0,1/VLOOKUP($N318,Capa!$A:$AE,AR$5,0))))</f>
        <v>-10.46</v>
      </c>
      <c r="AS318" s="118" t="str">
        <f>IF(AS$6="","",IF(AS$3="Maior",IFERROR(IF(VLOOKUP($N318,Capa!$A:$AE,AS$5,0)="",0,VLOOKUP($N318,Capa!$A:$AE,AS$5,0)),0),IF(ISERROR(1/VLOOKUP($N318,Capa!$A:$AE,AS$5,0)),0,1/VLOOKUP($N318,Capa!$A:$AE,AS$5,0))))</f>
        <v/>
      </c>
      <c r="AT318" s="118" t="str">
        <f>IF(AT$6="","",IF(AT$3="Maior",IFERROR(IF(VLOOKUP($N318,Capa!$A:$AE,AT$5,0)="",0,VLOOKUP($N318,Capa!$A:$AE,AT$5,0)),0),IF(ISERROR(1/VLOOKUP($N318,Capa!$A:$AE,AT$5,0)),0,1/VLOOKUP($N318,Capa!$A:$AE,AT$5,0))))</f>
        <v/>
      </c>
      <c r="AU318" s="118" t="str">
        <f>IF(AU$6="","",IF(AU$3="Maior",IFERROR(IF(VLOOKUP($N318,Capa!$A:$AE,AU$5,0)="",0,VLOOKUP($N318,Capa!$A:$AE,AU$5,0)),0),IF(ISERROR(1/VLOOKUP($N318,Capa!$A:$AE,AU$5,0)),0,1/VLOOKUP($N318,Capa!$A:$AE,AU$5,0))))</f>
        <v/>
      </c>
      <c r="AV318" s="118" t="str">
        <f>IF(AV$6="","",IF(AV$3="Maior",IFERROR(IF(VLOOKUP($N318,Capa!$A:$AE,AV$5,0)="",0,VLOOKUP($N318,Capa!$A:$AE,AV$5,0)),0),IF(ISERROR(1/VLOOKUP($N318,Capa!$A:$AE,AV$5,0)),0,1/VLOOKUP($N318,Capa!$A:$AE,AV$5,0))))</f>
        <v/>
      </c>
      <c r="AW318" s="118" t="str">
        <f>IF(AW$6="","",IF(AW$3="Maior",IFERROR(IF(VLOOKUP($N318,Capa!$A:$AE,AW$5,0)="",0,VLOOKUP($N318,Capa!$A:$AE,AW$5,0)),0),IF(ISERROR(1/VLOOKUP($N318,Capa!$A:$AE,AW$5,0)),0,1/VLOOKUP($N318,Capa!$A:$AE,AW$5,0))))</f>
        <v/>
      </c>
      <c r="AX318" s="118" t="str">
        <f>IF(AX$6="","",IF(AX$3="Maior",IFERROR(IF(VLOOKUP($N318,Capa!$A:$AE,AX$5,0)="",0,VLOOKUP($N318,Capa!$A:$AE,AX$5,0)),0),IF(ISERROR(1/VLOOKUP($N318,Capa!$A:$AE,AX$5,0)),0,1/VLOOKUP($N318,Capa!$A:$AE,AX$5,0))))</f>
        <v/>
      </c>
      <c r="AY318" s="118" t="str">
        <f>IF(AY$6="","",IF(AY$3="Maior",IFERROR(IF(VLOOKUP($N318,Capa!$A:$AE,AY$5,0)="",0,VLOOKUP($N318,Capa!$A:$AE,AY$5,0)),0),IF(ISERROR(1/VLOOKUP($N318,Capa!$A:$AE,AY$5,0)),0,1/VLOOKUP($N318,Capa!$A:$AE,AY$5,0))))</f>
        <v/>
      </c>
      <c r="AZ318" s="118" t="str">
        <f>IF(AZ$6="","",IF(AZ$3="Maior",IFERROR(IF(VLOOKUP($N318,Capa!$A:$AE,AZ$5,0)="",0,VLOOKUP($N318,Capa!$A:$AE,AZ$5,0)),0),IF(ISERROR(1/VLOOKUP($N318,Capa!$A:$AE,AZ$5,0)),0,1/VLOOKUP($N318,Capa!$A:$AE,AZ$5,0))))</f>
        <v/>
      </c>
      <c r="BA318" s="118" t="str">
        <f>IF(BA$6="","",IF(BA$3="Maior",IFERROR(IF(VLOOKUP($N318,Capa!$A:$AE,BA$5,0)="",0,VLOOKUP($N318,Capa!$A:$AE,BA$5,0)),0),IF(ISERROR(1/VLOOKUP($N318,Capa!$A:$AE,BA$5,0)),0,1/VLOOKUP($N318,Capa!$A:$AE,BA$5,0))))</f>
        <v/>
      </c>
      <c r="BB318" s="118" t="str">
        <f>IF(BB$6="","",IF(BB$3="Maior",IFERROR(IF(VLOOKUP($N318,Capa!$A:$AE,BB$5,0)="",0,VLOOKUP($N318,Capa!$A:$AE,BB$5,0)),0),IF(ISERROR(1/VLOOKUP($N318,Capa!$A:$AE,BB$5,0)),0,1/VLOOKUP($N318,Capa!$A:$AE,BB$5,0))))</f>
        <v/>
      </c>
      <c r="BC318" s="118" t="str">
        <f>IF(BC$6="","",IF(BC$3="Maior",IFERROR(IF(VLOOKUP($N318,Capa!$A:$AE,BC$5,0)="",0,VLOOKUP($N318,Capa!$A:$AE,BC$5,0)),0),IF(ISERROR(1/VLOOKUP($N318,Capa!$A:$AE,BC$5,0)),0,1/VLOOKUP($N318,Capa!$A:$AE,BC$5,0))))</f>
        <v/>
      </c>
      <c r="BD318" s="118" t="str">
        <f>IF(BD$6="","",IF(BD$3="Maior",IFERROR(IF(VLOOKUP($N318,Capa!$A:$AE,BD$5,0)="",0,VLOOKUP($N318,Capa!$A:$AE,BD$5,0)),0),IF(ISERROR(1/VLOOKUP($N318,Capa!$A:$AE,BD$5,0)),0,1/VLOOKUP($N318,Capa!$A:$AE,BD$5,0))))</f>
        <v/>
      </c>
      <c r="BE318" s="118" t="str">
        <f>IF(BE$6="","",IF(BE$3="Maior",IFERROR(IF(VLOOKUP($N318,Capa!$A:$AE,BE$5,0)="",0,VLOOKUP($N318,Capa!$A:$AE,BE$5,0)),0),IF(ISERROR(1/VLOOKUP($N318,Capa!$A:$AE,BE$5,0)),0,1/VLOOKUP($N318,Capa!$A:$AE,BE$5,0))))</f>
        <v/>
      </c>
      <c r="BF318" s="118" t="str">
        <f>IF(BF$6="","",IF(BF$3="Maior",IFERROR(IF(VLOOKUP($N318,Capa!$A:$AE,BF$5,0)="",0,VLOOKUP($N318,Capa!$A:$AE,BF$5,0)),0),IF(ISERROR(1/VLOOKUP($N318,Capa!$A:$AE,BF$5,0)),0,1/VLOOKUP($N318,Capa!$A:$AE,BF$5,0))))</f>
        <v/>
      </c>
      <c r="BG318" s="118" t="str">
        <f>IF(BG$6="","",IF(BG$3="Maior",IFERROR(IF(VLOOKUP($N318,Capa!$A:$AE,BG$5,0)="",0,VLOOKUP($N318,Capa!$A:$AE,BG$5,0)),0),IF(ISERROR(1/VLOOKUP($N318,Capa!$A:$AE,BG$5,0)),0,1/VLOOKUP($N318,Capa!$A:$AE,BG$5,0))))</f>
        <v/>
      </c>
      <c r="BH318" s="118" t="str">
        <f>IF(BH$6="","",IF(BH$3="Maior",IFERROR(IF(VLOOKUP($N318,Capa!$A:$AE,BH$5,0)="",0,VLOOKUP($N318,Capa!$A:$AE,BH$5,0)),0),IF(ISERROR(1/VLOOKUP($N318,Capa!$A:$AE,BH$5,0)),0,1/VLOOKUP($N318,Capa!$A:$AE,BH$5,0))))</f>
        <v/>
      </c>
      <c r="BI318" s="118" t="str">
        <f>IF(BI$6="","",IF(BI$3="Maior",IFERROR(IF(VLOOKUP($N318,Capa!$A:$AE,BI$5,0)="",0,VLOOKUP($N318,Capa!$A:$AE,BI$5,0)),0),IF(ISERROR(1/VLOOKUP($N318,Capa!$A:$AE,BI$5,0)),0,1/VLOOKUP($N318,Capa!$A:$AE,BI$5,0))))</f>
        <v/>
      </c>
      <c r="BJ318" s="118" t="str">
        <f>IF(BJ$6="","",IF(BJ$3="Maior",IFERROR(IF(VLOOKUP($N318,Capa!$A:$AE,BJ$5,0)="",0,VLOOKUP($N318,Capa!$A:$AE,BJ$5,0)),0),IF(ISERROR(1/VLOOKUP($N318,Capa!$A:$AE,BJ$5,0)),0,1/VLOOKUP($N318,Capa!$A:$AE,BJ$5,0))))</f>
        <v/>
      </c>
      <c r="BK318" s="118" t="str">
        <f>IF(BK$6="","",IF(BK$3="Maior",IFERROR(IF(VLOOKUP($N318,Capa!$A:$AE,BK$5,0)="",0,VLOOKUP($N318,Capa!$A:$AE,BK$5,0)),0),IF(ISERROR(1/VLOOKUP($N318,Capa!$A:$AE,BK$5,0)),0,1/VLOOKUP($N318,Capa!$A:$AE,BK$5,0))))</f>
        <v/>
      </c>
      <c r="BL318" s="118" t="str">
        <f>IF(BL$6="","",IF(BL$3="Maior",IFERROR(IF(VLOOKUP($N318,Capa!$A:$AE,BL$5,0)="",0,VLOOKUP($N318,Capa!$A:$AE,BL$5,0)),0),IF(ISERROR(1/VLOOKUP($N318,Capa!$A:$AE,BL$5,0)),0,1/VLOOKUP($N318,Capa!$A:$AE,BL$5,0))))</f>
        <v/>
      </c>
      <c r="BM318" s="118" t="str">
        <f>IF(BM$6="","",IF(BM$3="Maior",IFERROR(IF(VLOOKUP($N318,Capa!$A:$AE,BM$5,0)="",0,VLOOKUP($N318,Capa!$A:$AE,BM$5,0)),0),IF(ISERROR(1/VLOOKUP($N318,Capa!$A:$AE,BM$5,0)),0,1/VLOOKUP($N318,Capa!$A:$AE,BM$5,0))))</f>
        <v/>
      </c>
      <c r="BN318" s="118" t="str">
        <f>IF(BN$6="","",IF(BN$3="Maior",IFERROR(IF(VLOOKUP($N318,Capa!$A:$AE,BN$5,0)="",0,VLOOKUP($N318,Capa!$A:$AE,BN$5,0)),0),IF(ISERROR(1/VLOOKUP($N318,Capa!$A:$AE,BN$5,0)),0,1/VLOOKUP($N318,Capa!$A:$AE,BN$5,0))))</f>
        <v/>
      </c>
      <c r="BO318" s="92"/>
    </row>
    <row r="319">
      <c r="G319" s="11"/>
      <c r="H319" s="11"/>
      <c r="I319" s="8"/>
      <c r="J319" s="132"/>
      <c r="K319" s="11"/>
      <c r="L319" s="11"/>
      <c r="M319" s="11"/>
      <c r="N319" s="10" t="s">
        <v>365</v>
      </c>
      <c r="O319" s="113">
        <f t="shared" si="8"/>
        <v>1422.0181</v>
      </c>
      <c r="P319" s="114">
        <f>VLOOKUP(N319,'Dados StatusInvest'!A:Z,26,0)</f>
        <v>253030.17</v>
      </c>
      <c r="Q319" s="115">
        <f t="shared" si="9"/>
        <v>181.0181</v>
      </c>
      <c r="R319" s="116">
        <f t="shared" ref="R319:AO319" si="322">IF(AQ319="","", RANK(AQ319,AQ$7:AQ$503,0))</f>
        <v>239</v>
      </c>
      <c r="S319" s="115">
        <f t="shared" si="322"/>
        <v>2</v>
      </c>
      <c r="T319" s="115" t="str">
        <f t="shared" si="322"/>
        <v/>
      </c>
      <c r="U319" s="115" t="str">
        <f t="shared" si="322"/>
        <v/>
      </c>
      <c r="V319" s="115" t="str">
        <f t="shared" si="322"/>
        <v/>
      </c>
      <c r="W319" s="115" t="str">
        <f t="shared" si="322"/>
        <v/>
      </c>
      <c r="X319" s="115" t="str">
        <f t="shared" si="322"/>
        <v/>
      </c>
      <c r="Y319" s="115" t="str">
        <f t="shared" si="322"/>
        <v/>
      </c>
      <c r="Z319" s="115" t="str">
        <f t="shared" si="322"/>
        <v/>
      </c>
      <c r="AA319" s="115" t="str">
        <f t="shared" si="322"/>
        <v/>
      </c>
      <c r="AB319" s="115" t="str">
        <f t="shared" si="322"/>
        <v/>
      </c>
      <c r="AC319" s="115" t="str">
        <f t="shared" si="322"/>
        <v/>
      </c>
      <c r="AD319" s="115" t="str">
        <f t="shared" si="322"/>
        <v/>
      </c>
      <c r="AE319" s="115" t="str">
        <f t="shared" si="322"/>
        <v/>
      </c>
      <c r="AF319" s="115" t="str">
        <f t="shared" si="322"/>
        <v/>
      </c>
      <c r="AG319" s="115" t="str">
        <f t="shared" si="322"/>
        <v/>
      </c>
      <c r="AH319" s="115" t="str">
        <f t="shared" si="322"/>
        <v/>
      </c>
      <c r="AI319" s="115" t="str">
        <f t="shared" si="322"/>
        <v/>
      </c>
      <c r="AJ319" s="115" t="str">
        <f t="shared" si="322"/>
        <v/>
      </c>
      <c r="AK319" s="115" t="str">
        <f t="shared" si="322"/>
        <v/>
      </c>
      <c r="AL319" s="115" t="str">
        <f t="shared" si="322"/>
        <v/>
      </c>
      <c r="AM319" s="115" t="str">
        <f t="shared" si="322"/>
        <v/>
      </c>
      <c r="AN319" s="115" t="str">
        <f t="shared" si="322"/>
        <v/>
      </c>
      <c r="AO319" s="115" t="str">
        <f t="shared" si="322"/>
        <v/>
      </c>
      <c r="AP319" s="117">
        <f>IF(AP$6="","",IF(AP$3="Maior",IFERROR(IF(VLOOKUP($N319,Capa!$A:$AE,AP$5,0)="",0,VLOOKUP($N319,Capa!$A:$AE,AP$5,0)),0),IF(ISERROR(1/VLOOKUP($N319,Capa!$A:$AE,AP$5,0)),0,1/VLOOKUP($N319,Capa!$A:$AE,AP$5,0))))</f>
        <v>0.1144842068</v>
      </c>
      <c r="AQ319" s="118">
        <f>IF(AQ$6="","",IF(AQ$3="Maior",IFERROR(IF(VLOOKUP($N319,Capa!$A:$AE,AQ$5,0)="",0,VLOOKUP($N319,Capa!$A:$AE,AQ$5,0)),0),IF(ISERROR(1/VLOOKUP($N319,Capa!$A:$AE,AQ$5,0)),0,1/VLOOKUP($N319,Capa!$A:$AE,AQ$5,0))))</f>
        <v>8.56</v>
      </c>
      <c r="AR319" s="118">
        <f>IF(AR$6="","",IF(AR$3="Maior",IFERROR(IF(VLOOKUP($N319,Capa!$A:$AE,AR$5,0)="",0,VLOOKUP($N319,Capa!$A:$AE,AR$5,0)),0),IF(ISERROR(1/VLOOKUP($N319,Capa!$A:$AE,AR$5,0)),0,1/VLOOKUP($N319,Capa!$A:$AE,AR$5,0))))</f>
        <v>196.51</v>
      </c>
      <c r="AS319" s="118" t="str">
        <f>IF(AS$6="","",IF(AS$3="Maior",IFERROR(IF(VLOOKUP($N319,Capa!$A:$AE,AS$5,0)="",0,VLOOKUP($N319,Capa!$A:$AE,AS$5,0)),0),IF(ISERROR(1/VLOOKUP($N319,Capa!$A:$AE,AS$5,0)),0,1/VLOOKUP($N319,Capa!$A:$AE,AS$5,0))))</f>
        <v/>
      </c>
      <c r="AT319" s="118" t="str">
        <f>IF(AT$6="","",IF(AT$3="Maior",IFERROR(IF(VLOOKUP($N319,Capa!$A:$AE,AT$5,0)="",0,VLOOKUP($N319,Capa!$A:$AE,AT$5,0)),0),IF(ISERROR(1/VLOOKUP($N319,Capa!$A:$AE,AT$5,0)),0,1/VLOOKUP($N319,Capa!$A:$AE,AT$5,0))))</f>
        <v/>
      </c>
      <c r="AU319" s="118" t="str">
        <f>IF(AU$6="","",IF(AU$3="Maior",IFERROR(IF(VLOOKUP($N319,Capa!$A:$AE,AU$5,0)="",0,VLOOKUP($N319,Capa!$A:$AE,AU$5,0)),0),IF(ISERROR(1/VLOOKUP($N319,Capa!$A:$AE,AU$5,0)),0,1/VLOOKUP($N319,Capa!$A:$AE,AU$5,0))))</f>
        <v/>
      </c>
      <c r="AV319" s="118" t="str">
        <f>IF(AV$6="","",IF(AV$3="Maior",IFERROR(IF(VLOOKUP($N319,Capa!$A:$AE,AV$5,0)="",0,VLOOKUP($N319,Capa!$A:$AE,AV$5,0)),0),IF(ISERROR(1/VLOOKUP($N319,Capa!$A:$AE,AV$5,0)),0,1/VLOOKUP($N319,Capa!$A:$AE,AV$5,0))))</f>
        <v/>
      </c>
      <c r="AW319" s="118" t="str">
        <f>IF(AW$6="","",IF(AW$3="Maior",IFERROR(IF(VLOOKUP($N319,Capa!$A:$AE,AW$5,0)="",0,VLOOKUP($N319,Capa!$A:$AE,AW$5,0)),0),IF(ISERROR(1/VLOOKUP($N319,Capa!$A:$AE,AW$5,0)),0,1/VLOOKUP($N319,Capa!$A:$AE,AW$5,0))))</f>
        <v/>
      </c>
      <c r="AX319" s="118" t="str">
        <f>IF(AX$6="","",IF(AX$3="Maior",IFERROR(IF(VLOOKUP($N319,Capa!$A:$AE,AX$5,0)="",0,VLOOKUP($N319,Capa!$A:$AE,AX$5,0)),0),IF(ISERROR(1/VLOOKUP($N319,Capa!$A:$AE,AX$5,0)),0,1/VLOOKUP($N319,Capa!$A:$AE,AX$5,0))))</f>
        <v/>
      </c>
      <c r="AY319" s="118" t="str">
        <f>IF(AY$6="","",IF(AY$3="Maior",IFERROR(IF(VLOOKUP($N319,Capa!$A:$AE,AY$5,0)="",0,VLOOKUP($N319,Capa!$A:$AE,AY$5,0)),0),IF(ISERROR(1/VLOOKUP($N319,Capa!$A:$AE,AY$5,0)),0,1/VLOOKUP($N319,Capa!$A:$AE,AY$5,0))))</f>
        <v/>
      </c>
      <c r="AZ319" s="118" t="str">
        <f>IF(AZ$6="","",IF(AZ$3="Maior",IFERROR(IF(VLOOKUP($N319,Capa!$A:$AE,AZ$5,0)="",0,VLOOKUP($N319,Capa!$A:$AE,AZ$5,0)),0),IF(ISERROR(1/VLOOKUP($N319,Capa!$A:$AE,AZ$5,0)),0,1/VLOOKUP($N319,Capa!$A:$AE,AZ$5,0))))</f>
        <v/>
      </c>
      <c r="BA319" s="118" t="str">
        <f>IF(BA$6="","",IF(BA$3="Maior",IFERROR(IF(VLOOKUP($N319,Capa!$A:$AE,BA$5,0)="",0,VLOOKUP($N319,Capa!$A:$AE,BA$5,0)),0),IF(ISERROR(1/VLOOKUP($N319,Capa!$A:$AE,BA$5,0)),0,1/VLOOKUP($N319,Capa!$A:$AE,BA$5,0))))</f>
        <v/>
      </c>
      <c r="BB319" s="118" t="str">
        <f>IF(BB$6="","",IF(BB$3="Maior",IFERROR(IF(VLOOKUP($N319,Capa!$A:$AE,BB$5,0)="",0,VLOOKUP($N319,Capa!$A:$AE,BB$5,0)),0),IF(ISERROR(1/VLOOKUP($N319,Capa!$A:$AE,BB$5,0)),0,1/VLOOKUP($N319,Capa!$A:$AE,BB$5,0))))</f>
        <v/>
      </c>
      <c r="BC319" s="118" t="str">
        <f>IF(BC$6="","",IF(BC$3="Maior",IFERROR(IF(VLOOKUP($N319,Capa!$A:$AE,BC$5,0)="",0,VLOOKUP($N319,Capa!$A:$AE,BC$5,0)),0),IF(ISERROR(1/VLOOKUP($N319,Capa!$A:$AE,BC$5,0)),0,1/VLOOKUP($N319,Capa!$A:$AE,BC$5,0))))</f>
        <v/>
      </c>
      <c r="BD319" s="118" t="str">
        <f>IF(BD$6="","",IF(BD$3="Maior",IFERROR(IF(VLOOKUP($N319,Capa!$A:$AE,BD$5,0)="",0,VLOOKUP($N319,Capa!$A:$AE,BD$5,0)),0),IF(ISERROR(1/VLOOKUP($N319,Capa!$A:$AE,BD$5,0)),0,1/VLOOKUP($N319,Capa!$A:$AE,BD$5,0))))</f>
        <v/>
      </c>
      <c r="BE319" s="118" t="str">
        <f>IF(BE$6="","",IF(BE$3="Maior",IFERROR(IF(VLOOKUP($N319,Capa!$A:$AE,BE$5,0)="",0,VLOOKUP($N319,Capa!$A:$AE,BE$5,0)),0),IF(ISERROR(1/VLOOKUP($N319,Capa!$A:$AE,BE$5,0)),0,1/VLOOKUP($N319,Capa!$A:$AE,BE$5,0))))</f>
        <v/>
      </c>
      <c r="BF319" s="118" t="str">
        <f>IF(BF$6="","",IF(BF$3="Maior",IFERROR(IF(VLOOKUP($N319,Capa!$A:$AE,BF$5,0)="",0,VLOOKUP($N319,Capa!$A:$AE,BF$5,0)),0),IF(ISERROR(1/VLOOKUP($N319,Capa!$A:$AE,BF$5,0)),0,1/VLOOKUP($N319,Capa!$A:$AE,BF$5,0))))</f>
        <v/>
      </c>
      <c r="BG319" s="118" t="str">
        <f>IF(BG$6="","",IF(BG$3="Maior",IFERROR(IF(VLOOKUP($N319,Capa!$A:$AE,BG$5,0)="",0,VLOOKUP($N319,Capa!$A:$AE,BG$5,0)),0),IF(ISERROR(1/VLOOKUP($N319,Capa!$A:$AE,BG$5,0)),0,1/VLOOKUP($N319,Capa!$A:$AE,BG$5,0))))</f>
        <v/>
      </c>
      <c r="BH319" s="118" t="str">
        <f>IF(BH$6="","",IF(BH$3="Maior",IFERROR(IF(VLOOKUP($N319,Capa!$A:$AE,BH$5,0)="",0,VLOOKUP($N319,Capa!$A:$AE,BH$5,0)),0),IF(ISERROR(1/VLOOKUP($N319,Capa!$A:$AE,BH$5,0)),0,1/VLOOKUP($N319,Capa!$A:$AE,BH$5,0))))</f>
        <v/>
      </c>
      <c r="BI319" s="118" t="str">
        <f>IF(BI$6="","",IF(BI$3="Maior",IFERROR(IF(VLOOKUP($N319,Capa!$A:$AE,BI$5,0)="",0,VLOOKUP($N319,Capa!$A:$AE,BI$5,0)),0),IF(ISERROR(1/VLOOKUP($N319,Capa!$A:$AE,BI$5,0)),0,1/VLOOKUP($N319,Capa!$A:$AE,BI$5,0))))</f>
        <v/>
      </c>
      <c r="BJ319" s="118" t="str">
        <f>IF(BJ$6="","",IF(BJ$3="Maior",IFERROR(IF(VLOOKUP($N319,Capa!$A:$AE,BJ$5,0)="",0,VLOOKUP($N319,Capa!$A:$AE,BJ$5,0)),0),IF(ISERROR(1/VLOOKUP($N319,Capa!$A:$AE,BJ$5,0)),0,1/VLOOKUP($N319,Capa!$A:$AE,BJ$5,0))))</f>
        <v/>
      </c>
      <c r="BK319" s="118" t="str">
        <f>IF(BK$6="","",IF(BK$3="Maior",IFERROR(IF(VLOOKUP($N319,Capa!$A:$AE,BK$5,0)="",0,VLOOKUP($N319,Capa!$A:$AE,BK$5,0)),0),IF(ISERROR(1/VLOOKUP($N319,Capa!$A:$AE,BK$5,0)),0,1/VLOOKUP($N319,Capa!$A:$AE,BK$5,0))))</f>
        <v/>
      </c>
      <c r="BL319" s="118" t="str">
        <f>IF(BL$6="","",IF(BL$3="Maior",IFERROR(IF(VLOOKUP($N319,Capa!$A:$AE,BL$5,0)="",0,VLOOKUP($N319,Capa!$A:$AE,BL$5,0)),0),IF(ISERROR(1/VLOOKUP($N319,Capa!$A:$AE,BL$5,0)),0,1/VLOOKUP($N319,Capa!$A:$AE,BL$5,0))))</f>
        <v/>
      </c>
      <c r="BM319" s="118" t="str">
        <f>IF(BM$6="","",IF(BM$3="Maior",IFERROR(IF(VLOOKUP($N319,Capa!$A:$AE,BM$5,0)="",0,VLOOKUP($N319,Capa!$A:$AE,BM$5,0)),0),IF(ISERROR(1/VLOOKUP($N319,Capa!$A:$AE,BM$5,0)),0,1/VLOOKUP($N319,Capa!$A:$AE,BM$5,0))))</f>
        <v/>
      </c>
      <c r="BN319" s="118" t="str">
        <f>IF(BN$6="","",IF(BN$3="Maior",IFERROR(IF(VLOOKUP($N319,Capa!$A:$AE,BN$5,0)="",0,VLOOKUP($N319,Capa!$A:$AE,BN$5,0)),0),IF(ISERROR(1/VLOOKUP($N319,Capa!$A:$AE,BN$5,0)),0,1/VLOOKUP($N319,Capa!$A:$AE,BN$5,0))))</f>
        <v/>
      </c>
      <c r="BO319" s="92"/>
    </row>
    <row r="320">
      <c r="G320" s="11"/>
      <c r="H320" s="11"/>
      <c r="I320" s="8"/>
      <c r="J320" s="132"/>
      <c r="K320" s="11"/>
      <c r="L320" s="11"/>
      <c r="M320" s="11"/>
      <c r="N320" s="10" t="s">
        <v>366</v>
      </c>
      <c r="O320" s="113">
        <f t="shared" si="8"/>
        <v>2175.0479</v>
      </c>
      <c r="P320" s="114">
        <f>VLOOKUP(N320,'Dados StatusInvest'!A:Z,26,0)</f>
        <v>172646.21</v>
      </c>
      <c r="Q320" s="115">
        <f t="shared" si="9"/>
        <v>479.0479</v>
      </c>
      <c r="R320" s="116">
        <f t="shared" ref="R320:AO320" si="323">IF(AQ320="","", RANK(AQ320,AQ$7:AQ$503,0))</f>
        <v>477</v>
      </c>
      <c r="S320" s="115">
        <f t="shared" si="323"/>
        <v>219</v>
      </c>
      <c r="T320" s="115" t="str">
        <f t="shared" si="323"/>
        <v/>
      </c>
      <c r="U320" s="115" t="str">
        <f t="shared" si="323"/>
        <v/>
      </c>
      <c r="V320" s="115" t="str">
        <f t="shared" si="323"/>
        <v/>
      </c>
      <c r="W320" s="115" t="str">
        <f t="shared" si="323"/>
        <v/>
      </c>
      <c r="X320" s="115" t="str">
        <f t="shared" si="323"/>
        <v/>
      </c>
      <c r="Y320" s="115" t="str">
        <f t="shared" si="323"/>
        <v/>
      </c>
      <c r="Z320" s="115" t="str">
        <f t="shared" si="323"/>
        <v/>
      </c>
      <c r="AA320" s="115" t="str">
        <f t="shared" si="323"/>
        <v/>
      </c>
      <c r="AB320" s="115" t="str">
        <f t="shared" si="323"/>
        <v/>
      </c>
      <c r="AC320" s="115" t="str">
        <f t="shared" si="323"/>
        <v/>
      </c>
      <c r="AD320" s="115" t="str">
        <f t="shared" si="323"/>
        <v/>
      </c>
      <c r="AE320" s="115" t="str">
        <f t="shared" si="323"/>
        <v/>
      </c>
      <c r="AF320" s="115" t="str">
        <f t="shared" si="323"/>
        <v/>
      </c>
      <c r="AG320" s="115" t="str">
        <f t="shared" si="323"/>
        <v/>
      </c>
      <c r="AH320" s="115" t="str">
        <f t="shared" si="323"/>
        <v/>
      </c>
      <c r="AI320" s="115" t="str">
        <f t="shared" si="323"/>
        <v/>
      </c>
      <c r="AJ320" s="115" t="str">
        <f t="shared" si="323"/>
        <v/>
      </c>
      <c r="AK320" s="115" t="str">
        <f t="shared" si="323"/>
        <v/>
      </c>
      <c r="AL320" s="115" t="str">
        <f t="shared" si="323"/>
        <v/>
      </c>
      <c r="AM320" s="115" t="str">
        <f t="shared" si="323"/>
        <v/>
      </c>
      <c r="AN320" s="115" t="str">
        <f t="shared" si="323"/>
        <v/>
      </c>
      <c r="AO320" s="115" t="str">
        <f t="shared" si="323"/>
        <v/>
      </c>
      <c r="AP320" s="117">
        <f>IF(AP$6="","",IF(AP$3="Maior",IFERROR(IF(VLOOKUP($N320,Capa!$A:$AE,AP$5,0)="",0,VLOOKUP($N320,Capa!$A:$AE,AP$5,0)),0),IF(ISERROR(1/VLOOKUP($N320,Capa!$A:$AE,AP$5,0)),0,1/VLOOKUP($N320,Capa!$A:$AE,AP$5,0))))</f>
        <v>-0.2212933366</v>
      </c>
      <c r="AQ320" s="118">
        <f>IF(AQ$6="","",IF(AQ$3="Maior",IFERROR(IF(VLOOKUP($N320,Capa!$A:$AE,AQ$5,0)="",0,VLOOKUP($N320,Capa!$A:$AE,AQ$5,0)),0),IF(ISERROR(1/VLOOKUP($N320,Capa!$A:$AE,AQ$5,0)),0,1/VLOOKUP($N320,Capa!$A:$AE,AQ$5,0))))</f>
        <v>-23.8</v>
      </c>
      <c r="AR320" s="118">
        <f>IF(AR$6="","",IF(AR$3="Maior",IFERROR(IF(VLOOKUP($N320,Capa!$A:$AE,AR$5,0)="",0,VLOOKUP($N320,Capa!$A:$AE,AR$5,0)),0),IF(ISERROR(1/VLOOKUP($N320,Capa!$A:$AE,AR$5,0)),0,1/VLOOKUP($N320,Capa!$A:$AE,AR$5,0))))</f>
        <v>0</v>
      </c>
      <c r="AS320" s="118" t="str">
        <f>IF(AS$6="","",IF(AS$3="Maior",IFERROR(IF(VLOOKUP($N320,Capa!$A:$AE,AS$5,0)="",0,VLOOKUP($N320,Capa!$A:$AE,AS$5,0)),0),IF(ISERROR(1/VLOOKUP($N320,Capa!$A:$AE,AS$5,0)),0,1/VLOOKUP($N320,Capa!$A:$AE,AS$5,0))))</f>
        <v/>
      </c>
      <c r="AT320" s="118" t="str">
        <f>IF(AT$6="","",IF(AT$3="Maior",IFERROR(IF(VLOOKUP($N320,Capa!$A:$AE,AT$5,0)="",0,VLOOKUP($N320,Capa!$A:$AE,AT$5,0)),0),IF(ISERROR(1/VLOOKUP($N320,Capa!$A:$AE,AT$5,0)),0,1/VLOOKUP($N320,Capa!$A:$AE,AT$5,0))))</f>
        <v/>
      </c>
      <c r="AU320" s="118" t="str">
        <f>IF(AU$6="","",IF(AU$3="Maior",IFERROR(IF(VLOOKUP($N320,Capa!$A:$AE,AU$5,0)="",0,VLOOKUP($N320,Capa!$A:$AE,AU$5,0)),0),IF(ISERROR(1/VLOOKUP($N320,Capa!$A:$AE,AU$5,0)),0,1/VLOOKUP($N320,Capa!$A:$AE,AU$5,0))))</f>
        <v/>
      </c>
      <c r="AV320" s="118" t="str">
        <f>IF(AV$6="","",IF(AV$3="Maior",IFERROR(IF(VLOOKUP($N320,Capa!$A:$AE,AV$5,0)="",0,VLOOKUP($N320,Capa!$A:$AE,AV$5,0)),0),IF(ISERROR(1/VLOOKUP($N320,Capa!$A:$AE,AV$5,0)),0,1/VLOOKUP($N320,Capa!$A:$AE,AV$5,0))))</f>
        <v/>
      </c>
      <c r="AW320" s="118" t="str">
        <f>IF(AW$6="","",IF(AW$3="Maior",IFERROR(IF(VLOOKUP($N320,Capa!$A:$AE,AW$5,0)="",0,VLOOKUP($N320,Capa!$A:$AE,AW$5,0)),0),IF(ISERROR(1/VLOOKUP($N320,Capa!$A:$AE,AW$5,0)),0,1/VLOOKUP($N320,Capa!$A:$AE,AW$5,0))))</f>
        <v/>
      </c>
      <c r="AX320" s="118" t="str">
        <f>IF(AX$6="","",IF(AX$3="Maior",IFERROR(IF(VLOOKUP($N320,Capa!$A:$AE,AX$5,0)="",0,VLOOKUP($N320,Capa!$A:$AE,AX$5,0)),0),IF(ISERROR(1/VLOOKUP($N320,Capa!$A:$AE,AX$5,0)),0,1/VLOOKUP($N320,Capa!$A:$AE,AX$5,0))))</f>
        <v/>
      </c>
      <c r="AY320" s="118" t="str">
        <f>IF(AY$6="","",IF(AY$3="Maior",IFERROR(IF(VLOOKUP($N320,Capa!$A:$AE,AY$5,0)="",0,VLOOKUP($N320,Capa!$A:$AE,AY$5,0)),0),IF(ISERROR(1/VLOOKUP($N320,Capa!$A:$AE,AY$5,0)),0,1/VLOOKUP($N320,Capa!$A:$AE,AY$5,0))))</f>
        <v/>
      </c>
      <c r="AZ320" s="118" t="str">
        <f>IF(AZ$6="","",IF(AZ$3="Maior",IFERROR(IF(VLOOKUP($N320,Capa!$A:$AE,AZ$5,0)="",0,VLOOKUP($N320,Capa!$A:$AE,AZ$5,0)),0),IF(ISERROR(1/VLOOKUP($N320,Capa!$A:$AE,AZ$5,0)),0,1/VLOOKUP($N320,Capa!$A:$AE,AZ$5,0))))</f>
        <v/>
      </c>
      <c r="BA320" s="118" t="str">
        <f>IF(BA$6="","",IF(BA$3="Maior",IFERROR(IF(VLOOKUP($N320,Capa!$A:$AE,BA$5,0)="",0,VLOOKUP($N320,Capa!$A:$AE,BA$5,0)),0),IF(ISERROR(1/VLOOKUP($N320,Capa!$A:$AE,BA$5,0)),0,1/VLOOKUP($N320,Capa!$A:$AE,BA$5,0))))</f>
        <v/>
      </c>
      <c r="BB320" s="118" t="str">
        <f>IF(BB$6="","",IF(BB$3="Maior",IFERROR(IF(VLOOKUP($N320,Capa!$A:$AE,BB$5,0)="",0,VLOOKUP($N320,Capa!$A:$AE,BB$5,0)),0),IF(ISERROR(1/VLOOKUP($N320,Capa!$A:$AE,BB$5,0)),0,1/VLOOKUP($N320,Capa!$A:$AE,BB$5,0))))</f>
        <v/>
      </c>
      <c r="BC320" s="118" t="str">
        <f>IF(BC$6="","",IF(BC$3="Maior",IFERROR(IF(VLOOKUP($N320,Capa!$A:$AE,BC$5,0)="",0,VLOOKUP($N320,Capa!$A:$AE,BC$5,0)),0),IF(ISERROR(1/VLOOKUP($N320,Capa!$A:$AE,BC$5,0)),0,1/VLOOKUP($N320,Capa!$A:$AE,BC$5,0))))</f>
        <v/>
      </c>
      <c r="BD320" s="118" t="str">
        <f>IF(BD$6="","",IF(BD$3="Maior",IFERROR(IF(VLOOKUP($N320,Capa!$A:$AE,BD$5,0)="",0,VLOOKUP($N320,Capa!$A:$AE,BD$5,0)),0),IF(ISERROR(1/VLOOKUP($N320,Capa!$A:$AE,BD$5,0)),0,1/VLOOKUP($N320,Capa!$A:$AE,BD$5,0))))</f>
        <v/>
      </c>
      <c r="BE320" s="118" t="str">
        <f>IF(BE$6="","",IF(BE$3="Maior",IFERROR(IF(VLOOKUP($N320,Capa!$A:$AE,BE$5,0)="",0,VLOOKUP($N320,Capa!$A:$AE,BE$5,0)),0),IF(ISERROR(1/VLOOKUP($N320,Capa!$A:$AE,BE$5,0)),0,1/VLOOKUP($N320,Capa!$A:$AE,BE$5,0))))</f>
        <v/>
      </c>
      <c r="BF320" s="118" t="str">
        <f>IF(BF$6="","",IF(BF$3="Maior",IFERROR(IF(VLOOKUP($N320,Capa!$A:$AE,BF$5,0)="",0,VLOOKUP($N320,Capa!$A:$AE,BF$5,0)),0),IF(ISERROR(1/VLOOKUP($N320,Capa!$A:$AE,BF$5,0)),0,1/VLOOKUP($N320,Capa!$A:$AE,BF$5,0))))</f>
        <v/>
      </c>
      <c r="BG320" s="118" t="str">
        <f>IF(BG$6="","",IF(BG$3="Maior",IFERROR(IF(VLOOKUP($N320,Capa!$A:$AE,BG$5,0)="",0,VLOOKUP($N320,Capa!$A:$AE,BG$5,0)),0),IF(ISERROR(1/VLOOKUP($N320,Capa!$A:$AE,BG$5,0)),0,1/VLOOKUP($N320,Capa!$A:$AE,BG$5,0))))</f>
        <v/>
      </c>
      <c r="BH320" s="118" t="str">
        <f>IF(BH$6="","",IF(BH$3="Maior",IFERROR(IF(VLOOKUP($N320,Capa!$A:$AE,BH$5,0)="",0,VLOOKUP($N320,Capa!$A:$AE,BH$5,0)),0),IF(ISERROR(1/VLOOKUP($N320,Capa!$A:$AE,BH$5,0)),0,1/VLOOKUP($N320,Capa!$A:$AE,BH$5,0))))</f>
        <v/>
      </c>
      <c r="BI320" s="118" t="str">
        <f>IF(BI$6="","",IF(BI$3="Maior",IFERROR(IF(VLOOKUP($N320,Capa!$A:$AE,BI$5,0)="",0,VLOOKUP($N320,Capa!$A:$AE,BI$5,0)),0),IF(ISERROR(1/VLOOKUP($N320,Capa!$A:$AE,BI$5,0)),0,1/VLOOKUP($N320,Capa!$A:$AE,BI$5,0))))</f>
        <v/>
      </c>
      <c r="BJ320" s="118" t="str">
        <f>IF(BJ$6="","",IF(BJ$3="Maior",IFERROR(IF(VLOOKUP($N320,Capa!$A:$AE,BJ$5,0)="",0,VLOOKUP($N320,Capa!$A:$AE,BJ$5,0)),0),IF(ISERROR(1/VLOOKUP($N320,Capa!$A:$AE,BJ$5,0)),0,1/VLOOKUP($N320,Capa!$A:$AE,BJ$5,0))))</f>
        <v/>
      </c>
      <c r="BK320" s="118" t="str">
        <f>IF(BK$6="","",IF(BK$3="Maior",IFERROR(IF(VLOOKUP($N320,Capa!$A:$AE,BK$5,0)="",0,VLOOKUP($N320,Capa!$A:$AE,BK$5,0)),0),IF(ISERROR(1/VLOOKUP($N320,Capa!$A:$AE,BK$5,0)),0,1/VLOOKUP($N320,Capa!$A:$AE,BK$5,0))))</f>
        <v/>
      </c>
      <c r="BL320" s="118" t="str">
        <f>IF(BL$6="","",IF(BL$3="Maior",IFERROR(IF(VLOOKUP($N320,Capa!$A:$AE,BL$5,0)="",0,VLOOKUP($N320,Capa!$A:$AE,BL$5,0)),0),IF(ISERROR(1/VLOOKUP($N320,Capa!$A:$AE,BL$5,0)),0,1/VLOOKUP($N320,Capa!$A:$AE,BL$5,0))))</f>
        <v/>
      </c>
      <c r="BM320" s="118" t="str">
        <f>IF(BM$6="","",IF(BM$3="Maior",IFERROR(IF(VLOOKUP($N320,Capa!$A:$AE,BM$5,0)="",0,VLOOKUP($N320,Capa!$A:$AE,BM$5,0)),0),IF(ISERROR(1/VLOOKUP($N320,Capa!$A:$AE,BM$5,0)),0,1/VLOOKUP($N320,Capa!$A:$AE,BM$5,0))))</f>
        <v/>
      </c>
      <c r="BN320" s="118" t="str">
        <f>IF(BN$6="","",IF(BN$3="Maior",IFERROR(IF(VLOOKUP($N320,Capa!$A:$AE,BN$5,0)="",0,VLOOKUP($N320,Capa!$A:$AE,BN$5,0)),0),IF(ISERROR(1/VLOOKUP($N320,Capa!$A:$AE,BN$5,0)),0,1/VLOOKUP($N320,Capa!$A:$AE,BN$5,0))))</f>
        <v/>
      </c>
      <c r="BO320" s="92"/>
    </row>
    <row r="321">
      <c r="G321" s="11"/>
      <c r="H321" s="11"/>
      <c r="I321" s="8"/>
      <c r="J321" s="132"/>
      <c r="K321" s="11"/>
      <c r="L321" s="11"/>
      <c r="M321" s="11"/>
      <c r="N321" s="10" t="s">
        <v>367</v>
      </c>
      <c r="O321" s="113">
        <f t="shared" si="8"/>
        <v>1027.0002</v>
      </c>
      <c r="P321" s="114">
        <f>VLOOKUP(N321,'Dados StatusInvest'!A:Z,26,0)</f>
        <v>322522.19</v>
      </c>
      <c r="Q321" s="115">
        <f t="shared" si="9"/>
        <v>2.0002</v>
      </c>
      <c r="R321" s="116">
        <f t="shared" ref="R321:AO321" si="324">IF(AQ321="","", RANK(AQ321,AQ$7:AQ$503,0))</f>
        <v>18</v>
      </c>
      <c r="S321" s="115">
        <f t="shared" si="324"/>
        <v>7</v>
      </c>
      <c r="T321" s="115" t="str">
        <f t="shared" si="324"/>
        <v/>
      </c>
      <c r="U321" s="115" t="str">
        <f t="shared" si="324"/>
        <v/>
      </c>
      <c r="V321" s="115" t="str">
        <f t="shared" si="324"/>
        <v/>
      </c>
      <c r="W321" s="115" t="str">
        <f t="shared" si="324"/>
        <v/>
      </c>
      <c r="X321" s="115" t="str">
        <f t="shared" si="324"/>
        <v/>
      </c>
      <c r="Y321" s="115" t="str">
        <f t="shared" si="324"/>
        <v/>
      </c>
      <c r="Z321" s="115" t="str">
        <f t="shared" si="324"/>
        <v/>
      </c>
      <c r="AA321" s="115" t="str">
        <f t="shared" si="324"/>
        <v/>
      </c>
      <c r="AB321" s="115" t="str">
        <f t="shared" si="324"/>
        <v/>
      </c>
      <c r="AC321" s="115" t="str">
        <f t="shared" si="324"/>
        <v/>
      </c>
      <c r="AD321" s="115" t="str">
        <f t="shared" si="324"/>
        <v/>
      </c>
      <c r="AE321" s="115" t="str">
        <f t="shared" si="324"/>
        <v/>
      </c>
      <c r="AF321" s="115" t="str">
        <f t="shared" si="324"/>
        <v/>
      </c>
      <c r="AG321" s="115" t="str">
        <f t="shared" si="324"/>
        <v/>
      </c>
      <c r="AH321" s="115" t="str">
        <f t="shared" si="324"/>
        <v/>
      </c>
      <c r="AI321" s="115" t="str">
        <f t="shared" si="324"/>
        <v/>
      </c>
      <c r="AJ321" s="115" t="str">
        <f t="shared" si="324"/>
        <v/>
      </c>
      <c r="AK321" s="115" t="str">
        <f t="shared" si="324"/>
        <v/>
      </c>
      <c r="AL321" s="115" t="str">
        <f t="shared" si="324"/>
        <v/>
      </c>
      <c r="AM321" s="115" t="str">
        <f t="shared" si="324"/>
        <v/>
      </c>
      <c r="AN321" s="115" t="str">
        <f t="shared" si="324"/>
        <v/>
      </c>
      <c r="AO321" s="115" t="str">
        <f t="shared" si="324"/>
        <v/>
      </c>
      <c r="AP321" s="117">
        <f>IF(AP$6="","",IF(AP$3="Maior",IFERROR(IF(VLOOKUP($N321,Capa!$A:$AE,AP$5,0)="",0,VLOOKUP($N321,Capa!$A:$AE,AP$5,0)),0),IF(ISERROR(1/VLOOKUP($N321,Capa!$A:$AE,AP$5,0)),0,1/VLOOKUP($N321,Capa!$A:$AE,AP$5,0))))</f>
        <v>1.508870834</v>
      </c>
      <c r="AQ321" s="118">
        <f>IF(AQ$6="","",IF(AQ$3="Maior",IFERROR(IF(VLOOKUP($N321,Capa!$A:$AE,AQ$5,0)="",0,VLOOKUP($N321,Capa!$A:$AE,AQ$5,0)),0),IF(ISERROR(1/VLOOKUP($N321,Capa!$A:$AE,AQ$5,0)),0,1/VLOOKUP($N321,Capa!$A:$AE,AQ$5,0))))</f>
        <v>61.87</v>
      </c>
      <c r="AR321" s="118">
        <f>IF(AR$6="","",IF(AR$3="Maior",IFERROR(IF(VLOOKUP($N321,Capa!$A:$AE,AR$5,0)="",0,VLOOKUP($N321,Capa!$A:$AE,AR$5,0)),0),IF(ISERROR(1/VLOOKUP($N321,Capa!$A:$AE,AR$5,0)),0,1/VLOOKUP($N321,Capa!$A:$AE,AR$5,0))))</f>
        <v>130.5</v>
      </c>
      <c r="AS321" s="118" t="str">
        <f>IF(AS$6="","",IF(AS$3="Maior",IFERROR(IF(VLOOKUP($N321,Capa!$A:$AE,AS$5,0)="",0,VLOOKUP($N321,Capa!$A:$AE,AS$5,0)),0),IF(ISERROR(1/VLOOKUP($N321,Capa!$A:$AE,AS$5,0)),0,1/VLOOKUP($N321,Capa!$A:$AE,AS$5,0))))</f>
        <v/>
      </c>
      <c r="AT321" s="118" t="str">
        <f>IF(AT$6="","",IF(AT$3="Maior",IFERROR(IF(VLOOKUP($N321,Capa!$A:$AE,AT$5,0)="",0,VLOOKUP($N321,Capa!$A:$AE,AT$5,0)),0),IF(ISERROR(1/VLOOKUP($N321,Capa!$A:$AE,AT$5,0)),0,1/VLOOKUP($N321,Capa!$A:$AE,AT$5,0))))</f>
        <v/>
      </c>
      <c r="AU321" s="118" t="str">
        <f>IF(AU$6="","",IF(AU$3="Maior",IFERROR(IF(VLOOKUP($N321,Capa!$A:$AE,AU$5,0)="",0,VLOOKUP($N321,Capa!$A:$AE,AU$5,0)),0),IF(ISERROR(1/VLOOKUP($N321,Capa!$A:$AE,AU$5,0)),0,1/VLOOKUP($N321,Capa!$A:$AE,AU$5,0))))</f>
        <v/>
      </c>
      <c r="AV321" s="118" t="str">
        <f>IF(AV$6="","",IF(AV$3="Maior",IFERROR(IF(VLOOKUP($N321,Capa!$A:$AE,AV$5,0)="",0,VLOOKUP($N321,Capa!$A:$AE,AV$5,0)),0),IF(ISERROR(1/VLOOKUP($N321,Capa!$A:$AE,AV$5,0)),0,1/VLOOKUP($N321,Capa!$A:$AE,AV$5,0))))</f>
        <v/>
      </c>
      <c r="AW321" s="118" t="str">
        <f>IF(AW$6="","",IF(AW$3="Maior",IFERROR(IF(VLOOKUP($N321,Capa!$A:$AE,AW$5,0)="",0,VLOOKUP($N321,Capa!$A:$AE,AW$5,0)),0),IF(ISERROR(1/VLOOKUP($N321,Capa!$A:$AE,AW$5,0)),0,1/VLOOKUP($N321,Capa!$A:$AE,AW$5,0))))</f>
        <v/>
      </c>
      <c r="AX321" s="118" t="str">
        <f>IF(AX$6="","",IF(AX$3="Maior",IFERROR(IF(VLOOKUP($N321,Capa!$A:$AE,AX$5,0)="",0,VLOOKUP($N321,Capa!$A:$AE,AX$5,0)),0),IF(ISERROR(1/VLOOKUP($N321,Capa!$A:$AE,AX$5,0)),0,1/VLOOKUP($N321,Capa!$A:$AE,AX$5,0))))</f>
        <v/>
      </c>
      <c r="AY321" s="118" t="str">
        <f>IF(AY$6="","",IF(AY$3="Maior",IFERROR(IF(VLOOKUP($N321,Capa!$A:$AE,AY$5,0)="",0,VLOOKUP($N321,Capa!$A:$AE,AY$5,0)),0),IF(ISERROR(1/VLOOKUP($N321,Capa!$A:$AE,AY$5,0)),0,1/VLOOKUP($N321,Capa!$A:$AE,AY$5,0))))</f>
        <v/>
      </c>
      <c r="AZ321" s="118" t="str">
        <f>IF(AZ$6="","",IF(AZ$3="Maior",IFERROR(IF(VLOOKUP($N321,Capa!$A:$AE,AZ$5,0)="",0,VLOOKUP($N321,Capa!$A:$AE,AZ$5,0)),0),IF(ISERROR(1/VLOOKUP($N321,Capa!$A:$AE,AZ$5,0)),0,1/VLOOKUP($N321,Capa!$A:$AE,AZ$5,0))))</f>
        <v/>
      </c>
      <c r="BA321" s="118" t="str">
        <f>IF(BA$6="","",IF(BA$3="Maior",IFERROR(IF(VLOOKUP($N321,Capa!$A:$AE,BA$5,0)="",0,VLOOKUP($N321,Capa!$A:$AE,BA$5,0)),0),IF(ISERROR(1/VLOOKUP($N321,Capa!$A:$AE,BA$5,0)),0,1/VLOOKUP($N321,Capa!$A:$AE,BA$5,0))))</f>
        <v/>
      </c>
      <c r="BB321" s="118" t="str">
        <f>IF(BB$6="","",IF(BB$3="Maior",IFERROR(IF(VLOOKUP($N321,Capa!$A:$AE,BB$5,0)="",0,VLOOKUP($N321,Capa!$A:$AE,BB$5,0)),0),IF(ISERROR(1/VLOOKUP($N321,Capa!$A:$AE,BB$5,0)),0,1/VLOOKUP($N321,Capa!$A:$AE,BB$5,0))))</f>
        <v/>
      </c>
      <c r="BC321" s="118" t="str">
        <f>IF(BC$6="","",IF(BC$3="Maior",IFERROR(IF(VLOOKUP($N321,Capa!$A:$AE,BC$5,0)="",0,VLOOKUP($N321,Capa!$A:$AE,BC$5,0)),0),IF(ISERROR(1/VLOOKUP($N321,Capa!$A:$AE,BC$5,0)),0,1/VLOOKUP($N321,Capa!$A:$AE,BC$5,0))))</f>
        <v/>
      </c>
      <c r="BD321" s="118" t="str">
        <f>IF(BD$6="","",IF(BD$3="Maior",IFERROR(IF(VLOOKUP($N321,Capa!$A:$AE,BD$5,0)="",0,VLOOKUP($N321,Capa!$A:$AE,BD$5,0)),0),IF(ISERROR(1/VLOOKUP($N321,Capa!$A:$AE,BD$5,0)),0,1/VLOOKUP($N321,Capa!$A:$AE,BD$5,0))))</f>
        <v/>
      </c>
      <c r="BE321" s="118" t="str">
        <f>IF(BE$6="","",IF(BE$3="Maior",IFERROR(IF(VLOOKUP($N321,Capa!$A:$AE,BE$5,0)="",0,VLOOKUP($N321,Capa!$A:$AE,BE$5,0)),0),IF(ISERROR(1/VLOOKUP($N321,Capa!$A:$AE,BE$5,0)),0,1/VLOOKUP($N321,Capa!$A:$AE,BE$5,0))))</f>
        <v/>
      </c>
      <c r="BF321" s="118" t="str">
        <f>IF(BF$6="","",IF(BF$3="Maior",IFERROR(IF(VLOOKUP($N321,Capa!$A:$AE,BF$5,0)="",0,VLOOKUP($N321,Capa!$A:$AE,BF$5,0)),0),IF(ISERROR(1/VLOOKUP($N321,Capa!$A:$AE,BF$5,0)),0,1/VLOOKUP($N321,Capa!$A:$AE,BF$5,0))))</f>
        <v/>
      </c>
      <c r="BG321" s="118" t="str">
        <f>IF(BG$6="","",IF(BG$3="Maior",IFERROR(IF(VLOOKUP($N321,Capa!$A:$AE,BG$5,0)="",0,VLOOKUP($N321,Capa!$A:$AE,BG$5,0)),0),IF(ISERROR(1/VLOOKUP($N321,Capa!$A:$AE,BG$5,0)),0,1/VLOOKUP($N321,Capa!$A:$AE,BG$5,0))))</f>
        <v/>
      </c>
      <c r="BH321" s="118" t="str">
        <f>IF(BH$6="","",IF(BH$3="Maior",IFERROR(IF(VLOOKUP($N321,Capa!$A:$AE,BH$5,0)="",0,VLOOKUP($N321,Capa!$A:$AE,BH$5,0)),0),IF(ISERROR(1/VLOOKUP($N321,Capa!$A:$AE,BH$5,0)),0,1/VLOOKUP($N321,Capa!$A:$AE,BH$5,0))))</f>
        <v/>
      </c>
      <c r="BI321" s="118" t="str">
        <f>IF(BI$6="","",IF(BI$3="Maior",IFERROR(IF(VLOOKUP($N321,Capa!$A:$AE,BI$5,0)="",0,VLOOKUP($N321,Capa!$A:$AE,BI$5,0)),0),IF(ISERROR(1/VLOOKUP($N321,Capa!$A:$AE,BI$5,0)),0,1/VLOOKUP($N321,Capa!$A:$AE,BI$5,0))))</f>
        <v/>
      </c>
      <c r="BJ321" s="118" t="str">
        <f>IF(BJ$6="","",IF(BJ$3="Maior",IFERROR(IF(VLOOKUP($N321,Capa!$A:$AE,BJ$5,0)="",0,VLOOKUP($N321,Capa!$A:$AE,BJ$5,0)),0),IF(ISERROR(1/VLOOKUP($N321,Capa!$A:$AE,BJ$5,0)),0,1/VLOOKUP($N321,Capa!$A:$AE,BJ$5,0))))</f>
        <v/>
      </c>
      <c r="BK321" s="118" t="str">
        <f>IF(BK$6="","",IF(BK$3="Maior",IFERROR(IF(VLOOKUP($N321,Capa!$A:$AE,BK$5,0)="",0,VLOOKUP($N321,Capa!$A:$AE,BK$5,0)),0),IF(ISERROR(1/VLOOKUP($N321,Capa!$A:$AE,BK$5,0)),0,1/VLOOKUP($N321,Capa!$A:$AE,BK$5,0))))</f>
        <v/>
      </c>
      <c r="BL321" s="118" t="str">
        <f>IF(BL$6="","",IF(BL$3="Maior",IFERROR(IF(VLOOKUP($N321,Capa!$A:$AE,BL$5,0)="",0,VLOOKUP($N321,Capa!$A:$AE,BL$5,0)),0),IF(ISERROR(1/VLOOKUP($N321,Capa!$A:$AE,BL$5,0)),0,1/VLOOKUP($N321,Capa!$A:$AE,BL$5,0))))</f>
        <v/>
      </c>
      <c r="BM321" s="118" t="str">
        <f>IF(BM$6="","",IF(BM$3="Maior",IFERROR(IF(VLOOKUP($N321,Capa!$A:$AE,BM$5,0)="",0,VLOOKUP($N321,Capa!$A:$AE,BM$5,0)),0),IF(ISERROR(1/VLOOKUP($N321,Capa!$A:$AE,BM$5,0)),0,1/VLOOKUP($N321,Capa!$A:$AE,BM$5,0))))</f>
        <v/>
      </c>
      <c r="BN321" s="118" t="str">
        <f>IF(BN$6="","",IF(BN$3="Maior",IFERROR(IF(VLOOKUP($N321,Capa!$A:$AE,BN$5,0)="",0,VLOOKUP($N321,Capa!$A:$AE,BN$5,0)),0),IF(ISERROR(1/VLOOKUP($N321,Capa!$A:$AE,BN$5,0)),0,1/VLOOKUP($N321,Capa!$A:$AE,BN$5,0))))</f>
        <v/>
      </c>
      <c r="BO321" s="92"/>
    </row>
    <row r="322">
      <c r="G322" s="11"/>
      <c r="H322" s="11"/>
      <c r="I322" s="8"/>
      <c r="J322" s="132"/>
      <c r="K322" s="11"/>
      <c r="L322" s="11"/>
      <c r="M322" s="11"/>
      <c r="N322" s="10" t="s">
        <v>368</v>
      </c>
      <c r="O322" s="113">
        <f t="shared" si="8"/>
        <v>2366.0426</v>
      </c>
      <c r="P322" s="114">
        <f>VLOOKUP(N322,'Dados StatusInvest'!A:Z,26,0)</f>
        <v>277590.29</v>
      </c>
      <c r="Q322" s="115">
        <f t="shared" si="9"/>
        <v>426.0426</v>
      </c>
      <c r="R322" s="116">
        <f t="shared" ref="R322:AO322" si="325">IF(AQ322="","", RANK(AQ322,AQ$7:AQ$503,0))</f>
        <v>448</v>
      </c>
      <c r="S322" s="115">
        <f t="shared" si="325"/>
        <v>492</v>
      </c>
      <c r="T322" s="115" t="str">
        <f t="shared" si="325"/>
        <v/>
      </c>
      <c r="U322" s="115" t="str">
        <f t="shared" si="325"/>
        <v/>
      </c>
      <c r="V322" s="115" t="str">
        <f t="shared" si="325"/>
        <v/>
      </c>
      <c r="W322" s="115" t="str">
        <f t="shared" si="325"/>
        <v/>
      </c>
      <c r="X322" s="115" t="str">
        <f t="shared" si="325"/>
        <v/>
      </c>
      <c r="Y322" s="115" t="str">
        <f t="shared" si="325"/>
        <v/>
      </c>
      <c r="Z322" s="115" t="str">
        <f t="shared" si="325"/>
        <v/>
      </c>
      <c r="AA322" s="115" t="str">
        <f t="shared" si="325"/>
        <v/>
      </c>
      <c r="AB322" s="115" t="str">
        <f t="shared" si="325"/>
        <v/>
      </c>
      <c r="AC322" s="115" t="str">
        <f t="shared" si="325"/>
        <v/>
      </c>
      <c r="AD322" s="115" t="str">
        <f t="shared" si="325"/>
        <v/>
      </c>
      <c r="AE322" s="115" t="str">
        <f t="shared" si="325"/>
        <v/>
      </c>
      <c r="AF322" s="115" t="str">
        <f t="shared" si="325"/>
        <v/>
      </c>
      <c r="AG322" s="115" t="str">
        <f t="shared" si="325"/>
        <v/>
      </c>
      <c r="AH322" s="115" t="str">
        <f t="shared" si="325"/>
        <v/>
      </c>
      <c r="AI322" s="115" t="str">
        <f t="shared" si="325"/>
        <v/>
      </c>
      <c r="AJ322" s="115" t="str">
        <f t="shared" si="325"/>
        <v/>
      </c>
      <c r="AK322" s="115" t="str">
        <f t="shared" si="325"/>
        <v/>
      </c>
      <c r="AL322" s="115" t="str">
        <f t="shared" si="325"/>
        <v/>
      </c>
      <c r="AM322" s="115" t="str">
        <f t="shared" si="325"/>
        <v/>
      </c>
      <c r="AN322" s="115" t="str">
        <f t="shared" si="325"/>
        <v/>
      </c>
      <c r="AO322" s="115" t="str">
        <f t="shared" si="325"/>
        <v/>
      </c>
      <c r="AP322" s="117">
        <f>IF(AP$6="","",IF(AP$3="Maior",IFERROR(IF(VLOOKUP($N322,Capa!$A:$AE,AP$5,0)="",0,VLOOKUP($N322,Capa!$A:$AE,AP$5,0)),0),IF(ISERROR(1/VLOOKUP($N322,Capa!$A:$AE,AP$5,0)),0,1/VLOOKUP($N322,Capa!$A:$AE,AP$5,0))))</f>
        <v>-0.0305339937</v>
      </c>
      <c r="AQ322" s="118">
        <f>IF(AQ$6="","",IF(AQ$3="Maior",IFERROR(IF(VLOOKUP($N322,Capa!$A:$AE,AQ$5,0)="",0,VLOOKUP($N322,Capa!$A:$AE,AQ$5,0)),0),IF(ISERROR(1/VLOOKUP($N322,Capa!$A:$AE,AQ$5,0)),0,1/VLOOKUP($N322,Capa!$A:$AE,AQ$5,0))))</f>
        <v>-5.69</v>
      </c>
      <c r="AR322" s="118">
        <f>IF(AR$6="","",IF(AR$3="Maior",IFERROR(IF(VLOOKUP($N322,Capa!$A:$AE,AR$5,0)="",0,VLOOKUP($N322,Capa!$A:$AE,AR$5,0)),0),IF(ISERROR(1/VLOOKUP($N322,Capa!$A:$AE,AR$5,0)),0,1/VLOOKUP($N322,Capa!$A:$AE,AR$5,0))))</f>
        <v>-18.42</v>
      </c>
      <c r="AS322" s="118" t="str">
        <f>IF(AS$6="","",IF(AS$3="Maior",IFERROR(IF(VLOOKUP($N322,Capa!$A:$AE,AS$5,0)="",0,VLOOKUP($N322,Capa!$A:$AE,AS$5,0)),0),IF(ISERROR(1/VLOOKUP($N322,Capa!$A:$AE,AS$5,0)),0,1/VLOOKUP($N322,Capa!$A:$AE,AS$5,0))))</f>
        <v/>
      </c>
      <c r="AT322" s="118" t="str">
        <f>IF(AT$6="","",IF(AT$3="Maior",IFERROR(IF(VLOOKUP($N322,Capa!$A:$AE,AT$5,0)="",0,VLOOKUP($N322,Capa!$A:$AE,AT$5,0)),0),IF(ISERROR(1/VLOOKUP($N322,Capa!$A:$AE,AT$5,0)),0,1/VLOOKUP($N322,Capa!$A:$AE,AT$5,0))))</f>
        <v/>
      </c>
      <c r="AU322" s="118" t="str">
        <f>IF(AU$6="","",IF(AU$3="Maior",IFERROR(IF(VLOOKUP($N322,Capa!$A:$AE,AU$5,0)="",0,VLOOKUP($N322,Capa!$A:$AE,AU$5,0)),0),IF(ISERROR(1/VLOOKUP($N322,Capa!$A:$AE,AU$5,0)),0,1/VLOOKUP($N322,Capa!$A:$AE,AU$5,0))))</f>
        <v/>
      </c>
      <c r="AV322" s="118" t="str">
        <f>IF(AV$6="","",IF(AV$3="Maior",IFERROR(IF(VLOOKUP($N322,Capa!$A:$AE,AV$5,0)="",0,VLOOKUP($N322,Capa!$A:$AE,AV$5,0)),0),IF(ISERROR(1/VLOOKUP($N322,Capa!$A:$AE,AV$5,0)),0,1/VLOOKUP($N322,Capa!$A:$AE,AV$5,0))))</f>
        <v/>
      </c>
      <c r="AW322" s="118" t="str">
        <f>IF(AW$6="","",IF(AW$3="Maior",IFERROR(IF(VLOOKUP($N322,Capa!$A:$AE,AW$5,0)="",0,VLOOKUP($N322,Capa!$A:$AE,AW$5,0)),0),IF(ISERROR(1/VLOOKUP($N322,Capa!$A:$AE,AW$5,0)),0,1/VLOOKUP($N322,Capa!$A:$AE,AW$5,0))))</f>
        <v/>
      </c>
      <c r="AX322" s="118" t="str">
        <f>IF(AX$6="","",IF(AX$3="Maior",IFERROR(IF(VLOOKUP($N322,Capa!$A:$AE,AX$5,0)="",0,VLOOKUP($N322,Capa!$A:$AE,AX$5,0)),0),IF(ISERROR(1/VLOOKUP($N322,Capa!$A:$AE,AX$5,0)),0,1/VLOOKUP($N322,Capa!$A:$AE,AX$5,0))))</f>
        <v/>
      </c>
      <c r="AY322" s="118" t="str">
        <f>IF(AY$6="","",IF(AY$3="Maior",IFERROR(IF(VLOOKUP($N322,Capa!$A:$AE,AY$5,0)="",0,VLOOKUP($N322,Capa!$A:$AE,AY$5,0)),0),IF(ISERROR(1/VLOOKUP($N322,Capa!$A:$AE,AY$5,0)),0,1/VLOOKUP($N322,Capa!$A:$AE,AY$5,0))))</f>
        <v/>
      </c>
      <c r="AZ322" s="118" t="str">
        <f>IF(AZ$6="","",IF(AZ$3="Maior",IFERROR(IF(VLOOKUP($N322,Capa!$A:$AE,AZ$5,0)="",0,VLOOKUP($N322,Capa!$A:$AE,AZ$5,0)),0),IF(ISERROR(1/VLOOKUP($N322,Capa!$A:$AE,AZ$5,0)),0,1/VLOOKUP($N322,Capa!$A:$AE,AZ$5,0))))</f>
        <v/>
      </c>
      <c r="BA322" s="118" t="str">
        <f>IF(BA$6="","",IF(BA$3="Maior",IFERROR(IF(VLOOKUP($N322,Capa!$A:$AE,BA$5,0)="",0,VLOOKUP($N322,Capa!$A:$AE,BA$5,0)),0),IF(ISERROR(1/VLOOKUP($N322,Capa!$A:$AE,BA$5,0)),0,1/VLOOKUP($N322,Capa!$A:$AE,BA$5,0))))</f>
        <v/>
      </c>
      <c r="BB322" s="118" t="str">
        <f>IF(BB$6="","",IF(BB$3="Maior",IFERROR(IF(VLOOKUP($N322,Capa!$A:$AE,BB$5,0)="",0,VLOOKUP($N322,Capa!$A:$AE,BB$5,0)),0),IF(ISERROR(1/VLOOKUP($N322,Capa!$A:$AE,BB$5,0)),0,1/VLOOKUP($N322,Capa!$A:$AE,BB$5,0))))</f>
        <v/>
      </c>
      <c r="BC322" s="118" t="str">
        <f>IF(BC$6="","",IF(BC$3="Maior",IFERROR(IF(VLOOKUP($N322,Capa!$A:$AE,BC$5,0)="",0,VLOOKUP($N322,Capa!$A:$AE,BC$5,0)),0),IF(ISERROR(1/VLOOKUP($N322,Capa!$A:$AE,BC$5,0)),0,1/VLOOKUP($N322,Capa!$A:$AE,BC$5,0))))</f>
        <v/>
      </c>
      <c r="BD322" s="118" t="str">
        <f>IF(BD$6="","",IF(BD$3="Maior",IFERROR(IF(VLOOKUP($N322,Capa!$A:$AE,BD$5,0)="",0,VLOOKUP($N322,Capa!$A:$AE,BD$5,0)),0),IF(ISERROR(1/VLOOKUP($N322,Capa!$A:$AE,BD$5,0)),0,1/VLOOKUP($N322,Capa!$A:$AE,BD$5,0))))</f>
        <v/>
      </c>
      <c r="BE322" s="118" t="str">
        <f>IF(BE$6="","",IF(BE$3="Maior",IFERROR(IF(VLOOKUP($N322,Capa!$A:$AE,BE$5,0)="",0,VLOOKUP($N322,Capa!$A:$AE,BE$5,0)),0),IF(ISERROR(1/VLOOKUP($N322,Capa!$A:$AE,BE$5,0)),0,1/VLOOKUP($N322,Capa!$A:$AE,BE$5,0))))</f>
        <v/>
      </c>
      <c r="BF322" s="118" t="str">
        <f>IF(BF$6="","",IF(BF$3="Maior",IFERROR(IF(VLOOKUP($N322,Capa!$A:$AE,BF$5,0)="",0,VLOOKUP($N322,Capa!$A:$AE,BF$5,0)),0),IF(ISERROR(1/VLOOKUP($N322,Capa!$A:$AE,BF$5,0)),0,1/VLOOKUP($N322,Capa!$A:$AE,BF$5,0))))</f>
        <v/>
      </c>
      <c r="BG322" s="118" t="str">
        <f>IF(BG$6="","",IF(BG$3="Maior",IFERROR(IF(VLOOKUP($N322,Capa!$A:$AE,BG$5,0)="",0,VLOOKUP($N322,Capa!$A:$AE,BG$5,0)),0),IF(ISERROR(1/VLOOKUP($N322,Capa!$A:$AE,BG$5,0)),0,1/VLOOKUP($N322,Capa!$A:$AE,BG$5,0))))</f>
        <v/>
      </c>
      <c r="BH322" s="118" t="str">
        <f>IF(BH$6="","",IF(BH$3="Maior",IFERROR(IF(VLOOKUP($N322,Capa!$A:$AE,BH$5,0)="",0,VLOOKUP($N322,Capa!$A:$AE,BH$5,0)),0),IF(ISERROR(1/VLOOKUP($N322,Capa!$A:$AE,BH$5,0)),0,1/VLOOKUP($N322,Capa!$A:$AE,BH$5,0))))</f>
        <v/>
      </c>
      <c r="BI322" s="118" t="str">
        <f>IF(BI$6="","",IF(BI$3="Maior",IFERROR(IF(VLOOKUP($N322,Capa!$A:$AE,BI$5,0)="",0,VLOOKUP($N322,Capa!$A:$AE,BI$5,0)),0),IF(ISERROR(1/VLOOKUP($N322,Capa!$A:$AE,BI$5,0)),0,1/VLOOKUP($N322,Capa!$A:$AE,BI$5,0))))</f>
        <v/>
      </c>
      <c r="BJ322" s="118" t="str">
        <f>IF(BJ$6="","",IF(BJ$3="Maior",IFERROR(IF(VLOOKUP($N322,Capa!$A:$AE,BJ$5,0)="",0,VLOOKUP($N322,Capa!$A:$AE,BJ$5,0)),0),IF(ISERROR(1/VLOOKUP($N322,Capa!$A:$AE,BJ$5,0)),0,1/VLOOKUP($N322,Capa!$A:$AE,BJ$5,0))))</f>
        <v/>
      </c>
      <c r="BK322" s="118" t="str">
        <f>IF(BK$6="","",IF(BK$3="Maior",IFERROR(IF(VLOOKUP($N322,Capa!$A:$AE,BK$5,0)="",0,VLOOKUP($N322,Capa!$A:$AE,BK$5,0)),0),IF(ISERROR(1/VLOOKUP($N322,Capa!$A:$AE,BK$5,0)),0,1/VLOOKUP($N322,Capa!$A:$AE,BK$5,0))))</f>
        <v/>
      </c>
      <c r="BL322" s="118" t="str">
        <f>IF(BL$6="","",IF(BL$3="Maior",IFERROR(IF(VLOOKUP($N322,Capa!$A:$AE,BL$5,0)="",0,VLOOKUP($N322,Capa!$A:$AE,BL$5,0)),0),IF(ISERROR(1/VLOOKUP($N322,Capa!$A:$AE,BL$5,0)),0,1/VLOOKUP($N322,Capa!$A:$AE,BL$5,0))))</f>
        <v/>
      </c>
      <c r="BM322" s="118" t="str">
        <f>IF(BM$6="","",IF(BM$3="Maior",IFERROR(IF(VLOOKUP($N322,Capa!$A:$AE,BM$5,0)="",0,VLOOKUP($N322,Capa!$A:$AE,BM$5,0)),0),IF(ISERROR(1/VLOOKUP($N322,Capa!$A:$AE,BM$5,0)),0,1/VLOOKUP($N322,Capa!$A:$AE,BM$5,0))))</f>
        <v/>
      </c>
      <c r="BN322" s="118" t="str">
        <f>IF(BN$6="","",IF(BN$3="Maior",IFERROR(IF(VLOOKUP($N322,Capa!$A:$AE,BN$5,0)="",0,VLOOKUP($N322,Capa!$A:$AE,BN$5,0)),0),IF(ISERROR(1/VLOOKUP($N322,Capa!$A:$AE,BN$5,0)),0,1/VLOOKUP($N322,Capa!$A:$AE,BN$5,0))))</f>
        <v/>
      </c>
      <c r="BO322" s="92"/>
    </row>
    <row r="323">
      <c r="G323" s="11"/>
      <c r="H323" s="11"/>
      <c r="I323" s="8"/>
      <c r="J323" s="132"/>
      <c r="K323" s="11"/>
      <c r="L323" s="11"/>
      <c r="M323" s="11"/>
      <c r="N323" s="10" t="s">
        <v>369</v>
      </c>
      <c r="O323" s="113">
        <f t="shared" si="8"/>
        <v>2077.042</v>
      </c>
      <c r="P323" s="114">
        <f>VLOOKUP(N323,'Dados StatusInvest'!A:Z,26,0)</f>
        <v>195350.46</v>
      </c>
      <c r="Q323" s="115">
        <f t="shared" si="9"/>
        <v>420.042</v>
      </c>
      <c r="R323" s="116">
        <f t="shared" ref="R323:AO323" si="326">IF(AQ323="","", RANK(AQ323,AQ$7:AQ$503,0))</f>
        <v>438</v>
      </c>
      <c r="S323" s="115">
        <f t="shared" si="326"/>
        <v>219</v>
      </c>
      <c r="T323" s="115" t="str">
        <f t="shared" si="326"/>
        <v/>
      </c>
      <c r="U323" s="115" t="str">
        <f t="shared" si="326"/>
        <v/>
      </c>
      <c r="V323" s="115" t="str">
        <f t="shared" si="326"/>
        <v/>
      </c>
      <c r="W323" s="115" t="str">
        <f t="shared" si="326"/>
        <v/>
      </c>
      <c r="X323" s="115" t="str">
        <f t="shared" si="326"/>
        <v/>
      </c>
      <c r="Y323" s="115" t="str">
        <f t="shared" si="326"/>
        <v/>
      </c>
      <c r="Z323" s="115" t="str">
        <f t="shared" si="326"/>
        <v/>
      </c>
      <c r="AA323" s="115" t="str">
        <f t="shared" si="326"/>
        <v/>
      </c>
      <c r="AB323" s="115" t="str">
        <f t="shared" si="326"/>
        <v/>
      </c>
      <c r="AC323" s="115" t="str">
        <f t="shared" si="326"/>
        <v/>
      </c>
      <c r="AD323" s="115" t="str">
        <f t="shared" si="326"/>
        <v/>
      </c>
      <c r="AE323" s="115" t="str">
        <f t="shared" si="326"/>
        <v/>
      </c>
      <c r="AF323" s="115" t="str">
        <f t="shared" si="326"/>
        <v/>
      </c>
      <c r="AG323" s="115" t="str">
        <f t="shared" si="326"/>
        <v/>
      </c>
      <c r="AH323" s="115" t="str">
        <f t="shared" si="326"/>
        <v/>
      </c>
      <c r="AI323" s="115" t="str">
        <f t="shared" si="326"/>
        <v/>
      </c>
      <c r="AJ323" s="115" t="str">
        <f t="shared" si="326"/>
        <v/>
      </c>
      <c r="AK323" s="115" t="str">
        <f t="shared" si="326"/>
        <v/>
      </c>
      <c r="AL323" s="115" t="str">
        <f t="shared" si="326"/>
        <v/>
      </c>
      <c r="AM323" s="115" t="str">
        <f t="shared" si="326"/>
        <v/>
      </c>
      <c r="AN323" s="115" t="str">
        <f t="shared" si="326"/>
        <v/>
      </c>
      <c r="AO323" s="115" t="str">
        <f t="shared" si="326"/>
        <v/>
      </c>
      <c r="AP323" s="117">
        <f>IF(AP$6="","",IF(AP$3="Maior",IFERROR(IF(VLOOKUP($N323,Capa!$A:$AE,AP$5,0)="",0,VLOOKUP($N323,Capa!$A:$AE,AP$5,0)),0),IF(ISERROR(1/VLOOKUP($N323,Capa!$A:$AE,AP$5,0)),0,1/VLOOKUP($N323,Capa!$A:$AE,AP$5,0))))</f>
        <v>-0.01634750363</v>
      </c>
      <c r="AQ323" s="118">
        <f>IF(AQ$6="","",IF(AQ$3="Maior",IFERROR(IF(VLOOKUP($N323,Capa!$A:$AE,AQ$5,0)="",0,VLOOKUP($N323,Capa!$A:$AE,AQ$5,0)),0),IF(ISERROR(1/VLOOKUP($N323,Capa!$A:$AE,AQ$5,0)),0,1/VLOOKUP($N323,Capa!$A:$AE,AQ$5,0))))</f>
        <v>-2.47</v>
      </c>
      <c r="AR323" s="118">
        <f>IF(AR$6="","",IF(AR$3="Maior",IFERROR(IF(VLOOKUP($N323,Capa!$A:$AE,AR$5,0)="",0,VLOOKUP($N323,Capa!$A:$AE,AR$5,0)),0),IF(ISERROR(1/VLOOKUP($N323,Capa!$A:$AE,AR$5,0)),0,1/VLOOKUP($N323,Capa!$A:$AE,AR$5,0))))</f>
        <v>0</v>
      </c>
      <c r="AS323" s="118" t="str">
        <f>IF(AS$6="","",IF(AS$3="Maior",IFERROR(IF(VLOOKUP($N323,Capa!$A:$AE,AS$5,0)="",0,VLOOKUP($N323,Capa!$A:$AE,AS$5,0)),0),IF(ISERROR(1/VLOOKUP($N323,Capa!$A:$AE,AS$5,0)),0,1/VLOOKUP($N323,Capa!$A:$AE,AS$5,0))))</f>
        <v/>
      </c>
      <c r="AT323" s="118" t="str">
        <f>IF(AT$6="","",IF(AT$3="Maior",IFERROR(IF(VLOOKUP($N323,Capa!$A:$AE,AT$5,0)="",0,VLOOKUP($N323,Capa!$A:$AE,AT$5,0)),0),IF(ISERROR(1/VLOOKUP($N323,Capa!$A:$AE,AT$5,0)),0,1/VLOOKUP($N323,Capa!$A:$AE,AT$5,0))))</f>
        <v/>
      </c>
      <c r="AU323" s="118" t="str">
        <f>IF(AU$6="","",IF(AU$3="Maior",IFERROR(IF(VLOOKUP($N323,Capa!$A:$AE,AU$5,0)="",0,VLOOKUP($N323,Capa!$A:$AE,AU$5,0)),0),IF(ISERROR(1/VLOOKUP($N323,Capa!$A:$AE,AU$5,0)),0,1/VLOOKUP($N323,Capa!$A:$AE,AU$5,0))))</f>
        <v/>
      </c>
      <c r="AV323" s="118" t="str">
        <f>IF(AV$6="","",IF(AV$3="Maior",IFERROR(IF(VLOOKUP($N323,Capa!$A:$AE,AV$5,0)="",0,VLOOKUP($N323,Capa!$A:$AE,AV$5,0)),0),IF(ISERROR(1/VLOOKUP($N323,Capa!$A:$AE,AV$5,0)),0,1/VLOOKUP($N323,Capa!$A:$AE,AV$5,0))))</f>
        <v/>
      </c>
      <c r="AW323" s="118" t="str">
        <f>IF(AW$6="","",IF(AW$3="Maior",IFERROR(IF(VLOOKUP($N323,Capa!$A:$AE,AW$5,0)="",0,VLOOKUP($N323,Capa!$A:$AE,AW$5,0)),0),IF(ISERROR(1/VLOOKUP($N323,Capa!$A:$AE,AW$5,0)),0,1/VLOOKUP($N323,Capa!$A:$AE,AW$5,0))))</f>
        <v/>
      </c>
      <c r="AX323" s="118" t="str">
        <f>IF(AX$6="","",IF(AX$3="Maior",IFERROR(IF(VLOOKUP($N323,Capa!$A:$AE,AX$5,0)="",0,VLOOKUP($N323,Capa!$A:$AE,AX$5,0)),0),IF(ISERROR(1/VLOOKUP($N323,Capa!$A:$AE,AX$5,0)),0,1/VLOOKUP($N323,Capa!$A:$AE,AX$5,0))))</f>
        <v/>
      </c>
      <c r="AY323" s="118" t="str">
        <f>IF(AY$6="","",IF(AY$3="Maior",IFERROR(IF(VLOOKUP($N323,Capa!$A:$AE,AY$5,0)="",0,VLOOKUP($N323,Capa!$A:$AE,AY$5,0)),0),IF(ISERROR(1/VLOOKUP($N323,Capa!$A:$AE,AY$5,0)),0,1/VLOOKUP($N323,Capa!$A:$AE,AY$5,0))))</f>
        <v/>
      </c>
      <c r="AZ323" s="118" t="str">
        <f>IF(AZ$6="","",IF(AZ$3="Maior",IFERROR(IF(VLOOKUP($N323,Capa!$A:$AE,AZ$5,0)="",0,VLOOKUP($N323,Capa!$A:$AE,AZ$5,0)),0),IF(ISERROR(1/VLOOKUP($N323,Capa!$A:$AE,AZ$5,0)),0,1/VLOOKUP($N323,Capa!$A:$AE,AZ$5,0))))</f>
        <v/>
      </c>
      <c r="BA323" s="118" t="str">
        <f>IF(BA$6="","",IF(BA$3="Maior",IFERROR(IF(VLOOKUP($N323,Capa!$A:$AE,BA$5,0)="",0,VLOOKUP($N323,Capa!$A:$AE,BA$5,0)),0),IF(ISERROR(1/VLOOKUP($N323,Capa!$A:$AE,BA$5,0)),0,1/VLOOKUP($N323,Capa!$A:$AE,BA$5,0))))</f>
        <v/>
      </c>
      <c r="BB323" s="118" t="str">
        <f>IF(BB$6="","",IF(BB$3="Maior",IFERROR(IF(VLOOKUP($N323,Capa!$A:$AE,BB$5,0)="",0,VLOOKUP($N323,Capa!$A:$AE,BB$5,0)),0),IF(ISERROR(1/VLOOKUP($N323,Capa!$A:$AE,BB$5,0)),0,1/VLOOKUP($N323,Capa!$A:$AE,BB$5,0))))</f>
        <v/>
      </c>
      <c r="BC323" s="118" t="str">
        <f>IF(BC$6="","",IF(BC$3="Maior",IFERROR(IF(VLOOKUP($N323,Capa!$A:$AE,BC$5,0)="",0,VLOOKUP($N323,Capa!$A:$AE,BC$5,0)),0),IF(ISERROR(1/VLOOKUP($N323,Capa!$A:$AE,BC$5,0)),0,1/VLOOKUP($N323,Capa!$A:$AE,BC$5,0))))</f>
        <v/>
      </c>
      <c r="BD323" s="118" t="str">
        <f>IF(BD$6="","",IF(BD$3="Maior",IFERROR(IF(VLOOKUP($N323,Capa!$A:$AE,BD$5,0)="",0,VLOOKUP($N323,Capa!$A:$AE,BD$5,0)),0),IF(ISERROR(1/VLOOKUP($N323,Capa!$A:$AE,BD$5,0)),0,1/VLOOKUP($N323,Capa!$A:$AE,BD$5,0))))</f>
        <v/>
      </c>
      <c r="BE323" s="118" t="str">
        <f>IF(BE$6="","",IF(BE$3="Maior",IFERROR(IF(VLOOKUP($N323,Capa!$A:$AE,BE$5,0)="",0,VLOOKUP($N323,Capa!$A:$AE,BE$5,0)),0),IF(ISERROR(1/VLOOKUP($N323,Capa!$A:$AE,BE$5,0)),0,1/VLOOKUP($N323,Capa!$A:$AE,BE$5,0))))</f>
        <v/>
      </c>
      <c r="BF323" s="118" t="str">
        <f>IF(BF$6="","",IF(BF$3="Maior",IFERROR(IF(VLOOKUP($N323,Capa!$A:$AE,BF$5,0)="",0,VLOOKUP($N323,Capa!$A:$AE,BF$5,0)),0),IF(ISERROR(1/VLOOKUP($N323,Capa!$A:$AE,BF$5,0)),0,1/VLOOKUP($N323,Capa!$A:$AE,BF$5,0))))</f>
        <v/>
      </c>
      <c r="BG323" s="118" t="str">
        <f>IF(BG$6="","",IF(BG$3="Maior",IFERROR(IF(VLOOKUP($N323,Capa!$A:$AE,BG$5,0)="",0,VLOOKUP($N323,Capa!$A:$AE,BG$5,0)),0),IF(ISERROR(1/VLOOKUP($N323,Capa!$A:$AE,BG$5,0)),0,1/VLOOKUP($N323,Capa!$A:$AE,BG$5,0))))</f>
        <v/>
      </c>
      <c r="BH323" s="118" t="str">
        <f>IF(BH$6="","",IF(BH$3="Maior",IFERROR(IF(VLOOKUP($N323,Capa!$A:$AE,BH$5,0)="",0,VLOOKUP($N323,Capa!$A:$AE,BH$5,0)),0),IF(ISERROR(1/VLOOKUP($N323,Capa!$A:$AE,BH$5,0)),0,1/VLOOKUP($N323,Capa!$A:$AE,BH$5,0))))</f>
        <v/>
      </c>
      <c r="BI323" s="118" t="str">
        <f>IF(BI$6="","",IF(BI$3="Maior",IFERROR(IF(VLOOKUP($N323,Capa!$A:$AE,BI$5,0)="",0,VLOOKUP($N323,Capa!$A:$AE,BI$5,0)),0),IF(ISERROR(1/VLOOKUP($N323,Capa!$A:$AE,BI$5,0)),0,1/VLOOKUP($N323,Capa!$A:$AE,BI$5,0))))</f>
        <v/>
      </c>
      <c r="BJ323" s="118" t="str">
        <f>IF(BJ$6="","",IF(BJ$3="Maior",IFERROR(IF(VLOOKUP($N323,Capa!$A:$AE,BJ$5,0)="",0,VLOOKUP($N323,Capa!$A:$AE,BJ$5,0)),0),IF(ISERROR(1/VLOOKUP($N323,Capa!$A:$AE,BJ$5,0)),0,1/VLOOKUP($N323,Capa!$A:$AE,BJ$5,0))))</f>
        <v/>
      </c>
      <c r="BK323" s="118" t="str">
        <f>IF(BK$6="","",IF(BK$3="Maior",IFERROR(IF(VLOOKUP($N323,Capa!$A:$AE,BK$5,0)="",0,VLOOKUP($N323,Capa!$A:$AE,BK$5,0)),0),IF(ISERROR(1/VLOOKUP($N323,Capa!$A:$AE,BK$5,0)),0,1/VLOOKUP($N323,Capa!$A:$AE,BK$5,0))))</f>
        <v/>
      </c>
      <c r="BL323" s="118" t="str">
        <f>IF(BL$6="","",IF(BL$3="Maior",IFERROR(IF(VLOOKUP($N323,Capa!$A:$AE,BL$5,0)="",0,VLOOKUP($N323,Capa!$A:$AE,BL$5,0)),0),IF(ISERROR(1/VLOOKUP($N323,Capa!$A:$AE,BL$5,0)),0,1/VLOOKUP($N323,Capa!$A:$AE,BL$5,0))))</f>
        <v/>
      </c>
      <c r="BM323" s="118" t="str">
        <f>IF(BM$6="","",IF(BM$3="Maior",IFERROR(IF(VLOOKUP($N323,Capa!$A:$AE,BM$5,0)="",0,VLOOKUP($N323,Capa!$A:$AE,BM$5,0)),0),IF(ISERROR(1/VLOOKUP($N323,Capa!$A:$AE,BM$5,0)),0,1/VLOOKUP($N323,Capa!$A:$AE,BM$5,0))))</f>
        <v/>
      </c>
      <c r="BN323" s="118" t="str">
        <f>IF(BN$6="","",IF(BN$3="Maior",IFERROR(IF(VLOOKUP($N323,Capa!$A:$AE,BN$5,0)="",0,VLOOKUP($N323,Capa!$A:$AE,BN$5,0)),0),IF(ISERROR(1/VLOOKUP($N323,Capa!$A:$AE,BN$5,0)),0,1/VLOOKUP($N323,Capa!$A:$AE,BN$5,0))))</f>
        <v/>
      </c>
      <c r="BO323" s="92"/>
    </row>
    <row r="324">
      <c r="G324" s="11"/>
      <c r="H324" s="11"/>
      <c r="I324" s="8"/>
      <c r="J324" s="132"/>
      <c r="K324" s="11"/>
      <c r="L324" s="11"/>
      <c r="M324" s="11"/>
      <c r="N324" s="10" t="s">
        <v>370</v>
      </c>
      <c r="O324" s="113">
        <f t="shared" si="8"/>
        <v>1934.034</v>
      </c>
      <c r="P324" s="114">
        <f>VLOOKUP(N324,'Dados StatusInvest'!A:Z,26,0)</f>
        <v>114775.54</v>
      </c>
      <c r="Q324" s="115">
        <f t="shared" si="9"/>
        <v>340.034</v>
      </c>
      <c r="R324" s="116">
        <f t="shared" ref="R324:AO324" si="327">IF(AQ324="","", RANK(AQ324,AQ$7:AQ$503,0))</f>
        <v>375</v>
      </c>
      <c r="S324" s="115">
        <f t="shared" si="327"/>
        <v>219</v>
      </c>
      <c r="T324" s="115" t="str">
        <f t="shared" si="327"/>
        <v/>
      </c>
      <c r="U324" s="115" t="str">
        <f t="shared" si="327"/>
        <v/>
      </c>
      <c r="V324" s="115" t="str">
        <f t="shared" si="327"/>
        <v/>
      </c>
      <c r="W324" s="115" t="str">
        <f t="shared" si="327"/>
        <v/>
      </c>
      <c r="X324" s="115" t="str">
        <f t="shared" si="327"/>
        <v/>
      </c>
      <c r="Y324" s="115" t="str">
        <f t="shared" si="327"/>
        <v/>
      </c>
      <c r="Z324" s="115" t="str">
        <f t="shared" si="327"/>
        <v/>
      </c>
      <c r="AA324" s="115" t="str">
        <f t="shared" si="327"/>
        <v/>
      </c>
      <c r="AB324" s="115" t="str">
        <f t="shared" si="327"/>
        <v/>
      </c>
      <c r="AC324" s="115" t="str">
        <f t="shared" si="327"/>
        <v/>
      </c>
      <c r="AD324" s="115" t="str">
        <f t="shared" si="327"/>
        <v/>
      </c>
      <c r="AE324" s="115" t="str">
        <f t="shared" si="327"/>
        <v/>
      </c>
      <c r="AF324" s="115" t="str">
        <f t="shared" si="327"/>
        <v/>
      </c>
      <c r="AG324" s="115" t="str">
        <f t="shared" si="327"/>
        <v/>
      </c>
      <c r="AH324" s="115" t="str">
        <f t="shared" si="327"/>
        <v/>
      </c>
      <c r="AI324" s="115" t="str">
        <f t="shared" si="327"/>
        <v/>
      </c>
      <c r="AJ324" s="115" t="str">
        <f t="shared" si="327"/>
        <v/>
      </c>
      <c r="AK324" s="115" t="str">
        <f t="shared" si="327"/>
        <v/>
      </c>
      <c r="AL324" s="115" t="str">
        <f t="shared" si="327"/>
        <v/>
      </c>
      <c r="AM324" s="115" t="str">
        <f t="shared" si="327"/>
        <v/>
      </c>
      <c r="AN324" s="115" t="str">
        <f t="shared" si="327"/>
        <v/>
      </c>
      <c r="AO324" s="115" t="str">
        <f t="shared" si="327"/>
        <v/>
      </c>
      <c r="AP324" s="117">
        <f>IF(AP$6="","",IF(AP$3="Maior",IFERROR(IF(VLOOKUP($N324,Capa!$A:$AE,AP$5,0)="",0,VLOOKUP($N324,Capa!$A:$AE,AP$5,0)),0),IF(ISERROR(1/VLOOKUP($N324,Capa!$A:$AE,AP$5,0)),0,1/VLOOKUP($N324,Capa!$A:$AE,AP$5,0))))</f>
        <v>0.03335919627</v>
      </c>
      <c r="AQ324" s="118">
        <f>IF(AQ$6="","",IF(AQ$3="Maior",IFERROR(IF(VLOOKUP($N324,Capa!$A:$AE,AQ$5,0)="",0,VLOOKUP($N324,Capa!$A:$AE,AQ$5,0)),0),IF(ISERROR(1/VLOOKUP($N324,Capa!$A:$AE,AQ$5,0)),0,1/VLOOKUP($N324,Capa!$A:$AE,AQ$5,0))))</f>
        <v>0</v>
      </c>
      <c r="AR324" s="118">
        <f>IF(AR$6="","",IF(AR$3="Maior",IFERROR(IF(VLOOKUP($N324,Capa!$A:$AE,AR$5,0)="",0,VLOOKUP($N324,Capa!$A:$AE,AR$5,0)),0),IF(ISERROR(1/VLOOKUP($N324,Capa!$A:$AE,AR$5,0)),0,1/VLOOKUP($N324,Capa!$A:$AE,AR$5,0))))</f>
        <v>0</v>
      </c>
      <c r="AS324" s="118" t="str">
        <f>IF(AS$6="","",IF(AS$3="Maior",IFERROR(IF(VLOOKUP($N324,Capa!$A:$AE,AS$5,0)="",0,VLOOKUP($N324,Capa!$A:$AE,AS$5,0)),0),IF(ISERROR(1/VLOOKUP($N324,Capa!$A:$AE,AS$5,0)),0,1/VLOOKUP($N324,Capa!$A:$AE,AS$5,0))))</f>
        <v/>
      </c>
      <c r="AT324" s="118" t="str">
        <f>IF(AT$6="","",IF(AT$3="Maior",IFERROR(IF(VLOOKUP($N324,Capa!$A:$AE,AT$5,0)="",0,VLOOKUP($N324,Capa!$A:$AE,AT$5,0)),0),IF(ISERROR(1/VLOOKUP($N324,Capa!$A:$AE,AT$5,0)),0,1/VLOOKUP($N324,Capa!$A:$AE,AT$5,0))))</f>
        <v/>
      </c>
      <c r="AU324" s="118" t="str">
        <f>IF(AU$6="","",IF(AU$3="Maior",IFERROR(IF(VLOOKUP($N324,Capa!$A:$AE,AU$5,0)="",0,VLOOKUP($N324,Capa!$A:$AE,AU$5,0)),0),IF(ISERROR(1/VLOOKUP($N324,Capa!$A:$AE,AU$5,0)),0,1/VLOOKUP($N324,Capa!$A:$AE,AU$5,0))))</f>
        <v/>
      </c>
      <c r="AV324" s="118" t="str">
        <f>IF(AV$6="","",IF(AV$3="Maior",IFERROR(IF(VLOOKUP($N324,Capa!$A:$AE,AV$5,0)="",0,VLOOKUP($N324,Capa!$A:$AE,AV$5,0)),0),IF(ISERROR(1/VLOOKUP($N324,Capa!$A:$AE,AV$5,0)),0,1/VLOOKUP($N324,Capa!$A:$AE,AV$5,0))))</f>
        <v/>
      </c>
      <c r="AW324" s="118" t="str">
        <f>IF(AW$6="","",IF(AW$3="Maior",IFERROR(IF(VLOOKUP($N324,Capa!$A:$AE,AW$5,0)="",0,VLOOKUP($N324,Capa!$A:$AE,AW$5,0)),0),IF(ISERROR(1/VLOOKUP($N324,Capa!$A:$AE,AW$5,0)),0,1/VLOOKUP($N324,Capa!$A:$AE,AW$5,0))))</f>
        <v/>
      </c>
      <c r="AX324" s="118" t="str">
        <f>IF(AX$6="","",IF(AX$3="Maior",IFERROR(IF(VLOOKUP($N324,Capa!$A:$AE,AX$5,0)="",0,VLOOKUP($N324,Capa!$A:$AE,AX$5,0)),0),IF(ISERROR(1/VLOOKUP($N324,Capa!$A:$AE,AX$5,0)),0,1/VLOOKUP($N324,Capa!$A:$AE,AX$5,0))))</f>
        <v/>
      </c>
      <c r="AY324" s="118" t="str">
        <f>IF(AY$6="","",IF(AY$3="Maior",IFERROR(IF(VLOOKUP($N324,Capa!$A:$AE,AY$5,0)="",0,VLOOKUP($N324,Capa!$A:$AE,AY$5,0)),0),IF(ISERROR(1/VLOOKUP($N324,Capa!$A:$AE,AY$5,0)),0,1/VLOOKUP($N324,Capa!$A:$AE,AY$5,0))))</f>
        <v/>
      </c>
      <c r="AZ324" s="118" t="str">
        <f>IF(AZ$6="","",IF(AZ$3="Maior",IFERROR(IF(VLOOKUP($N324,Capa!$A:$AE,AZ$5,0)="",0,VLOOKUP($N324,Capa!$A:$AE,AZ$5,0)),0),IF(ISERROR(1/VLOOKUP($N324,Capa!$A:$AE,AZ$5,0)),0,1/VLOOKUP($N324,Capa!$A:$AE,AZ$5,0))))</f>
        <v/>
      </c>
      <c r="BA324" s="118" t="str">
        <f>IF(BA$6="","",IF(BA$3="Maior",IFERROR(IF(VLOOKUP($N324,Capa!$A:$AE,BA$5,0)="",0,VLOOKUP($N324,Capa!$A:$AE,BA$5,0)),0),IF(ISERROR(1/VLOOKUP($N324,Capa!$A:$AE,BA$5,0)),0,1/VLOOKUP($N324,Capa!$A:$AE,BA$5,0))))</f>
        <v/>
      </c>
      <c r="BB324" s="118" t="str">
        <f>IF(BB$6="","",IF(BB$3="Maior",IFERROR(IF(VLOOKUP($N324,Capa!$A:$AE,BB$5,0)="",0,VLOOKUP($N324,Capa!$A:$AE,BB$5,0)),0),IF(ISERROR(1/VLOOKUP($N324,Capa!$A:$AE,BB$5,0)),0,1/VLOOKUP($N324,Capa!$A:$AE,BB$5,0))))</f>
        <v/>
      </c>
      <c r="BC324" s="118" t="str">
        <f>IF(BC$6="","",IF(BC$3="Maior",IFERROR(IF(VLOOKUP($N324,Capa!$A:$AE,BC$5,0)="",0,VLOOKUP($N324,Capa!$A:$AE,BC$5,0)),0),IF(ISERROR(1/VLOOKUP($N324,Capa!$A:$AE,BC$5,0)),0,1/VLOOKUP($N324,Capa!$A:$AE,BC$5,0))))</f>
        <v/>
      </c>
      <c r="BD324" s="118" t="str">
        <f>IF(BD$6="","",IF(BD$3="Maior",IFERROR(IF(VLOOKUP($N324,Capa!$A:$AE,BD$5,0)="",0,VLOOKUP($N324,Capa!$A:$AE,BD$5,0)),0),IF(ISERROR(1/VLOOKUP($N324,Capa!$A:$AE,BD$5,0)),0,1/VLOOKUP($N324,Capa!$A:$AE,BD$5,0))))</f>
        <v/>
      </c>
      <c r="BE324" s="118" t="str">
        <f>IF(BE$6="","",IF(BE$3="Maior",IFERROR(IF(VLOOKUP($N324,Capa!$A:$AE,BE$5,0)="",0,VLOOKUP($N324,Capa!$A:$AE,BE$5,0)),0),IF(ISERROR(1/VLOOKUP($N324,Capa!$A:$AE,BE$5,0)),0,1/VLOOKUP($N324,Capa!$A:$AE,BE$5,0))))</f>
        <v/>
      </c>
      <c r="BF324" s="118" t="str">
        <f>IF(BF$6="","",IF(BF$3="Maior",IFERROR(IF(VLOOKUP($N324,Capa!$A:$AE,BF$5,0)="",0,VLOOKUP($N324,Capa!$A:$AE,BF$5,0)),0),IF(ISERROR(1/VLOOKUP($N324,Capa!$A:$AE,BF$5,0)),0,1/VLOOKUP($N324,Capa!$A:$AE,BF$5,0))))</f>
        <v/>
      </c>
      <c r="BG324" s="118" t="str">
        <f>IF(BG$6="","",IF(BG$3="Maior",IFERROR(IF(VLOOKUP($N324,Capa!$A:$AE,BG$5,0)="",0,VLOOKUP($N324,Capa!$A:$AE,BG$5,0)),0),IF(ISERROR(1/VLOOKUP($N324,Capa!$A:$AE,BG$5,0)),0,1/VLOOKUP($N324,Capa!$A:$AE,BG$5,0))))</f>
        <v/>
      </c>
      <c r="BH324" s="118" t="str">
        <f>IF(BH$6="","",IF(BH$3="Maior",IFERROR(IF(VLOOKUP($N324,Capa!$A:$AE,BH$5,0)="",0,VLOOKUP($N324,Capa!$A:$AE,BH$5,0)),0),IF(ISERROR(1/VLOOKUP($N324,Capa!$A:$AE,BH$5,0)),0,1/VLOOKUP($N324,Capa!$A:$AE,BH$5,0))))</f>
        <v/>
      </c>
      <c r="BI324" s="118" t="str">
        <f>IF(BI$6="","",IF(BI$3="Maior",IFERROR(IF(VLOOKUP($N324,Capa!$A:$AE,BI$5,0)="",0,VLOOKUP($N324,Capa!$A:$AE,BI$5,0)),0),IF(ISERROR(1/VLOOKUP($N324,Capa!$A:$AE,BI$5,0)),0,1/VLOOKUP($N324,Capa!$A:$AE,BI$5,0))))</f>
        <v/>
      </c>
      <c r="BJ324" s="118" t="str">
        <f>IF(BJ$6="","",IF(BJ$3="Maior",IFERROR(IF(VLOOKUP($N324,Capa!$A:$AE,BJ$5,0)="",0,VLOOKUP($N324,Capa!$A:$AE,BJ$5,0)),0),IF(ISERROR(1/VLOOKUP($N324,Capa!$A:$AE,BJ$5,0)),0,1/VLOOKUP($N324,Capa!$A:$AE,BJ$5,0))))</f>
        <v/>
      </c>
      <c r="BK324" s="118" t="str">
        <f>IF(BK$6="","",IF(BK$3="Maior",IFERROR(IF(VLOOKUP($N324,Capa!$A:$AE,BK$5,0)="",0,VLOOKUP($N324,Capa!$A:$AE,BK$5,0)),0),IF(ISERROR(1/VLOOKUP($N324,Capa!$A:$AE,BK$5,0)),0,1/VLOOKUP($N324,Capa!$A:$AE,BK$5,0))))</f>
        <v/>
      </c>
      <c r="BL324" s="118" t="str">
        <f>IF(BL$6="","",IF(BL$3="Maior",IFERROR(IF(VLOOKUP($N324,Capa!$A:$AE,BL$5,0)="",0,VLOOKUP($N324,Capa!$A:$AE,BL$5,0)),0),IF(ISERROR(1/VLOOKUP($N324,Capa!$A:$AE,BL$5,0)),0,1/VLOOKUP($N324,Capa!$A:$AE,BL$5,0))))</f>
        <v/>
      </c>
      <c r="BM324" s="118" t="str">
        <f>IF(BM$6="","",IF(BM$3="Maior",IFERROR(IF(VLOOKUP($N324,Capa!$A:$AE,BM$5,0)="",0,VLOOKUP($N324,Capa!$A:$AE,BM$5,0)),0),IF(ISERROR(1/VLOOKUP($N324,Capa!$A:$AE,BM$5,0)),0,1/VLOOKUP($N324,Capa!$A:$AE,BM$5,0))))</f>
        <v/>
      </c>
      <c r="BN324" s="118" t="str">
        <f>IF(BN$6="","",IF(BN$3="Maior",IFERROR(IF(VLOOKUP($N324,Capa!$A:$AE,BN$5,0)="",0,VLOOKUP($N324,Capa!$A:$AE,BN$5,0)),0),IF(ISERROR(1/VLOOKUP($N324,Capa!$A:$AE,BN$5,0)),0,1/VLOOKUP($N324,Capa!$A:$AE,BN$5,0))))</f>
        <v/>
      </c>
      <c r="BO324" s="92"/>
    </row>
    <row r="325">
      <c r="G325" s="11"/>
      <c r="H325" s="11"/>
      <c r="I325" s="8"/>
      <c r="J325" s="132"/>
      <c r="K325" s="11"/>
      <c r="L325" s="11"/>
      <c r="M325" s="11"/>
      <c r="N325" s="10" t="s">
        <v>371</v>
      </c>
      <c r="O325" s="113">
        <f t="shared" si="8"/>
        <v>1976.0497</v>
      </c>
      <c r="P325" s="114">
        <f>VLOOKUP(N325,'Dados StatusInvest'!A:Z,26,0)</f>
        <v>550707.63</v>
      </c>
      <c r="Q325" s="115">
        <f t="shared" si="9"/>
        <v>497.0497</v>
      </c>
      <c r="R325" s="116">
        <f t="shared" ref="R325:AO325" si="328">IF(AQ325="","", RANK(AQ325,AQ$7:AQ$503,0))</f>
        <v>260</v>
      </c>
      <c r="S325" s="115">
        <f t="shared" si="328"/>
        <v>219</v>
      </c>
      <c r="T325" s="115" t="str">
        <f t="shared" si="328"/>
        <v/>
      </c>
      <c r="U325" s="115" t="str">
        <f t="shared" si="328"/>
        <v/>
      </c>
      <c r="V325" s="115" t="str">
        <f t="shared" si="328"/>
        <v/>
      </c>
      <c r="W325" s="115" t="str">
        <f t="shared" si="328"/>
        <v/>
      </c>
      <c r="X325" s="115" t="str">
        <f t="shared" si="328"/>
        <v/>
      </c>
      <c r="Y325" s="115" t="str">
        <f t="shared" si="328"/>
        <v/>
      </c>
      <c r="Z325" s="115" t="str">
        <f t="shared" si="328"/>
        <v/>
      </c>
      <c r="AA325" s="115" t="str">
        <f t="shared" si="328"/>
        <v/>
      </c>
      <c r="AB325" s="115" t="str">
        <f t="shared" si="328"/>
        <v/>
      </c>
      <c r="AC325" s="115" t="str">
        <f t="shared" si="328"/>
        <v/>
      </c>
      <c r="AD325" s="115" t="str">
        <f t="shared" si="328"/>
        <v/>
      </c>
      <c r="AE325" s="115" t="str">
        <f t="shared" si="328"/>
        <v/>
      </c>
      <c r="AF325" s="115" t="str">
        <f t="shared" si="328"/>
        <v/>
      </c>
      <c r="AG325" s="115" t="str">
        <f t="shared" si="328"/>
        <v/>
      </c>
      <c r="AH325" s="115" t="str">
        <f t="shared" si="328"/>
        <v/>
      </c>
      <c r="AI325" s="115" t="str">
        <f t="shared" si="328"/>
        <v/>
      </c>
      <c r="AJ325" s="115" t="str">
        <f t="shared" si="328"/>
        <v/>
      </c>
      <c r="AK325" s="115" t="str">
        <f t="shared" si="328"/>
        <v/>
      </c>
      <c r="AL325" s="115" t="str">
        <f t="shared" si="328"/>
        <v/>
      </c>
      <c r="AM325" s="115" t="str">
        <f t="shared" si="328"/>
        <v/>
      </c>
      <c r="AN325" s="115" t="str">
        <f t="shared" si="328"/>
        <v/>
      </c>
      <c r="AO325" s="115" t="str">
        <f t="shared" si="328"/>
        <v/>
      </c>
      <c r="AP325" s="117">
        <f>IF(AP$6="","",IF(AP$3="Maior",IFERROR(IF(VLOOKUP($N325,Capa!$A:$AE,AP$5,0)="",0,VLOOKUP($N325,Capa!$A:$AE,AP$5,0)),0),IF(ISERROR(1/VLOOKUP($N325,Capa!$A:$AE,AP$5,0)),0,1/VLOOKUP($N325,Capa!$A:$AE,AP$5,0))))</f>
        <v>-2.264970524</v>
      </c>
      <c r="AQ325" s="118">
        <f>IF(AQ$6="","",IF(AQ$3="Maior",IFERROR(IF(VLOOKUP($N325,Capa!$A:$AE,AQ$5,0)="",0,VLOOKUP($N325,Capa!$A:$AE,AQ$5,0)),0),IF(ISERROR(1/VLOOKUP($N325,Capa!$A:$AE,AQ$5,0)),0,1/VLOOKUP($N325,Capa!$A:$AE,AQ$5,0))))</f>
        <v>7.89</v>
      </c>
      <c r="AR325" s="118">
        <f>IF(AR$6="","",IF(AR$3="Maior",IFERROR(IF(VLOOKUP($N325,Capa!$A:$AE,AR$5,0)="",0,VLOOKUP($N325,Capa!$A:$AE,AR$5,0)),0),IF(ISERROR(1/VLOOKUP($N325,Capa!$A:$AE,AR$5,0)),0,1/VLOOKUP($N325,Capa!$A:$AE,AR$5,0))))</f>
        <v>0</v>
      </c>
      <c r="AS325" s="118" t="str">
        <f>IF(AS$6="","",IF(AS$3="Maior",IFERROR(IF(VLOOKUP($N325,Capa!$A:$AE,AS$5,0)="",0,VLOOKUP($N325,Capa!$A:$AE,AS$5,0)),0),IF(ISERROR(1/VLOOKUP($N325,Capa!$A:$AE,AS$5,0)),0,1/VLOOKUP($N325,Capa!$A:$AE,AS$5,0))))</f>
        <v/>
      </c>
      <c r="AT325" s="118" t="str">
        <f>IF(AT$6="","",IF(AT$3="Maior",IFERROR(IF(VLOOKUP($N325,Capa!$A:$AE,AT$5,0)="",0,VLOOKUP($N325,Capa!$A:$AE,AT$5,0)),0),IF(ISERROR(1/VLOOKUP($N325,Capa!$A:$AE,AT$5,0)),0,1/VLOOKUP($N325,Capa!$A:$AE,AT$5,0))))</f>
        <v/>
      </c>
      <c r="AU325" s="118" t="str">
        <f>IF(AU$6="","",IF(AU$3="Maior",IFERROR(IF(VLOOKUP($N325,Capa!$A:$AE,AU$5,0)="",0,VLOOKUP($N325,Capa!$A:$AE,AU$5,0)),0),IF(ISERROR(1/VLOOKUP($N325,Capa!$A:$AE,AU$5,0)),0,1/VLOOKUP($N325,Capa!$A:$AE,AU$5,0))))</f>
        <v/>
      </c>
      <c r="AV325" s="118" t="str">
        <f>IF(AV$6="","",IF(AV$3="Maior",IFERROR(IF(VLOOKUP($N325,Capa!$A:$AE,AV$5,0)="",0,VLOOKUP($N325,Capa!$A:$AE,AV$5,0)),0),IF(ISERROR(1/VLOOKUP($N325,Capa!$A:$AE,AV$5,0)),0,1/VLOOKUP($N325,Capa!$A:$AE,AV$5,0))))</f>
        <v/>
      </c>
      <c r="AW325" s="118" t="str">
        <f>IF(AW$6="","",IF(AW$3="Maior",IFERROR(IF(VLOOKUP($N325,Capa!$A:$AE,AW$5,0)="",0,VLOOKUP($N325,Capa!$A:$AE,AW$5,0)),0),IF(ISERROR(1/VLOOKUP($N325,Capa!$A:$AE,AW$5,0)),0,1/VLOOKUP($N325,Capa!$A:$AE,AW$5,0))))</f>
        <v/>
      </c>
      <c r="AX325" s="118" t="str">
        <f>IF(AX$6="","",IF(AX$3="Maior",IFERROR(IF(VLOOKUP($N325,Capa!$A:$AE,AX$5,0)="",0,VLOOKUP($N325,Capa!$A:$AE,AX$5,0)),0),IF(ISERROR(1/VLOOKUP($N325,Capa!$A:$AE,AX$5,0)),0,1/VLOOKUP($N325,Capa!$A:$AE,AX$5,0))))</f>
        <v/>
      </c>
      <c r="AY325" s="118" t="str">
        <f>IF(AY$6="","",IF(AY$3="Maior",IFERROR(IF(VLOOKUP($N325,Capa!$A:$AE,AY$5,0)="",0,VLOOKUP($N325,Capa!$A:$AE,AY$5,0)),0),IF(ISERROR(1/VLOOKUP($N325,Capa!$A:$AE,AY$5,0)),0,1/VLOOKUP($N325,Capa!$A:$AE,AY$5,0))))</f>
        <v/>
      </c>
      <c r="AZ325" s="118" t="str">
        <f>IF(AZ$6="","",IF(AZ$3="Maior",IFERROR(IF(VLOOKUP($N325,Capa!$A:$AE,AZ$5,0)="",0,VLOOKUP($N325,Capa!$A:$AE,AZ$5,0)),0),IF(ISERROR(1/VLOOKUP($N325,Capa!$A:$AE,AZ$5,0)),0,1/VLOOKUP($N325,Capa!$A:$AE,AZ$5,0))))</f>
        <v/>
      </c>
      <c r="BA325" s="118" t="str">
        <f>IF(BA$6="","",IF(BA$3="Maior",IFERROR(IF(VLOOKUP($N325,Capa!$A:$AE,BA$5,0)="",0,VLOOKUP($N325,Capa!$A:$AE,BA$5,0)),0),IF(ISERROR(1/VLOOKUP($N325,Capa!$A:$AE,BA$5,0)),0,1/VLOOKUP($N325,Capa!$A:$AE,BA$5,0))))</f>
        <v/>
      </c>
      <c r="BB325" s="118" t="str">
        <f>IF(BB$6="","",IF(BB$3="Maior",IFERROR(IF(VLOOKUP($N325,Capa!$A:$AE,BB$5,0)="",0,VLOOKUP($N325,Capa!$A:$AE,BB$5,0)),0),IF(ISERROR(1/VLOOKUP($N325,Capa!$A:$AE,BB$5,0)),0,1/VLOOKUP($N325,Capa!$A:$AE,BB$5,0))))</f>
        <v/>
      </c>
      <c r="BC325" s="118" t="str">
        <f>IF(BC$6="","",IF(BC$3="Maior",IFERROR(IF(VLOOKUP($N325,Capa!$A:$AE,BC$5,0)="",0,VLOOKUP($N325,Capa!$A:$AE,BC$5,0)),0),IF(ISERROR(1/VLOOKUP($N325,Capa!$A:$AE,BC$5,0)),0,1/VLOOKUP($N325,Capa!$A:$AE,BC$5,0))))</f>
        <v/>
      </c>
      <c r="BD325" s="118" t="str">
        <f>IF(BD$6="","",IF(BD$3="Maior",IFERROR(IF(VLOOKUP($N325,Capa!$A:$AE,BD$5,0)="",0,VLOOKUP($N325,Capa!$A:$AE,BD$5,0)),0),IF(ISERROR(1/VLOOKUP($N325,Capa!$A:$AE,BD$5,0)),0,1/VLOOKUP($N325,Capa!$A:$AE,BD$5,0))))</f>
        <v/>
      </c>
      <c r="BE325" s="118" t="str">
        <f>IF(BE$6="","",IF(BE$3="Maior",IFERROR(IF(VLOOKUP($N325,Capa!$A:$AE,BE$5,0)="",0,VLOOKUP($N325,Capa!$A:$AE,BE$5,0)),0),IF(ISERROR(1/VLOOKUP($N325,Capa!$A:$AE,BE$5,0)),0,1/VLOOKUP($N325,Capa!$A:$AE,BE$5,0))))</f>
        <v/>
      </c>
      <c r="BF325" s="118" t="str">
        <f>IF(BF$6="","",IF(BF$3="Maior",IFERROR(IF(VLOOKUP($N325,Capa!$A:$AE,BF$5,0)="",0,VLOOKUP($N325,Capa!$A:$AE,BF$5,0)),0),IF(ISERROR(1/VLOOKUP($N325,Capa!$A:$AE,BF$5,0)),0,1/VLOOKUP($N325,Capa!$A:$AE,BF$5,0))))</f>
        <v/>
      </c>
      <c r="BG325" s="118" t="str">
        <f>IF(BG$6="","",IF(BG$3="Maior",IFERROR(IF(VLOOKUP($N325,Capa!$A:$AE,BG$5,0)="",0,VLOOKUP($N325,Capa!$A:$AE,BG$5,0)),0),IF(ISERROR(1/VLOOKUP($N325,Capa!$A:$AE,BG$5,0)),0,1/VLOOKUP($N325,Capa!$A:$AE,BG$5,0))))</f>
        <v/>
      </c>
      <c r="BH325" s="118" t="str">
        <f>IF(BH$6="","",IF(BH$3="Maior",IFERROR(IF(VLOOKUP($N325,Capa!$A:$AE,BH$5,0)="",0,VLOOKUP($N325,Capa!$A:$AE,BH$5,0)),0),IF(ISERROR(1/VLOOKUP($N325,Capa!$A:$AE,BH$5,0)),0,1/VLOOKUP($N325,Capa!$A:$AE,BH$5,0))))</f>
        <v/>
      </c>
      <c r="BI325" s="118" t="str">
        <f>IF(BI$6="","",IF(BI$3="Maior",IFERROR(IF(VLOOKUP($N325,Capa!$A:$AE,BI$5,0)="",0,VLOOKUP($N325,Capa!$A:$AE,BI$5,0)),0),IF(ISERROR(1/VLOOKUP($N325,Capa!$A:$AE,BI$5,0)),0,1/VLOOKUP($N325,Capa!$A:$AE,BI$5,0))))</f>
        <v/>
      </c>
      <c r="BJ325" s="118" t="str">
        <f>IF(BJ$6="","",IF(BJ$3="Maior",IFERROR(IF(VLOOKUP($N325,Capa!$A:$AE,BJ$5,0)="",0,VLOOKUP($N325,Capa!$A:$AE,BJ$5,0)),0),IF(ISERROR(1/VLOOKUP($N325,Capa!$A:$AE,BJ$5,0)),0,1/VLOOKUP($N325,Capa!$A:$AE,BJ$5,0))))</f>
        <v/>
      </c>
      <c r="BK325" s="118" t="str">
        <f>IF(BK$6="","",IF(BK$3="Maior",IFERROR(IF(VLOOKUP($N325,Capa!$A:$AE,BK$5,0)="",0,VLOOKUP($N325,Capa!$A:$AE,BK$5,0)),0),IF(ISERROR(1/VLOOKUP($N325,Capa!$A:$AE,BK$5,0)),0,1/VLOOKUP($N325,Capa!$A:$AE,BK$5,0))))</f>
        <v/>
      </c>
      <c r="BL325" s="118" t="str">
        <f>IF(BL$6="","",IF(BL$3="Maior",IFERROR(IF(VLOOKUP($N325,Capa!$A:$AE,BL$5,0)="",0,VLOOKUP($N325,Capa!$A:$AE,BL$5,0)),0),IF(ISERROR(1/VLOOKUP($N325,Capa!$A:$AE,BL$5,0)),0,1/VLOOKUP($N325,Capa!$A:$AE,BL$5,0))))</f>
        <v/>
      </c>
      <c r="BM325" s="118" t="str">
        <f>IF(BM$6="","",IF(BM$3="Maior",IFERROR(IF(VLOOKUP($N325,Capa!$A:$AE,BM$5,0)="",0,VLOOKUP($N325,Capa!$A:$AE,BM$5,0)),0),IF(ISERROR(1/VLOOKUP($N325,Capa!$A:$AE,BM$5,0)),0,1/VLOOKUP($N325,Capa!$A:$AE,BM$5,0))))</f>
        <v/>
      </c>
      <c r="BN325" s="118" t="str">
        <f>IF(BN$6="","",IF(BN$3="Maior",IFERROR(IF(VLOOKUP($N325,Capa!$A:$AE,BN$5,0)="",0,VLOOKUP($N325,Capa!$A:$AE,BN$5,0)),0),IF(ISERROR(1/VLOOKUP($N325,Capa!$A:$AE,BN$5,0)),0,1/VLOOKUP($N325,Capa!$A:$AE,BN$5,0))))</f>
        <v/>
      </c>
      <c r="BO325" s="92"/>
    </row>
    <row r="326">
      <c r="G326" s="11"/>
      <c r="H326" s="11"/>
      <c r="I326" s="8"/>
      <c r="J326" s="132"/>
      <c r="K326" s="11"/>
      <c r="L326" s="11"/>
      <c r="M326" s="11"/>
      <c r="N326" s="10" t="s">
        <v>372</v>
      </c>
      <c r="O326" s="113">
        <f t="shared" si="8"/>
        <v>1391.0151</v>
      </c>
      <c r="P326" s="114">
        <f>VLOOKUP(N326,'Dados StatusInvest'!A:Z,26,0)</f>
        <v>146821</v>
      </c>
      <c r="Q326" s="115">
        <f t="shared" si="9"/>
        <v>151.0151</v>
      </c>
      <c r="R326" s="116">
        <f t="shared" ref="R326:AO326" si="329">IF(AQ326="","", RANK(AQ326,AQ$7:AQ$503,0))</f>
        <v>21</v>
      </c>
      <c r="S326" s="115">
        <f t="shared" si="329"/>
        <v>219</v>
      </c>
      <c r="T326" s="115" t="str">
        <f t="shared" si="329"/>
        <v/>
      </c>
      <c r="U326" s="115" t="str">
        <f t="shared" si="329"/>
        <v/>
      </c>
      <c r="V326" s="115" t="str">
        <f t="shared" si="329"/>
        <v/>
      </c>
      <c r="W326" s="115" t="str">
        <f t="shared" si="329"/>
        <v/>
      </c>
      <c r="X326" s="115" t="str">
        <f t="shared" si="329"/>
        <v/>
      </c>
      <c r="Y326" s="115" t="str">
        <f t="shared" si="329"/>
        <v/>
      </c>
      <c r="Z326" s="115" t="str">
        <f t="shared" si="329"/>
        <v/>
      </c>
      <c r="AA326" s="115" t="str">
        <f t="shared" si="329"/>
        <v/>
      </c>
      <c r="AB326" s="115" t="str">
        <f t="shared" si="329"/>
        <v/>
      </c>
      <c r="AC326" s="115" t="str">
        <f t="shared" si="329"/>
        <v/>
      </c>
      <c r="AD326" s="115" t="str">
        <f t="shared" si="329"/>
        <v/>
      </c>
      <c r="AE326" s="115" t="str">
        <f t="shared" si="329"/>
        <v/>
      </c>
      <c r="AF326" s="115" t="str">
        <f t="shared" si="329"/>
        <v/>
      </c>
      <c r="AG326" s="115" t="str">
        <f t="shared" si="329"/>
        <v/>
      </c>
      <c r="AH326" s="115" t="str">
        <f t="shared" si="329"/>
        <v/>
      </c>
      <c r="AI326" s="115" t="str">
        <f t="shared" si="329"/>
        <v/>
      </c>
      <c r="AJ326" s="115" t="str">
        <f t="shared" si="329"/>
        <v/>
      </c>
      <c r="AK326" s="115" t="str">
        <f t="shared" si="329"/>
        <v/>
      </c>
      <c r="AL326" s="115" t="str">
        <f t="shared" si="329"/>
        <v/>
      </c>
      <c r="AM326" s="115" t="str">
        <f t="shared" si="329"/>
        <v/>
      </c>
      <c r="AN326" s="115" t="str">
        <f t="shared" si="329"/>
        <v/>
      </c>
      <c r="AO326" s="115" t="str">
        <f t="shared" si="329"/>
        <v/>
      </c>
      <c r="AP326" s="117">
        <f>IF(AP$6="","",IF(AP$3="Maior",IFERROR(IF(VLOOKUP($N326,Capa!$A:$AE,AP$5,0)="",0,VLOOKUP($N326,Capa!$A:$AE,AP$5,0)),0),IF(ISERROR(1/VLOOKUP($N326,Capa!$A:$AE,AP$5,0)),0,1/VLOOKUP($N326,Capa!$A:$AE,AP$5,0))))</f>
        <v>0.1297242875</v>
      </c>
      <c r="AQ326" s="118">
        <f>IF(AQ$6="","",IF(AQ$3="Maior",IFERROR(IF(VLOOKUP($N326,Capa!$A:$AE,AQ$5,0)="",0,VLOOKUP($N326,Capa!$A:$AE,AQ$5,0)),0),IF(ISERROR(1/VLOOKUP($N326,Capa!$A:$AE,AQ$5,0)),0,1/VLOOKUP($N326,Capa!$A:$AE,AQ$5,0))))</f>
        <v>60.42</v>
      </c>
      <c r="AR326" s="118">
        <f>IF(AR$6="","",IF(AR$3="Maior",IFERROR(IF(VLOOKUP($N326,Capa!$A:$AE,AR$5,0)="",0,VLOOKUP($N326,Capa!$A:$AE,AR$5,0)),0),IF(ISERROR(1/VLOOKUP($N326,Capa!$A:$AE,AR$5,0)),0,1/VLOOKUP($N326,Capa!$A:$AE,AR$5,0))))</f>
        <v>0</v>
      </c>
      <c r="AS326" s="118" t="str">
        <f>IF(AS$6="","",IF(AS$3="Maior",IFERROR(IF(VLOOKUP($N326,Capa!$A:$AE,AS$5,0)="",0,VLOOKUP($N326,Capa!$A:$AE,AS$5,0)),0),IF(ISERROR(1/VLOOKUP($N326,Capa!$A:$AE,AS$5,0)),0,1/VLOOKUP($N326,Capa!$A:$AE,AS$5,0))))</f>
        <v/>
      </c>
      <c r="AT326" s="118" t="str">
        <f>IF(AT$6="","",IF(AT$3="Maior",IFERROR(IF(VLOOKUP($N326,Capa!$A:$AE,AT$5,0)="",0,VLOOKUP($N326,Capa!$A:$AE,AT$5,0)),0),IF(ISERROR(1/VLOOKUP($N326,Capa!$A:$AE,AT$5,0)),0,1/VLOOKUP($N326,Capa!$A:$AE,AT$5,0))))</f>
        <v/>
      </c>
      <c r="AU326" s="118" t="str">
        <f>IF(AU$6="","",IF(AU$3="Maior",IFERROR(IF(VLOOKUP($N326,Capa!$A:$AE,AU$5,0)="",0,VLOOKUP($N326,Capa!$A:$AE,AU$5,0)),0),IF(ISERROR(1/VLOOKUP($N326,Capa!$A:$AE,AU$5,0)),0,1/VLOOKUP($N326,Capa!$A:$AE,AU$5,0))))</f>
        <v/>
      </c>
      <c r="AV326" s="118" t="str">
        <f>IF(AV$6="","",IF(AV$3="Maior",IFERROR(IF(VLOOKUP($N326,Capa!$A:$AE,AV$5,0)="",0,VLOOKUP($N326,Capa!$A:$AE,AV$5,0)),0),IF(ISERROR(1/VLOOKUP($N326,Capa!$A:$AE,AV$5,0)),0,1/VLOOKUP($N326,Capa!$A:$AE,AV$5,0))))</f>
        <v/>
      </c>
      <c r="AW326" s="118" t="str">
        <f>IF(AW$6="","",IF(AW$3="Maior",IFERROR(IF(VLOOKUP($N326,Capa!$A:$AE,AW$5,0)="",0,VLOOKUP($N326,Capa!$A:$AE,AW$5,0)),0),IF(ISERROR(1/VLOOKUP($N326,Capa!$A:$AE,AW$5,0)),0,1/VLOOKUP($N326,Capa!$A:$AE,AW$5,0))))</f>
        <v/>
      </c>
      <c r="AX326" s="118" t="str">
        <f>IF(AX$6="","",IF(AX$3="Maior",IFERROR(IF(VLOOKUP($N326,Capa!$A:$AE,AX$5,0)="",0,VLOOKUP($N326,Capa!$A:$AE,AX$5,0)),0),IF(ISERROR(1/VLOOKUP($N326,Capa!$A:$AE,AX$5,0)),0,1/VLOOKUP($N326,Capa!$A:$AE,AX$5,0))))</f>
        <v/>
      </c>
      <c r="AY326" s="118" t="str">
        <f>IF(AY$6="","",IF(AY$3="Maior",IFERROR(IF(VLOOKUP($N326,Capa!$A:$AE,AY$5,0)="",0,VLOOKUP($N326,Capa!$A:$AE,AY$5,0)),0),IF(ISERROR(1/VLOOKUP($N326,Capa!$A:$AE,AY$5,0)),0,1/VLOOKUP($N326,Capa!$A:$AE,AY$5,0))))</f>
        <v/>
      </c>
      <c r="AZ326" s="118" t="str">
        <f>IF(AZ$6="","",IF(AZ$3="Maior",IFERROR(IF(VLOOKUP($N326,Capa!$A:$AE,AZ$5,0)="",0,VLOOKUP($N326,Capa!$A:$AE,AZ$5,0)),0),IF(ISERROR(1/VLOOKUP($N326,Capa!$A:$AE,AZ$5,0)),0,1/VLOOKUP($N326,Capa!$A:$AE,AZ$5,0))))</f>
        <v/>
      </c>
      <c r="BA326" s="118" t="str">
        <f>IF(BA$6="","",IF(BA$3="Maior",IFERROR(IF(VLOOKUP($N326,Capa!$A:$AE,BA$5,0)="",0,VLOOKUP($N326,Capa!$A:$AE,BA$5,0)),0),IF(ISERROR(1/VLOOKUP($N326,Capa!$A:$AE,BA$5,0)),0,1/VLOOKUP($N326,Capa!$A:$AE,BA$5,0))))</f>
        <v/>
      </c>
      <c r="BB326" s="118" t="str">
        <f>IF(BB$6="","",IF(BB$3="Maior",IFERROR(IF(VLOOKUP($N326,Capa!$A:$AE,BB$5,0)="",0,VLOOKUP($N326,Capa!$A:$AE,BB$5,0)),0),IF(ISERROR(1/VLOOKUP($N326,Capa!$A:$AE,BB$5,0)),0,1/VLOOKUP($N326,Capa!$A:$AE,BB$5,0))))</f>
        <v/>
      </c>
      <c r="BC326" s="118" t="str">
        <f>IF(BC$6="","",IF(BC$3="Maior",IFERROR(IF(VLOOKUP($N326,Capa!$A:$AE,BC$5,0)="",0,VLOOKUP($N326,Capa!$A:$AE,BC$5,0)),0),IF(ISERROR(1/VLOOKUP($N326,Capa!$A:$AE,BC$5,0)),0,1/VLOOKUP($N326,Capa!$A:$AE,BC$5,0))))</f>
        <v/>
      </c>
      <c r="BD326" s="118" t="str">
        <f>IF(BD$6="","",IF(BD$3="Maior",IFERROR(IF(VLOOKUP($N326,Capa!$A:$AE,BD$5,0)="",0,VLOOKUP($N326,Capa!$A:$AE,BD$5,0)),0),IF(ISERROR(1/VLOOKUP($N326,Capa!$A:$AE,BD$5,0)),0,1/VLOOKUP($N326,Capa!$A:$AE,BD$5,0))))</f>
        <v/>
      </c>
      <c r="BE326" s="118" t="str">
        <f>IF(BE$6="","",IF(BE$3="Maior",IFERROR(IF(VLOOKUP($N326,Capa!$A:$AE,BE$5,0)="",0,VLOOKUP($N326,Capa!$A:$AE,BE$5,0)),0),IF(ISERROR(1/VLOOKUP($N326,Capa!$A:$AE,BE$5,0)),0,1/VLOOKUP($N326,Capa!$A:$AE,BE$5,0))))</f>
        <v/>
      </c>
      <c r="BF326" s="118" t="str">
        <f>IF(BF$6="","",IF(BF$3="Maior",IFERROR(IF(VLOOKUP($N326,Capa!$A:$AE,BF$5,0)="",0,VLOOKUP($N326,Capa!$A:$AE,BF$5,0)),0),IF(ISERROR(1/VLOOKUP($N326,Capa!$A:$AE,BF$5,0)),0,1/VLOOKUP($N326,Capa!$A:$AE,BF$5,0))))</f>
        <v/>
      </c>
      <c r="BG326" s="118" t="str">
        <f>IF(BG$6="","",IF(BG$3="Maior",IFERROR(IF(VLOOKUP($N326,Capa!$A:$AE,BG$5,0)="",0,VLOOKUP($N326,Capa!$A:$AE,BG$5,0)),0),IF(ISERROR(1/VLOOKUP($N326,Capa!$A:$AE,BG$5,0)),0,1/VLOOKUP($N326,Capa!$A:$AE,BG$5,0))))</f>
        <v/>
      </c>
      <c r="BH326" s="118" t="str">
        <f>IF(BH$6="","",IF(BH$3="Maior",IFERROR(IF(VLOOKUP($N326,Capa!$A:$AE,BH$5,0)="",0,VLOOKUP($N326,Capa!$A:$AE,BH$5,0)),0),IF(ISERROR(1/VLOOKUP($N326,Capa!$A:$AE,BH$5,0)),0,1/VLOOKUP($N326,Capa!$A:$AE,BH$5,0))))</f>
        <v/>
      </c>
      <c r="BI326" s="118" t="str">
        <f>IF(BI$6="","",IF(BI$3="Maior",IFERROR(IF(VLOOKUP($N326,Capa!$A:$AE,BI$5,0)="",0,VLOOKUP($N326,Capa!$A:$AE,BI$5,0)),0),IF(ISERROR(1/VLOOKUP($N326,Capa!$A:$AE,BI$5,0)),0,1/VLOOKUP($N326,Capa!$A:$AE,BI$5,0))))</f>
        <v/>
      </c>
      <c r="BJ326" s="118" t="str">
        <f>IF(BJ$6="","",IF(BJ$3="Maior",IFERROR(IF(VLOOKUP($N326,Capa!$A:$AE,BJ$5,0)="",0,VLOOKUP($N326,Capa!$A:$AE,BJ$5,0)),0),IF(ISERROR(1/VLOOKUP($N326,Capa!$A:$AE,BJ$5,0)),0,1/VLOOKUP($N326,Capa!$A:$AE,BJ$5,0))))</f>
        <v/>
      </c>
      <c r="BK326" s="118" t="str">
        <f>IF(BK$6="","",IF(BK$3="Maior",IFERROR(IF(VLOOKUP($N326,Capa!$A:$AE,BK$5,0)="",0,VLOOKUP($N326,Capa!$A:$AE,BK$5,0)),0),IF(ISERROR(1/VLOOKUP($N326,Capa!$A:$AE,BK$5,0)),0,1/VLOOKUP($N326,Capa!$A:$AE,BK$5,0))))</f>
        <v/>
      </c>
      <c r="BL326" s="118" t="str">
        <f>IF(BL$6="","",IF(BL$3="Maior",IFERROR(IF(VLOOKUP($N326,Capa!$A:$AE,BL$5,0)="",0,VLOOKUP($N326,Capa!$A:$AE,BL$5,0)),0),IF(ISERROR(1/VLOOKUP($N326,Capa!$A:$AE,BL$5,0)),0,1/VLOOKUP($N326,Capa!$A:$AE,BL$5,0))))</f>
        <v/>
      </c>
      <c r="BM326" s="118" t="str">
        <f>IF(BM$6="","",IF(BM$3="Maior",IFERROR(IF(VLOOKUP($N326,Capa!$A:$AE,BM$5,0)="",0,VLOOKUP($N326,Capa!$A:$AE,BM$5,0)),0),IF(ISERROR(1/VLOOKUP($N326,Capa!$A:$AE,BM$5,0)),0,1/VLOOKUP($N326,Capa!$A:$AE,BM$5,0))))</f>
        <v/>
      </c>
      <c r="BN326" s="118" t="str">
        <f>IF(BN$6="","",IF(BN$3="Maior",IFERROR(IF(VLOOKUP($N326,Capa!$A:$AE,BN$5,0)="",0,VLOOKUP($N326,Capa!$A:$AE,BN$5,0)),0),IF(ISERROR(1/VLOOKUP($N326,Capa!$A:$AE,BN$5,0)),0,1/VLOOKUP($N326,Capa!$A:$AE,BN$5,0))))</f>
        <v/>
      </c>
      <c r="BO326" s="92"/>
    </row>
    <row r="327">
      <c r="G327" s="11"/>
      <c r="H327" s="11"/>
      <c r="I327" s="8"/>
      <c r="J327" s="132"/>
      <c r="K327" s="11"/>
      <c r="L327" s="11"/>
      <c r="M327" s="11"/>
      <c r="N327" s="10" t="s">
        <v>373</v>
      </c>
      <c r="O327" s="113">
        <f t="shared" si="8"/>
        <v>1896.0445</v>
      </c>
      <c r="P327" s="114">
        <f>VLOOKUP(N327,'Dados StatusInvest'!A:Z,26,0)</f>
        <v>212794.63</v>
      </c>
      <c r="Q327" s="115">
        <f t="shared" si="9"/>
        <v>445.0445</v>
      </c>
      <c r="R327" s="116">
        <f t="shared" ref="R327:AO327" si="330">IF(AQ327="","", RANK(AQ327,AQ$7:AQ$503,0))</f>
        <v>324</v>
      </c>
      <c r="S327" s="115">
        <f t="shared" si="330"/>
        <v>127</v>
      </c>
      <c r="T327" s="115" t="str">
        <f t="shared" si="330"/>
        <v/>
      </c>
      <c r="U327" s="115" t="str">
        <f t="shared" si="330"/>
        <v/>
      </c>
      <c r="V327" s="115" t="str">
        <f t="shared" si="330"/>
        <v/>
      </c>
      <c r="W327" s="115" t="str">
        <f t="shared" si="330"/>
        <v/>
      </c>
      <c r="X327" s="115" t="str">
        <f t="shared" si="330"/>
        <v/>
      </c>
      <c r="Y327" s="115" t="str">
        <f t="shared" si="330"/>
        <v/>
      </c>
      <c r="Z327" s="115" t="str">
        <f t="shared" si="330"/>
        <v/>
      </c>
      <c r="AA327" s="115" t="str">
        <f t="shared" si="330"/>
        <v/>
      </c>
      <c r="AB327" s="115" t="str">
        <f t="shared" si="330"/>
        <v/>
      </c>
      <c r="AC327" s="115" t="str">
        <f t="shared" si="330"/>
        <v/>
      </c>
      <c r="AD327" s="115" t="str">
        <f t="shared" si="330"/>
        <v/>
      </c>
      <c r="AE327" s="115" t="str">
        <f t="shared" si="330"/>
        <v/>
      </c>
      <c r="AF327" s="115" t="str">
        <f t="shared" si="330"/>
        <v/>
      </c>
      <c r="AG327" s="115" t="str">
        <f t="shared" si="330"/>
        <v/>
      </c>
      <c r="AH327" s="115" t="str">
        <f t="shared" si="330"/>
        <v/>
      </c>
      <c r="AI327" s="115" t="str">
        <f t="shared" si="330"/>
        <v/>
      </c>
      <c r="AJ327" s="115" t="str">
        <f t="shared" si="330"/>
        <v/>
      </c>
      <c r="AK327" s="115" t="str">
        <f t="shared" si="330"/>
        <v/>
      </c>
      <c r="AL327" s="115" t="str">
        <f t="shared" si="330"/>
        <v/>
      </c>
      <c r="AM327" s="115" t="str">
        <f t="shared" si="330"/>
        <v/>
      </c>
      <c r="AN327" s="115" t="str">
        <f t="shared" si="330"/>
        <v/>
      </c>
      <c r="AO327" s="115" t="str">
        <f t="shared" si="330"/>
        <v/>
      </c>
      <c r="AP327" s="117">
        <f>IF(AP$6="","",IF(AP$3="Maior",IFERROR(IF(VLOOKUP($N327,Capa!$A:$AE,AP$5,0)="",0,VLOOKUP($N327,Capa!$A:$AE,AP$5,0)),0),IF(ISERROR(1/VLOOKUP($N327,Capa!$A:$AE,AP$5,0)),0,1/VLOOKUP($N327,Capa!$A:$AE,AP$5,0))))</f>
        <v>-0.1019652776</v>
      </c>
      <c r="AQ327" s="118">
        <f>IF(AQ$6="","",IF(AQ$3="Maior",IFERROR(IF(VLOOKUP($N327,Capa!$A:$AE,AQ$5,0)="",0,VLOOKUP($N327,Capa!$A:$AE,AQ$5,0)),0),IF(ISERROR(1/VLOOKUP($N327,Capa!$A:$AE,AQ$5,0)),0,1/VLOOKUP($N327,Capa!$A:$AE,AQ$5,0))))</f>
        <v>3.34</v>
      </c>
      <c r="AR327" s="118">
        <f>IF(AR$6="","",IF(AR$3="Maior",IFERROR(IF(VLOOKUP($N327,Capa!$A:$AE,AR$5,0)="",0,VLOOKUP($N327,Capa!$A:$AE,AR$5,0)),0),IF(ISERROR(1/VLOOKUP($N327,Capa!$A:$AE,AR$5,0)),0,1/VLOOKUP($N327,Capa!$A:$AE,AR$5,0))))</f>
        <v>20.34</v>
      </c>
      <c r="AS327" s="118" t="str">
        <f>IF(AS$6="","",IF(AS$3="Maior",IFERROR(IF(VLOOKUP($N327,Capa!$A:$AE,AS$5,0)="",0,VLOOKUP($N327,Capa!$A:$AE,AS$5,0)),0),IF(ISERROR(1/VLOOKUP($N327,Capa!$A:$AE,AS$5,0)),0,1/VLOOKUP($N327,Capa!$A:$AE,AS$5,0))))</f>
        <v/>
      </c>
      <c r="AT327" s="118" t="str">
        <f>IF(AT$6="","",IF(AT$3="Maior",IFERROR(IF(VLOOKUP($N327,Capa!$A:$AE,AT$5,0)="",0,VLOOKUP($N327,Capa!$A:$AE,AT$5,0)),0),IF(ISERROR(1/VLOOKUP($N327,Capa!$A:$AE,AT$5,0)),0,1/VLOOKUP($N327,Capa!$A:$AE,AT$5,0))))</f>
        <v/>
      </c>
      <c r="AU327" s="118" t="str">
        <f>IF(AU$6="","",IF(AU$3="Maior",IFERROR(IF(VLOOKUP($N327,Capa!$A:$AE,AU$5,0)="",0,VLOOKUP($N327,Capa!$A:$AE,AU$5,0)),0),IF(ISERROR(1/VLOOKUP($N327,Capa!$A:$AE,AU$5,0)),0,1/VLOOKUP($N327,Capa!$A:$AE,AU$5,0))))</f>
        <v/>
      </c>
      <c r="AV327" s="118" t="str">
        <f>IF(AV$6="","",IF(AV$3="Maior",IFERROR(IF(VLOOKUP($N327,Capa!$A:$AE,AV$5,0)="",0,VLOOKUP($N327,Capa!$A:$AE,AV$5,0)),0),IF(ISERROR(1/VLOOKUP($N327,Capa!$A:$AE,AV$5,0)),0,1/VLOOKUP($N327,Capa!$A:$AE,AV$5,0))))</f>
        <v/>
      </c>
      <c r="AW327" s="118" t="str">
        <f>IF(AW$6="","",IF(AW$3="Maior",IFERROR(IF(VLOOKUP($N327,Capa!$A:$AE,AW$5,0)="",0,VLOOKUP($N327,Capa!$A:$AE,AW$5,0)),0),IF(ISERROR(1/VLOOKUP($N327,Capa!$A:$AE,AW$5,0)),0,1/VLOOKUP($N327,Capa!$A:$AE,AW$5,0))))</f>
        <v/>
      </c>
      <c r="AX327" s="118" t="str">
        <f>IF(AX$6="","",IF(AX$3="Maior",IFERROR(IF(VLOOKUP($N327,Capa!$A:$AE,AX$5,0)="",0,VLOOKUP($N327,Capa!$A:$AE,AX$5,0)),0),IF(ISERROR(1/VLOOKUP($N327,Capa!$A:$AE,AX$5,0)),0,1/VLOOKUP($N327,Capa!$A:$AE,AX$5,0))))</f>
        <v/>
      </c>
      <c r="AY327" s="118" t="str">
        <f>IF(AY$6="","",IF(AY$3="Maior",IFERROR(IF(VLOOKUP($N327,Capa!$A:$AE,AY$5,0)="",0,VLOOKUP($N327,Capa!$A:$AE,AY$5,0)),0),IF(ISERROR(1/VLOOKUP($N327,Capa!$A:$AE,AY$5,0)),0,1/VLOOKUP($N327,Capa!$A:$AE,AY$5,0))))</f>
        <v/>
      </c>
      <c r="AZ327" s="118" t="str">
        <f>IF(AZ$6="","",IF(AZ$3="Maior",IFERROR(IF(VLOOKUP($N327,Capa!$A:$AE,AZ$5,0)="",0,VLOOKUP($N327,Capa!$A:$AE,AZ$5,0)),0),IF(ISERROR(1/VLOOKUP($N327,Capa!$A:$AE,AZ$5,0)),0,1/VLOOKUP($N327,Capa!$A:$AE,AZ$5,0))))</f>
        <v/>
      </c>
      <c r="BA327" s="118" t="str">
        <f>IF(BA$6="","",IF(BA$3="Maior",IFERROR(IF(VLOOKUP($N327,Capa!$A:$AE,BA$5,0)="",0,VLOOKUP($N327,Capa!$A:$AE,BA$5,0)),0),IF(ISERROR(1/VLOOKUP($N327,Capa!$A:$AE,BA$5,0)),0,1/VLOOKUP($N327,Capa!$A:$AE,BA$5,0))))</f>
        <v/>
      </c>
      <c r="BB327" s="118" t="str">
        <f>IF(BB$6="","",IF(BB$3="Maior",IFERROR(IF(VLOOKUP($N327,Capa!$A:$AE,BB$5,0)="",0,VLOOKUP($N327,Capa!$A:$AE,BB$5,0)),0),IF(ISERROR(1/VLOOKUP($N327,Capa!$A:$AE,BB$5,0)),0,1/VLOOKUP($N327,Capa!$A:$AE,BB$5,0))))</f>
        <v/>
      </c>
      <c r="BC327" s="118" t="str">
        <f>IF(BC$6="","",IF(BC$3="Maior",IFERROR(IF(VLOOKUP($N327,Capa!$A:$AE,BC$5,0)="",0,VLOOKUP($N327,Capa!$A:$AE,BC$5,0)),0),IF(ISERROR(1/VLOOKUP($N327,Capa!$A:$AE,BC$5,0)),0,1/VLOOKUP($N327,Capa!$A:$AE,BC$5,0))))</f>
        <v/>
      </c>
      <c r="BD327" s="118" t="str">
        <f>IF(BD$6="","",IF(BD$3="Maior",IFERROR(IF(VLOOKUP($N327,Capa!$A:$AE,BD$5,0)="",0,VLOOKUP($N327,Capa!$A:$AE,BD$5,0)),0),IF(ISERROR(1/VLOOKUP($N327,Capa!$A:$AE,BD$5,0)),0,1/VLOOKUP($N327,Capa!$A:$AE,BD$5,0))))</f>
        <v/>
      </c>
      <c r="BE327" s="118" t="str">
        <f>IF(BE$6="","",IF(BE$3="Maior",IFERROR(IF(VLOOKUP($N327,Capa!$A:$AE,BE$5,0)="",0,VLOOKUP($N327,Capa!$A:$AE,BE$5,0)),0),IF(ISERROR(1/VLOOKUP($N327,Capa!$A:$AE,BE$5,0)),0,1/VLOOKUP($N327,Capa!$A:$AE,BE$5,0))))</f>
        <v/>
      </c>
      <c r="BF327" s="118" t="str">
        <f>IF(BF$6="","",IF(BF$3="Maior",IFERROR(IF(VLOOKUP($N327,Capa!$A:$AE,BF$5,0)="",0,VLOOKUP($N327,Capa!$A:$AE,BF$5,0)),0),IF(ISERROR(1/VLOOKUP($N327,Capa!$A:$AE,BF$5,0)),0,1/VLOOKUP($N327,Capa!$A:$AE,BF$5,0))))</f>
        <v/>
      </c>
      <c r="BG327" s="118" t="str">
        <f>IF(BG$6="","",IF(BG$3="Maior",IFERROR(IF(VLOOKUP($N327,Capa!$A:$AE,BG$5,0)="",0,VLOOKUP($N327,Capa!$A:$AE,BG$5,0)),0),IF(ISERROR(1/VLOOKUP($N327,Capa!$A:$AE,BG$5,0)),0,1/VLOOKUP($N327,Capa!$A:$AE,BG$5,0))))</f>
        <v/>
      </c>
      <c r="BH327" s="118" t="str">
        <f>IF(BH$6="","",IF(BH$3="Maior",IFERROR(IF(VLOOKUP($N327,Capa!$A:$AE,BH$5,0)="",0,VLOOKUP($N327,Capa!$A:$AE,BH$5,0)),0),IF(ISERROR(1/VLOOKUP($N327,Capa!$A:$AE,BH$5,0)),0,1/VLOOKUP($N327,Capa!$A:$AE,BH$5,0))))</f>
        <v/>
      </c>
      <c r="BI327" s="118" t="str">
        <f>IF(BI$6="","",IF(BI$3="Maior",IFERROR(IF(VLOOKUP($N327,Capa!$A:$AE,BI$5,0)="",0,VLOOKUP($N327,Capa!$A:$AE,BI$5,0)),0),IF(ISERROR(1/VLOOKUP($N327,Capa!$A:$AE,BI$5,0)),0,1/VLOOKUP($N327,Capa!$A:$AE,BI$5,0))))</f>
        <v/>
      </c>
      <c r="BJ327" s="118" t="str">
        <f>IF(BJ$6="","",IF(BJ$3="Maior",IFERROR(IF(VLOOKUP($N327,Capa!$A:$AE,BJ$5,0)="",0,VLOOKUP($N327,Capa!$A:$AE,BJ$5,0)),0),IF(ISERROR(1/VLOOKUP($N327,Capa!$A:$AE,BJ$5,0)),0,1/VLOOKUP($N327,Capa!$A:$AE,BJ$5,0))))</f>
        <v/>
      </c>
      <c r="BK327" s="118" t="str">
        <f>IF(BK$6="","",IF(BK$3="Maior",IFERROR(IF(VLOOKUP($N327,Capa!$A:$AE,BK$5,0)="",0,VLOOKUP($N327,Capa!$A:$AE,BK$5,0)),0),IF(ISERROR(1/VLOOKUP($N327,Capa!$A:$AE,BK$5,0)),0,1/VLOOKUP($N327,Capa!$A:$AE,BK$5,0))))</f>
        <v/>
      </c>
      <c r="BL327" s="118" t="str">
        <f>IF(BL$6="","",IF(BL$3="Maior",IFERROR(IF(VLOOKUP($N327,Capa!$A:$AE,BL$5,0)="",0,VLOOKUP($N327,Capa!$A:$AE,BL$5,0)),0),IF(ISERROR(1/VLOOKUP($N327,Capa!$A:$AE,BL$5,0)),0,1/VLOOKUP($N327,Capa!$A:$AE,BL$5,0))))</f>
        <v/>
      </c>
      <c r="BM327" s="118" t="str">
        <f>IF(BM$6="","",IF(BM$3="Maior",IFERROR(IF(VLOOKUP($N327,Capa!$A:$AE,BM$5,0)="",0,VLOOKUP($N327,Capa!$A:$AE,BM$5,0)),0),IF(ISERROR(1/VLOOKUP($N327,Capa!$A:$AE,BM$5,0)),0,1/VLOOKUP($N327,Capa!$A:$AE,BM$5,0))))</f>
        <v/>
      </c>
      <c r="BN327" s="118" t="str">
        <f>IF(BN$6="","",IF(BN$3="Maior",IFERROR(IF(VLOOKUP($N327,Capa!$A:$AE,BN$5,0)="",0,VLOOKUP($N327,Capa!$A:$AE,BN$5,0)),0),IF(ISERROR(1/VLOOKUP($N327,Capa!$A:$AE,BN$5,0)),0,1/VLOOKUP($N327,Capa!$A:$AE,BN$5,0))))</f>
        <v/>
      </c>
      <c r="BO327" s="92"/>
    </row>
    <row r="328">
      <c r="G328" s="11"/>
      <c r="H328" s="11"/>
      <c r="I328" s="8"/>
      <c r="J328" s="132"/>
      <c r="K328" s="11"/>
      <c r="L328" s="11"/>
      <c r="M328" s="11"/>
      <c r="N328" s="10" t="s">
        <v>374</v>
      </c>
      <c r="O328" s="113">
        <f t="shared" si="8"/>
        <v>1913.0236</v>
      </c>
      <c r="P328" s="114">
        <f>VLOOKUP(N328,'Dados StatusInvest'!A:Z,26,0)</f>
        <v>360202.29</v>
      </c>
      <c r="Q328" s="115">
        <f t="shared" si="9"/>
        <v>236.0236</v>
      </c>
      <c r="R328" s="116">
        <f t="shared" ref="R328:AO328" si="331">IF(AQ328="","", RANK(AQ328,AQ$7:AQ$503,0))</f>
        <v>458</v>
      </c>
      <c r="S328" s="115">
        <f t="shared" si="331"/>
        <v>219</v>
      </c>
      <c r="T328" s="115" t="str">
        <f t="shared" si="331"/>
        <v/>
      </c>
      <c r="U328" s="115" t="str">
        <f t="shared" si="331"/>
        <v/>
      </c>
      <c r="V328" s="115" t="str">
        <f t="shared" si="331"/>
        <v/>
      </c>
      <c r="W328" s="115" t="str">
        <f t="shared" si="331"/>
        <v/>
      </c>
      <c r="X328" s="115" t="str">
        <f t="shared" si="331"/>
        <v/>
      </c>
      <c r="Y328" s="115" t="str">
        <f t="shared" si="331"/>
        <v/>
      </c>
      <c r="Z328" s="115" t="str">
        <f t="shared" si="331"/>
        <v/>
      </c>
      <c r="AA328" s="115" t="str">
        <f t="shared" si="331"/>
        <v/>
      </c>
      <c r="AB328" s="115" t="str">
        <f t="shared" si="331"/>
        <v/>
      </c>
      <c r="AC328" s="115" t="str">
        <f t="shared" si="331"/>
        <v/>
      </c>
      <c r="AD328" s="115" t="str">
        <f t="shared" si="331"/>
        <v/>
      </c>
      <c r="AE328" s="115" t="str">
        <f t="shared" si="331"/>
        <v/>
      </c>
      <c r="AF328" s="115" t="str">
        <f t="shared" si="331"/>
        <v/>
      </c>
      <c r="AG328" s="115" t="str">
        <f t="shared" si="331"/>
        <v/>
      </c>
      <c r="AH328" s="115" t="str">
        <f t="shared" si="331"/>
        <v/>
      </c>
      <c r="AI328" s="115" t="str">
        <f t="shared" si="331"/>
        <v/>
      </c>
      <c r="AJ328" s="115" t="str">
        <f t="shared" si="331"/>
        <v/>
      </c>
      <c r="AK328" s="115" t="str">
        <f t="shared" si="331"/>
        <v/>
      </c>
      <c r="AL328" s="115" t="str">
        <f t="shared" si="331"/>
        <v/>
      </c>
      <c r="AM328" s="115" t="str">
        <f t="shared" si="331"/>
        <v/>
      </c>
      <c r="AN328" s="115" t="str">
        <f t="shared" si="331"/>
        <v/>
      </c>
      <c r="AO328" s="115" t="str">
        <f t="shared" si="331"/>
        <v/>
      </c>
      <c r="AP328" s="117">
        <f>IF(AP$6="","",IF(AP$3="Maior",IFERROR(IF(VLOOKUP($N328,Capa!$A:$AE,AP$5,0)="",0,VLOOKUP($N328,Capa!$A:$AE,AP$5,0)),0),IF(ISERROR(1/VLOOKUP($N328,Capa!$A:$AE,AP$5,0)),0,1/VLOOKUP($N328,Capa!$A:$AE,AP$5,0))))</f>
        <v>0.08599211242</v>
      </c>
      <c r="AQ328" s="118">
        <f>IF(AQ$6="","",IF(AQ$3="Maior",IFERROR(IF(VLOOKUP($N328,Capa!$A:$AE,AQ$5,0)="",0,VLOOKUP($N328,Capa!$A:$AE,AQ$5,0)),0),IF(ISERROR(1/VLOOKUP($N328,Capa!$A:$AE,AQ$5,0)),0,1/VLOOKUP($N328,Capa!$A:$AE,AQ$5,0))))</f>
        <v>-8.25</v>
      </c>
      <c r="AR328" s="118">
        <f>IF(AR$6="","",IF(AR$3="Maior",IFERROR(IF(VLOOKUP($N328,Capa!$A:$AE,AR$5,0)="",0,VLOOKUP($N328,Capa!$A:$AE,AR$5,0)),0),IF(ISERROR(1/VLOOKUP($N328,Capa!$A:$AE,AR$5,0)),0,1/VLOOKUP($N328,Capa!$A:$AE,AR$5,0))))</f>
        <v>0</v>
      </c>
      <c r="AS328" s="118" t="str">
        <f>IF(AS$6="","",IF(AS$3="Maior",IFERROR(IF(VLOOKUP($N328,Capa!$A:$AE,AS$5,0)="",0,VLOOKUP($N328,Capa!$A:$AE,AS$5,0)),0),IF(ISERROR(1/VLOOKUP($N328,Capa!$A:$AE,AS$5,0)),0,1/VLOOKUP($N328,Capa!$A:$AE,AS$5,0))))</f>
        <v/>
      </c>
      <c r="AT328" s="118" t="str">
        <f>IF(AT$6="","",IF(AT$3="Maior",IFERROR(IF(VLOOKUP($N328,Capa!$A:$AE,AT$5,0)="",0,VLOOKUP($N328,Capa!$A:$AE,AT$5,0)),0),IF(ISERROR(1/VLOOKUP($N328,Capa!$A:$AE,AT$5,0)),0,1/VLOOKUP($N328,Capa!$A:$AE,AT$5,0))))</f>
        <v/>
      </c>
      <c r="AU328" s="118" t="str">
        <f>IF(AU$6="","",IF(AU$3="Maior",IFERROR(IF(VLOOKUP($N328,Capa!$A:$AE,AU$5,0)="",0,VLOOKUP($N328,Capa!$A:$AE,AU$5,0)),0),IF(ISERROR(1/VLOOKUP($N328,Capa!$A:$AE,AU$5,0)),0,1/VLOOKUP($N328,Capa!$A:$AE,AU$5,0))))</f>
        <v/>
      </c>
      <c r="AV328" s="118" t="str">
        <f>IF(AV$6="","",IF(AV$3="Maior",IFERROR(IF(VLOOKUP($N328,Capa!$A:$AE,AV$5,0)="",0,VLOOKUP($N328,Capa!$A:$AE,AV$5,0)),0),IF(ISERROR(1/VLOOKUP($N328,Capa!$A:$AE,AV$5,0)),0,1/VLOOKUP($N328,Capa!$A:$AE,AV$5,0))))</f>
        <v/>
      </c>
      <c r="AW328" s="118" t="str">
        <f>IF(AW$6="","",IF(AW$3="Maior",IFERROR(IF(VLOOKUP($N328,Capa!$A:$AE,AW$5,0)="",0,VLOOKUP($N328,Capa!$A:$AE,AW$5,0)),0),IF(ISERROR(1/VLOOKUP($N328,Capa!$A:$AE,AW$5,0)),0,1/VLOOKUP($N328,Capa!$A:$AE,AW$5,0))))</f>
        <v/>
      </c>
      <c r="AX328" s="118" t="str">
        <f>IF(AX$6="","",IF(AX$3="Maior",IFERROR(IF(VLOOKUP($N328,Capa!$A:$AE,AX$5,0)="",0,VLOOKUP($N328,Capa!$A:$AE,AX$5,0)),0),IF(ISERROR(1/VLOOKUP($N328,Capa!$A:$AE,AX$5,0)),0,1/VLOOKUP($N328,Capa!$A:$AE,AX$5,0))))</f>
        <v/>
      </c>
      <c r="AY328" s="118" t="str">
        <f>IF(AY$6="","",IF(AY$3="Maior",IFERROR(IF(VLOOKUP($N328,Capa!$A:$AE,AY$5,0)="",0,VLOOKUP($N328,Capa!$A:$AE,AY$5,0)),0),IF(ISERROR(1/VLOOKUP($N328,Capa!$A:$AE,AY$5,0)),0,1/VLOOKUP($N328,Capa!$A:$AE,AY$5,0))))</f>
        <v/>
      </c>
      <c r="AZ328" s="118" t="str">
        <f>IF(AZ$6="","",IF(AZ$3="Maior",IFERROR(IF(VLOOKUP($N328,Capa!$A:$AE,AZ$5,0)="",0,VLOOKUP($N328,Capa!$A:$AE,AZ$5,0)),0),IF(ISERROR(1/VLOOKUP($N328,Capa!$A:$AE,AZ$5,0)),0,1/VLOOKUP($N328,Capa!$A:$AE,AZ$5,0))))</f>
        <v/>
      </c>
      <c r="BA328" s="118" t="str">
        <f>IF(BA$6="","",IF(BA$3="Maior",IFERROR(IF(VLOOKUP($N328,Capa!$A:$AE,BA$5,0)="",0,VLOOKUP($N328,Capa!$A:$AE,BA$5,0)),0),IF(ISERROR(1/VLOOKUP($N328,Capa!$A:$AE,BA$5,0)),0,1/VLOOKUP($N328,Capa!$A:$AE,BA$5,0))))</f>
        <v/>
      </c>
      <c r="BB328" s="118" t="str">
        <f>IF(BB$6="","",IF(BB$3="Maior",IFERROR(IF(VLOOKUP($N328,Capa!$A:$AE,BB$5,0)="",0,VLOOKUP($N328,Capa!$A:$AE,BB$5,0)),0),IF(ISERROR(1/VLOOKUP($N328,Capa!$A:$AE,BB$5,0)),0,1/VLOOKUP($N328,Capa!$A:$AE,BB$5,0))))</f>
        <v/>
      </c>
      <c r="BC328" s="118" t="str">
        <f>IF(BC$6="","",IF(BC$3="Maior",IFERROR(IF(VLOOKUP($N328,Capa!$A:$AE,BC$5,0)="",0,VLOOKUP($N328,Capa!$A:$AE,BC$5,0)),0),IF(ISERROR(1/VLOOKUP($N328,Capa!$A:$AE,BC$5,0)),0,1/VLOOKUP($N328,Capa!$A:$AE,BC$5,0))))</f>
        <v/>
      </c>
      <c r="BD328" s="118" t="str">
        <f>IF(BD$6="","",IF(BD$3="Maior",IFERROR(IF(VLOOKUP($N328,Capa!$A:$AE,BD$5,0)="",0,VLOOKUP($N328,Capa!$A:$AE,BD$5,0)),0),IF(ISERROR(1/VLOOKUP($N328,Capa!$A:$AE,BD$5,0)),0,1/VLOOKUP($N328,Capa!$A:$AE,BD$5,0))))</f>
        <v/>
      </c>
      <c r="BE328" s="118" t="str">
        <f>IF(BE$6="","",IF(BE$3="Maior",IFERROR(IF(VLOOKUP($N328,Capa!$A:$AE,BE$5,0)="",0,VLOOKUP($N328,Capa!$A:$AE,BE$5,0)),0),IF(ISERROR(1/VLOOKUP($N328,Capa!$A:$AE,BE$5,0)),0,1/VLOOKUP($N328,Capa!$A:$AE,BE$5,0))))</f>
        <v/>
      </c>
      <c r="BF328" s="118" t="str">
        <f>IF(BF$6="","",IF(BF$3="Maior",IFERROR(IF(VLOOKUP($N328,Capa!$A:$AE,BF$5,0)="",0,VLOOKUP($N328,Capa!$A:$AE,BF$5,0)),0),IF(ISERROR(1/VLOOKUP($N328,Capa!$A:$AE,BF$5,0)),0,1/VLOOKUP($N328,Capa!$A:$AE,BF$5,0))))</f>
        <v/>
      </c>
      <c r="BG328" s="118" t="str">
        <f>IF(BG$6="","",IF(BG$3="Maior",IFERROR(IF(VLOOKUP($N328,Capa!$A:$AE,BG$5,0)="",0,VLOOKUP($N328,Capa!$A:$AE,BG$5,0)),0),IF(ISERROR(1/VLOOKUP($N328,Capa!$A:$AE,BG$5,0)),0,1/VLOOKUP($N328,Capa!$A:$AE,BG$5,0))))</f>
        <v/>
      </c>
      <c r="BH328" s="118" t="str">
        <f>IF(BH$6="","",IF(BH$3="Maior",IFERROR(IF(VLOOKUP($N328,Capa!$A:$AE,BH$5,0)="",0,VLOOKUP($N328,Capa!$A:$AE,BH$5,0)),0),IF(ISERROR(1/VLOOKUP($N328,Capa!$A:$AE,BH$5,0)),0,1/VLOOKUP($N328,Capa!$A:$AE,BH$5,0))))</f>
        <v/>
      </c>
      <c r="BI328" s="118" t="str">
        <f>IF(BI$6="","",IF(BI$3="Maior",IFERROR(IF(VLOOKUP($N328,Capa!$A:$AE,BI$5,0)="",0,VLOOKUP($N328,Capa!$A:$AE,BI$5,0)),0),IF(ISERROR(1/VLOOKUP($N328,Capa!$A:$AE,BI$5,0)),0,1/VLOOKUP($N328,Capa!$A:$AE,BI$5,0))))</f>
        <v/>
      </c>
      <c r="BJ328" s="118" t="str">
        <f>IF(BJ$6="","",IF(BJ$3="Maior",IFERROR(IF(VLOOKUP($N328,Capa!$A:$AE,BJ$5,0)="",0,VLOOKUP($N328,Capa!$A:$AE,BJ$5,0)),0),IF(ISERROR(1/VLOOKUP($N328,Capa!$A:$AE,BJ$5,0)),0,1/VLOOKUP($N328,Capa!$A:$AE,BJ$5,0))))</f>
        <v/>
      </c>
      <c r="BK328" s="118" t="str">
        <f>IF(BK$6="","",IF(BK$3="Maior",IFERROR(IF(VLOOKUP($N328,Capa!$A:$AE,BK$5,0)="",0,VLOOKUP($N328,Capa!$A:$AE,BK$5,0)),0),IF(ISERROR(1/VLOOKUP($N328,Capa!$A:$AE,BK$5,0)),0,1/VLOOKUP($N328,Capa!$A:$AE,BK$5,0))))</f>
        <v/>
      </c>
      <c r="BL328" s="118" t="str">
        <f>IF(BL$6="","",IF(BL$3="Maior",IFERROR(IF(VLOOKUP($N328,Capa!$A:$AE,BL$5,0)="",0,VLOOKUP($N328,Capa!$A:$AE,BL$5,0)),0),IF(ISERROR(1/VLOOKUP($N328,Capa!$A:$AE,BL$5,0)),0,1/VLOOKUP($N328,Capa!$A:$AE,BL$5,0))))</f>
        <v/>
      </c>
      <c r="BM328" s="118" t="str">
        <f>IF(BM$6="","",IF(BM$3="Maior",IFERROR(IF(VLOOKUP($N328,Capa!$A:$AE,BM$5,0)="",0,VLOOKUP($N328,Capa!$A:$AE,BM$5,0)),0),IF(ISERROR(1/VLOOKUP($N328,Capa!$A:$AE,BM$5,0)),0,1/VLOOKUP($N328,Capa!$A:$AE,BM$5,0))))</f>
        <v/>
      </c>
      <c r="BN328" s="118" t="str">
        <f>IF(BN$6="","",IF(BN$3="Maior",IFERROR(IF(VLOOKUP($N328,Capa!$A:$AE,BN$5,0)="",0,VLOOKUP($N328,Capa!$A:$AE,BN$5,0)),0),IF(ISERROR(1/VLOOKUP($N328,Capa!$A:$AE,BN$5,0)),0,1/VLOOKUP($N328,Capa!$A:$AE,BN$5,0))))</f>
        <v/>
      </c>
      <c r="BO328" s="92"/>
    </row>
    <row r="329">
      <c r="G329" s="11"/>
      <c r="H329" s="11"/>
      <c r="I329" s="8"/>
      <c r="J329" s="132"/>
      <c r="K329" s="11"/>
      <c r="L329" s="11"/>
      <c r="M329" s="11"/>
      <c r="N329" s="10" t="s">
        <v>375</v>
      </c>
      <c r="O329" s="113">
        <f t="shared" si="8"/>
        <v>1364.0097</v>
      </c>
      <c r="P329" s="114">
        <f>VLOOKUP(N329,'Dados StatusInvest'!A:Z,26,0)</f>
        <v>151635</v>
      </c>
      <c r="Q329" s="115">
        <f t="shared" si="9"/>
        <v>97.0097</v>
      </c>
      <c r="R329" s="116">
        <f t="shared" ref="R329:AO329" si="332">IF(AQ329="","", RANK(AQ329,AQ$7:AQ$503,0))</f>
        <v>48</v>
      </c>
      <c r="S329" s="115">
        <f t="shared" si="332"/>
        <v>219</v>
      </c>
      <c r="T329" s="115" t="str">
        <f t="shared" si="332"/>
        <v/>
      </c>
      <c r="U329" s="115" t="str">
        <f t="shared" si="332"/>
        <v/>
      </c>
      <c r="V329" s="115" t="str">
        <f t="shared" si="332"/>
        <v/>
      </c>
      <c r="W329" s="115" t="str">
        <f t="shared" si="332"/>
        <v/>
      </c>
      <c r="X329" s="115" t="str">
        <f t="shared" si="332"/>
        <v/>
      </c>
      <c r="Y329" s="115" t="str">
        <f t="shared" si="332"/>
        <v/>
      </c>
      <c r="Z329" s="115" t="str">
        <f t="shared" si="332"/>
        <v/>
      </c>
      <c r="AA329" s="115" t="str">
        <f t="shared" si="332"/>
        <v/>
      </c>
      <c r="AB329" s="115" t="str">
        <f t="shared" si="332"/>
        <v/>
      </c>
      <c r="AC329" s="115" t="str">
        <f t="shared" si="332"/>
        <v/>
      </c>
      <c r="AD329" s="115" t="str">
        <f t="shared" si="332"/>
        <v/>
      </c>
      <c r="AE329" s="115" t="str">
        <f t="shared" si="332"/>
        <v/>
      </c>
      <c r="AF329" s="115" t="str">
        <f t="shared" si="332"/>
        <v/>
      </c>
      <c r="AG329" s="115" t="str">
        <f t="shared" si="332"/>
        <v/>
      </c>
      <c r="AH329" s="115" t="str">
        <f t="shared" si="332"/>
        <v/>
      </c>
      <c r="AI329" s="115" t="str">
        <f t="shared" si="332"/>
        <v/>
      </c>
      <c r="AJ329" s="115" t="str">
        <f t="shared" si="332"/>
        <v/>
      </c>
      <c r="AK329" s="115" t="str">
        <f t="shared" si="332"/>
        <v/>
      </c>
      <c r="AL329" s="115" t="str">
        <f t="shared" si="332"/>
        <v/>
      </c>
      <c r="AM329" s="115" t="str">
        <f t="shared" si="332"/>
        <v/>
      </c>
      <c r="AN329" s="115" t="str">
        <f t="shared" si="332"/>
        <v/>
      </c>
      <c r="AO329" s="115" t="str">
        <f t="shared" si="332"/>
        <v/>
      </c>
      <c r="AP329" s="117">
        <f>IF(AP$6="","",IF(AP$3="Maior",IFERROR(IF(VLOOKUP($N329,Capa!$A:$AE,AP$5,0)="",0,VLOOKUP($N329,Capa!$A:$AE,AP$5,0)),0),IF(ISERROR(1/VLOOKUP($N329,Capa!$A:$AE,AP$5,0)),0,1/VLOOKUP($N329,Capa!$A:$AE,AP$5,0))))</f>
        <v>0.1926112252</v>
      </c>
      <c r="AQ329" s="118">
        <f>IF(AQ$6="","",IF(AQ$3="Maior",IFERROR(IF(VLOOKUP($N329,Capa!$A:$AE,AQ$5,0)="",0,VLOOKUP($N329,Capa!$A:$AE,AQ$5,0)),0),IF(ISERROR(1/VLOOKUP($N329,Capa!$A:$AE,AQ$5,0)),0,1/VLOOKUP($N329,Capa!$A:$AE,AQ$5,0))))</f>
        <v>27.16</v>
      </c>
      <c r="AR329" s="118">
        <f>IF(AR$6="","",IF(AR$3="Maior",IFERROR(IF(VLOOKUP($N329,Capa!$A:$AE,AR$5,0)="",0,VLOOKUP($N329,Capa!$A:$AE,AR$5,0)),0),IF(ISERROR(1/VLOOKUP($N329,Capa!$A:$AE,AR$5,0)),0,1/VLOOKUP($N329,Capa!$A:$AE,AR$5,0))))</f>
        <v>0</v>
      </c>
      <c r="AS329" s="118" t="str">
        <f>IF(AS$6="","",IF(AS$3="Maior",IFERROR(IF(VLOOKUP($N329,Capa!$A:$AE,AS$5,0)="",0,VLOOKUP($N329,Capa!$A:$AE,AS$5,0)),0),IF(ISERROR(1/VLOOKUP($N329,Capa!$A:$AE,AS$5,0)),0,1/VLOOKUP($N329,Capa!$A:$AE,AS$5,0))))</f>
        <v/>
      </c>
      <c r="AT329" s="118" t="str">
        <f>IF(AT$6="","",IF(AT$3="Maior",IFERROR(IF(VLOOKUP($N329,Capa!$A:$AE,AT$5,0)="",0,VLOOKUP($N329,Capa!$A:$AE,AT$5,0)),0),IF(ISERROR(1/VLOOKUP($N329,Capa!$A:$AE,AT$5,0)),0,1/VLOOKUP($N329,Capa!$A:$AE,AT$5,0))))</f>
        <v/>
      </c>
      <c r="AU329" s="118" t="str">
        <f>IF(AU$6="","",IF(AU$3="Maior",IFERROR(IF(VLOOKUP($N329,Capa!$A:$AE,AU$5,0)="",0,VLOOKUP($N329,Capa!$A:$AE,AU$5,0)),0),IF(ISERROR(1/VLOOKUP($N329,Capa!$A:$AE,AU$5,0)),0,1/VLOOKUP($N329,Capa!$A:$AE,AU$5,0))))</f>
        <v/>
      </c>
      <c r="AV329" s="118" t="str">
        <f>IF(AV$6="","",IF(AV$3="Maior",IFERROR(IF(VLOOKUP($N329,Capa!$A:$AE,AV$5,0)="",0,VLOOKUP($N329,Capa!$A:$AE,AV$5,0)),0),IF(ISERROR(1/VLOOKUP($N329,Capa!$A:$AE,AV$5,0)),0,1/VLOOKUP($N329,Capa!$A:$AE,AV$5,0))))</f>
        <v/>
      </c>
      <c r="AW329" s="118" t="str">
        <f>IF(AW$6="","",IF(AW$3="Maior",IFERROR(IF(VLOOKUP($N329,Capa!$A:$AE,AW$5,0)="",0,VLOOKUP($N329,Capa!$A:$AE,AW$5,0)),0),IF(ISERROR(1/VLOOKUP($N329,Capa!$A:$AE,AW$5,0)),0,1/VLOOKUP($N329,Capa!$A:$AE,AW$5,0))))</f>
        <v/>
      </c>
      <c r="AX329" s="118" t="str">
        <f>IF(AX$6="","",IF(AX$3="Maior",IFERROR(IF(VLOOKUP($N329,Capa!$A:$AE,AX$5,0)="",0,VLOOKUP($N329,Capa!$A:$AE,AX$5,0)),0),IF(ISERROR(1/VLOOKUP($N329,Capa!$A:$AE,AX$5,0)),0,1/VLOOKUP($N329,Capa!$A:$AE,AX$5,0))))</f>
        <v/>
      </c>
      <c r="AY329" s="118" t="str">
        <f>IF(AY$6="","",IF(AY$3="Maior",IFERROR(IF(VLOOKUP($N329,Capa!$A:$AE,AY$5,0)="",0,VLOOKUP($N329,Capa!$A:$AE,AY$5,0)),0),IF(ISERROR(1/VLOOKUP($N329,Capa!$A:$AE,AY$5,0)),0,1/VLOOKUP($N329,Capa!$A:$AE,AY$5,0))))</f>
        <v/>
      </c>
      <c r="AZ329" s="118" t="str">
        <f>IF(AZ$6="","",IF(AZ$3="Maior",IFERROR(IF(VLOOKUP($N329,Capa!$A:$AE,AZ$5,0)="",0,VLOOKUP($N329,Capa!$A:$AE,AZ$5,0)),0),IF(ISERROR(1/VLOOKUP($N329,Capa!$A:$AE,AZ$5,0)),0,1/VLOOKUP($N329,Capa!$A:$AE,AZ$5,0))))</f>
        <v/>
      </c>
      <c r="BA329" s="118" t="str">
        <f>IF(BA$6="","",IF(BA$3="Maior",IFERROR(IF(VLOOKUP($N329,Capa!$A:$AE,BA$5,0)="",0,VLOOKUP($N329,Capa!$A:$AE,BA$5,0)),0),IF(ISERROR(1/VLOOKUP($N329,Capa!$A:$AE,BA$5,0)),0,1/VLOOKUP($N329,Capa!$A:$AE,BA$5,0))))</f>
        <v/>
      </c>
      <c r="BB329" s="118" t="str">
        <f>IF(BB$6="","",IF(BB$3="Maior",IFERROR(IF(VLOOKUP($N329,Capa!$A:$AE,BB$5,0)="",0,VLOOKUP($N329,Capa!$A:$AE,BB$5,0)),0),IF(ISERROR(1/VLOOKUP($N329,Capa!$A:$AE,BB$5,0)),0,1/VLOOKUP($N329,Capa!$A:$AE,BB$5,0))))</f>
        <v/>
      </c>
      <c r="BC329" s="118" t="str">
        <f>IF(BC$6="","",IF(BC$3="Maior",IFERROR(IF(VLOOKUP($N329,Capa!$A:$AE,BC$5,0)="",0,VLOOKUP($N329,Capa!$A:$AE,BC$5,0)),0),IF(ISERROR(1/VLOOKUP($N329,Capa!$A:$AE,BC$5,0)),0,1/VLOOKUP($N329,Capa!$A:$AE,BC$5,0))))</f>
        <v/>
      </c>
      <c r="BD329" s="118" t="str">
        <f>IF(BD$6="","",IF(BD$3="Maior",IFERROR(IF(VLOOKUP($N329,Capa!$A:$AE,BD$5,0)="",0,VLOOKUP($N329,Capa!$A:$AE,BD$5,0)),0),IF(ISERROR(1/VLOOKUP($N329,Capa!$A:$AE,BD$5,0)),0,1/VLOOKUP($N329,Capa!$A:$AE,BD$5,0))))</f>
        <v/>
      </c>
      <c r="BE329" s="118" t="str">
        <f>IF(BE$6="","",IF(BE$3="Maior",IFERROR(IF(VLOOKUP($N329,Capa!$A:$AE,BE$5,0)="",0,VLOOKUP($N329,Capa!$A:$AE,BE$5,0)),0),IF(ISERROR(1/VLOOKUP($N329,Capa!$A:$AE,BE$5,0)),0,1/VLOOKUP($N329,Capa!$A:$AE,BE$5,0))))</f>
        <v/>
      </c>
      <c r="BF329" s="118" t="str">
        <f>IF(BF$6="","",IF(BF$3="Maior",IFERROR(IF(VLOOKUP($N329,Capa!$A:$AE,BF$5,0)="",0,VLOOKUP($N329,Capa!$A:$AE,BF$5,0)),0),IF(ISERROR(1/VLOOKUP($N329,Capa!$A:$AE,BF$5,0)),0,1/VLOOKUP($N329,Capa!$A:$AE,BF$5,0))))</f>
        <v/>
      </c>
      <c r="BG329" s="118" t="str">
        <f>IF(BG$6="","",IF(BG$3="Maior",IFERROR(IF(VLOOKUP($N329,Capa!$A:$AE,BG$5,0)="",0,VLOOKUP($N329,Capa!$A:$AE,BG$5,0)),0),IF(ISERROR(1/VLOOKUP($N329,Capa!$A:$AE,BG$5,0)),0,1/VLOOKUP($N329,Capa!$A:$AE,BG$5,0))))</f>
        <v/>
      </c>
      <c r="BH329" s="118" t="str">
        <f>IF(BH$6="","",IF(BH$3="Maior",IFERROR(IF(VLOOKUP($N329,Capa!$A:$AE,BH$5,0)="",0,VLOOKUP($N329,Capa!$A:$AE,BH$5,0)),0),IF(ISERROR(1/VLOOKUP($N329,Capa!$A:$AE,BH$5,0)),0,1/VLOOKUP($N329,Capa!$A:$AE,BH$5,0))))</f>
        <v/>
      </c>
      <c r="BI329" s="118" t="str">
        <f>IF(BI$6="","",IF(BI$3="Maior",IFERROR(IF(VLOOKUP($N329,Capa!$A:$AE,BI$5,0)="",0,VLOOKUP($N329,Capa!$A:$AE,BI$5,0)),0),IF(ISERROR(1/VLOOKUP($N329,Capa!$A:$AE,BI$5,0)),0,1/VLOOKUP($N329,Capa!$A:$AE,BI$5,0))))</f>
        <v/>
      </c>
      <c r="BJ329" s="118" t="str">
        <f>IF(BJ$6="","",IF(BJ$3="Maior",IFERROR(IF(VLOOKUP($N329,Capa!$A:$AE,BJ$5,0)="",0,VLOOKUP($N329,Capa!$A:$AE,BJ$5,0)),0),IF(ISERROR(1/VLOOKUP($N329,Capa!$A:$AE,BJ$5,0)),0,1/VLOOKUP($N329,Capa!$A:$AE,BJ$5,0))))</f>
        <v/>
      </c>
      <c r="BK329" s="118" t="str">
        <f>IF(BK$6="","",IF(BK$3="Maior",IFERROR(IF(VLOOKUP($N329,Capa!$A:$AE,BK$5,0)="",0,VLOOKUP($N329,Capa!$A:$AE,BK$5,0)),0),IF(ISERROR(1/VLOOKUP($N329,Capa!$A:$AE,BK$5,0)),0,1/VLOOKUP($N329,Capa!$A:$AE,BK$5,0))))</f>
        <v/>
      </c>
      <c r="BL329" s="118" t="str">
        <f>IF(BL$6="","",IF(BL$3="Maior",IFERROR(IF(VLOOKUP($N329,Capa!$A:$AE,BL$5,0)="",0,VLOOKUP($N329,Capa!$A:$AE,BL$5,0)),0),IF(ISERROR(1/VLOOKUP($N329,Capa!$A:$AE,BL$5,0)),0,1/VLOOKUP($N329,Capa!$A:$AE,BL$5,0))))</f>
        <v/>
      </c>
      <c r="BM329" s="118" t="str">
        <f>IF(BM$6="","",IF(BM$3="Maior",IFERROR(IF(VLOOKUP($N329,Capa!$A:$AE,BM$5,0)="",0,VLOOKUP($N329,Capa!$A:$AE,BM$5,0)),0),IF(ISERROR(1/VLOOKUP($N329,Capa!$A:$AE,BM$5,0)),0,1/VLOOKUP($N329,Capa!$A:$AE,BM$5,0))))</f>
        <v/>
      </c>
      <c r="BN329" s="118" t="str">
        <f>IF(BN$6="","",IF(BN$3="Maior",IFERROR(IF(VLOOKUP($N329,Capa!$A:$AE,BN$5,0)="",0,VLOOKUP($N329,Capa!$A:$AE,BN$5,0)),0),IF(ISERROR(1/VLOOKUP($N329,Capa!$A:$AE,BN$5,0)),0,1/VLOOKUP($N329,Capa!$A:$AE,BN$5,0))))</f>
        <v/>
      </c>
      <c r="BO329" s="92"/>
    </row>
    <row r="330">
      <c r="G330" s="11"/>
      <c r="H330" s="11"/>
      <c r="I330" s="8"/>
      <c r="J330" s="132"/>
      <c r="K330" s="11"/>
      <c r="L330" s="11"/>
      <c r="M330" s="11"/>
      <c r="N330" s="10" t="s">
        <v>376</v>
      </c>
      <c r="O330" s="113">
        <f t="shared" si="8"/>
        <v>1688.0014</v>
      </c>
      <c r="P330" s="114">
        <f>VLOOKUP(N330,'Dados StatusInvest'!A:Z,26,0)</f>
        <v>166132.63</v>
      </c>
      <c r="Q330" s="115">
        <f t="shared" si="9"/>
        <v>14.0014</v>
      </c>
      <c r="R330" s="116">
        <f t="shared" ref="R330:AO330" si="333">IF(AQ330="","", RANK(AQ330,AQ$7:AQ$503,0))</f>
        <v>455</v>
      </c>
      <c r="S330" s="115">
        <f t="shared" si="333"/>
        <v>219</v>
      </c>
      <c r="T330" s="115" t="str">
        <f t="shared" si="333"/>
        <v/>
      </c>
      <c r="U330" s="115" t="str">
        <f t="shared" si="333"/>
        <v/>
      </c>
      <c r="V330" s="115" t="str">
        <f t="shared" si="333"/>
        <v/>
      </c>
      <c r="W330" s="115" t="str">
        <f t="shared" si="333"/>
        <v/>
      </c>
      <c r="X330" s="115" t="str">
        <f t="shared" si="333"/>
        <v/>
      </c>
      <c r="Y330" s="115" t="str">
        <f t="shared" si="333"/>
        <v/>
      </c>
      <c r="Z330" s="115" t="str">
        <f t="shared" si="333"/>
        <v/>
      </c>
      <c r="AA330" s="115" t="str">
        <f t="shared" si="333"/>
        <v/>
      </c>
      <c r="AB330" s="115" t="str">
        <f t="shared" si="333"/>
        <v/>
      </c>
      <c r="AC330" s="115" t="str">
        <f t="shared" si="333"/>
        <v/>
      </c>
      <c r="AD330" s="115" t="str">
        <f t="shared" si="333"/>
        <v/>
      </c>
      <c r="AE330" s="115" t="str">
        <f t="shared" si="333"/>
        <v/>
      </c>
      <c r="AF330" s="115" t="str">
        <f t="shared" si="333"/>
        <v/>
      </c>
      <c r="AG330" s="115" t="str">
        <f t="shared" si="333"/>
        <v/>
      </c>
      <c r="AH330" s="115" t="str">
        <f t="shared" si="333"/>
        <v/>
      </c>
      <c r="AI330" s="115" t="str">
        <f t="shared" si="333"/>
        <v/>
      </c>
      <c r="AJ330" s="115" t="str">
        <f t="shared" si="333"/>
        <v/>
      </c>
      <c r="AK330" s="115" t="str">
        <f t="shared" si="333"/>
        <v/>
      </c>
      <c r="AL330" s="115" t="str">
        <f t="shared" si="333"/>
        <v/>
      </c>
      <c r="AM330" s="115" t="str">
        <f t="shared" si="333"/>
        <v/>
      </c>
      <c r="AN330" s="115" t="str">
        <f t="shared" si="333"/>
        <v/>
      </c>
      <c r="AO330" s="115" t="str">
        <f t="shared" si="333"/>
        <v/>
      </c>
      <c r="AP330" s="117">
        <f>IF(AP$6="","",IF(AP$3="Maior",IFERROR(IF(VLOOKUP($N330,Capa!$A:$AE,AP$5,0)="",0,VLOOKUP($N330,Capa!$A:$AE,AP$5,0)),0),IF(ISERROR(1/VLOOKUP($N330,Capa!$A:$AE,AP$5,0)),0,1/VLOOKUP($N330,Capa!$A:$AE,AP$5,0))))</f>
        <v>0.5595116989</v>
      </c>
      <c r="AQ330" s="118">
        <f>IF(AQ$6="","",IF(AQ$3="Maior",IFERROR(IF(VLOOKUP($N330,Capa!$A:$AE,AQ$5,0)="",0,VLOOKUP($N330,Capa!$A:$AE,AQ$5,0)),0),IF(ISERROR(1/VLOOKUP($N330,Capa!$A:$AE,AQ$5,0)),0,1/VLOOKUP($N330,Capa!$A:$AE,AQ$5,0))))</f>
        <v>-7.65</v>
      </c>
      <c r="AR330" s="118">
        <f>IF(AR$6="","",IF(AR$3="Maior",IFERROR(IF(VLOOKUP($N330,Capa!$A:$AE,AR$5,0)="",0,VLOOKUP($N330,Capa!$A:$AE,AR$5,0)),0),IF(ISERROR(1/VLOOKUP($N330,Capa!$A:$AE,AR$5,0)),0,1/VLOOKUP($N330,Capa!$A:$AE,AR$5,0))))</f>
        <v>0</v>
      </c>
      <c r="AS330" s="118" t="str">
        <f>IF(AS$6="","",IF(AS$3="Maior",IFERROR(IF(VLOOKUP($N330,Capa!$A:$AE,AS$5,0)="",0,VLOOKUP($N330,Capa!$A:$AE,AS$5,0)),0),IF(ISERROR(1/VLOOKUP($N330,Capa!$A:$AE,AS$5,0)),0,1/VLOOKUP($N330,Capa!$A:$AE,AS$5,0))))</f>
        <v/>
      </c>
      <c r="AT330" s="118" t="str">
        <f>IF(AT$6="","",IF(AT$3="Maior",IFERROR(IF(VLOOKUP($N330,Capa!$A:$AE,AT$5,0)="",0,VLOOKUP($N330,Capa!$A:$AE,AT$5,0)),0),IF(ISERROR(1/VLOOKUP($N330,Capa!$A:$AE,AT$5,0)),0,1/VLOOKUP($N330,Capa!$A:$AE,AT$5,0))))</f>
        <v/>
      </c>
      <c r="AU330" s="118" t="str">
        <f>IF(AU$6="","",IF(AU$3="Maior",IFERROR(IF(VLOOKUP($N330,Capa!$A:$AE,AU$5,0)="",0,VLOOKUP($N330,Capa!$A:$AE,AU$5,0)),0),IF(ISERROR(1/VLOOKUP($N330,Capa!$A:$AE,AU$5,0)),0,1/VLOOKUP($N330,Capa!$A:$AE,AU$5,0))))</f>
        <v/>
      </c>
      <c r="AV330" s="118" t="str">
        <f>IF(AV$6="","",IF(AV$3="Maior",IFERROR(IF(VLOOKUP($N330,Capa!$A:$AE,AV$5,0)="",0,VLOOKUP($N330,Capa!$A:$AE,AV$5,0)),0),IF(ISERROR(1/VLOOKUP($N330,Capa!$A:$AE,AV$5,0)),0,1/VLOOKUP($N330,Capa!$A:$AE,AV$5,0))))</f>
        <v/>
      </c>
      <c r="AW330" s="118" t="str">
        <f>IF(AW$6="","",IF(AW$3="Maior",IFERROR(IF(VLOOKUP($N330,Capa!$A:$AE,AW$5,0)="",0,VLOOKUP($N330,Capa!$A:$AE,AW$5,0)),0),IF(ISERROR(1/VLOOKUP($N330,Capa!$A:$AE,AW$5,0)),0,1/VLOOKUP($N330,Capa!$A:$AE,AW$5,0))))</f>
        <v/>
      </c>
      <c r="AX330" s="118" t="str">
        <f>IF(AX$6="","",IF(AX$3="Maior",IFERROR(IF(VLOOKUP($N330,Capa!$A:$AE,AX$5,0)="",0,VLOOKUP($N330,Capa!$A:$AE,AX$5,0)),0),IF(ISERROR(1/VLOOKUP($N330,Capa!$A:$AE,AX$5,0)),0,1/VLOOKUP($N330,Capa!$A:$AE,AX$5,0))))</f>
        <v/>
      </c>
      <c r="AY330" s="118" t="str">
        <f>IF(AY$6="","",IF(AY$3="Maior",IFERROR(IF(VLOOKUP($N330,Capa!$A:$AE,AY$5,0)="",0,VLOOKUP($N330,Capa!$A:$AE,AY$5,0)),0),IF(ISERROR(1/VLOOKUP($N330,Capa!$A:$AE,AY$5,0)),0,1/VLOOKUP($N330,Capa!$A:$AE,AY$5,0))))</f>
        <v/>
      </c>
      <c r="AZ330" s="118" t="str">
        <f>IF(AZ$6="","",IF(AZ$3="Maior",IFERROR(IF(VLOOKUP($N330,Capa!$A:$AE,AZ$5,0)="",0,VLOOKUP($N330,Capa!$A:$AE,AZ$5,0)),0),IF(ISERROR(1/VLOOKUP($N330,Capa!$A:$AE,AZ$5,0)),0,1/VLOOKUP($N330,Capa!$A:$AE,AZ$5,0))))</f>
        <v/>
      </c>
      <c r="BA330" s="118" t="str">
        <f>IF(BA$6="","",IF(BA$3="Maior",IFERROR(IF(VLOOKUP($N330,Capa!$A:$AE,BA$5,0)="",0,VLOOKUP($N330,Capa!$A:$AE,BA$5,0)),0),IF(ISERROR(1/VLOOKUP($N330,Capa!$A:$AE,BA$5,0)),0,1/VLOOKUP($N330,Capa!$A:$AE,BA$5,0))))</f>
        <v/>
      </c>
      <c r="BB330" s="118" t="str">
        <f>IF(BB$6="","",IF(BB$3="Maior",IFERROR(IF(VLOOKUP($N330,Capa!$A:$AE,BB$5,0)="",0,VLOOKUP($N330,Capa!$A:$AE,BB$5,0)),0),IF(ISERROR(1/VLOOKUP($N330,Capa!$A:$AE,BB$5,0)),0,1/VLOOKUP($N330,Capa!$A:$AE,BB$5,0))))</f>
        <v/>
      </c>
      <c r="BC330" s="118" t="str">
        <f>IF(BC$6="","",IF(BC$3="Maior",IFERROR(IF(VLOOKUP($N330,Capa!$A:$AE,BC$5,0)="",0,VLOOKUP($N330,Capa!$A:$AE,BC$5,0)),0),IF(ISERROR(1/VLOOKUP($N330,Capa!$A:$AE,BC$5,0)),0,1/VLOOKUP($N330,Capa!$A:$AE,BC$5,0))))</f>
        <v/>
      </c>
      <c r="BD330" s="118" t="str">
        <f>IF(BD$6="","",IF(BD$3="Maior",IFERROR(IF(VLOOKUP($N330,Capa!$A:$AE,BD$5,0)="",0,VLOOKUP($N330,Capa!$A:$AE,BD$5,0)),0),IF(ISERROR(1/VLOOKUP($N330,Capa!$A:$AE,BD$5,0)),0,1/VLOOKUP($N330,Capa!$A:$AE,BD$5,0))))</f>
        <v/>
      </c>
      <c r="BE330" s="118" t="str">
        <f>IF(BE$6="","",IF(BE$3="Maior",IFERROR(IF(VLOOKUP($N330,Capa!$A:$AE,BE$5,0)="",0,VLOOKUP($N330,Capa!$A:$AE,BE$5,0)),0),IF(ISERROR(1/VLOOKUP($N330,Capa!$A:$AE,BE$5,0)),0,1/VLOOKUP($N330,Capa!$A:$AE,BE$5,0))))</f>
        <v/>
      </c>
      <c r="BF330" s="118" t="str">
        <f>IF(BF$6="","",IF(BF$3="Maior",IFERROR(IF(VLOOKUP($N330,Capa!$A:$AE,BF$5,0)="",0,VLOOKUP($N330,Capa!$A:$AE,BF$5,0)),0),IF(ISERROR(1/VLOOKUP($N330,Capa!$A:$AE,BF$5,0)),0,1/VLOOKUP($N330,Capa!$A:$AE,BF$5,0))))</f>
        <v/>
      </c>
      <c r="BG330" s="118" t="str">
        <f>IF(BG$6="","",IF(BG$3="Maior",IFERROR(IF(VLOOKUP($N330,Capa!$A:$AE,BG$5,0)="",0,VLOOKUP($N330,Capa!$A:$AE,BG$5,0)),0),IF(ISERROR(1/VLOOKUP($N330,Capa!$A:$AE,BG$5,0)),0,1/VLOOKUP($N330,Capa!$A:$AE,BG$5,0))))</f>
        <v/>
      </c>
      <c r="BH330" s="118" t="str">
        <f>IF(BH$6="","",IF(BH$3="Maior",IFERROR(IF(VLOOKUP($N330,Capa!$A:$AE,BH$5,0)="",0,VLOOKUP($N330,Capa!$A:$AE,BH$5,0)),0),IF(ISERROR(1/VLOOKUP($N330,Capa!$A:$AE,BH$5,0)),0,1/VLOOKUP($N330,Capa!$A:$AE,BH$5,0))))</f>
        <v/>
      </c>
      <c r="BI330" s="118" t="str">
        <f>IF(BI$6="","",IF(BI$3="Maior",IFERROR(IF(VLOOKUP($N330,Capa!$A:$AE,BI$5,0)="",0,VLOOKUP($N330,Capa!$A:$AE,BI$5,0)),0),IF(ISERROR(1/VLOOKUP($N330,Capa!$A:$AE,BI$5,0)),0,1/VLOOKUP($N330,Capa!$A:$AE,BI$5,0))))</f>
        <v/>
      </c>
      <c r="BJ330" s="118" t="str">
        <f>IF(BJ$6="","",IF(BJ$3="Maior",IFERROR(IF(VLOOKUP($N330,Capa!$A:$AE,BJ$5,0)="",0,VLOOKUP($N330,Capa!$A:$AE,BJ$5,0)),0),IF(ISERROR(1/VLOOKUP($N330,Capa!$A:$AE,BJ$5,0)),0,1/VLOOKUP($N330,Capa!$A:$AE,BJ$5,0))))</f>
        <v/>
      </c>
      <c r="BK330" s="118" t="str">
        <f>IF(BK$6="","",IF(BK$3="Maior",IFERROR(IF(VLOOKUP($N330,Capa!$A:$AE,BK$5,0)="",0,VLOOKUP($N330,Capa!$A:$AE,BK$5,0)),0),IF(ISERROR(1/VLOOKUP($N330,Capa!$A:$AE,BK$5,0)),0,1/VLOOKUP($N330,Capa!$A:$AE,BK$5,0))))</f>
        <v/>
      </c>
      <c r="BL330" s="118" t="str">
        <f>IF(BL$6="","",IF(BL$3="Maior",IFERROR(IF(VLOOKUP($N330,Capa!$A:$AE,BL$5,0)="",0,VLOOKUP($N330,Capa!$A:$AE,BL$5,0)),0),IF(ISERROR(1/VLOOKUP($N330,Capa!$A:$AE,BL$5,0)),0,1/VLOOKUP($N330,Capa!$A:$AE,BL$5,0))))</f>
        <v/>
      </c>
      <c r="BM330" s="118" t="str">
        <f>IF(BM$6="","",IF(BM$3="Maior",IFERROR(IF(VLOOKUP($N330,Capa!$A:$AE,BM$5,0)="",0,VLOOKUP($N330,Capa!$A:$AE,BM$5,0)),0),IF(ISERROR(1/VLOOKUP($N330,Capa!$A:$AE,BM$5,0)),0,1/VLOOKUP($N330,Capa!$A:$AE,BM$5,0))))</f>
        <v/>
      </c>
      <c r="BN330" s="118" t="str">
        <f>IF(BN$6="","",IF(BN$3="Maior",IFERROR(IF(VLOOKUP($N330,Capa!$A:$AE,BN$5,0)="",0,VLOOKUP($N330,Capa!$A:$AE,BN$5,0)),0),IF(ISERROR(1/VLOOKUP($N330,Capa!$A:$AE,BN$5,0)),0,1/VLOOKUP($N330,Capa!$A:$AE,BN$5,0))))</f>
        <v/>
      </c>
      <c r="BO330" s="92"/>
    </row>
    <row r="331">
      <c r="G331" s="11"/>
      <c r="H331" s="11"/>
      <c r="I331" s="8"/>
      <c r="J331" s="132"/>
      <c r="K331" s="11"/>
      <c r="L331" s="11"/>
      <c r="M331" s="11"/>
      <c r="N331" s="10" t="s">
        <v>377</v>
      </c>
      <c r="O331" s="113">
        <f t="shared" si="8"/>
        <v>1508.0215</v>
      </c>
      <c r="P331" s="114">
        <f>VLOOKUP(N331,'Dados StatusInvest'!A:Z,26,0)</f>
        <v>178809.75</v>
      </c>
      <c r="Q331" s="115">
        <f t="shared" si="9"/>
        <v>215.0215</v>
      </c>
      <c r="R331" s="116">
        <f t="shared" ref="R331:AO331" si="334">IF(AQ331="","", RANK(AQ331,AQ$7:AQ$503,0))</f>
        <v>209</v>
      </c>
      <c r="S331" s="115">
        <f t="shared" si="334"/>
        <v>84</v>
      </c>
      <c r="T331" s="115" t="str">
        <f t="shared" si="334"/>
        <v/>
      </c>
      <c r="U331" s="115" t="str">
        <f t="shared" si="334"/>
        <v/>
      </c>
      <c r="V331" s="115" t="str">
        <f t="shared" si="334"/>
        <v/>
      </c>
      <c r="W331" s="115" t="str">
        <f t="shared" si="334"/>
        <v/>
      </c>
      <c r="X331" s="115" t="str">
        <f t="shared" si="334"/>
        <v/>
      </c>
      <c r="Y331" s="115" t="str">
        <f t="shared" si="334"/>
        <v/>
      </c>
      <c r="Z331" s="115" t="str">
        <f t="shared" si="334"/>
        <v/>
      </c>
      <c r="AA331" s="115" t="str">
        <f t="shared" si="334"/>
        <v/>
      </c>
      <c r="AB331" s="115" t="str">
        <f t="shared" si="334"/>
        <v/>
      </c>
      <c r="AC331" s="115" t="str">
        <f t="shared" si="334"/>
        <v/>
      </c>
      <c r="AD331" s="115" t="str">
        <f t="shared" si="334"/>
        <v/>
      </c>
      <c r="AE331" s="115" t="str">
        <f t="shared" si="334"/>
        <v/>
      </c>
      <c r="AF331" s="115" t="str">
        <f t="shared" si="334"/>
        <v/>
      </c>
      <c r="AG331" s="115" t="str">
        <f t="shared" si="334"/>
        <v/>
      </c>
      <c r="AH331" s="115" t="str">
        <f t="shared" si="334"/>
        <v/>
      </c>
      <c r="AI331" s="115" t="str">
        <f t="shared" si="334"/>
        <v/>
      </c>
      <c r="AJ331" s="115" t="str">
        <f t="shared" si="334"/>
        <v/>
      </c>
      <c r="AK331" s="115" t="str">
        <f t="shared" si="334"/>
        <v/>
      </c>
      <c r="AL331" s="115" t="str">
        <f t="shared" si="334"/>
        <v/>
      </c>
      <c r="AM331" s="115" t="str">
        <f t="shared" si="334"/>
        <v/>
      </c>
      <c r="AN331" s="115" t="str">
        <f t="shared" si="334"/>
        <v/>
      </c>
      <c r="AO331" s="115" t="str">
        <f t="shared" si="334"/>
        <v/>
      </c>
      <c r="AP331" s="117">
        <f>IF(AP$6="","",IF(AP$3="Maior",IFERROR(IF(VLOOKUP($N331,Capa!$A:$AE,AP$5,0)="",0,VLOOKUP($N331,Capa!$A:$AE,AP$5,0)),0),IF(ISERROR(1/VLOOKUP($N331,Capa!$A:$AE,AP$5,0)),0,1/VLOOKUP($N331,Capa!$A:$AE,AP$5,0))))</f>
        <v>0.09861278914</v>
      </c>
      <c r="AQ331" s="118">
        <f>IF(AQ$6="","",IF(AQ$3="Maior",IFERROR(IF(VLOOKUP($N331,Capa!$A:$AE,AQ$5,0)="",0,VLOOKUP($N331,Capa!$A:$AE,AQ$5,0)),0),IF(ISERROR(1/VLOOKUP($N331,Capa!$A:$AE,AQ$5,0)),0,1/VLOOKUP($N331,Capa!$A:$AE,AQ$5,0))))</f>
        <v>10.79</v>
      </c>
      <c r="AR331" s="118">
        <f>IF(AR$6="","",IF(AR$3="Maior",IFERROR(IF(VLOOKUP($N331,Capa!$A:$AE,AR$5,0)="",0,VLOOKUP($N331,Capa!$A:$AE,AR$5,0)),0),IF(ISERROR(1/VLOOKUP($N331,Capa!$A:$AE,AR$5,0)),0,1/VLOOKUP($N331,Capa!$A:$AE,AR$5,0))))</f>
        <v>33.87</v>
      </c>
      <c r="AS331" s="118" t="str">
        <f>IF(AS$6="","",IF(AS$3="Maior",IFERROR(IF(VLOOKUP($N331,Capa!$A:$AE,AS$5,0)="",0,VLOOKUP($N331,Capa!$A:$AE,AS$5,0)),0),IF(ISERROR(1/VLOOKUP($N331,Capa!$A:$AE,AS$5,0)),0,1/VLOOKUP($N331,Capa!$A:$AE,AS$5,0))))</f>
        <v/>
      </c>
      <c r="AT331" s="118" t="str">
        <f>IF(AT$6="","",IF(AT$3="Maior",IFERROR(IF(VLOOKUP($N331,Capa!$A:$AE,AT$5,0)="",0,VLOOKUP($N331,Capa!$A:$AE,AT$5,0)),0),IF(ISERROR(1/VLOOKUP($N331,Capa!$A:$AE,AT$5,0)),0,1/VLOOKUP($N331,Capa!$A:$AE,AT$5,0))))</f>
        <v/>
      </c>
      <c r="AU331" s="118" t="str">
        <f>IF(AU$6="","",IF(AU$3="Maior",IFERROR(IF(VLOOKUP($N331,Capa!$A:$AE,AU$5,0)="",0,VLOOKUP($N331,Capa!$A:$AE,AU$5,0)),0),IF(ISERROR(1/VLOOKUP($N331,Capa!$A:$AE,AU$5,0)),0,1/VLOOKUP($N331,Capa!$A:$AE,AU$5,0))))</f>
        <v/>
      </c>
      <c r="AV331" s="118" t="str">
        <f>IF(AV$6="","",IF(AV$3="Maior",IFERROR(IF(VLOOKUP($N331,Capa!$A:$AE,AV$5,0)="",0,VLOOKUP($N331,Capa!$A:$AE,AV$5,0)),0),IF(ISERROR(1/VLOOKUP($N331,Capa!$A:$AE,AV$5,0)),0,1/VLOOKUP($N331,Capa!$A:$AE,AV$5,0))))</f>
        <v/>
      </c>
      <c r="AW331" s="118" t="str">
        <f>IF(AW$6="","",IF(AW$3="Maior",IFERROR(IF(VLOOKUP($N331,Capa!$A:$AE,AW$5,0)="",0,VLOOKUP($N331,Capa!$A:$AE,AW$5,0)),0),IF(ISERROR(1/VLOOKUP($N331,Capa!$A:$AE,AW$5,0)),0,1/VLOOKUP($N331,Capa!$A:$AE,AW$5,0))))</f>
        <v/>
      </c>
      <c r="AX331" s="118" t="str">
        <f>IF(AX$6="","",IF(AX$3="Maior",IFERROR(IF(VLOOKUP($N331,Capa!$A:$AE,AX$5,0)="",0,VLOOKUP($N331,Capa!$A:$AE,AX$5,0)),0),IF(ISERROR(1/VLOOKUP($N331,Capa!$A:$AE,AX$5,0)),0,1/VLOOKUP($N331,Capa!$A:$AE,AX$5,0))))</f>
        <v/>
      </c>
      <c r="AY331" s="118" t="str">
        <f>IF(AY$6="","",IF(AY$3="Maior",IFERROR(IF(VLOOKUP($N331,Capa!$A:$AE,AY$5,0)="",0,VLOOKUP($N331,Capa!$A:$AE,AY$5,0)),0),IF(ISERROR(1/VLOOKUP($N331,Capa!$A:$AE,AY$5,0)),0,1/VLOOKUP($N331,Capa!$A:$AE,AY$5,0))))</f>
        <v/>
      </c>
      <c r="AZ331" s="118" t="str">
        <f>IF(AZ$6="","",IF(AZ$3="Maior",IFERROR(IF(VLOOKUP($N331,Capa!$A:$AE,AZ$5,0)="",0,VLOOKUP($N331,Capa!$A:$AE,AZ$5,0)),0),IF(ISERROR(1/VLOOKUP($N331,Capa!$A:$AE,AZ$5,0)),0,1/VLOOKUP($N331,Capa!$A:$AE,AZ$5,0))))</f>
        <v/>
      </c>
      <c r="BA331" s="118" t="str">
        <f>IF(BA$6="","",IF(BA$3="Maior",IFERROR(IF(VLOOKUP($N331,Capa!$A:$AE,BA$5,0)="",0,VLOOKUP($N331,Capa!$A:$AE,BA$5,0)),0),IF(ISERROR(1/VLOOKUP($N331,Capa!$A:$AE,BA$5,0)),0,1/VLOOKUP($N331,Capa!$A:$AE,BA$5,0))))</f>
        <v/>
      </c>
      <c r="BB331" s="118" t="str">
        <f>IF(BB$6="","",IF(BB$3="Maior",IFERROR(IF(VLOOKUP($N331,Capa!$A:$AE,BB$5,0)="",0,VLOOKUP($N331,Capa!$A:$AE,BB$5,0)),0),IF(ISERROR(1/VLOOKUP($N331,Capa!$A:$AE,BB$5,0)),0,1/VLOOKUP($N331,Capa!$A:$AE,BB$5,0))))</f>
        <v/>
      </c>
      <c r="BC331" s="118" t="str">
        <f>IF(BC$6="","",IF(BC$3="Maior",IFERROR(IF(VLOOKUP($N331,Capa!$A:$AE,BC$5,0)="",0,VLOOKUP($N331,Capa!$A:$AE,BC$5,0)),0),IF(ISERROR(1/VLOOKUP($N331,Capa!$A:$AE,BC$5,0)),0,1/VLOOKUP($N331,Capa!$A:$AE,BC$5,0))))</f>
        <v/>
      </c>
      <c r="BD331" s="118" t="str">
        <f>IF(BD$6="","",IF(BD$3="Maior",IFERROR(IF(VLOOKUP($N331,Capa!$A:$AE,BD$5,0)="",0,VLOOKUP($N331,Capa!$A:$AE,BD$5,0)),0),IF(ISERROR(1/VLOOKUP($N331,Capa!$A:$AE,BD$5,0)),0,1/VLOOKUP($N331,Capa!$A:$AE,BD$5,0))))</f>
        <v/>
      </c>
      <c r="BE331" s="118" t="str">
        <f>IF(BE$6="","",IF(BE$3="Maior",IFERROR(IF(VLOOKUP($N331,Capa!$A:$AE,BE$5,0)="",0,VLOOKUP($N331,Capa!$A:$AE,BE$5,0)),0),IF(ISERROR(1/VLOOKUP($N331,Capa!$A:$AE,BE$5,0)),0,1/VLOOKUP($N331,Capa!$A:$AE,BE$5,0))))</f>
        <v/>
      </c>
      <c r="BF331" s="118" t="str">
        <f>IF(BF$6="","",IF(BF$3="Maior",IFERROR(IF(VLOOKUP($N331,Capa!$A:$AE,BF$5,0)="",0,VLOOKUP($N331,Capa!$A:$AE,BF$5,0)),0),IF(ISERROR(1/VLOOKUP($N331,Capa!$A:$AE,BF$5,0)),0,1/VLOOKUP($N331,Capa!$A:$AE,BF$5,0))))</f>
        <v/>
      </c>
      <c r="BG331" s="118" t="str">
        <f>IF(BG$6="","",IF(BG$3="Maior",IFERROR(IF(VLOOKUP($N331,Capa!$A:$AE,BG$5,0)="",0,VLOOKUP($N331,Capa!$A:$AE,BG$5,0)),0),IF(ISERROR(1/VLOOKUP($N331,Capa!$A:$AE,BG$5,0)),0,1/VLOOKUP($N331,Capa!$A:$AE,BG$5,0))))</f>
        <v/>
      </c>
      <c r="BH331" s="118" t="str">
        <f>IF(BH$6="","",IF(BH$3="Maior",IFERROR(IF(VLOOKUP($N331,Capa!$A:$AE,BH$5,0)="",0,VLOOKUP($N331,Capa!$A:$AE,BH$5,0)),0),IF(ISERROR(1/VLOOKUP($N331,Capa!$A:$AE,BH$5,0)),0,1/VLOOKUP($N331,Capa!$A:$AE,BH$5,0))))</f>
        <v/>
      </c>
      <c r="BI331" s="118" t="str">
        <f>IF(BI$6="","",IF(BI$3="Maior",IFERROR(IF(VLOOKUP($N331,Capa!$A:$AE,BI$5,0)="",0,VLOOKUP($N331,Capa!$A:$AE,BI$5,0)),0),IF(ISERROR(1/VLOOKUP($N331,Capa!$A:$AE,BI$5,0)),0,1/VLOOKUP($N331,Capa!$A:$AE,BI$5,0))))</f>
        <v/>
      </c>
      <c r="BJ331" s="118" t="str">
        <f>IF(BJ$6="","",IF(BJ$3="Maior",IFERROR(IF(VLOOKUP($N331,Capa!$A:$AE,BJ$5,0)="",0,VLOOKUP($N331,Capa!$A:$AE,BJ$5,0)),0),IF(ISERROR(1/VLOOKUP($N331,Capa!$A:$AE,BJ$5,0)),0,1/VLOOKUP($N331,Capa!$A:$AE,BJ$5,0))))</f>
        <v/>
      </c>
      <c r="BK331" s="118" t="str">
        <f>IF(BK$6="","",IF(BK$3="Maior",IFERROR(IF(VLOOKUP($N331,Capa!$A:$AE,BK$5,0)="",0,VLOOKUP($N331,Capa!$A:$AE,BK$5,0)),0),IF(ISERROR(1/VLOOKUP($N331,Capa!$A:$AE,BK$5,0)),0,1/VLOOKUP($N331,Capa!$A:$AE,BK$5,0))))</f>
        <v/>
      </c>
      <c r="BL331" s="118" t="str">
        <f>IF(BL$6="","",IF(BL$3="Maior",IFERROR(IF(VLOOKUP($N331,Capa!$A:$AE,BL$5,0)="",0,VLOOKUP($N331,Capa!$A:$AE,BL$5,0)),0),IF(ISERROR(1/VLOOKUP($N331,Capa!$A:$AE,BL$5,0)),0,1/VLOOKUP($N331,Capa!$A:$AE,BL$5,0))))</f>
        <v/>
      </c>
      <c r="BM331" s="118" t="str">
        <f>IF(BM$6="","",IF(BM$3="Maior",IFERROR(IF(VLOOKUP($N331,Capa!$A:$AE,BM$5,0)="",0,VLOOKUP($N331,Capa!$A:$AE,BM$5,0)),0),IF(ISERROR(1/VLOOKUP($N331,Capa!$A:$AE,BM$5,0)),0,1/VLOOKUP($N331,Capa!$A:$AE,BM$5,0))))</f>
        <v/>
      </c>
      <c r="BN331" s="118" t="str">
        <f>IF(BN$6="","",IF(BN$3="Maior",IFERROR(IF(VLOOKUP($N331,Capa!$A:$AE,BN$5,0)="",0,VLOOKUP($N331,Capa!$A:$AE,BN$5,0)),0),IF(ISERROR(1/VLOOKUP($N331,Capa!$A:$AE,BN$5,0)),0,1/VLOOKUP($N331,Capa!$A:$AE,BN$5,0))))</f>
        <v/>
      </c>
      <c r="BO331" s="92"/>
    </row>
    <row r="332">
      <c r="G332" s="11"/>
      <c r="H332" s="11"/>
      <c r="I332" s="8"/>
      <c r="J332" s="132"/>
      <c r="K332" s="11"/>
      <c r="L332" s="11"/>
      <c r="M332" s="11"/>
      <c r="N332" s="10" t="s">
        <v>378</v>
      </c>
      <c r="O332" s="113">
        <f t="shared" si="8"/>
        <v>1710.0367</v>
      </c>
      <c r="P332" s="114">
        <f>VLOOKUP(N332,'Dados StatusInvest'!A:Z,26,0)</f>
        <v>89008.88</v>
      </c>
      <c r="Q332" s="115">
        <f t="shared" si="9"/>
        <v>367.0367</v>
      </c>
      <c r="R332" s="116">
        <f t="shared" ref="R332:AO332" si="335">IF(AQ332="","", RANK(AQ332,AQ$7:AQ$503,0))</f>
        <v>139</v>
      </c>
      <c r="S332" s="115">
        <f t="shared" si="335"/>
        <v>204</v>
      </c>
      <c r="T332" s="115" t="str">
        <f t="shared" si="335"/>
        <v/>
      </c>
      <c r="U332" s="115" t="str">
        <f t="shared" si="335"/>
        <v/>
      </c>
      <c r="V332" s="115" t="str">
        <f t="shared" si="335"/>
        <v/>
      </c>
      <c r="W332" s="115" t="str">
        <f t="shared" si="335"/>
        <v/>
      </c>
      <c r="X332" s="115" t="str">
        <f t="shared" si="335"/>
        <v/>
      </c>
      <c r="Y332" s="115" t="str">
        <f t="shared" si="335"/>
        <v/>
      </c>
      <c r="Z332" s="115" t="str">
        <f t="shared" si="335"/>
        <v/>
      </c>
      <c r="AA332" s="115" t="str">
        <f t="shared" si="335"/>
        <v/>
      </c>
      <c r="AB332" s="115" t="str">
        <f t="shared" si="335"/>
        <v/>
      </c>
      <c r="AC332" s="115" t="str">
        <f t="shared" si="335"/>
        <v/>
      </c>
      <c r="AD332" s="115" t="str">
        <f t="shared" si="335"/>
        <v/>
      </c>
      <c r="AE332" s="115" t="str">
        <f t="shared" si="335"/>
        <v/>
      </c>
      <c r="AF332" s="115" t="str">
        <f t="shared" si="335"/>
        <v/>
      </c>
      <c r="AG332" s="115" t="str">
        <f t="shared" si="335"/>
        <v/>
      </c>
      <c r="AH332" s="115" t="str">
        <f t="shared" si="335"/>
        <v/>
      </c>
      <c r="AI332" s="115" t="str">
        <f t="shared" si="335"/>
        <v/>
      </c>
      <c r="AJ332" s="115" t="str">
        <f t="shared" si="335"/>
        <v/>
      </c>
      <c r="AK332" s="115" t="str">
        <f t="shared" si="335"/>
        <v/>
      </c>
      <c r="AL332" s="115" t="str">
        <f t="shared" si="335"/>
        <v/>
      </c>
      <c r="AM332" s="115" t="str">
        <f t="shared" si="335"/>
        <v/>
      </c>
      <c r="AN332" s="115" t="str">
        <f t="shared" si="335"/>
        <v/>
      </c>
      <c r="AO332" s="115" t="str">
        <f t="shared" si="335"/>
        <v/>
      </c>
      <c r="AP332" s="117">
        <f>IF(AP$6="","",IF(AP$3="Maior",IFERROR(IF(VLOOKUP($N332,Capa!$A:$AE,AP$5,0)="",0,VLOOKUP($N332,Capa!$A:$AE,AP$5,0)),0),IF(ISERROR(1/VLOOKUP($N332,Capa!$A:$AE,AP$5,0)),0,1/VLOOKUP($N332,Capa!$A:$AE,AP$5,0))))</f>
        <v>0.02125273425</v>
      </c>
      <c r="AQ332" s="118">
        <f>IF(AQ$6="","",IF(AQ$3="Maior",IFERROR(IF(VLOOKUP($N332,Capa!$A:$AE,AQ$5,0)="",0,VLOOKUP($N332,Capa!$A:$AE,AQ$5,0)),0),IF(ISERROR(1/VLOOKUP($N332,Capa!$A:$AE,AQ$5,0)),0,1/VLOOKUP($N332,Capa!$A:$AE,AQ$5,0))))</f>
        <v>14.52</v>
      </c>
      <c r="AR332" s="118">
        <f>IF(AR$6="","",IF(AR$3="Maior",IFERROR(IF(VLOOKUP($N332,Capa!$A:$AE,AR$5,0)="",0,VLOOKUP($N332,Capa!$A:$AE,AR$5,0)),0),IF(ISERROR(1/VLOOKUP($N332,Capa!$A:$AE,AR$5,0)),0,1/VLOOKUP($N332,Capa!$A:$AE,AR$5,0))))</f>
        <v>1.86</v>
      </c>
      <c r="AS332" s="118" t="str">
        <f>IF(AS$6="","",IF(AS$3="Maior",IFERROR(IF(VLOOKUP($N332,Capa!$A:$AE,AS$5,0)="",0,VLOOKUP($N332,Capa!$A:$AE,AS$5,0)),0),IF(ISERROR(1/VLOOKUP($N332,Capa!$A:$AE,AS$5,0)),0,1/VLOOKUP($N332,Capa!$A:$AE,AS$5,0))))</f>
        <v/>
      </c>
      <c r="AT332" s="118" t="str">
        <f>IF(AT$6="","",IF(AT$3="Maior",IFERROR(IF(VLOOKUP($N332,Capa!$A:$AE,AT$5,0)="",0,VLOOKUP($N332,Capa!$A:$AE,AT$5,0)),0),IF(ISERROR(1/VLOOKUP($N332,Capa!$A:$AE,AT$5,0)),0,1/VLOOKUP($N332,Capa!$A:$AE,AT$5,0))))</f>
        <v/>
      </c>
      <c r="AU332" s="118" t="str">
        <f>IF(AU$6="","",IF(AU$3="Maior",IFERROR(IF(VLOOKUP($N332,Capa!$A:$AE,AU$5,0)="",0,VLOOKUP($N332,Capa!$A:$AE,AU$5,0)),0),IF(ISERROR(1/VLOOKUP($N332,Capa!$A:$AE,AU$5,0)),0,1/VLOOKUP($N332,Capa!$A:$AE,AU$5,0))))</f>
        <v/>
      </c>
      <c r="AV332" s="118" t="str">
        <f>IF(AV$6="","",IF(AV$3="Maior",IFERROR(IF(VLOOKUP($N332,Capa!$A:$AE,AV$5,0)="",0,VLOOKUP($N332,Capa!$A:$AE,AV$5,0)),0),IF(ISERROR(1/VLOOKUP($N332,Capa!$A:$AE,AV$5,0)),0,1/VLOOKUP($N332,Capa!$A:$AE,AV$5,0))))</f>
        <v/>
      </c>
      <c r="AW332" s="118" t="str">
        <f>IF(AW$6="","",IF(AW$3="Maior",IFERROR(IF(VLOOKUP($N332,Capa!$A:$AE,AW$5,0)="",0,VLOOKUP($N332,Capa!$A:$AE,AW$5,0)),0),IF(ISERROR(1/VLOOKUP($N332,Capa!$A:$AE,AW$5,0)),0,1/VLOOKUP($N332,Capa!$A:$AE,AW$5,0))))</f>
        <v/>
      </c>
      <c r="AX332" s="118" t="str">
        <f>IF(AX$6="","",IF(AX$3="Maior",IFERROR(IF(VLOOKUP($N332,Capa!$A:$AE,AX$5,0)="",0,VLOOKUP($N332,Capa!$A:$AE,AX$5,0)),0),IF(ISERROR(1/VLOOKUP($N332,Capa!$A:$AE,AX$5,0)),0,1/VLOOKUP($N332,Capa!$A:$AE,AX$5,0))))</f>
        <v/>
      </c>
      <c r="AY332" s="118" t="str">
        <f>IF(AY$6="","",IF(AY$3="Maior",IFERROR(IF(VLOOKUP($N332,Capa!$A:$AE,AY$5,0)="",0,VLOOKUP($N332,Capa!$A:$AE,AY$5,0)),0),IF(ISERROR(1/VLOOKUP($N332,Capa!$A:$AE,AY$5,0)),0,1/VLOOKUP($N332,Capa!$A:$AE,AY$5,0))))</f>
        <v/>
      </c>
      <c r="AZ332" s="118" t="str">
        <f>IF(AZ$6="","",IF(AZ$3="Maior",IFERROR(IF(VLOOKUP($N332,Capa!$A:$AE,AZ$5,0)="",0,VLOOKUP($N332,Capa!$A:$AE,AZ$5,0)),0),IF(ISERROR(1/VLOOKUP($N332,Capa!$A:$AE,AZ$5,0)),0,1/VLOOKUP($N332,Capa!$A:$AE,AZ$5,0))))</f>
        <v/>
      </c>
      <c r="BA332" s="118" t="str">
        <f>IF(BA$6="","",IF(BA$3="Maior",IFERROR(IF(VLOOKUP($N332,Capa!$A:$AE,BA$5,0)="",0,VLOOKUP($N332,Capa!$A:$AE,BA$5,0)),0),IF(ISERROR(1/VLOOKUP($N332,Capa!$A:$AE,BA$5,0)),0,1/VLOOKUP($N332,Capa!$A:$AE,BA$5,0))))</f>
        <v/>
      </c>
      <c r="BB332" s="118" t="str">
        <f>IF(BB$6="","",IF(BB$3="Maior",IFERROR(IF(VLOOKUP($N332,Capa!$A:$AE,BB$5,0)="",0,VLOOKUP($N332,Capa!$A:$AE,BB$5,0)),0),IF(ISERROR(1/VLOOKUP($N332,Capa!$A:$AE,BB$5,0)),0,1/VLOOKUP($N332,Capa!$A:$AE,BB$5,0))))</f>
        <v/>
      </c>
      <c r="BC332" s="118" t="str">
        <f>IF(BC$6="","",IF(BC$3="Maior",IFERROR(IF(VLOOKUP($N332,Capa!$A:$AE,BC$5,0)="",0,VLOOKUP($N332,Capa!$A:$AE,BC$5,0)),0),IF(ISERROR(1/VLOOKUP($N332,Capa!$A:$AE,BC$5,0)),0,1/VLOOKUP($N332,Capa!$A:$AE,BC$5,0))))</f>
        <v/>
      </c>
      <c r="BD332" s="118" t="str">
        <f>IF(BD$6="","",IF(BD$3="Maior",IFERROR(IF(VLOOKUP($N332,Capa!$A:$AE,BD$5,0)="",0,VLOOKUP($N332,Capa!$A:$AE,BD$5,0)),0),IF(ISERROR(1/VLOOKUP($N332,Capa!$A:$AE,BD$5,0)),0,1/VLOOKUP($N332,Capa!$A:$AE,BD$5,0))))</f>
        <v/>
      </c>
      <c r="BE332" s="118" t="str">
        <f>IF(BE$6="","",IF(BE$3="Maior",IFERROR(IF(VLOOKUP($N332,Capa!$A:$AE,BE$5,0)="",0,VLOOKUP($N332,Capa!$A:$AE,BE$5,0)),0),IF(ISERROR(1/VLOOKUP($N332,Capa!$A:$AE,BE$5,0)),0,1/VLOOKUP($N332,Capa!$A:$AE,BE$5,0))))</f>
        <v/>
      </c>
      <c r="BF332" s="118" t="str">
        <f>IF(BF$6="","",IF(BF$3="Maior",IFERROR(IF(VLOOKUP($N332,Capa!$A:$AE,BF$5,0)="",0,VLOOKUP($N332,Capa!$A:$AE,BF$5,0)),0),IF(ISERROR(1/VLOOKUP($N332,Capa!$A:$AE,BF$5,0)),0,1/VLOOKUP($N332,Capa!$A:$AE,BF$5,0))))</f>
        <v/>
      </c>
      <c r="BG332" s="118" t="str">
        <f>IF(BG$6="","",IF(BG$3="Maior",IFERROR(IF(VLOOKUP($N332,Capa!$A:$AE,BG$5,0)="",0,VLOOKUP($N332,Capa!$A:$AE,BG$5,0)),0),IF(ISERROR(1/VLOOKUP($N332,Capa!$A:$AE,BG$5,0)),0,1/VLOOKUP($N332,Capa!$A:$AE,BG$5,0))))</f>
        <v/>
      </c>
      <c r="BH332" s="118" t="str">
        <f>IF(BH$6="","",IF(BH$3="Maior",IFERROR(IF(VLOOKUP($N332,Capa!$A:$AE,BH$5,0)="",0,VLOOKUP($N332,Capa!$A:$AE,BH$5,0)),0),IF(ISERROR(1/VLOOKUP($N332,Capa!$A:$AE,BH$5,0)),0,1/VLOOKUP($N332,Capa!$A:$AE,BH$5,0))))</f>
        <v/>
      </c>
      <c r="BI332" s="118" t="str">
        <f>IF(BI$6="","",IF(BI$3="Maior",IFERROR(IF(VLOOKUP($N332,Capa!$A:$AE,BI$5,0)="",0,VLOOKUP($N332,Capa!$A:$AE,BI$5,0)),0),IF(ISERROR(1/VLOOKUP($N332,Capa!$A:$AE,BI$5,0)),0,1/VLOOKUP($N332,Capa!$A:$AE,BI$5,0))))</f>
        <v/>
      </c>
      <c r="BJ332" s="118" t="str">
        <f>IF(BJ$6="","",IF(BJ$3="Maior",IFERROR(IF(VLOOKUP($N332,Capa!$A:$AE,BJ$5,0)="",0,VLOOKUP($N332,Capa!$A:$AE,BJ$5,0)),0),IF(ISERROR(1/VLOOKUP($N332,Capa!$A:$AE,BJ$5,0)),0,1/VLOOKUP($N332,Capa!$A:$AE,BJ$5,0))))</f>
        <v/>
      </c>
      <c r="BK332" s="118" t="str">
        <f>IF(BK$6="","",IF(BK$3="Maior",IFERROR(IF(VLOOKUP($N332,Capa!$A:$AE,BK$5,0)="",0,VLOOKUP($N332,Capa!$A:$AE,BK$5,0)),0),IF(ISERROR(1/VLOOKUP($N332,Capa!$A:$AE,BK$5,0)),0,1/VLOOKUP($N332,Capa!$A:$AE,BK$5,0))))</f>
        <v/>
      </c>
      <c r="BL332" s="118" t="str">
        <f>IF(BL$6="","",IF(BL$3="Maior",IFERROR(IF(VLOOKUP($N332,Capa!$A:$AE,BL$5,0)="",0,VLOOKUP($N332,Capa!$A:$AE,BL$5,0)),0),IF(ISERROR(1/VLOOKUP($N332,Capa!$A:$AE,BL$5,0)),0,1/VLOOKUP($N332,Capa!$A:$AE,BL$5,0))))</f>
        <v/>
      </c>
      <c r="BM332" s="118" t="str">
        <f>IF(BM$6="","",IF(BM$3="Maior",IFERROR(IF(VLOOKUP($N332,Capa!$A:$AE,BM$5,0)="",0,VLOOKUP($N332,Capa!$A:$AE,BM$5,0)),0),IF(ISERROR(1/VLOOKUP($N332,Capa!$A:$AE,BM$5,0)),0,1/VLOOKUP($N332,Capa!$A:$AE,BM$5,0))))</f>
        <v/>
      </c>
      <c r="BN332" s="118" t="str">
        <f>IF(BN$6="","",IF(BN$3="Maior",IFERROR(IF(VLOOKUP($N332,Capa!$A:$AE,BN$5,0)="",0,VLOOKUP($N332,Capa!$A:$AE,BN$5,0)),0),IF(ISERROR(1/VLOOKUP($N332,Capa!$A:$AE,BN$5,0)),0,1/VLOOKUP($N332,Capa!$A:$AE,BN$5,0))))</f>
        <v/>
      </c>
      <c r="BO332" s="92"/>
    </row>
    <row r="333">
      <c r="G333" s="11"/>
      <c r="H333" s="11"/>
      <c r="I333" s="8"/>
      <c r="J333" s="132"/>
      <c r="K333" s="11"/>
      <c r="L333" s="11"/>
      <c r="M333" s="11"/>
      <c r="N333" s="10" t="s">
        <v>379</v>
      </c>
      <c r="O333" s="113">
        <f t="shared" si="8"/>
        <v>2072.0417</v>
      </c>
      <c r="P333" s="114">
        <f>VLOOKUP(N333,'Dados StatusInvest'!A:Z,26,0)</f>
        <v>233868</v>
      </c>
      <c r="Q333" s="115">
        <f t="shared" si="9"/>
        <v>417.0417</v>
      </c>
      <c r="R333" s="116">
        <f t="shared" ref="R333:AO333" si="336">IF(AQ333="","", RANK(AQ333,AQ$7:AQ$503,0))</f>
        <v>436</v>
      </c>
      <c r="S333" s="115">
        <f t="shared" si="336"/>
        <v>219</v>
      </c>
      <c r="T333" s="115" t="str">
        <f t="shared" si="336"/>
        <v/>
      </c>
      <c r="U333" s="115" t="str">
        <f t="shared" si="336"/>
        <v/>
      </c>
      <c r="V333" s="115" t="str">
        <f t="shared" si="336"/>
        <v/>
      </c>
      <c r="W333" s="115" t="str">
        <f t="shared" si="336"/>
        <v/>
      </c>
      <c r="X333" s="115" t="str">
        <f t="shared" si="336"/>
        <v/>
      </c>
      <c r="Y333" s="115" t="str">
        <f t="shared" si="336"/>
        <v/>
      </c>
      <c r="Z333" s="115" t="str">
        <f t="shared" si="336"/>
        <v/>
      </c>
      <c r="AA333" s="115" t="str">
        <f t="shared" si="336"/>
        <v/>
      </c>
      <c r="AB333" s="115" t="str">
        <f t="shared" si="336"/>
        <v/>
      </c>
      <c r="AC333" s="115" t="str">
        <f t="shared" si="336"/>
        <v/>
      </c>
      <c r="AD333" s="115" t="str">
        <f t="shared" si="336"/>
        <v/>
      </c>
      <c r="AE333" s="115" t="str">
        <f t="shared" si="336"/>
        <v/>
      </c>
      <c r="AF333" s="115" t="str">
        <f t="shared" si="336"/>
        <v/>
      </c>
      <c r="AG333" s="115" t="str">
        <f t="shared" si="336"/>
        <v/>
      </c>
      <c r="AH333" s="115" t="str">
        <f t="shared" si="336"/>
        <v/>
      </c>
      <c r="AI333" s="115" t="str">
        <f t="shared" si="336"/>
        <v/>
      </c>
      <c r="AJ333" s="115" t="str">
        <f t="shared" si="336"/>
        <v/>
      </c>
      <c r="AK333" s="115" t="str">
        <f t="shared" si="336"/>
        <v/>
      </c>
      <c r="AL333" s="115" t="str">
        <f t="shared" si="336"/>
        <v/>
      </c>
      <c r="AM333" s="115" t="str">
        <f t="shared" si="336"/>
        <v/>
      </c>
      <c r="AN333" s="115" t="str">
        <f t="shared" si="336"/>
        <v/>
      </c>
      <c r="AO333" s="115" t="str">
        <f t="shared" si="336"/>
        <v/>
      </c>
      <c r="AP333" s="117">
        <f>IF(AP$6="","",IF(AP$3="Maior",IFERROR(IF(VLOOKUP($N333,Capa!$A:$AE,AP$5,0)="",0,VLOOKUP($N333,Capa!$A:$AE,AP$5,0)),0),IF(ISERROR(1/VLOOKUP($N333,Capa!$A:$AE,AP$5,0)),0,1/VLOOKUP($N333,Capa!$A:$AE,AP$5,0))))</f>
        <v>-0.01162111298</v>
      </c>
      <c r="AQ333" s="118">
        <f>IF(AQ$6="","",IF(AQ$3="Maior",IFERROR(IF(VLOOKUP($N333,Capa!$A:$AE,AQ$5,0)="",0,VLOOKUP($N333,Capa!$A:$AE,AQ$5,0)),0),IF(ISERROR(1/VLOOKUP($N333,Capa!$A:$AE,AQ$5,0)),0,1/VLOOKUP($N333,Capa!$A:$AE,AQ$5,0))))</f>
        <v>-1.58</v>
      </c>
      <c r="AR333" s="118">
        <f>IF(AR$6="","",IF(AR$3="Maior",IFERROR(IF(VLOOKUP($N333,Capa!$A:$AE,AR$5,0)="",0,VLOOKUP($N333,Capa!$A:$AE,AR$5,0)),0),IF(ISERROR(1/VLOOKUP($N333,Capa!$A:$AE,AR$5,0)),0,1/VLOOKUP($N333,Capa!$A:$AE,AR$5,0))))</f>
        <v>0</v>
      </c>
      <c r="AS333" s="118" t="str">
        <f>IF(AS$6="","",IF(AS$3="Maior",IFERROR(IF(VLOOKUP($N333,Capa!$A:$AE,AS$5,0)="",0,VLOOKUP($N333,Capa!$A:$AE,AS$5,0)),0),IF(ISERROR(1/VLOOKUP($N333,Capa!$A:$AE,AS$5,0)),0,1/VLOOKUP($N333,Capa!$A:$AE,AS$5,0))))</f>
        <v/>
      </c>
      <c r="AT333" s="118" t="str">
        <f>IF(AT$6="","",IF(AT$3="Maior",IFERROR(IF(VLOOKUP($N333,Capa!$A:$AE,AT$5,0)="",0,VLOOKUP($N333,Capa!$A:$AE,AT$5,0)),0),IF(ISERROR(1/VLOOKUP($N333,Capa!$A:$AE,AT$5,0)),0,1/VLOOKUP($N333,Capa!$A:$AE,AT$5,0))))</f>
        <v/>
      </c>
      <c r="AU333" s="118" t="str">
        <f>IF(AU$6="","",IF(AU$3="Maior",IFERROR(IF(VLOOKUP($N333,Capa!$A:$AE,AU$5,0)="",0,VLOOKUP($N333,Capa!$A:$AE,AU$5,0)),0),IF(ISERROR(1/VLOOKUP($N333,Capa!$A:$AE,AU$5,0)),0,1/VLOOKUP($N333,Capa!$A:$AE,AU$5,0))))</f>
        <v/>
      </c>
      <c r="AV333" s="118" t="str">
        <f>IF(AV$6="","",IF(AV$3="Maior",IFERROR(IF(VLOOKUP($N333,Capa!$A:$AE,AV$5,0)="",0,VLOOKUP($N333,Capa!$A:$AE,AV$5,0)),0),IF(ISERROR(1/VLOOKUP($N333,Capa!$A:$AE,AV$5,0)),0,1/VLOOKUP($N333,Capa!$A:$AE,AV$5,0))))</f>
        <v/>
      </c>
      <c r="AW333" s="118" t="str">
        <f>IF(AW$6="","",IF(AW$3="Maior",IFERROR(IF(VLOOKUP($N333,Capa!$A:$AE,AW$5,0)="",0,VLOOKUP($N333,Capa!$A:$AE,AW$5,0)),0),IF(ISERROR(1/VLOOKUP($N333,Capa!$A:$AE,AW$5,0)),0,1/VLOOKUP($N333,Capa!$A:$AE,AW$5,0))))</f>
        <v/>
      </c>
      <c r="AX333" s="118" t="str">
        <f>IF(AX$6="","",IF(AX$3="Maior",IFERROR(IF(VLOOKUP($N333,Capa!$A:$AE,AX$5,0)="",0,VLOOKUP($N333,Capa!$A:$AE,AX$5,0)),0),IF(ISERROR(1/VLOOKUP($N333,Capa!$A:$AE,AX$5,0)),0,1/VLOOKUP($N333,Capa!$A:$AE,AX$5,0))))</f>
        <v/>
      </c>
      <c r="AY333" s="118" t="str">
        <f>IF(AY$6="","",IF(AY$3="Maior",IFERROR(IF(VLOOKUP($N333,Capa!$A:$AE,AY$5,0)="",0,VLOOKUP($N333,Capa!$A:$AE,AY$5,0)),0),IF(ISERROR(1/VLOOKUP($N333,Capa!$A:$AE,AY$5,0)),0,1/VLOOKUP($N333,Capa!$A:$AE,AY$5,0))))</f>
        <v/>
      </c>
      <c r="AZ333" s="118" t="str">
        <f>IF(AZ$6="","",IF(AZ$3="Maior",IFERROR(IF(VLOOKUP($N333,Capa!$A:$AE,AZ$5,0)="",0,VLOOKUP($N333,Capa!$A:$AE,AZ$5,0)),0),IF(ISERROR(1/VLOOKUP($N333,Capa!$A:$AE,AZ$5,0)),0,1/VLOOKUP($N333,Capa!$A:$AE,AZ$5,0))))</f>
        <v/>
      </c>
      <c r="BA333" s="118" t="str">
        <f>IF(BA$6="","",IF(BA$3="Maior",IFERROR(IF(VLOOKUP($N333,Capa!$A:$AE,BA$5,0)="",0,VLOOKUP($N333,Capa!$A:$AE,BA$5,0)),0),IF(ISERROR(1/VLOOKUP($N333,Capa!$A:$AE,BA$5,0)),0,1/VLOOKUP($N333,Capa!$A:$AE,BA$5,0))))</f>
        <v/>
      </c>
      <c r="BB333" s="118" t="str">
        <f>IF(BB$6="","",IF(BB$3="Maior",IFERROR(IF(VLOOKUP($N333,Capa!$A:$AE,BB$5,0)="",0,VLOOKUP($N333,Capa!$A:$AE,BB$5,0)),0),IF(ISERROR(1/VLOOKUP($N333,Capa!$A:$AE,BB$5,0)),0,1/VLOOKUP($N333,Capa!$A:$AE,BB$5,0))))</f>
        <v/>
      </c>
      <c r="BC333" s="118" t="str">
        <f>IF(BC$6="","",IF(BC$3="Maior",IFERROR(IF(VLOOKUP($N333,Capa!$A:$AE,BC$5,0)="",0,VLOOKUP($N333,Capa!$A:$AE,BC$5,0)),0),IF(ISERROR(1/VLOOKUP($N333,Capa!$A:$AE,BC$5,0)),0,1/VLOOKUP($N333,Capa!$A:$AE,BC$5,0))))</f>
        <v/>
      </c>
      <c r="BD333" s="118" t="str">
        <f>IF(BD$6="","",IF(BD$3="Maior",IFERROR(IF(VLOOKUP($N333,Capa!$A:$AE,BD$5,0)="",0,VLOOKUP($N333,Capa!$A:$AE,BD$5,0)),0),IF(ISERROR(1/VLOOKUP($N333,Capa!$A:$AE,BD$5,0)),0,1/VLOOKUP($N333,Capa!$A:$AE,BD$5,0))))</f>
        <v/>
      </c>
      <c r="BE333" s="118" t="str">
        <f>IF(BE$6="","",IF(BE$3="Maior",IFERROR(IF(VLOOKUP($N333,Capa!$A:$AE,BE$5,0)="",0,VLOOKUP($N333,Capa!$A:$AE,BE$5,0)),0),IF(ISERROR(1/VLOOKUP($N333,Capa!$A:$AE,BE$5,0)),0,1/VLOOKUP($N333,Capa!$A:$AE,BE$5,0))))</f>
        <v/>
      </c>
      <c r="BF333" s="118" t="str">
        <f>IF(BF$6="","",IF(BF$3="Maior",IFERROR(IF(VLOOKUP($N333,Capa!$A:$AE,BF$5,0)="",0,VLOOKUP($N333,Capa!$A:$AE,BF$5,0)),0),IF(ISERROR(1/VLOOKUP($N333,Capa!$A:$AE,BF$5,0)),0,1/VLOOKUP($N333,Capa!$A:$AE,BF$5,0))))</f>
        <v/>
      </c>
      <c r="BG333" s="118" t="str">
        <f>IF(BG$6="","",IF(BG$3="Maior",IFERROR(IF(VLOOKUP($N333,Capa!$A:$AE,BG$5,0)="",0,VLOOKUP($N333,Capa!$A:$AE,BG$5,0)),0),IF(ISERROR(1/VLOOKUP($N333,Capa!$A:$AE,BG$5,0)),0,1/VLOOKUP($N333,Capa!$A:$AE,BG$5,0))))</f>
        <v/>
      </c>
      <c r="BH333" s="118" t="str">
        <f>IF(BH$6="","",IF(BH$3="Maior",IFERROR(IF(VLOOKUP($N333,Capa!$A:$AE,BH$5,0)="",0,VLOOKUP($N333,Capa!$A:$AE,BH$5,0)),0),IF(ISERROR(1/VLOOKUP($N333,Capa!$A:$AE,BH$5,0)),0,1/VLOOKUP($N333,Capa!$A:$AE,BH$5,0))))</f>
        <v/>
      </c>
      <c r="BI333" s="118" t="str">
        <f>IF(BI$6="","",IF(BI$3="Maior",IFERROR(IF(VLOOKUP($N333,Capa!$A:$AE,BI$5,0)="",0,VLOOKUP($N333,Capa!$A:$AE,BI$5,0)),0),IF(ISERROR(1/VLOOKUP($N333,Capa!$A:$AE,BI$5,0)),0,1/VLOOKUP($N333,Capa!$A:$AE,BI$5,0))))</f>
        <v/>
      </c>
      <c r="BJ333" s="118" t="str">
        <f>IF(BJ$6="","",IF(BJ$3="Maior",IFERROR(IF(VLOOKUP($N333,Capa!$A:$AE,BJ$5,0)="",0,VLOOKUP($N333,Capa!$A:$AE,BJ$5,0)),0),IF(ISERROR(1/VLOOKUP($N333,Capa!$A:$AE,BJ$5,0)),0,1/VLOOKUP($N333,Capa!$A:$AE,BJ$5,0))))</f>
        <v/>
      </c>
      <c r="BK333" s="118" t="str">
        <f>IF(BK$6="","",IF(BK$3="Maior",IFERROR(IF(VLOOKUP($N333,Capa!$A:$AE,BK$5,0)="",0,VLOOKUP($N333,Capa!$A:$AE,BK$5,0)),0),IF(ISERROR(1/VLOOKUP($N333,Capa!$A:$AE,BK$5,0)),0,1/VLOOKUP($N333,Capa!$A:$AE,BK$5,0))))</f>
        <v/>
      </c>
      <c r="BL333" s="118" t="str">
        <f>IF(BL$6="","",IF(BL$3="Maior",IFERROR(IF(VLOOKUP($N333,Capa!$A:$AE,BL$5,0)="",0,VLOOKUP($N333,Capa!$A:$AE,BL$5,0)),0),IF(ISERROR(1/VLOOKUP($N333,Capa!$A:$AE,BL$5,0)),0,1/VLOOKUP($N333,Capa!$A:$AE,BL$5,0))))</f>
        <v/>
      </c>
      <c r="BM333" s="118" t="str">
        <f>IF(BM$6="","",IF(BM$3="Maior",IFERROR(IF(VLOOKUP($N333,Capa!$A:$AE,BM$5,0)="",0,VLOOKUP($N333,Capa!$A:$AE,BM$5,0)),0),IF(ISERROR(1/VLOOKUP($N333,Capa!$A:$AE,BM$5,0)),0,1/VLOOKUP($N333,Capa!$A:$AE,BM$5,0))))</f>
        <v/>
      </c>
      <c r="BN333" s="118" t="str">
        <f>IF(BN$6="","",IF(BN$3="Maior",IFERROR(IF(VLOOKUP($N333,Capa!$A:$AE,BN$5,0)="",0,VLOOKUP($N333,Capa!$A:$AE,BN$5,0)),0),IF(ISERROR(1/VLOOKUP($N333,Capa!$A:$AE,BN$5,0)),0,1/VLOOKUP($N333,Capa!$A:$AE,BN$5,0))))</f>
        <v/>
      </c>
      <c r="BO333" s="92"/>
    </row>
    <row r="334">
      <c r="G334" s="11"/>
      <c r="H334" s="11"/>
      <c r="I334" s="8"/>
      <c r="J334" s="132"/>
      <c r="K334" s="11"/>
      <c r="L334" s="11"/>
      <c r="M334" s="11"/>
      <c r="N334" s="10" t="s">
        <v>380</v>
      </c>
      <c r="O334" s="113">
        <f t="shared" si="8"/>
        <v>1726.0297</v>
      </c>
      <c r="P334" s="114">
        <f>VLOOKUP(N334,'Dados StatusInvest'!A:Z,26,0)</f>
        <v>144462.92</v>
      </c>
      <c r="Q334" s="115">
        <f t="shared" si="9"/>
        <v>297.0297</v>
      </c>
      <c r="R334" s="116">
        <f t="shared" ref="R334:AO334" si="337">IF(AQ334="","", RANK(AQ334,AQ$7:AQ$503,0))</f>
        <v>375</v>
      </c>
      <c r="S334" s="115">
        <f t="shared" si="337"/>
        <v>54</v>
      </c>
      <c r="T334" s="115" t="str">
        <f t="shared" si="337"/>
        <v/>
      </c>
      <c r="U334" s="115" t="str">
        <f t="shared" si="337"/>
        <v/>
      </c>
      <c r="V334" s="115" t="str">
        <f t="shared" si="337"/>
        <v/>
      </c>
      <c r="W334" s="115" t="str">
        <f t="shared" si="337"/>
        <v/>
      </c>
      <c r="X334" s="115" t="str">
        <f t="shared" si="337"/>
        <v/>
      </c>
      <c r="Y334" s="115" t="str">
        <f t="shared" si="337"/>
        <v/>
      </c>
      <c r="Z334" s="115" t="str">
        <f t="shared" si="337"/>
        <v/>
      </c>
      <c r="AA334" s="115" t="str">
        <f t="shared" si="337"/>
        <v/>
      </c>
      <c r="AB334" s="115" t="str">
        <f t="shared" si="337"/>
        <v/>
      </c>
      <c r="AC334" s="115" t="str">
        <f t="shared" si="337"/>
        <v/>
      </c>
      <c r="AD334" s="115" t="str">
        <f t="shared" si="337"/>
        <v/>
      </c>
      <c r="AE334" s="115" t="str">
        <f t="shared" si="337"/>
        <v/>
      </c>
      <c r="AF334" s="115" t="str">
        <f t="shared" si="337"/>
        <v/>
      </c>
      <c r="AG334" s="115" t="str">
        <f t="shared" si="337"/>
        <v/>
      </c>
      <c r="AH334" s="115" t="str">
        <f t="shared" si="337"/>
        <v/>
      </c>
      <c r="AI334" s="115" t="str">
        <f t="shared" si="337"/>
        <v/>
      </c>
      <c r="AJ334" s="115" t="str">
        <f t="shared" si="337"/>
        <v/>
      </c>
      <c r="AK334" s="115" t="str">
        <f t="shared" si="337"/>
        <v/>
      </c>
      <c r="AL334" s="115" t="str">
        <f t="shared" si="337"/>
        <v/>
      </c>
      <c r="AM334" s="115" t="str">
        <f t="shared" si="337"/>
        <v/>
      </c>
      <c r="AN334" s="115" t="str">
        <f t="shared" si="337"/>
        <v/>
      </c>
      <c r="AO334" s="115" t="str">
        <f t="shared" si="337"/>
        <v/>
      </c>
      <c r="AP334" s="117">
        <f>IF(AP$6="","",IF(AP$3="Maior",IFERROR(IF(VLOOKUP($N334,Capa!$A:$AE,AP$5,0)="",0,VLOOKUP($N334,Capa!$A:$AE,AP$5,0)),0),IF(ISERROR(1/VLOOKUP($N334,Capa!$A:$AE,AP$5,0)),0,1/VLOOKUP($N334,Capa!$A:$AE,AP$5,0))))</f>
        <v>0.0561886534</v>
      </c>
      <c r="AQ334" s="118">
        <f>IF(AQ$6="","",IF(AQ$3="Maior",IFERROR(IF(VLOOKUP($N334,Capa!$A:$AE,AQ$5,0)="",0,VLOOKUP($N334,Capa!$A:$AE,AQ$5,0)),0),IF(ISERROR(1/VLOOKUP($N334,Capa!$A:$AE,AQ$5,0)),0,1/VLOOKUP($N334,Capa!$A:$AE,AQ$5,0))))</f>
        <v>0</v>
      </c>
      <c r="AR334" s="118">
        <f>IF(AR$6="","",IF(AR$3="Maior",IFERROR(IF(VLOOKUP($N334,Capa!$A:$AE,AR$5,0)="",0,VLOOKUP($N334,Capa!$A:$AE,AR$5,0)),0),IF(ISERROR(1/VLOOKUP($N334,Capa!$A:$AE,AR$5,0)),0,1/VLOOKUP($N334,Capa!$A:$AE,AR$5,0))))</f>
        <v>45.84</v>
      </c>
      <c r="AS334" s="118" t="str">
        <f>IF(AS$6="","",IF(AS$3="Maior",IFERROR(IF(VLOOKUP($N334,Capa!$A:$AE,AS$5,0)="",0,VLOOKUP($N334,Capa!$A:$AE,AS$5,0)),0),IF(ISERROR(1/VLOOKUP($N334,Capa!$A:$AE,AS$5,0)),0,1/VLOOKUP($N334,Capa!$A:$AE,AS$5,0))))</f>
        <v/>
      </c>
      <c r="AT334" s="118" t="str">
        <f>IF(AT$6="","",IF(AT$3="Maior",IFERROR(IF(VLOOKUP($N334,Capa!$A:$AE,AT$5,0)="",0,VLOOKUP($N334,Capa!$A:$AE,AT$5,0)),0),IF(ISERROR(1/VLOOKUP($N334,Capa!$A:$AE,AT$5,0)),0,1/VLOOKUP($N334,Capa!$A:$AE,AT$5,0))))</f>
        <v/>
      </c>
      <c r="AU334" s="118" t="str">
        <f>IF(AU$6="","",IF(AU$3="Maior",IFERROR(IF(VLOOKUP($N334,Capa!$A:$AE,AU$5,0)="",0,VLOOKUP($N334,Capa!$A:$AE,AU$5,0)),0),IF(ISERROR(1/VLOOKUP($N334,Capa!$A:$AE,AU$5,0)),0,1/VLOOKUP($N334,Capa!$A:$AE,AU$5,0))))</f>
        <v/>
      </c>
      <c r="AV334" s="118" t="str">
        <f>IF(AV$6="","",IF(AV$3="Maior",IFERROR(IF(VLOOKUP($N334,Capa!$A:$AE,AV$5,0)="",0,VLOOKUP($N334,Capa!$A:$AE,AV$5,0)),0),IF(ISERROR(1/VLOOKUP($N334,Capa!$A:$AE,AV$5,0)),0,1/VLOOKUP($N334,Capa!$A:$AE,AV$5,0))))</f>
        <v/>
      </c>
      <c r="AW334" s="118" t="str">
        <f>IF(AW$6="","",IF(AW$3="Maior",IFERROR(IF(VLOOKUP($N334,Capa!$A:$AE,AW$5,0)="",0,VLOOKUP($N334,Capa!$A:$AE,AW$5,0)),0),IF(ISERROR(1/VLOOKUP($N334,Capa!$A:$AE,AW$5,0)),0,1/VLOOKUP($N334,Capa!$A:$AE,AW$5,0))))</f>
        <v/>
      </c>
      <c r="AX334" s="118" t="str">
        <f>IF(AX$6="","",IF(AX$3="Maior",IFERROR(IF(VLOOKUP($N334,Capa!$A:$AE,AX$5,0)="",0,VLOOKUP($N334,Capa!$A:$AE,AX$5,0)),0),IF(ISERROR(1/VLOOKUP($N334,Capa!$A:$AE,AX$5,0)),0,1/VLOOKUP($N334,Capa!$A:$AE,AX$5,0))))</f>
        <v/>
      </c>
      <c r="AY334" s="118" t="str">
        <f>IF(AY$6="","",IF(AY$3="Maior",IFERROR(IF(VLOOKUP($N334,Capa!$A:$AE,AY$5,0)="",0,VLOOKUP($N334,Capa!$A:$AE,AY$5,0)),0),IF(ISERROR(1/VLOOKUP($N334,Capa!$A:$AE,AY$5,0)),0,1/VLOOKUP($N334,Capa!$A:$AE,AY$5,0))))</f>
        <v/>
      </c>
      <c r="AZ334" s="118" t="str">
        <f>IF(AZ$6="","",IF(AZ$3="Maior",IFERROR(IF(VLOOKUP($N334,Capa!$A:$AE,AZ$5,0)="",0,VLOOKUP($N334,Capa!$A:$AE,AZ$5,0)),0),IF(ISERROR(1/VLOOKUP($N334,Capa!$A:$AE,AZ$5,0)),0,1/VLOOKUP($N334,Capa!$A:$AE,AZ$5,0))))</f>
        <v/>
      </c>
      <c r="BA334" s="118" t="str">
        <f>IF(BA$6="","",IF(BA$3="Maior",IFERROR(IF(VLOOKUP($N334,Capa!$A:$AE,BA$5,0)="",0,VLOOKUP($N334,Capa!$A:$AE,BA$5,0)),0),IF(ISERROR(1/VLOOKUP($N334,Capa!$A:$AE,BA$5,0)),0,1/VLOOKUP($N334,Capa!$A:$AE,BA$5,0))))</f>
        <v/>
      </c>
      <c r="BB334" s="118" t="str">
        <f>IF(BB$6="","",IF(BB$3="Maior",IFERROR(IF(VLOOKUP($N334,Capa!$A:$AE,BB$5,0)="",0,VLOOKUP($N334,Capa!$A:$AE,BB$5,0)),0),IF(ISERROR(1/VLOOKUP($N334,Capa!$A:$AE,BB$5,0)),0,1/VLOOKUP($N334,Capa!$A:$AE,BB$5,0))))</f>
        <v/>
      </c>
      <c r="BC334" s="118" t="str">
        <f>IF(BC$6="","",IF(BC$3="Maior",IFERROR(IF(VLOOKUP($N334,Capa!$A:$AE,BC$5,0)="",0,VLOOKUP($N334,Capa!$A:$AE,BC$5,0)),0),IF(ISERROR(1/VLOOKUP($N334,Capa!$A:$AE,BC$5,0)),0,1/VLOOKUP($N334,Capa!$A:$AE,BC$5,0))))</f>
        <v/>
      </c>
      <c r="BD334" s="118" t="str">
        <f>IF(BD$6="","",IF(BD$3="Maior",IFERROR(IF(VLOOKUP($N334,Capa!$A:$AE,BD$5,0)="",0,VLOOKUP($N334,Capa!$A:$AE,BD$5,0)),0),IF(ISERROR(1/VLOOKUP($N334,Capa!$A:$AE,BD$5,0)),0,1/VLOOKUP($N334,Capa!$A:$AE,BD$5,0))))</f>
        <v/>
      </c>
      <c r="BE334" s="118" t="str">
        <f>IF(BE$6="","",IF(BE$3="Maior",IFERROR(IF(VLOOKUP($N334,Capa!$A:$AE,BE$5,0)="",0,VLOOKUP($N334,Capa!$A:$AE,BE$5,0)),0),IF(ISERROR(1/VLOOKUP($N334,Capa!$A:$AE,BE$5,0)),0,1/VLOOKUP($N334,Capa!$A:$AE,BE$5,0))))</f>
        <v/>
      </c>
      <c r="BF334" s="118" t="str">
        <f>IF(BF$6="","",IF(BF$3="Maior",IFERROR(IF(VLOOKUP($N334,Capa!$A:$AE,BF$5,0)="",0,VLOOKUP($N334,Capa!$A:$AE,BF$5,0)),0),IF(ISERROR(1/VLOOKUP($N334,Capa!$A:$AE,BF$5,0)),0,1/VLOOKUP($N334,Capa!$A:$AE,BF$5,0))))</f>
        <v/>
      </c>
      <c r="BG334" s="118" t="str">
        <f>IF(BG$6="","",IF(BG$3="Maior",IFERROR(IF(VLOOKUP($N334,Capa!$A:$AE,BG$5,0)="",0,VLOOKUP($N334,Capa!$A:$AE,BG$5,0)),0),IF(ISERROR(1/VLOOKUP($N334,Capa!$A:$AE,BG$5,0)),0,1/VLOOKUP($N334,Capa!$A:$AE,BG$5,0))))</f>
        <v/>
      </c>
      <c r="BH334" s="118" t="str">
        <f>IF(BH$6="","",IF(BH$3="Maior",IFERROR(IF(VLOOKUP($N334,Capa!$A:$AE,BH$5,0)="",0,VLOOKUP($N334,Capa!$A:$AE,BH$5,0)),0),IF(ISERROR(1/VLOOKUP($N334,Capa!$A:$AE,BH$5,0)),0,1/VLOOKUP($N334,Capa!$A:$AE,BH$5,0))))</f>
        <v/>
      </c>
      <c r="BI334" s="118" t="str">
        <f>IF(BI$6="","",IF(BI$3="Maior",IFERROR(IF(VLOOKUP($N334,Capa!$A:$AE,BI$5,0)="",0,VLOOKUP($N334,Capa!$A:$AE,BI$5,0)),0),IF(ISERROR(1/VLOOKUP($N334,Capa!$A:$AE,BI$5,0)),0,1/VLOOKUP($N334,Capa!$A:$AE,BI$5,0))))</f>
        <v/>
      </c>
      <c r="BJ334" s="118" t="str">
        <f>IF(BJ$6="","",IF(BJ$3="Maior",IFERROR(IF(VLOOKUP($N334,Capa!$A:$AE,BJ$5,0)="",0,VLOOKUP($N334,Capa!$A:$AE,BJ$5,0)),0),IF(ISERROR(1/VLOOKUP($N334,Capa!$A:$AE,BJ$5,0)),0,1/VLOOKUP($N334,Capa!$A:$AE,BJ$5,0))))</f>
        <v/>
      </c>
      <c r="BK334" s="118" t="str">
        <f>IF(BK$6="","",IF(BK$3="Maior",IFERROR(IF(VLOOKUP($N334,Capa!$A:$AE,BK$5,0)="",0,VLOOKUP($N334,Capa!$A:$AE,BK$5,0)),0),IF(ISERROR(1/VLOOKUP($N334,Capa!$A:$AE,BK$5,0)),0,1/VLOOKUP($N334,Capa!$A:$AE,BK$5,0))))</f>
        <v/>
      </c>
      <c r="BL334" s="118" t="str">
        <f>IF(BL$6="","",IF(BL$3="Maior",IFERROR(IF(VLOOKUP($N334,Capa!$A:$AE,BL$5,0)="",0,VLOOKUP($N334,Capa!$A:$AE,BL$5,0)),0),IF(ISERROR(1/VLOOKUP($N334,Capa!$A:$AE,BL$5,0)),0,1/VLOOKUP($N334,Capa!$A:$AE,BL$5,0))))</f>
        <v/>
      </c>
      <c r="BM334" s="118" t="str">
        <f>IF(BM$6="","",IF(BM$3="Maior",IFERROR(IF(VLOOKUP($N334,Capa!$A:$AE,BM$5,0)="",0,VLOOKUP($N334,Capa!$A:$AE,BM$5,0)),0),IF(ISERROR(1/VLOOKUP($N334,Capa!$A:$AE,BM$5,0)),0,1/VLOOKUP($N334,Capa!$A:$AE,BM$5,0))))</f>
        <v/>
      </c>
      <c r="BN334" s="118" t="str">
        <f>IF(BN$6="","",IF(BN$3="Maior",IFERROR(IF(VLOOKUP($N334,Capa!$A:$AE,BN$5,0)="",0,VLOOKUP($N334,Capa!$A:$AE,BN$5,0)),0),IF(ISERROR(1/VLOOKUP($N334,Capa!$A:$AE,BN$5,0)),0,1/VLOOKUP($N334,Capa!$A:$AE,BN$5,0))))</f>
        <v/>
      </c>
      <c r="BO334" s="92"/>
    </row>
    <row r="335">
      <c r="G335" s="11"/>
      <c r="H335" s="11"/>
      <c r="I335" s="8"/>
      <c r="J335" s="132"/>
      <c r="K335" s="11"/>
      <c r="L335" s="11"/>
      <c r="M335" s="11"/>
      <c r="N335" s="10" t="s">
        <v>381</v>
      </c>
      <c r="O335" s="113">
        <f t="shared" si="8"/>
        <v>1722.0007</v>
      </c>
      <c r="P335" s="114">
        <f>VLOOKUP(N335,'Dados StatusInvest'!A:Z,26,0)</f>
        <v>161386.79</v>
      </c>
      <c r="Q335" s="115">
        <f t="shared" si="9"/>
        <v>7.0007</v>
      </c>
      <c r="R335" s="116">
        <f t="shared" ref="R335:AO335" si="338">IF(AQ335="","", RANK(AQ335,AQ$7:AQ$503,0))</f>
        <v>496</v>
      </c>
      <c r="S335" s="115">
        <f t="shared" si="338"/>
        <v>219</v>
      </c>
      <c r="T335" s="115" t="str">
        <f t="shared" si="338"/>
        <v/>
      </c>
      <c r="U335" s="115" t="str">
        <f t="shared" si="338"/>
        <v/>
      </c>
      <c r="V335" s="115" t="str">
        <f t="shared" si="338"/>
        <v/>
      </c>
      <c r="W335" s="115" t="str">
        <f t="shared" si="338"/>
        <v/>
      </c>
      <c r="X335" s="115" t="str">
        <f t="shared" si="338"/>
        <v/>
      </c>
      <c r="Y335" s="115" t="str">
        <f t="shared" si="338"/>
        <v/>
      </c>
      <c r="Z335" s="115" t="str">
        <f t="shared" si="338"/>
        <v/>
      </c>
      <c r="AA335" s="115" t="str">
        <f t="shared" si="338"/>
        <v/>
      </c>
      <c r="AB335" s="115" t="str">
        <f t="shared" si="338"/>
        <v/>
      </c>
      <c r="AC335" s="115" t="str">
        <f t="shared" si="338"/>
        <v/>
      </c>
      <c r="AD335" s="115" t="str">
        <f t="shared" si="338"/>
        <v/>
      </c>
      <c r="AE335" s="115" t="str">
        <f t="shared" si="338"/>
        <v/>
      </c>
      <c r="AF335" s="115" t="str">
        <f t="shared" si="338"/>
        <v/>
      </c>
      <c r="AG335" s="115" t="str">
        <f t="shared" si="338"/>
        <v/>
      </c>
      <c r="AH335" s="115" t="str">
        <f t="shared" si="338"/>
        <v/>
      </c>
      <c r="AI335" s="115" t="str">
        <f t="shared" si="338"/>
        <v/>
      </c>
      <c r="AJ335" s="115" t="str">
        <f t="shared" si="338"/>
        <v/>
      </c>
      <c r="AK335" s="115" t="str">
        <f t="shared" si="338"/>
        <v/>
      </c>
      <c r="AL335" s="115" t="str">
        <f t="shared" si="338"/>
        <v/>
      </c>
      <c r="AM335" s="115" t="str">
        <f t="shared" si="338"/>
        <v/>
      </c>
      <c r="AN335" s="115" t="str">
        <f t="shared" si="338"/>
        <v/>
      </c>
      <c r="AO335" s="115" t="str">
        <f t="shared" si="338"/>
        <v/>
      </c>
      <c r="AP335" s="117">
        <f>IF(AP$6="","",IF(AP$3="Maior",IFERROR(IF(VLOOKUP($N335,Capa!$A:$AE,AP$5,0)="",0,VLOOKUP($N335,Capa!$A:$AE,AP$5,0)),0),IF(ISERROR(1/VLOOKUP($N335,Capa!$A:$AE,AP$5,0)),0,1/VLOOKUP($N335,Capa!$A:$AE,AP$5,0))))</f>
        <v>0.8870147521</v>
      </c>
      <c r="AQ335" s="118">
        <f>IF(AQ$6="","",IF(AQ$3="Maior",IFERROR(IF(VLOOKUP($N335,Capa!$A:$AE,AQ$5,0)="",0,VLOOKUP($N335,Capa!$A:$AE,AQ$5,0)),0),IF(ISERROR(1/VLOOKUP($N335,Capa!$A:$AE,AQ$5,0)),0,1/VLOOKUP($N335,Capa!$A:$AE,AQ$5,0))))</f>
        <v>-3731.67</v>
      </c>
      <c r="AR335" s="118">
        <f>IF(AR$6="","",IF(AR$3="Maior",IFERROR(IF(VLOOKUP($N335,Capa!$A:$AE,AR$5,0)="",0,VLOOKUP($N335,Capa!$A:$AE,AR$5,0)),0),IF(ISERROR(1/VLOOKUP($N335,Capa!$A:$AE,AR$5,0)),0,1/VLOOKUP($N335,Capa!$A:$AE,AR$5,0))))</f>
        <v>0</v>
      </c>
      <c r="AS335" s="118" t="str">
        <f>IF(AS$6="","",IF(AS$3="Maior",IFERROR(IF(VLOOKUP($N335,Capa!$A:$AE,AS$5,0)="",0,VLOOKUP($N335,Capa!$A:$AE,AS$5,0)),0),IF(ISERROR(1/VLOOKUP($N335,Capa!$A:$AE,AS$5,0)),0,1/VLOOKUP($N335,Capa!$A:$AE,AS$5,0))))</f>
        <v/>
      </c>
      <c r="AT335" s="118" t="str">
        <f>IF(AT$6="","",IF(AT$3="Maior",IFERROR(IF(VLOOKUP($N335,Capa!$A:$AE,AT$5,0)="",0,VLOOKUP($N335,Capa!$A:$AE,AT$5,0)),0),IF(ISERROR(1/VLOOKUP($N335,Capa!$A:$AE,AT$5,0)),0,1/VLOOKUP($N335,Capa!$A:$AE,AT$5,0))))</f>
        <v/>
      </c>
      <c r="AU335" s="118" t="str">
        <f>IF(AU$6="","",IF(AU$3="Maior",IFERROR(IF(VLOOKUP($N335,Capa!$A:$AE,AU$5,0)="",0,VLOOKUP($N335,Capa!$A:$AE,AU$5,0)),0),IF(ISERROR(1/VLOOKUP($N335,Capa!$A:$AE,AU$5,0)),0,1/VLOOKUP($N335,Capa!$A:$AE,AU$5,0))))</f>
        <v/>
      </c>
      <c r="AV335" s="118" t="str">
        <f>IF(AV$6="","",IF(AV$3="Maior",IFERROR(IF(VLOOKUP($N335,Capa!$A:$AE,AV$5,0)="",0,VLOOKUP($N335,Capa!$A:$AE,AV$5,0)),0),IF(ISERROR(1/VLOOKUP($N335,Capa!$A:$AE,AV$5,0)),0,1/VLOOKUP($N335,Capa!$A:$AE,AV$5,0))))</f>
        <v/>
      </c>
      <c r="AW335" s="118" t="str">
        <f>IF(AW$6="","",IF(AW$3="Maior",IFERROR(IF(VLOOKUP($N335,Capa!$A:$AE,AW$5,0)="",0,VLOOKUP($N335,Capa!$A:$AE,AW$5,0)),0),IF(ISERROR(1/VLOOKUP($N335,Capa!$A:$AE,AW$5,0)),0,1/VLOOKUP($N335,Capa!$A:$AE,AW$5,0))))</f>
        <v/>
      </c>
      <c r="AX335" s="118" t="str">
        <f>IF(AX$6="","",IF(AX$3="Maior",IFERROR(IF(VLOOKUP($N335,Capa!$A:$AE,AX$5,0)="",0,VLOOKUP($N335,Capa!$A:$AE,AX$5,0)),0),IF(ISERROR(1/VLOOKUP($N335,Capa!$A:$AE,AX$5,0)),0,1/VLOOKUP($N335,Capa!$A:$AE,AX$5,0))))</f>
        <v/>
      </c>
      <c r="AY335" s="118" t="str">
        <f>IF(AY$6="","",IF(AY$3="Maior",IFERROR(IF(VLOOKUP($N335,Capa!$A:$AE,AY$5,0)="",0,VLOOKUP($N335,Capa!$A:$AE,AY$5,0)),0),IF(ISERROR(1/VLOOKUP($N335,Capa!$A:$AE,AY$5,0)),0,1/VLOOKUP($N335,Capa!$A:$AE,AY$5,0))))</f>
        <v/>
      </c>
      <c r="AZ335" s="118" t="str">
        <f>IF(AZ$6="","",IF(AZ$3="Maior",IFERROR(IF(VLOOKUP($N335,Capa!$A:$AE,AZ$5,0)="",0,VLOOKUP($N335,Capa!$A:$AE,AZ$5,0)),0),IF(ISERROR(1/VLOOKUP($N335,Capa!$A:$AE,AZ$5,0)),0,1/VLOOKUP($N335,Capa!$A:$AE,AZ$5,0))))</f>
        <v/>
      </c>
      <c r="BA335" s="118" t="str">
        <f>IF(BA$6="","",IF(BA$3="Maior",IFERROR(IF(VLOOKUP($N335,Capa!$A:$AE,BA$5,0)="",0,VLOOKUP($N335,Capa!$A:$AE,BA$5,0)),0),IF(ISERROR(1/VLOOKUP($N335,Capa!$A:$AE,BA$5,0)),0,1/VLOOKUP($N335,Capa!$A:$AE,BA$5,0))))</f>
        <v/>
      </c>
      <c r="BB335" s="118" t="str">
        <f>IF(BB$6="","",IF(BB$3="Maior",IFERROR(IF(VLOOKUP($N335,Capa!$A:$AE,BB$5,0)="",0,VLOOKUP($N335,Capa!$A:$AE,BB$5,0)),0),IF(ISERROR(1/VLOOKUP($N335,Capa!$A:$AE,BB$5,0)),0,1/VLOOKUP($N335,Capa!$A:$AE,BB$5,0))))</f>
        <v/>
      </c>
      <c r="BC335" s="118" t="str">
        <f>IF(BC$6="","",IF(BC$3="Maior",IFERROR(IF(VLOOKUP($N335,Capa!$A:$AE,BC$5,0)="",0,VLOOKUP($N335,Capa!$A:$AE,BC$5,0)),0),IF(ISERROR(1/VLOOKUP($N335,Capa!$A:$AE,BC$5,0)),0,1/VLOOKUP($N335,Capa!$A:$AE,BC$5,0))))</f>
        <v/>
      </c>
      <c r="BD335" s="118" t="str">
        <f>IF(BD$6="","",IF(BD$3="Maior",IFERROR(IF(VLOOKUP($N335,Capa!$A:$AE,BD$5,0)="",0,VLOOKUP($N335,Capa!$A:$AE,BD$5,0)),0),IF(ISERROR(1/VLOOKUP($N335,Capa!$A:$AE,BD$5,0)),0,1/VLOOKUP($N335,Capa!$A:$AE,BD$5,0))))</f>
        <v/>
      </c>
      <c r="BE335" s="118" t="str">
        <f>IF(BE$6="","",IF(BE$3="Maior",IFERROR(IF(VLOOKUP($N335,Capa!$A:$AE,BE$5,0)="",0,VLOOKUP($N335,Capa!$A:$AE,BE$5,0)),0),IF(ISERROR(1/VLOOKUP($N335,Capa!$A:$AE,BE$5,0)),0,1/VLOOKUP($N335,Capa!$A:$AE,BE$5,0))))</f>
        <v/>
      </c>
      <c r="BF335" s="118" t="str">
        <f>IF(BF$6="","",IF(BF$3="Maior",IFERROR(IF(VLOOKUP($N335,Capa!$A:$AE,BF$5,0)="",0,VLOOKUP($N335,Capa!$A:$AE,BF$5,0)),0),IF(ISERROR(1/VLOOKUP($N335,Capa!$A:$AE,BF$5,0)),0,1/VLOOKUP($N335,Capa!$A:$AE,BF$5,0))))</f>
        <v/>
      </c>
      <c r="BG335" s="118" t="str">
        <f>IF(BG$6="","",IF(BG$3="Maior",IFERROR(IF(VLOOKUP($N335,Capa!$A:$AE,BG$5,0)="",0,VLOOKUP($N335,Capa!$A:$AE,BG$5,0)),0),IF(ISERROR(1/VLOOKUP($N335,Capa!$A:$AE,BG$5,0)),0,1/VLOOKUP($N335,Capa!$A:$AE,BG$5,0))))</f>
        <v/>
      </c>
      <c r="BH335" s="118" t="str">
        <f>IF(BH$6="","",IF(BH$3="Maior",IFERROR(IF(VLOOKUP($N335,Capa!$A:$AE,BH$5,0)="",0,VLOOKUP($N335,Capa!$A:$AE,BH$5,0)),0),IF(ISERROR(1/VLOOKUP($N335,Capa!$A:$AE,BH$5,0)),0,1/VLOOKUP($N335,Capa!$A:$AE,BH$5,0))))</f>
        <v/>
      </c>
      <c r="BI335" s="118" t="str">
        <f>IF(BI$6="","",IF(BI$3="Maior",IFERROR(IF(VLOOKUP($N335,Capa!$A:$AE,BI$5,0)="",0,VLOOKUP($N335,Capa!$A:$AE,BI$5,0)),0),IF(ISERROR(1/VLOOKUP($N335,Capa!$A:$AE,BI$5,0)),0,1/VLOOKUP($N335,Capa!$A:$AE,BI$5,0))))</f>
        <v/>
      </c>
      <c r="BJ335" s="118" t="str">
        <f>IF(BJ$6="","",IF(BJ$3="Maior",IFERROR(IF(VLOOKUP($N335,Capa!$A:$AE,BJ$5,0)="",0,VLOOKUP($N335,Capa!$A:$AE,BJ$5,0)),0),IF(ISERROR(1/VLOOKUP($N335,Capa!$A:$AE,BJ$5,0)),0,1/VLOOKUP($N335,Capa!$A:$AE,BJ$5,0))))</f>
        <v/>
      </c>
      <c r="BK335" s="118" t="str">
        <f>IF(BK$6="","",IF(BK$3="Maior",IFERROR(IF(VLOOKUP($N335,Capa!$A:$AE,BK$5,0)="",0,VLOOKUP($N335,Capa!$A:$AE,BK$5,0)),0),IF(ISERROR(1/VLOOKUP($N335,Capa!$A:$AE,BK$5,0)),0,1/VLOOKUP($N335,Capa!$A:$AE,BK$5,0))))</f>
        <v/>
      </c>
      <c r="BL335" s="118" t="str">
        <f>IF(BL$6="","",IF(BL$3="Maior",IFERROR(IF(VLOOKUP($N335,Capa!$A:$AE,BL$5,0)="",0,VLOOKUP($N335,Capa!$A:$AE,BL$5,0)),0),IF(ISERROR(1/VLOOKUP($N335,Capa!$A:$AE,BL$5,0)),0,1/VLOOKUP($N335,Capa!$A:$AE,BL$5,0))))</f>
        <v/>
      </c>
      <c r="BM335" s="118" t="str">
        <f>IF(BM$6="","",IF(BM$3="Maior",IFERROR(IF(VLOOKUP($N335,Capa!$A:$AE,BM$5,0)="",0,VLOOKUP($N335,Capa!$A:$AE,BM$5,0)),0),IF(ISERROR(1/VLOOKUP($N335,Capa!$A:$AE,BM$5,0)),0,1/VLOOKUP($N335,Capa!$A:$AE,BM$5,0))))</f>
        <v/>
      </c>
      <c r="BN335" s="118" t="str">
        <f>IF(BN$6="","",IF(BN$3="Maior",IFERROR(IF(VLOOKUP($N335,Capa!$A:$AE,BN$5,0)="",0,VLOOKUP($N335,Capa!$A:$AE,BN$5,0)),0),IF(ISERROR(1/VLOOKUP($N335,Capa!$A:$AE,BN$5,0)),0,1/VLOOKUP($N335,Capa!$A:$AE,BN$5,0))))</f>
        <v/>
      </c>
      <c r="BO335" s="92"/>
    </row>
    <row r="336">
      <c r="G336" s="11"/>
      <c r="H336" s="11"/>
      <c r="I336" s="8"/>
      <c r="J336" s="132"/>
      <c r="K336" s="11"/>
      <c r="L336" s="11"/>
      <c r="M336" s="11"/>
      <c r="N336" s="10" t="s">
        <v>382</v>
      </c>
      <c r="O336" s="113">
        <f t="shared" si="8"/>
        <v>1610.0026</v>
      </c>
      <c r="P336" s="114">
        <f>VLOOKUP(N336,'Dados StatusInvest'!A:Z,26,0)</f>
        <v>157721.96</v>
      </c>
      <c r="Q336" s="115">
        <f t="shared" si="9"/>
        <v>26.0026</v>
      </c>
      <c r="R336" s="116">
        <f t="shared" ref="R336:AO336" si="339">IF(AQ336="","", RANK(AQ336,AQ$7:AQ$503,0))</f>
        <v>480</v>
      </c>
      <c r="S336" s="115">
        <f t="shared" si="339"/>
        <v>104</v>
      </c>
      <c r="T336" s="115" t="str">
        <f t="shared" si="339"/>
        <v/>
      </c>
      <c r="U336" s="115" t="str">
        <f t="shared" si="339"/>
        <v/>
      </c>
      <c r="V336" s="115" t="str">
        <f t="shared" si="339"/>
        <v/>
      </c>
      <c r="W336" s="115" t="str">
        <f t="shared" si="339"/>
        <v/>
      </c>
      <c r="X336" s="115" t="str">
        <f t="shared" si="339"/>
        <v/>
      </c>
      <c r="Y336" s="115" t="str">
        <f t="shared" si="339"/>
        <v/>
      </c>
      <c r="Z336" s="115" t="str">
        <f t="shared" si="339"/>
        <v/>
      </c>
      <c r="AA336" s="115" t="str">
        <f t="shared" si="339"/>
        <v/>
      </c>
      <c r="AB336" s="115" t="str">
        <f t="shared" si="339"/>
        <v/>
      </c>
      <c r="AC336" s="115" t="str">
        <f t="shared" si="339"/>
        <v/>
      </c>
      <c r="AD336" s="115" t="str">
        <f t="shared" si="339"/>
        <v/>
      </c>
      <c r="AE336" s="115" t="str">
        <f t="shared" si="339"/>
        <v/>
      </c>
      <c r="AF336" s="115" t="str">
        <f t="shared" si="339"/>
        <v/>
      </c>
      <c r="AG336" s="115" t="str">
        <f t="shared" si="339"/>
        <v/>
      </c>
      <c r="AH336" s="115" t="str">
        <f t="shared" si="339"/>
        <v/>
      </c>
      <c r="AI336" s="115" t="str">
        <f t="shared" si="339"/>
        <v/>
      </c>
      <c r="AJ336" s="115" t="str">
        <f t="shared" si="339"/>
        <v/>
      </c>
      <c r="AK336" s="115" t="str">
        <f t="shared" si="339"/>
        <v/>
      </c>
      <c r="AL336" s="115" t="str">
        <f t="shared" si="339"/>
        <v/>
      </c>
      <c r="AM336" s="115" t="str">
        <f t="shared" si="339"/>
        <v/>
      </c>
      <c r="AN336" s="115" t="str">
        <f t="shared" si="339"/>
        <v/>
      </c>
      <c r="AO336" s="115" t="str">
        <f t="shared" si="339"/>
        <v/>
      </c>
      <c r="AP336" s="117">
        <f>IF(AP$6="","",IF(AP$3="Maior",IFERROR(IF(VLOOKUP($N336,Capa!$A:$AE,AP$5,0)="",0,VLOOKUP($N336,Capa!$A:$AE,AP$5,0)),0),IF(ISERROR(1/VLOOKUP($N336,Capa!$A:$AE,AP$5,0)),0,1/VLOOKUP($N336,Capa!$A:$AE,AP$5,0))))</f>
        <v>0.3605102607</v>
      </c>
      <c r="AQ336" s="118">
        <f>IF(AQ$6="","",IF(AQ$3="Maior",IFERROR(IF(VLOOKUP($N336,Capa!$A:$AE,AQ$5,0)="",0,VLOOKUP($N336,Capa!$A:$AE,AQ$5,0)),0),IF(ISERROR(1/VLOOKUP($N336,Capa!$A:$AE,AQ$5,0)),0,1/VLOOKUP($N336,Capa!$A:$AE,AQ$5,0))))</f>
        <v>-29.65</v>
      </c>
      <c r="AR336" s="118">
        <f>IF(AR$6="","",IF(AR$3="Maior",IFERROR(IF(VLOOKUP($N336,Capa!$A:$AE,AR$5,0)="",0,VLOOKUP($N336,Capa!$A:$AE,AR$5,0)),0),IF(ISERROR(1/VLOOKUP($N336,Capa!$A:$AE,AR$5,0)),0,1/VLOOKUP($N336,Capa!$A:$AE,AR$5,0))))</f>
        <v>25.47</v>
      </c>
      <c r="AS336" s="118" t="str">
        <f>IF(AS$6="","",IF(AS$3="Maior",IFERROR(IF(VLOOKUP($N336,Capa!$A:$AE,AS$5,0)="",0,VLOOKUP($N336,Capa!$A:$AE,AS$5,0)),0),IF(ISERROR(1/VLOOKUP($N336,Capa!$A:$AE,AS$5,0)),0,1/VLOOKUP($N336,Capa!$A:$AE,AS$5,0))))</f>
        <v/>
      </c>
      <c r="AT336" s="118" t="str">
        <f>IF(AT$6="","",IF(AT$3="Maior",IFERROR(IF(VLOOKUP($N336,Capa!$A:$AE,AT$5,0)="",0,VLOOKUP($N336,Capa!$A:$AE,AT$5,0)),0),IF(ISERROR(1/VLOOKUP($N336,Capa!$A:$AE,AT$5,0)),0,1/VLOOKUP($N336,Capa!$A:$AE,AT$5,0))))</f>
        <v/>
      </c>
      <c r="AU336" s="118" t="str">
        <f>IF(AU$6="","",IF(AU$3="Maior",IFERROR(IF(VLOOKUP($N336,Capa!$A:$AE,AU$5,0)="",0,VLOOKUP($N336,Capa!$A:$AE,AU$5,0)),0),IF(ISERROR(1/VLOOKUP($N336,Capa!$A:$AE,AU$5,0)),0,1/VLOOKUP($N336,Capa!$A:$AE,AU$5,0))))</f>
        <v/>
      </c>
      <c r="AV336" s="118" t="str">
        <f>IF(AV$6="","",IF(AV$3="Maior",IFERROR(IF(VLOOKUP($N336,Capa!$A:$AE,AV$5,0)="",0,VLOOKUP($N336,Capa!$A:$AE,AV$5,0)),0),IF(ISERROR(1/VLOOKUP($N336,Capa!$A:$AE,AV$5,0)),0,1/VLOOKUP($N336,Capa!$A:$AE,AV$5,0))))</f>
        <v/>
      </c>
      <c r="AW336" s="118" t="str">
        <f>IF(AW$6="","",IF(AW$3="Maior",IFERROR(IF(VLOOKUP($N336,Capa!$A:$AE,AW$5,0)="",0,VLOOKUP($N336,Capa!$A:$AE,AW$5,0)),0),IF(ISERROR(1/VLOOKUP($N336,Capa!$A:$AE,AW$5,0)),0,1/VLOOKUP($N336,Capa!$A:$AE,AW$5,0))))</f>
        <v/>
      </c>
      <c r="AX336" s="118" t="str">
        <f>IF(AX$6="","",IF(AX$3="Maior",IFERROR(IF(VLOOKUP($N336,Capa!$A:$AE,AX$5,0)="",0,VLOOKUP($N336,Capa!$A:$AE,AX$5,0)),0),IF(ISERROR(1/VLOOKUP($N336,Capa!$A:$AE,AX$5,0)),0,1/VLOOKUP($N336,Capa!$A:$AE,AX$5,0))))</f>
        <v/>
      </c>
      <c r="AY336" s="118" t="str">
        <f>IF(AY$6="","",IF(AY$3="Maior",IFERROR(IF(VLOOKUP($N336,Capa!$A:$AE,AY$5,0)="",0,VLOOKUP($N336,Capa!$A:$AE,AY$5,0)),0),IF(ISERROR(1/VLOOKUP($N336,Capa!$A:$AE,AY$5,0)),0,1/VLOOKUP($N336,Capa!$A:$AE,AY$5,0))))</f>
        <v/>
      </c>
      <c r="AZ336" s="118" t="str">
        <f>IF(AZ$6="","",IF(AZ$3="Maior",IFERROR(IF(VLOOKUP($N336,Capa!$A:$AE,AZ$5,0)="",0,VLOOKUP($N336,Capa!$A:$AE,AZ$5,0)),0),IF(ISERROR(1/VLOOKUP($N336,Capa!$A:$AE,AZ$5,0)),0,1/VLOOKUP($N336,Capa!$A:$AE,AZ$5,0))))</f>
        <v/>
      </c>
      <c r="BA336" s="118" t="str">
        <f>IF(BA$6="","",IF(BA$3="Maior",IFERROR(IF(VLOOKUP($N336,Capa!$A:$AE,BA$5,0)="",0,VLOOKUP($N336,Capa!$A:$AE,BA$5,0)),0),IF(ISERROR(1/VLOOKUP($N336,Capa!$A:$AE,BA$5,0)),0,1/VLOOKUP($N336,Capa!$A:$AE,BA$5,0))))</f>
        <v/>
      </c>
      <c r="BB336" s="118" t="str">
        <f>IF(BB$6="","",IF(BB$3="Maior",IFERROR(IF(VLOOKUP($N336,Capa!$A:$AE,BB$5,0)="",0,VLOOKUP($N336,Capa!$A:$AE,BB$5,0)),0),IF(ISERROR(1/VLOOKUP($N336,Capa!$A:$AE,BB$5,0)),0,1/VLOOKUP($N336,Capa!$A:$AE,BB$5,0))))</f>
        <v/>
      </c>
      <c r="BC336" s="118" t="str">
        <f>IF(BC$6="","",IF(BC$3="Maior",IFERROR(IF(VLOOKUP($N336,Capa!$A:$AE,BC$5,0)="",0,VLOOKUP($N336,Capa!$A:$AE,BC$5,0)),0),IF(ISERROR(1/VLOOKUP($N336,Capa!$A:$AE,BC$5,0)),0,1/VLOOKUP($N336,Capa!$A:$AE,BC$5,0))))</f>
        <v/>
      </c>
      <c r="BD336" s="118" t="str">
        <f>IF(BD$6="","",IF(BD$3="Maior",IFERROR(IF(VLOOKUP($N336,Capa!$A:$AE,BD$5,0)="",0,VLOOKUP($N336,Capa!$A:$AE,BD$5,0)),0),IF(ISERROR(1/VLOOKUP($N336,Capa!$A:$AE,BD$5,0)),0,1/VLOOKUP($N336,Capa!$A:$AE,BD$5,0))))</f>
        <v/>
      </c>
      <c r="BE336" s="118" t="str">
        <f>IF(BE$6="","",IF(BE$3="Maior",IFERROR(IF(VLOOKUP($N336,Capa!$A:$AE,BE$5,0)="",0,VLOOKUP($N336,Capa!$A:$AE,BE$5,0)),0),IF(ISERROR(1/VLOOKUP($N336,Capa!$A:$AE,BE$5,0)),0,1/VLOOKUP($N336,Capa!$A:$AE,BE$5,0))))</f>
        <v/>
      </c>
      <c r="BF336" s="118" t="str">
        <f>IF(BF$6="","",IF(BF$3="Maior",IFERROR(IF(VLOOKUP($N336,Capa!$A:$AE,BF$5,0)="",0,VLOOKUP($N336,Capa!$A:$AE,BF$5,0)),0),IF(ISERROR(1/VLOOKUP($N336,Capa!$A:$AE,BF$5,0)),0,1/VLOOKUP($N336,Capa!$A:$AE,BF$5,0))))</f>
        <v/>
      </c>
      <c r="BG336" s="118" t="str">
        <f>IF(BG$6="","",IF(BG$3="Maior",IFERROR(IF(VLOOKUP($N336,Capa!$A:$AE,BG$5,0)="",0,VLOOKUP($N336,Capa!$A:$AE,BG$5,0)),0),IF(ISERROR(1/VLOOKUP($N336,Capa!$A:$AE,BG$5,0)),0,1/VLOOKUP($N336,Capa!$A:$AE,BG$5,0))))</f>
        <v/>
      </c>
      <c r="BH336" s="118" t="str">
        <f>IF(BH$6="","",IF(BH$3="Maior",IFERROR(IF(VLOOKUP($N336,Capa!$A:$AE,BH$5,0)="",0,VLOOKUP($N336,Capa!$A:$AE,BH$5,0)),0),IF(ISERROR(1/VLOOKUP($N336,Capa!$A:$AE,BH$5,0)),0,1/VLOOKUP($N336,Capa!$A:$AE,BH$5,0))))</f>
        <v/>
      </c>
      <c r="BI336" s="118" t="str">
        <f>IF(BI$6="","",IF(BI$3="Maior",IFERROR(IF(VLOOKUP($N336,Capa!$A:$AE,BI$5,0)="",0,VLOOKUP($N336,Capa!$A:$AE,BI$5,0)),0),IF(ISERROR(1/VLOOKUP($N336,Capa!$A:$AE,BI$5,0)),0,1/VLOOKUP($N336,Capa!$A:$AE,BI$5,0))))</f>
        <v/>
      </c>
      <c r="BJ336" s="118" t="str">
        <f>IF(BJ$6="","",IF(BJ$3="Maior",IFERROR(IF(VLOOKUP($N336,Capa!$A:$AE,BJ$5,0)="",0,VLOOKUP($N336,Capa!$A:$AE,BJ$5,0)),0),IF(ISERROR(1/VLOOKUP($N336,Capa!$A:$AE,BJ$5,0)),0,1/VLOOKUP($N336,Capa!$A:$AE,BJ$5,0))))</f>
        <v/>
      </c>
      <c r="BK336" s="118" t="str">
        <f>IF(BK$6="","",IF(BK$3="Maior",IFERROR(IF(VLOOKUP($N336,Capa!$A:$AE,BK$5,0)="",0,VLOOKUP($N336,Capa!$A:$AE,BK$5,0)),0),IF(ISERROR(1/VLOOKUP($N336,Capa!$A:$AE,BK$5,0)),0,1/VLOOKUP($N336,Capa!$A:$AE,BK$5,0))))</f>
        <v/>
      </c>
      <c r="BL336" s="118" t="str">
        <f>IF(BL$6="","",IF(BL$3="Maior",IFERROR(IF(VLOOKUP($N336,Capa!$A:$AE,BL$5,0)="",0,VLOOKUP($N336,Capa!$A:$AE,BL$5,0)),0),IF(ISERROR(1/VLOOKUP($N336,Capa!$A:$AE,BL$5,0)),0,1/VLOOKUP($N336,Capa!$A:$AE,BL$5,0))))</f>
        <v/>
      </c>
      <c r="BM336" s="118" t="str">
        <f>IF(BM$6="","",IF(BM$3="Maior",IFERROR(IF(VLOOKUP($N336,Capa!$A:$AE,BM$5,0)="",0,VLOOKUP($N336,Capa!$A:$AE,BM$5,0)),0),IF(ISERROR(1/VLOOKUP($N336,Capa!$A:$AE,BM$5,0)),0,1/VLOOKUP($N336,Capa!$A:$AE,BM$5,0))))</f>
        <v/>
      </c>
      <c r="BN336" s="118" t="str">
        <f>IF(BN$6="","",IF(BN$3="Maior",IFERROR(IF(VLOOKUP($N336,Capa!$A:$AE,BN$5,0)="",0,VLOOKUP($N336,Capa!$A:$AE,BN$5,0)),0),IF(ISERROR(1/VLOOKUP($N336,Capa!$A:$AE,BN$5,0)),0,1/VLOOKUP($N336,Capa!$A:$AE,BN$5,0))))</f>
        <v/>
      </c>
      <c r="BO336" s="92"/>
    </row>
    <row r="337">
      <c r="G337" s="11"/>
      <c r="H337" s="11"/>
      <c r="I337" s="8"/>
      <c r="J337" s="132"/>
      <c r="K337" s="11"/>
      <c r="L337" s="11"/>
      <c r="M337" s="11"/>
      <c r="N337" s="10" t="s">
        <v>383</v>
      </c>
      <c r="O337" s="113">
        <f t="shared" si="8"/>
        <v>1471.0192</v>
      </c>
      <c r="P337" s="114">
        <f>VLOOKUP(N337,'Dados StatusInvest'!A:Z,26,0)</f>
        <v>96723.06</v>
      </c>
      <c r="Q337" s="115">
        <f t="shared" si="9"/>
        <v>192.0192</v>
      </c>
      <c r="R337" s="116">
        <f t="shared" ref="R337:AO337" si="340">IF(AQ337="","", RANK(AQ337,AQ$7:AQ$503,0))</f>
        <v>60</v>
      </c>
      <c r="S337" s="115">
        <f t="shared" si="340"/>
        <v>219</v>
      </c>
      <c r="T337" s="115" t="str">
        <f t="shared" si="340"/>
        <v/>
      </c>
      <c r="U337" s="115" t="str">
        <f t="shared" si="340"/>
        <v/>
      </c>
      <c r="V337" s="115" t="str">
        <f t="shared" si="340"/>
        <v/>
      </c>
      <c r="W337" s="115" t="str">
        <f t="shared" si="340"/>
        <v/>
      </c>
      <c r="X337" s="115" t="str">
        <f t="shared" si="340"/>
        <v/>
      </c>
      <c r="Y337" s="115" t="str">
        <f t="shared" si="340"/>
        <v/>
      </c>
      <c r="Z337" s="115" t="str">
        <f t="shared" si="340"/>
        <v/>
      </c>
      <c r="AA337" s="115" t="str">
        <f t="shared" si="340"/>
        <v/>
      </c>
      <c r="AB337" s="115" t="str">
        <f t="shared" si="340"/>
        <v/>
      </c>
      <c r="AC337" s="115" t="str">
        <f t="shared" si="340"/>
        <v/>
      </c>
      <c r="AD337" s="115" t="str">
        <f t="shared" si="340"/>
        <v/>
      </c>
      <c r="AE337" s="115" t="str">
        <f t="shared" si="340"/>
        <v/>
      </c>
      <c r="AF337" s="115" t="str">
        <f t="shared" si="340"/>
        <v/>
      </c>
      <c r="AG337" s="115" t="str">
        <f t="shared" si="340"/>
        <v/>
      </c>
      <c r="AH337" s="115" t="str">
        <f t="shared" si="340"/>
        <v/>
      </c>
      <c r="AI337" s="115" t="str">
        <f t="shared" si="340"/>
        <v/>
      </c>
      <c r="AJ337" s="115" t="str">
        <f t="shared" si="340"/>
        <v/>
      </c>
      <c r="AK337" s="115" t="str">
        <f t="shared" si="340"/>
        <v/>
      </c>
      <c r="AL337" s="115" t="str">
        <f t="shared" si="340"/>
        <v/>
      </c>
      <c r="AM337" s="115" t="str">
        <f t="shared" si="340"/>
        <v/>
      </c>
      <c r="AN337" s="115" t="str">
        <f t="shared" si="340"/>
        <v/>
      </c>
      <c r="AO337" s="115" t="str">
        <f t="shared" si="340"/>
        <v/>
      </c>
      <c r="AP337" s="117">
        <f>IF(AP$6="","",IF(AP$3="Maior",IFERROR(IF(VLOOKUP($N337,Capa!$A:$AE,AP$5,0)="",0,VLOOKUP($N337,Capa!$A:$AE,AP$5,0)),0),IF(ISERROR(1/VLOOKUP($N337,Capa!$A:$AE,AP$5,0)),0,1/VLOOKUP($N337,Capa!$A:$AE,AP$5,0))))</f>
        <v>0.1113746492</v>
      </c>
      <c r="AQ337" s="118">
        <f>IF(AQ$6="","",IF(AQ$3="Maior",IFERROR(IF(VLOOKUP($N337,Capa!$A:$AE,AQ$5,0)="",0,VLOOKUP($N337,Capa!$A:$AE,AQ$5,0)),0),IF(ISERROR(1/VLOOKUP($N337,Capa!$A:$AE,AQ$5,0)),0,1/VLOOKUP($N337,Capa!$A:$AE,AQ$5,0))))</f>
        <v>23.94</v>
      </c>
      <c r="AR337" s="118">
        <f>IF(AR$6="","",IF(AR$3="Maior",IFERROR(IF(VLOOKUP($N337,Capa!$A:$AE,AR$5,0)="",0,VLOOKUP($N337,Capa!$A:$AE,AR$5,0)),0),IF(ISERROR(1/VLOOKUP($N337,Capa!$A:$AE,AR$5,0)),0,1/VLOOKUP($N337,Capa!$A:$AE,AR$5,0))))</f>
        <v>0</v>
      </c>
      <c r="AS337" s="118" t="str">
        <f>IF(AS$6="","",IF(AS$3="Maior",IFERROR(IF(VLOOKUP($N337,Capa!$A:$AE,AS$5,0)="",0,VLOOKUP($N337,Capa!$A:$AE,AS$5,0)),0),IF(ISERROR(1/VLOOKUP($N337,Capa!$A:$AE,AS$5,0)),0,1/VLOOKUP($N337,Capa!$A:$AE,AS$5,0))))</f>
        <v/>
      </c>
      <c r="AT337" s="118" t="str">
        <f>IF(AT$6="","",IF(AT$3="Maior",IFERROR(IF(VLOOKUP($N337,Capa!$A:$AE,AT$5,0)="",0,VLOOKUP($N337,Capa!$A:$AE,AT$5,0)),0),IF(ISERROR(1/VLOOKUP($N337,Capa!$A:$AE,AT$5,0)),0,1/VLOOKUP($N337,Capa!$A:$AE,AT$5,0))))</f>
        <v/>
      </c>
      <c r="AU337" s="118" t="str">
        <f>IF(AU$6="","",IF(AU$3="Maior",IFERROR(IF(VLOOKUP($N337,Capa!$A:$AE,AU$5,0)="",0,VLOOKUP($N337,Capa!$A:$AE,AU$5,0)),0),IF(ISERROR(1/VLOOKUP($N337,Capa!$A:$AE,AU$5,0)),0,1/VLOOKUP($N337,Capa!$A:$AE,AU$5,0))))</f>
        <v/>
      </c>
      <c r="AV337" s="118" t="str">
        <f>IF(AV$6="","",IF(AV$3="Maior",IFERROR(IF(VLOOKUP($N337,Capa!$A:$AE,AV$5,0)="",0,VLOOKUP($N337,Capa!$A:$AE,AV$5,0)),0),IF(ISERROR(1/VLOOKUP($N337,Capa!$A:$AE,AV$5,0)),0,1/VLOOKUP($N337,Capa!$A:$AE,AV$5,0))))</f>
        <v/>
      </c>
      <c r="AW337" s="118" t="str">
        <f>IF(AW$6="","",IF(AW$3="Maior",IFERROR(IF(VLOOKUP($N337,Capa!$A:$AE,AW$5,0)="",0,VLOOKUP($N337,Capa!$A:$AE,AW$5,0)),0),IF(ISERROR(1/VLOOKUP($N337,Capa!$A:$AE,AW$5,0)),0,1/VLOOKUP($N337,Capa!$A:$AE,AW$5,0))))</f>
        <v/>
      </c>
      <c r="AX337" s="118" t="str">
        <f>IF(AX$6="","",IF(AX$3="Maior",IFERROR(IF(VLOOKUP($N337,Capa!$A:$AE,AX$5,0)="",0,VLOOKUP($N337,Capa!$A:$AE,AX$5,0)),0),IF(ISERROR(1/VLOOKUP($N337,Capa!$A:$AE,AX$5,0)),0,1/VLOOKUP($N337,Capa!$A:$AE,AX$5,0))))</f>
        <v/>
      </c>
      <c r="AY337" s="118" t="str">
        <f>IF(AY$6="","",IF(AY$3="Maior",IFERROR(IF(VLOOKUP($N337,Capa!$A:$AE,AY$5,0)="",0,VLOOKUP($N337,Capa!$A:$AE,AY$5,0)),0),IF(ISERROR(1/VLOOKUP($N337,Capa!$A:$AE,AY$5,0)),0,1/VLOOKUP($N337,Capa!$A:$AE,AY$5,0))))</f>
        <v/>
      </c>
      <c r="AZ337" s="118" t="str">
        <f>IF(AZ$6="","",IF(AZ$3="Maior",IFERROR(IF(VLOOKUP($N337,Capa!$A:$AE,AZ$5,0)="",0,VLOOKUP($N337,Capa!$A:$AE,AZ$5,0)),0),IF(ISERROR(1/VLOOKUP($N337,Capa!$A:$AE,AZ$5,0)),0,1/VLOOKUP($N337,Capa!$A:$AE,AZ$5,0))))</f>
        <v/>
      </c>
      <c r="BA337" s="118" t="str">
        <f>IF(BA$6="","",IF(BA$3="Maior",IFERROR(IF(VLOOKUP($N337,Capa!$A:$AE,BA$5,0)="",0,VLOOKUP($N337,Capa!$A:$AE,BA$5,0)),0),IF(ISERROR(1/VLOOKUP($N337,Capa!$A:$AE,BA$5,0)),0,1/VLOOKUP($N337,Capa!$A:$AE,BA$5,0))))</f>
        <v/>
      </c>
      <c r="BB337" s="118" t="str">
        <f>IF(BB$6="","",IF(BB$3="Maior",IFERROR(IF(VLOOKUP($N337,Capa!$A:$AE,BB$5,0)="",0,VLOOKUP($N337,Capa!$A:$AE,BB$5,0)),0),IF(ISERROR(1/VLOOKUP($N337,Capa!$A:$AE,BB$5,0)),0,1/VLOOKUP($N337,Capa!$A:$AE,BB$5,0))))</f>
        <v/>
      </c>
      <c r="BC337" s="118" t="str">
        <f>IF(BC$6="","",IF(BC$3="Maior",IFERROR(IF(VLOOKUP($N337,Capa!$A:$AE,BC$5,0)="",0,VLOOKUP($N337,Capa!$A:$AE,BC$5,0)),0),IF(ISERROR(1/VLOOKUP($N337,Capa!$A:$AE,BC$5,0)),0,1/VLOOKUP($N337,Capa!$A:$AE,BC$5,0))))</f>
        <v/>
      </c>
      <c r="BD337" s="118" t="str">
        <f>IF(BD$6="","",IF(BD$3="Maior",IFERROR(IF(VLOOKUP($N337,Capa!$A:$AE,BD$5,0)="",0,VLOOKUP($N337,Capa!$A:$AE,BD$5,0)),0),IF(ISERROR(1/VLOOKUP($N337,Capa!$A:$AE,BD$5,0)),0,1/VLOOKUP($N337,Capa!$A:$AE,BD$5,0))))</f>
        <v/>
      </c>
      <c r="BE337" s="118" t="str">
        <f>IF(BE$6="","",IF(BE$3="Maior",IFERROR(IF(VLOOKUP($N337,Capa!$A:$AE,BE$5,0)="",0,VLOOKUP($N337,Capa!$A:$AE,BE$5,0)),0),IF(ISERROR(1/VLOOKUP($N337,Capa!$A:$AE,BE$5,0)),0,1/VLOOKUP($N337,Capa!$A:$AE,BE$5,0))))</f>
        <v/>
      </c>
      <c r="BF337" s="118" t="str">
        <f>IF(BF$6="","",IF(BF$3="Maior",IFERROR(IF(VLOOKUP($N337,Capa!$A:$AE,BF$5,0)="",0,VLOOKUP($N337,Capa!$A:$AE,BF$5,0)),0),IF(ISERROR(1/VLOOKUP($N337,Capa!$A:$AE,BF$5,0)),0,1/VLOOKUP($N337,Capa!$A:$AE,BF$5,0))))</f>
        <v/>
      </c>
      <c r="BG337" s="118" t="str">
        <f>IF(BG$6="","",IF(BG$3="Maior",IFERROR(IF(VLOOKUP($N337,Capa!$A:$AE,BG$5,0)="",0,VLOOKUP($N337,Capa!$A:$AE,BG$5,0)),0),IF(ISERROR(1/VLOOKUP($N337,Capa!$A:$AE,BG$5,0)),0,1/VLOOKUP($N337,Capa!$A:$AE,BG$5,0))))</f>
        <v/>
      </c>
      <c r="BH337" s="118" t="str">
        <f>IF(BH$6="","",IF(BH$3="Maior",IFERROR(IF(VLOOKUP($N337,Capa!$A:$AE,BH$5,0)="",0,VLOOKUP($N337,Capa!$A:$AE,BH$5,0)),0),IF(ISERROR(1/VLOOKUP($N337,Capa!$A:$AE,BH$5,0)),0,1/VLOOKUP($N337,Capa!$A:$AE,BH$5,0))))</f>
        <v/>
      </c>
      <c r="BI337" s="118" t="str">
        <f>IF(BI$6="","",IF(BI$3="Maior",IFERROR(IF(VLOOKUP($N337,Capa!$A:$AE,BI$5,0)="",0,VLOOKUP($N337,Capa!$A:$AE,BI$5,0)),0),IF(ISERROR(1/VLOOKUP($N337,Capa!$A:$AE,BI$5,0)),0,1/VLOOKUP($N337,Capa!$A:$AE,BI$5,0))))</f>
        <v/>
      </c>
      <c r="BJ337" s="118" t="str">
        <f>IF(BJ$6="","",IF(BJ$3="Maior",IFERROR(IF(VLOOKUP($N337,Capa!$A:$AE,BJ$5,0)="",0,VLOOKUP($N337,Capa!$A:$AE,BJ$5,0)),0),IF(ISERROR(1/VLOOKUP($N337,Capa!$A:$AE,BJ$5,0)),0,1/VLOOKUP($N337,Capa!$A:$AE,BJ$5,0))))</f>
        <v/>
      </c>
      <c r="BK337" s="118" t="str">
        <f>IF(BK$6="","",IF(BK$3="Maior",IFERROR(IF(VLOOKUP($N337,Capa!$A:$AE,BK$5,0)="",0,VLOOKUP($N337,Capa!$A:$AE,BK$5,0)),0),IF(ISERROR(1/VLOOKUP($N337,Capa!$A:$AE,BK$5,0)),0,1/VLOOKUP($N337,Capa!$A:$AE,BK$5,0))))</f>
        <v/>
      </c>
      <c r="BL337" s="118" t="str">
        <f>IF(BL$6="","",IF(BL$3="Maior",IFERROR(IF(VLOOKUP($N337,Capa!$A:$AE,BL$5,0)="",0,VLOOKUP($N337,Capa!$A:$AE,BL$5,0)),0),IF(ISERROR(1/VLOOKUP($N337,Capa!$A:$AE,BL$5,0)),0,1/VLOOKUP($N337,Capa!$A:$AE,BL$5,0))))</f>
        <v/>
      </c>
      <c r="BM337" s="118" t="str">
        <f>IF(BM$6="","",IF(BM$3="Maior",IFERROR(IF(VLOOKUP($N337,Capa!$A:$AE,BM$5,0)="",0,VLOOKUP($N337,Capa!$A:$AE,BM$5,0)),0),IF(ISERROR(1/VLOOKUP($N337,Capa!$A:$AE,BM$5,0)),0,1/VLOOKUP($N337,Capa!$A:$AE,BM$5,0))))</f>
        <v/>
      </c>
      <c r="BN337" s="118" t="str">
        <f>IF(BN$6="","",IF(BN$3="Maior",IFERROR(IF(VLOOKUP($N337,Capa!$A:$AE,BN$5,0)="",0,VLOOKUP($N337,Capa!$A:$AE,BN$5,0)),0),IF(ISERROR(1/VLOOKUP($N337,Capa!$A:$AE,BN$5,0)),0,1/VLOOKUP($N337,Capa!$A:$AE,BN$5,0))))</f>
        <v/>
      </c>
      <c r="BO337" s="92"/>
    </row>
    <row r="338">
      <c r="G338" s="11"/>
      <c r="H338" s="11"/>
      <c r="I338" s="8"/>
      <c r="J338" s="132"/>
      <c r="K338" s="11"/>
      <c r="L338" s="11"/>
      <c r="M338" s="11"/>
      <c r="N338" s="10" t="s">
        <v>384</v>
      </c>
      <c r="O338" s="113">
        <f t="shared" si="8"/>
        <v>2364.0424</v>
      </c>
      <c r="P338" s="114">
        <f>VLOOKUP(N338,'Dados StatusInvest'!A:Z,26,0)</f>
        <v>167076.75</v>
      </c>
      <c r="Q338" s="115">
        <f t="shared" si="9"/>
        <v>424.0424</v>
      </c>
      <c r="R338" s="116">
        <f t="shared" ref="R338:AO338" si="341">IF(AQ338="","", RANK(AQ338,AQ$7:AQ$503,0))</f>
        <v>448</v>
      </c>
      <c r="S338" s="115">
        <f t="shared" si="341"/>
        <v>492</v>
      </c>
      <c r="T338" s="115" t="str">
        <f t="shared" si="341"/>
        <v/>
      </c>
      <c r="U338" s="115" t="str">
        <f t="shared" si="341"/>
        <v/>
      </c>
      <c r="V338" s="115" t="str">
        <f t="shared" si="341"/>
        <v/>
      </c>
      <c r="W338" s="115" t="str">
        <f t="shared" si="341"/>
        <v/>
      </c>
      <c r="X338" s="115" t="str">
        <f t="shared" si="341"/>
        <v/>
      </c>
      <c r="Y338" s="115" t="str">
        <f t="shared" si="341"/>
        <v/>
      </c>
      <c r="Z338" s="115" t="str">
        <f t="shared" si="341"/>
        <v/>
      </c>
      <c r="AA338" s="115" t="str">
        <f t="shared" si="341"/>
        <v/>
      </c>
      <c r="AB338" s="115" t="str">
        <f t="shared" si="341"/>
        <v/>
      </c>
      <c r="AC338" s="115" t="str">
        <f t="shared" si="341"/>
        <v/>
      </c>
      <c r="AD338" s="115" t="str">
        <f t="shared" si="341"/>
        <v/>
      </c>
      <c r="AE338" s="115" t="str">
        <f t="shared" si="341"/>
        <v/>
      </c>
      <c r="AF338" s="115" t="str">
        <f t="shared" si="341"/>
        <v/>
      </c>
      <c r="AG338" s="115" t="str">
        <f t="shared" si="341"/>
        <v/>
      </c>
      <c r="AH338" s="115" t="str">
        <f t="shared" si="341"/>
        <v/>
      </c>
      <c r="AI338" s="115" t="str">
        <f t="shared" si="341"/>
        <v/>
      </c>
      <c r="AJ338" s="115" t="str">
        <f t="shared" si="341"/>
        <v/>
      </c>
      <c r="AK338" s="115" t="str">
        <f t="shared" si="341"/>
        <v/>
      </c>
      <c r="AL338" s="115" t="str">
        <f t="shared" si="341"/>
        <v/>
      </c>
      <c r="AM338" s="115" t="str">
        <f t="shared" si="341"/>
        <v/>
      </c>
      <c r="AN338" s="115" t="str">
        <f t="shared" si="341"/>
        <v/>
      </c>
      <c r="AO338" s="115" t="str">
        <f t="shared" si="341"/>
        <v/>
      </c>
      <c r="AP338" s="117">
        <f>IF(AP$6="","",IF(AP$3="Maior",IFERROR(IF(VLOOKUP($N338,Capa!$A:$AE,AP$5,0)="",0,VLOOKUP($N338,Capa!$A:$AE,AP$5,0)),0),IF(ISERROR(1/VLOOKUP($N338,Capa!$A:$AE,AP$5,0)),0,1/VLOOKUP($N338,Capa!$A:$AE,AP$5,0))))</f>
        <v>-0.03037436665</v>
      </c>
      <c r="AQ338" s="118">
        <f>IF(AQ$6="","",IF(AQ$3="Maior",IFERROR(IF(VLOOKUP($N338,Capa!$A:$AE,AQ$5,0)="",0,VLOOKUP($N338,Capa!$A:$AE,AQ$5,0)),0),IF(ISERROR(1/VLOOKUP($N338,Capa!$A:$AE,AQ$5,0)),0,1/VLOOKUP($N338,Capa!$A:$AE,AQ$5,0))))</f>
        <v>-5.69</v>
      </c>
      <c r="AR338" s="118">
        <f>IF(AR$6="","",IF(AR$3="Maior",IFERROR(IF(VLOOKUP($N338,Capa!$A:$AE,AR$5,0)="",0,VLOOKUP($N338,Capa!$A:$AE,AR$5,0)),0),IF(ISERROR(1/VLOOKUP($N338,Capa!$A:$AE,AR$5,0)),0,1/VLOOKUP($N338,Capa!$A:$AE,AR$5,0))))</f>
        <v>-18.42</v>
      </c>
      <c r="AS338" s="118" t="str">
        <f>IF(AS$6="","",IF(AS$3="Maior",IFERROR(IF(VLOOKUP($N338,Capa!$A:$AE,AS$5,0)="",0,VLOOKUP($N338,Capa!$A:$AE,AS$5,0)),0),IF(ISERROR(1/VLOOKUP($N338,Capa!$A:$AE,AS$5,0)),0,1/VLOOKUP($N338,Capa!$A:$AE,AS$5,0))))</f>
        <v/>
      </c>
      <c r="AT338" s="118" t="str">
        <f>IF(AT$6="","",IF(AT$3="Maior",IFERROR(IF(VLOOKUP($N338,Capa!$A:$AE,AT$5,0)="",0,VLOOKUP($N338,Capa!$A:$AE,AT$5,0)),0),IF(ISERROR(1/VLOOKUP($N338,Capa!$A:$AE,AT$5,0)),0,1/VLOOKUP($N338,Capa!$A:$AE,AT$5,0))))</f>
        <v/>
      </c>
      <c r="AU338" s="118" t="str">
        <f>IF(AU$6="","",IF(AU$3="Maior",IFERROR(IF(VLOOKUP($N338,Capa!$A:$AE,AU$5,0)="",0,VLOOKUP($N338,Capa!$A:$AE,AU$5,0)),0),IF(ISERROR(1/VLOOKUP($N338,Capa!$A:$AE,AU$5,0)),0,1/VLOOKUP($N338,Capa!$A:$AE,AU$5,0))))</f>
        <v/>
      </c>
      <c r="AV338" s="118" t="str">
        <f>IF(AV$6="","",IF(AV$3="Maior",IFERROR(IF(VLOOKUP($N338,Capa!$A:$AE,AV$5,0)="",0,VLOOKUP($N338,Capa!$A:$AE,AV$5,0)),0),IF(ISERROR(1/VLOOKUP($N338,Capa!$A:$AE,AV$5,0)),0,1/VLOOKUP($N338,Capa!$A:$AE,AV$5,0))))</f>
        <v/>
      </c>
      <c r="AW338" s="118" t="str">
        <f>IF(AW$6="","",IF(AW$3="Maior",IFERROR(IF(VLOOKUP($N338,Capa!$A:$AE,AW$5,0)="",0,VLOOKUP($N338,Capa!$A:$AE,AW$5,0)),0),IF(ISERROR(1/VLOOKUP($N338,Capa!$A:$AE,AW$5,0)),0,1/VLOOKUP($N338,Capa!$A:$AE,AW$5,0))))</f>
        <v/>
      </c>
      <c r="AX338" s="118" t="str">
        <f>IF(AX$6="","",IF(AX$3="Maior",IFERROR(IF(VLOOKUP($N338,Capa!$A:$AE,AX$5,0)="",0,VLOOKUP($N338,Capa!$A:$AE,AX$5,0)),0),IF(ISERROR(1/VLOOKUP($N338,Capa!$A:$AE,AX$5,0)),0,1/VLOOKUP($N338,Capa!$A:$AE,AX$5,0))))</f>
        <v/>
      </c>
      <c r="AY338" s="118" t="str">
        <f>IF(AY$6="","",IF(AY$3="Maior",IFERROR(IF(VLOOKUP($N338,Capa!$A:$AE,AY$5,0)="",0,VLOOKUP($N338,Capa!$A:$AE,AY$5,0)),0),IF(ISERROR(1/VLOOKUP($N338,Capa!$A:$AE,AY$5,0)),0,1/VLOOKUP($N338,Capa!$A:$AE,AY$5,0))))</f>
        <v/>
      </c>
      <c r="AZ338" s="118" t="str">
        <f>IF(AZ$6="","",IF(AZ$3="Maior",IFERROR(IF(VLOOKUP($N338,Capa!$A:$AE,AZ$5,0)="",0,VLOOKUP($N338,Capa!$A:$AE,AZ$5,0)),0),IF(ISERROR(1/VLOOKUP($N338,Capa!$A:$AE,AZ$5,0)),0,1/VLOOKUP($N338,Capa!$A:$AE,AZ$5,0))))</f>
        <v/>
      </c>
      <c r="BA338" s="118" t="str">
        <f>IF(BA$6="","",IF(BA$3="Maior",IFERROR(IF(VLOOKUP($N338,Capa!$A:$AE,BA$5,0)="",0,VLOOKUP($N338,Capa!$A:$AE,BA$5,0)),0),IF(ISERROR(1/VLOOKUP($N338,Capa!$A:$AE,BA$5,0)),0,1/VLOOKUP($N338,Capa!$A:$AE,BA$5,0))))</f>
        <v/>
      </c>
      <c r="BB338" s="118" t="str">
        <f>IF(BB$6="","",IF(BB$3="Maior",IFERROR(IF(VLOOKUP($N338,Capa!$A:$AE,BB$5,0)="",0,VLOOKUP($N338,Capa!$A:$AE,BB$5,0)),0),IF(ISERROR(1/VLOOKUP($N338,Capa!$A:$AE,BB$5,0)),0,1/VLOOKUP($N338,Capa!$A:$AE,BB$5,0))))</f>
        <v/>
      </c>
      <c r="BC338" s="118" t="str">
        <f>IF(BC$6="","",IF(BC$3="Maior",IFERROR(IF(VLOOKUP($N338,Capa!$A:$AE,BC$5,0)="",0,VLOOKUP($N338,Capa!$A:$AE,BC$5,0)),0),IF(ISERROR(1/VLOOKUP($N338,Capa!$A:$AE,BC$5,0)),0,1/VLOOKUP($N338,Capa!$A:$AE,BC$5,0))))</f>
        <v/>
      </c>
      <c r="BD338" s="118" t="str">
        <f>IF(BD$6="","",IF(BD$3="Maior",IFERROR(IF(VLOOKUP($N338,Capa!$A:$AE,BD$5,0)="",0,VLOOKUP($N338,Capa!$A:$AE,BD$5,0)),0),IF(ISERROR(1/VLOOKUP($N338,Capa!$A:$AE,BD$5,0)),0,1/VLOOKUP($N338,Capa!$A:$AE,BD$5,0))))</f>
        <v/>
      </c>
      <c r="BE338" s="118" t="str">
        <f>IF(BE$6="","",IF(BE$3="Maior",IFERROR(IF(VLOOKUP($N338,Capa!$A:$AE,BE$5,0)="",0,VLOOKUP($N338,Capa!$A:$AE,BE$5,0)),0),IF(ISERROR(1/VLOOKUP($N338,Capa!$A:$AE,BE$5,0)),0,1/VLOOKUP($N338,Capa!$A:$AE,BE$5,0))))</f>
        <v/>
      </c>
      <c r="BF338" s="118" t="str">
        <f>IF(BF$6="","",IF(BF$3="Maior",IFERROR(IF(VLOOKUP($N338,Capa!$A:$AE,BF$5,0)="",0,VLOOKUP($N338,Capa!$A:$AE,BF$5,0)),0),IF(ISERROR(1/VLOOKUP($N338,Capa!$A:$AE,BF$5,0)),0,1/VLOOKUP($N338,Capa!$A:$AE,BF$5,0))))</f>
        <v/>
      </c>
      <c r="BG338" s="118" t="str">
        <f>IF(BG$6="","",IF(BG$3="Maior",IFERROR(IF(VLOOKUP($N338,Capa!$A:$AE,BG$5,0)="",0,VLOOKUP($N338,Capa!$A:$AE,BG$5,0)),0),IF(ISERROR(1/VLOOKUP($N338,Capa!$A:$AE,BG$5,0)),0,1/VLOOKUP($N338,Capa!$A:$AE,BG$5,0))))</f>
        <v/>
      </c>
      <c r="BH338" s="118" t="str">
        <f>IF(BH$6="","",IF(BH$3="Maior",IFERROR(IF(VLOOKUP($N338,Capa!$A:$AE,BH$5,0)="",0,VLOOKUP($N338,Capa!$A:$AE,BH$5,0)),0),IF(ISERROR(1/VLOOKUP($N338,Capa!$A:$AE,BH$5,0)),0,1/VLOOKUP($N338,Capa!$A:$AE,BH$5,0))))</f>
        <v/>
      </c>
      <c r="BI338" s="118" t="str">
        <f>IF(BI$6="","",IF(BI$3="Maior",IFERROR(IF(VLOOKUP($N338,Capa!$A:$AE,BI$5,0)="",0,VLOOKUP($N338,Capa!$A:$AE,BI$5,0)),0),IF(ISERROR(1/VLOOKUP($N338,Capa!$A:$AE,BI$5,0)),0,1/VLOOKUP($N338,Capa!$A:$AE,BI$5,0))))</f>
        <v/>
      </c>
      <c r="BJ338" s="118" t="str">
        <f>IF(BJ$6="","",IF(BJ$3="Maior",IFERROR(IF(VLOOKUP($N338,Capa!$A:$AE,BJ$5,0)="",0,VLOOKUP($N338,Capa!$A:$AE,BJ$5,0)),0),IF(ISERROR(1/VLOOKUP($N338,Capa!$A:$AE,BJ$5,0)),0,1/VLOOKUP($N338,Capa!$A:$AE,BJ$5,0))))</f>
        <v/>
      </c>
      <c r="BK338" s="118" t="str">
        <f>IF(BK$6="","",IF(BK$3="Maior",IFERROR(IF(VLOOKUP($N338,Capa!$A:$AE,BK$5,0)="",0,VLOOKUP($N338,Capa!$A:$AE,BK$5,0)),0),IF(ISERROR(1/VLOOKUP($N338,Capa!$A:$AE,BK$5,0)),0,1/VLOOKUP($N338,Capa!$A:$AE,BK$5,0))))</f>
        <v/>
      </c>
      <c r="BL338" s="118" t="str">
        <f>IF(BL$6="","",IF(BL$3="Maior",IFERROR(IF(VLOOKUP($N338,Capa!$A:$AE,BL$5,0)="",0,VLOOKUP($N338,Capa!$A:$AE,BL$5,0)),0),IF(ISERROR(1/VLOOKUP($N338,Capa!$A:$AE,BL$5,0)),0,1/VLOOKUP($N338,Capa!$A:$AE,BL$5,0))))</f>
        <v/>
      </c>
      <c r="BM338" s="118" t="str">
        <f>IF(BM$6="","",IF(BM$3="Maior",IFERROR(IF(VLOOKUP($N338,Capa!$A:$AE,BM$5,0)="",0,VLOOKUP($N338,Capa!$A:$AE,BM$5,0)),0),IF(ISERROR(1/VLOOKUP($N338,Capa!$A:$AE,BM$5,0)),0,1/VLOOKUP($N338,Capa!$A:$AE,BM$5,0))))</f>
        <v/>
      </c>
      <c r="BN338" s="118" t="str">
        <f>IF(BN$6="","",IF(BN$3="Maior",IFERROR(IF(VLOOKUP($N338,Capa!$A:$AE,BN$5,0)="",0,VLOOKUP($N338,Capa!$A:$AE,BN$5,0)),0),IF(ISERROR(1/VLOOKUP($N338,Capa!$A:$AE,BN$5,0)),0,1/VLOOKUP($N338,Capa!$A:$AE,BN$5,0))))</f>
        <v/>
      </c>
      <c r="BO338" s="92"/>
    </row>
    <row r="339">
      <c r="G339" s="11"/>
      <c r="H339" s="11"/>
      <c r="I339" s="8"/>
      <c r="J339" s="132"/>
      <c r="K339" s="11"/>
      <c r="L339" s="11"/>
      <c r="M339" s="11"/>
      <c r="N339" s="10" t="s">
        <v>385</v>
      </c>
      <c r="O339" s="113">
        <f t="shared" si="8"/>
        <v>2126.0433</v>
      </c>
      <c r="P339" s="114">
        <f>VLOOKUP(N339,'Dados StatusInvest'!A:Z,26,0)</f>
        <v>206039.71</v>
      </c>
      <c r="Q339" s="115">
        <f t="shared" si="9"/>
        <v>433.0433</v>
      </c>
      <c r="R339" s="116">
        <f t="shared" ref="R339:AO339" si="342">IF(AQ339="","", RANK(AQ339,AQ$7:AQ$503,0))</f>
        <v>474</v>
      </c>
      <c r="S339" s="115">
        <f t="shared" si="342"/>
        <v>219</v>
      </c>
      <c r="T339" s="115" t="str">
        <f t="shared" si="342"/>
        <v/>
      </c>
      <c r="U339" s="115" t="str">
        <f t="shared" si="342"/>
        <v/>
      </c>
      <c r="V339" s="115" t="str">
        <f t="shared" si="342"/>
        <v/>
      </c>
      <c r="W339" s="115" t="str">
        <f t="shared" si="342"/>
        <v/>
      </c>
      <c r="X339" s="115" t="str">
        <f t="shared" si="342"/>
        <v/>
      </c>
      <c r="Y339" s="115" t="str">
        <f t="shared" si="342"/>
        <v/>
      </c>
      <c r="Z339" s="115" t="str">
        <f t="shared" si="342"/>
        <v/>
      </c>
      <c r="AA339" s="115" t="str">
        <f t="shared" si="342"/>
        <v/>
      </c>
      <c r="AB339" s="115" t="str">
        <f t="shared" si="342"/>
        <v/>
      </c>
      <c r="AC339" s="115" t="str">
        <f t="shared" si="342"/>
        <v/>
      </c>
      <c r="AD339" s="115" t="str">
        <f t="shared" si="342"/>
        <v/>
      </c>
      <c r="AE339" s="115" t="str">
        <f t="shared" si="342"/>
        <v/>
      </c>
      <c r="AF339" s="115" t="str">
        <f t="shared" si="342"/>
        <v/>
      </c>
      <c r="AG339" s="115" t="str">
        <f t="shared" si="342"/>
        <v/>
      </c>
      <c r="AH339" s="115" t="str">
        <f t="shared" si="342"/>
        <v/>
      </c>
      <c r="AI339" s="115" t="str">
        <f t="shared" si="342"/>
        <v/>
      </c>
      <c r="AJ339" s="115" t="str">
        <f t="shared" si="342"/>
        <v/>
      </c>
      <c r="AK339" s="115" t="str">
        <f t="shared" si="342"/>
        <v/>
      </c>
      <c r="AL339" s="115" t="str">
        <f t="shared" si="342"/>
        <v/>
      </c>
      <c r="AM339" s="115" t="str">
        <f t="shared" si="342"/>
        <v/>
      </c>
      <c r="AN339" s="115" t="str">
        <f t="shared" si="342"/>
        <v/>
      </c>
      <c r="AO339" s="115" t="str">
        <f t="shared" si="342"/>
        <v/>
      </c>
      <c r="AP339" s="117">
        <f>IF(AP$6="","",IF(AP$3="Maior",IFERROR(IF(VLOOKUP($N339,Capa!$A:$AE,AP$5,0)="",0,VLOOKUP($N339,Capa!$A:$AE,AP$5,0)),0),IF(ISERROR(1/VLOOKUP($N339,Capa!$A:$AE,AP$5,0)),0,1/VLOOKUP($N339,Capa!$A:$AE,AP$5,0))))</f>
        <v>-0.05230632132</v>
      </c>
      <c r="AQ339" s="118">
        <f>IF(AQ$6="","",IF(AQ$3="Maior",IFERROR(IF(VLOOKUP($N339,Capa!$A:$AE,AQ$5,0)="",0,VLOOKUP($N339,Capa!$A:$AE,AQ$5,0)),0),IF(ISERROR(1/VLOOKUP($N339,Capa!$A:$AE,AQ$5,0)),0,1/VLOOKUP($N339,Capa!$A:$AE,AQ$5,0))))</f>
        <v>-17.44</v>
      </c>
      <c r="AR339" s="118">
        <f>IF(AR$6="","",IF(AR$3="Maior",IFERROR(IF(VLOOKUP($N339,Capa!$A:$AE,AR$5,0)="",0,VLOOKUP($N339,Capa!$A:$AE,AR$5,0)),0),IF(ISERROR(1/VLOOKUP($N339,Capa!$A:$AE,AR$5,0)),0,1/VLOOKUP($N339,Capa!$A:$AE,AR$5,0))))</f>
        <v>0</v>
      </c>
      <c r="AS339" s="118" t="str">
        <f>IF(AS$6="","",IF(AS$3="Maior",IFERROR(IF(VLOOKUP($N339,Capa!$A:$AE,AS$5,0)="",0,VLOOKUP($N339,Capa!$A:$AE,AS$5,0)),0),IF(ISERROR(1/VLOOKUP($N339,Capa!$A:$AE,AS$5,0)),0,1/VLOOKUP($N339,Capa!$A:$AE,AS$5,0))))</f>
        <v/>
      </c>
      <c r="AT339" s="118" t="str">
        <f>IF(AT$6="","",IF(AT$3="Maior",IFERROR(IF(VLOOKUP($N339,Capa!$A:$AE,AT$5,0)="",0,VLOOKUP($N339,Capa!$A:$AE,AT$5,0)),0),IF(ISERROR(1/VLOOKUP($N339,Capa!$A:$AE,AT$5,0)),0,1/VLOOKUP($N339,Capa!$A:$AE,AT$5,0))))</f>
        <v/>
      </c>
      <c r="AU339" s="118" t="str">
        <f>IF(AU$6="","",IF(AU$3="Maior",IFERROR(IF(VLOOKUP($N339,Capa!$A:$AE,AU$5,0)="",0,VLOOKUP($N339,Capa!$A:$AE,AU$5,0)),0),IF(ISERROR(1/VLOOKUP($N339,Capa!$A:$AE,AU$5,0)),0,1/VLOOKUP($N339,Capa!$A:$AE,AU$5,0))))</f>
        <v/>
      </c>
      <c r="AV339" s="118" t="str">
        <f>IF(AV$6="","",IF(AV$3="Maior",IFERROR(IF(VLOOKUP($N339,Capa!$A:$AE,AV$5,0)="",0,VLOOKUP($N339,Capa!$A:$AE,AV$5,0)),0),IF(ISERROR(1/VLOOKUP($N339,Capa!$A:$AE,AV$5,0)),0,1/VLOOKUP($N339,Capa!$A:$AE,AV$5,0))))</f>
        <v/>
      </c>
      <c r="AW339" s="118" t="str">
        <f>IF(AW$6="","",IF(AW$3="Maior",IFERROR(IF(VLOOKUP($N339,Capa!$A:$AE,AW$5,0)="",0,VLOOKUP($N339,Capa!$A:$AE,AW$5,0)),0),IF(ISERROR(1/VLOOKUP($N339,Capa!$A:$AE,AW$5,0)),0,1/VLOOKUP($N339,Capa!$A:$AE,AW$5,0))))</f>
        <v/>
      </c>
      <c r="AX339" s="118" t="str">
        <f>IF(AX$6="","",IF(AX$3="Maior",IFERROR(IF(VLOOKUP($N339,Capa!$A:$AE,AX$5,0)="",0,VLOOKUP($N339,Capa!$A:$AE,AX$5,0)),0),IF(ISERROR(1/VLOOKUP($N339,Capa!$A:$AE,AX$5,0)),0,1/VLOOKUP($N339,Capa!$A:$AE,AX$5,0))))</f>
        <v/>
      </c>
      <c r="AY339" s="118" t="str">
        <f>IF(AY$6="","",IF(AY$3="Maior",IFERROR(IF(VLOOKUP($N339,Capa!$A:$AE,AY$5,0)="",0,VLOOKUP($N339,Capa!$A:$AE,AY$5,0)),0),IF(ISERROR(1/VLOOKUP($N339,Capa!$A:$AE,AY$5,0)),0,1/VLOOKUP($N339,Capa!$A:$AE,AY$5,0))))</f>
        <v/>
      </c>
      <c r="AZ339" s="118" t="str">
        <f>IF(AZ$6="","",IF(AZ$3="Maior",IFERROR(IF(VLOOKUP($N339,Capa!$A:$AE,AZ$5,0)="",0,VLOOKUP($N339,Capa!$A:$AE,AZ$5,0)),0),IF(ISERROR(1/VLOOKUP($N339,Capa!$A:$AE,AZ$5,0)),0,1/VLOOKUP($N339,Capa!$A:$AE,AZ$5,0))))</f>
        <v/>
      </c>
      <c r="BA339" s="118" t="str">
        <f>IF(BA$6="","",IF(BA$3="Maior",IFERROR(IF(VLOOKUP($N339,Capa!$A:$AE,BA$5,0)="",0,VLOOKUP($N339,Capa!$A:$AE,BA$5,0)),0),IF(ISERROR(1/VLOOKUP($N339,Capa!$A:$AE,BA$5,0)),0,1/VLOOKUP($N339,Capa!$A:$AE,BA$5,0))))</f>
        <v/>
      </c>
      <c r="BB339" s="118" t="str">
        <f>IF(BB$6="","",IF(BB$3="Maior",IFERROR(IF(VLOOKUP($N339,Capa!$A:$AE,BB$5,0)="",0,VLOOKUP($N339,Capa!$A:$AE,BB$5,0)),0),IF(ISERROR(1/VLOOKUP($N339,Capa!$A:$AE,BB$5,0)),0,1/VLOOKUP($N339,Capa!$A:$AE,BB$5,0))))</f>
        <v/>
      </c>
      <c r="BC339" s="118" t="str">
        <f>IF(BC$6="","",IF(BC$3="Maior",IFERROR(IF(VLOOKUP($N339,Capa!$A:$AE,BC$5,0)="",0,VLOOKUP($N339,Capa!$A:$AE,BC$5,0)),0),IF(ISERROR(1/VLOOKUP($N339,Capa!$A:$AE,BC$5,0)),0,1/VLOOKUP($N339,Capa!$A:$AE,BC$5,0))))</f>
        <v/>
      </c>
      <c r="BD339" s="118" t="str">
        <f>IF(BD$6="","",IF(BD$3="Maior",IFERROR(IF(VLOOKUP($N339,Capa!$A:$AE,BD$5,0)="",0,VLOOKUP($N339,Capa!$A:$AE,BD$5,0)),0),IF(ISERROR(1/VLOOKUP($N339,Capa!$A:$AE,BD$5,0)),0,1/VLOOKUP($N339,Capa!$A:$AE,BD$5,0))))</f>
        <v/>
      </c>
      <c r="BE339" s="118" t="str">
        <f>IF(BE$6="","",IF(BE$3="Maior",IFERROR(IF(VLOOKUP($N339,Capa!$A:$AE,BE$5,0)="",0,VLOOKUP($N339,Capa!$A:$AE,BE$5,0)),0),IF(ISERROR(1/VLOOKUP($N339,Capa!$A:$AE,BE$5,0)),0,1/VLOOKUP($N339,Capa!$A:$AE,BE$5,0))))</f>
        <v/>
      </c>
      <c r="BF339" s="118" t="str">
        <f>IF(BF$6="","",IF(BF$3="Maior",IFERROR(IF(VLOOKUP($N339,Capa!$A:$AE,BF$5,0)="",0,VLOOKUP($N339,Capa!$A:$AE,BF$5,0)),0),IF(ISERROR(1/VLOOKUP($N339,Capa!$A:$AE,BF$5,0)),0,1/VLOOKUP($N339,Capa!$A:$AE,BF$5,0))))</f>
        <v/>
      </c>
      <c r="BG339" s="118" t="str">
        <f>IF(BG$6="","",IF(BG$3="Maior",IFERROR(IF(VLOOKUP($N339,Capa!$A:$AE,BG$5,0)="",0,VLOOKUP($N339,Capa!$A:$AE,BG$5,0)),0),IF(ISERROR(1/VLOOKUP($N339,Capa!$A:$AE,BG$5,0)),0,1/VLOOKUP($N339,Capa!$A:$AE,BG$5,0))))</f>
        <v/>
      </c>
      <c r="BH339" s="118" t="str">
        <f>IF(BH$6="","",IF(BH$3="Maior",IFERROR(IF(VLOOKUP($N339,Capa!$A:$AE,BH$5,0)="",0,VLOOKUP($N339,Capa!$A:$AE,BH$5,0)),0),IF(ISERROR(1/VLOOKUP($N339,Capa!$A:$AE,BH$5,0)),0,1/VLOOKUP($N339,Capa!$A:$AE,BH$5,0))))</f>
        <v/>
      </c>
      <c r="BI339" s="118" t="str">
        <f>IF(BI$6="","",IF(BI$3="Maior",IFERROR(IF(VLOOKUP($N339,Capa!$A:$AE,BI$5,0)="",0,VLOOKUP($N339,Capa!$A:$AE,BI$5,0)),0),IF(ISERROR(1/VLOOKUP($N339,Capa!$A:$AE,BI$5,0)),0,1/VLOOKUP($N339,Capa!$A:$AE,BI$5,0))))</f>
        <v/>
      </c>
      <c r="BJ339" s="118" t="str">
        <f>IF(BJ$6="","",IF(BJ$3="Maior",IFERROR(IF(VLOOKUP($N339,Capa!$A:$AE,BJ$5,0)="",0,VLOOKUP($N339,Capa!$A:$AE,BJ$5,0)),0),IF(ISERROR(1/VLOOKUP($N339,Capa!$A:$AE,BJ$5,0)),0,1/VLOOKUP($N339,Capa!$A:$AE,BJ$5,0))))</f>
        <v/>
      </c>
      <c r="BK339" s="118" t="str">
        <f>IF(BK$6="","",IF(BK$3="Maior",IFERROR(IF(VLOOKUP($N339,Capa!$A:$AE,BK$5,0)="",0,VLOOKUP($N339,Capa!$A:$AE,BK$5,0)),0),IF(ISERROR(1/VLOOKUP($N339,Capa!$A:$AE,BK$5,0)),0,1/VLOOKUP($N339,Capa!$A:$AE,BK$5,0))))</f>
        <v/>
      </c>
      <c r="BL339" s="118" t="str">
        <f>IF(BL$6="","",IF(BL$3="Maior",IFERROR(IF(VLOOKUP($N339,Capa!$A:$AE,BL$5,0)="",0,VLOOKUP($N339,Capa!$A:$AE,BL$5,0)),0),IF(ISERROR(1/VLOOKUP($N339,Capa!$A:$AE,BL$5,0)),0,1/VLOOKUP($N339,Capa!$A:$AE,BL$5,0))))</f>
        <v/>
      </c>
      <c r="BM339" s="118" t="str">
        <f>IF(BM$6="","",IF(BM$3="Maior",IFERROR(IF(VLOOKUP($N339,Capa!$A:$AE,BM$5,0)="",0,VLOOKUP($N339,Capa!$A:$AE,BM$5,0)),0),IF(ISERROR(1/VLOOKUP($N339,Capa!$A:$AE,BM$5,0)),0,1/VLOOKUP($N339,Capa!$A:$AE,BM$5,0))))</f>
        <v/>
      </c>
      <c r="BN339" s="118" t="str">
        <f>IF(BN$6="","",IF(BN$3="Maior",IFERROR(IF(VLOOKUP($N339,Capa!$A:$AE,BN$5,0)="",0,VLOOKUP($N339,Capa!$A:$AE,BN$5,0)),0),IF(ISERROR(1/VLOOKUP($N339,Capa!$A:$AE,BN$5,0)),0,1/VLOOKUP($N339,Capa!$A:$AE,BN$5,0))))</f>
        <v/>
      </c>
      <c r="BO339" s="92"/>
    </row>
    <row r="340">
      <c r="G340" s="11"/>
      <c r="H340" s="11"/>
      <c r="I340" s="8"/>
      <c r="J340" s="132"/>
      <c r="K340" s="11"/>
      <c r="L340" s="11"/>
      <c r="M340" s="11"/>
      <c r="N340" s="10" t="s">
        <v>386</v>
      </c>
      <c r="O340" s="113">
        <f t="shared" si="8"/>
        <v>1719.0494</v>
      </c>
      <c r="P340" s="114">
        <f>VLOOKUP(N340,'Dados StatusInvest'!A:Z,26,0)</f>
        <v>131172.71</v>
      </c>
      <c r="Q340" s="115">
        <f t="shared" si="9"/>
        <v>494.0494</v>
      </c>
      <c r="R340" s="116">
        <f t="shared" ref="R340:AO340" si="343">IF(AQ340="","", RANK(AQ340,AQ$7:AQ$503,0))</f>
        <v>6</v>
      </c>
      <c r="S340" s="115">
        <f t="shared" si="343"/>
        <v>219</v>
      </c>
      <c r="T340" s="115" t="str">
        <f t="shared" si="343"/>
        <v/>
      </c>
      <c r="U340" s="115" t="str">
        <f t="shared" si="343"/>
        <v/>
      </c>
      <c r="V340" s="115" t="str">
        <f t="shared" si="343"/>
        <v/>
      </c>
      <c r="W340" s="115" t="str">
        <f t="shared" si="343"/>
        <v/>
      </c>
      <c r="X340" s="115" t="str">
        <f t="shared" si="343"/>
        <v/>
      </c>
      <c r="Y340" s="115" t="str">
        <f t="shared" si="343"/>
        <v/>
      </c>
      <c r="Z340" s="115" t="str">
        <f t="shared" si="343"/>
        <v/>
      </c>
      <c r="AA340" s="115" t="str">
        <f t="shared" si="343"/>
        <v/>
      </c>
      <c r="AB340" s="115" t="str">
        <f t="shared" si="343"/>
        <v/>
      </c>
      <c r="AC340" s="115" t="str">
        <f t="shared" si="343"/>
        <v/>
      </c>
      <c r="AD340" s="115" t="str">
        <f t="shared" si="343"/>
        <v/>
      </c>
      <c r="AE340" s="115" t="str">
        <f t="shared" si="343"/>
        <v/>
      </c>
      <c r="AF340" s="115" t="str">
        <f t="shared" si="343"/>
        <v/>
      </c>
      <c r="AG340" s="115" t="str">
        <f t="shared" si="343"/>
        <v/>
      </c>
      <c r="AH340" s="115" t="str">
        <f t="shared" si="343"/>
        <v/>
      </c>
      <c r="AI340" s="115" t="str">
        <f t="shared" si="343"/>
        <v/>
      </c>
      <c r="AJ340" s="115" t="str">
        <f t="shared" si="343"/>
        <v/>
      </c>
      <c r="AK340" s="115" t="str">
        <f t="shared" si="343"/>
        <v/>
      </c>
      <c r="AL340" s="115" t="str">
        <f t="shared" si="343"/>
        <v/>
      </c>
      <c r="AM340" s="115" t="str">
        <f t="shared" si="343"/>
        <v/>
      </c>
      <c r="AN340" s="115" t="str">
        <f t="shared" si="343"/>
        <v/>
      </c>
      <c r="AO340" s="115" t="str">
        <f t="shared" si="343"/>
        <v/>
      </c>
      <c r="AP340" s="117">
        <f>IF(AP$6="","",IF(AP$3="Maior",IFERROR(IF(VLOOKUP($N340,Capa!$A:$AE,AP$5,0)="",0,VLOOKUP($N340,Capa!$A:$AE,AP$5,0)),0),IF(ISERROR(1/VLOOKUP($N340,Capa!$A:$AE,AP$5,0)),0,1/VLOOKUP($N340,Capa!$A:$AE,AP$5,0))))</f>
        <v>-0.8656224237</v>
      </c>
      <c r="AQ340" s="118">
        <f>IF(AQ$6="","",IF(AQ$3="Maior",IFERROR(IF(VLOOKUP($N340,Capa!$A:$AE,AQ$5,0)="",0,VLOOKUP($N340,Capa!$A:$AE,AQ$5,0)),0),IF(ISERROR(1/VLOOKUP($N340,Capa!$A:$AE,AQ$5,0)),0,1/VLOOKUP($N340,Capa!$A:$AE,AQ$5,0))))</f>
        <v>88.79</v>
      </c>
      <c r="AR340" s="118">
        <f>IF(AR$6="","",IF(AR$3="Maior",IFERROR(IF(VLOOKUP($N340,Capa!$A:$AE,AR$5,0)="",0,VLOOKUP($N340,Capa!$A:$AE,AR$5,0)),0),IF(ISERROR(1/VLOOKUP($N340,Capa!$A:$AE,AR$5,0)),0,1/VLOOKUP($N340,Capa!$A:$AE,AR$5,0))))</f>
        <v>0</v>
      </c>
      <c r="AS340" s="118" t="str">
        <f>IF(AS$6="","",IF(AS$3="Maior",IFERROR(IF(VLOOKUP($N340,Capa!$A:$AE,AS$5,0)="",0,VLOOKUP($N340,Capa!$A:$AE,AS$5,0)),0),IF(ISERROR(1/VLOOKUP($N340,Capa!$A:$AE,AS$5,0)),0,1/VLOOKUP($N340,Capa!$A:$AE,AS$5,0))))</f>
        <v/>
      </c>
      <c r="AT340" s="118" t="str">
        <f>IF(AT$6="","",IF(AT$3="Maior",IFERROR(IF(VLOOKUP($N340,Capa!$A:$AE,AT$5,0)="",0,VLOOKUP($N340,Capa!$A:$AE,AT$5,0)),0),IF(ISERROR(1/VLOOKUP($N340,Capa!$A:$AE,AT$5,0)),0,1/VLOOKUP($N340,Capa!$A:$AE,AT$5,0))))</f>
        <v/>
      </c>
      <c r="AU340" s="118" t="str">
        <f>IF(AU$6="","",IF(AU$3="Maior",IFERROR(IF(VLOOKUP($N340,Capa!$A:$AE,AU$5,0)="",0,VLOOKUP($N340,Capa!$A:$AE,AU$5,0)),0),IF(ISERROR(1/VLOOKUP($N340,Capa!$A:$AE,AU$5,0)),0,1/VLOOKUP($N340,Capa!$A:$AE,AU$5,0))))</f>
        <v/>
      </c>
      <c r="AV340" s="118" t="str">
        <f>IF(AV$6="","",IF(AV$3="Maior",IFERROR(IF(VLOOKUP($N340,Capa!$A:$AE,AV$5,0)="",0,VLOOKUP($N340,Capa!$A:$AE,AV$5,0)),0),IF(ISERROR(1/VLOOKUP($N340,Capa!$A:$AE,AV$5,0)),0,1/VLOOKUP($N340,Capa!$A:$AE,AV$5,0))))</f>
        <v/>
      </c>
      <c r="AW340" s="118" t="str">
        <f>IF(AW$6="","",IF(AW$3="Maior",IFERROR(IF(VLOOKUP($N340,Capa!$A:$AE,AW$5,0)="",0,VLOOKUP($N340,Capa!$A:$AE,AW$5,0)),0),IF(ISERROR(1/VLOOKUP($N340,Capa!$A:$AE,AW$5,0)),0,1/VLOOKUP($N340,Capa!$A:$AE,AW$5,0))))</f>
        <v/>
      </c>
      <c r="AX340" s="118" t="str">
        <f>IF(AX$6="","",IF(AX$3="Maior",IFERROR(IF(VLOOKUP($N340,Capa!$A:$AE,AX$5,0)="",0,VLOOKUP($N340,Capa!$A:$AE,AX$5,0)),0),IF(ISERROR(1/VLOOKUP($N340,Capa!$A:$AE,AX$5,0)),0,1/VLOOKUP($N340,Capa!$A:$AE,AX$5,0))))</f>
        <v/>
      </c>
      <c r="AY340" s="118" t="str">
        <f>IF(AY$6="","",IF(AY$3="Maior",IFERROR(IF(VLOOKUP($N340,Capa!$A:$AE,AY$5,0)="",0,VLOOKUP($N340,Capa!$A:$AE,AY$5,0)),0),IF(ISERROR(1/VLOOKUP($N340,Capa!$A:$AE,AY$5,0)),0,1/VLOOKUP($N340,Capa!$A:$AE,AY$5,0))))</f>
        <v/>
      </c>
      <c r="AZ340" s="118" t="str">
        <f>IF(AZ$6="","",IF(AZ$3="Maior",IFERROR(IF(VLOOKUP($N340,Capa!$A:$AE,AZ$5,0)="",0,VLOOKUP($N340,Capa!$A:$AE,AZ$5,0)),0),IF(ISERROR(1/VLOOKUP($N340,Capa!$A:$AE,AZ$5,0)),0,1/VLOOKUP($N340,Capa!$A:$AE,AZ$5,0))))</f>
        <v/>
      </c>
      <c r="BA340" s="118" t="str">
        <f>IF(BA$6="","",IF(BA$3="Maior",IFERROR(IF(VLOOKUP($N340,Capa!$A:$AE,BA$5,0)="",0,VLOOKUP($N340,Capa!$A:$AE,BA$5,0)),0),IF(ISERROR(1/VLOOKUP($N340,Capa!$A:$AE,BA$5,0)),0,1/VLOOKUP($N340,Capa!$A:$AE,BA$5,0))))</f>
        <v/>
      </c>
      <c r="BB340" s="118" t="str">
        <f>IF(BB$6="","",IF(BB$3="Maior",IFERROR(IF(VLOOKUP($N340,Capa!$A:$AE,BB$5,0)="",0,VLOOKUP($N340,Capa!$A:$AE,BB$5,0)),0),IF(ISERROR(1/VLOOKUP($N340,Capa!$A:$AE,BB$5,0)),0,1/VLOOKUP($N340,Capa!$A:$AE,BB$5,0))))</f>
        <v/>
      </c>
      <c r="BC340" s="118" t="str">
        <f>IF(BC$6="","",IF(BC$3="Maior",IFERROR(IF(VLOOKUP($N340,Capa!$A:$AE,BC$5,0)="",0,VLOOKUP($N340,Capa!$A:$AE,BC$5,0)),0),IF(ISERROR(1/VLOOKUP($N340,Capa!$A:$AE,BC$5,0)),0,1/VLOOKUP($N340,Capa!$A:$AE,BC$5,0))))</f>
        <v/>
      </c>
      <c r="BD340" s="118" t="str">
        <f>IF(BD$6="","",IF(BD$3="Maior",IFERROR(IF(VLOOKUP($N340,Capa!$A:$AE,BD$5,0)="",0,VLOOKUP($N340,Capa!$A:$AE,BD$5,0)),0),IF(ISERROR(1/VLOOKUP($N340,Capa!$A:$AE,BD$5,0)),0,1/VLOOKUP($N340,Capa!$A:$AE,BD$5,0))))</f>
        <v/>
      </c>
      <c r="BE340" s="118" t="str">
        <f>IF(BE$6="","",IF(BE$3="Maior",IFERROR(IF(VLOOKUP($N340,Capa!$A:$AE,BE$5,0)="",0,VLOOKUP($N340,Capa!$A:$AE,BE$5,0)),0),IF(ISERROR(1/VLOOKUP($N340,Capa!$A:$AE,BE$5,0)),0,1/VLOOKUP($N340,Capa!$A:$AE,BE$5,0))))</f>
        <v/>
      </c>
      <c r="BF340" s="118" t="str">
        <f>IF(BF$6="","",IF(BF$3="Maior",IFERROR(IF(VLOOKUP($N340,Capa!$A:$AE,BF$5,0)="",0,VLOOKUP($N340,Capa!$A:$AE,BF$5,0)),0),IF(ISERROR(1/VLOOKUP($N340,Capa!$A:$AE,BF$5,0)),0,1/VLOOKUP($N340,Capa!$A:$AE,BF$5,0))))</f>
        <v/>
      </c>
      <c r="BG340" s="118" t="str">
        <f>IF(BG$6="","",IF(BG$3="Maior",IFERROR(IF(VLOOKUP($N340,Capa!$A:$AE,BG$5,0)="",0,VLOOKUP($N340,Capa!$A:$AE,BG$5,0)),0),IF(ISERROR(1/VLOOKUP($N340,Capa!$A:$AE,BG$5,0)),0,1/VLOOKUP($N340,Capa!$A:$AE,BG$5,0))))</f>
        <v/>
      </c>
      <c r="BH340" s="118" t="str">
        <f>IF(BH$6="","",IF(BH$3="Maior",IFERROR(IF(VLOOKUP($N340,Capa!$A:$AE,BH$5,0)="",0,VLOOKUP($N340,Capa!$A:$AE,BH$5,0)),0),IF(ISERROR(1/VLOOKUP($N340,Capa!$A:$AE,BH$5,0)),0,1/VLOOKUP($N340,Capa!$A:$AE,BH$5,0))))</f>
        <v/>
      </c>
      <c r="BI340" s="118" t="str">
        <f>IF(BI$6="","",IF(BI$3="Maior",IFERROR(IF(VLOOKUP($N340,Capa!$A:$AE,BI$5,0)="",0,VLOOKUP($N340,Capa!$A:$AE,BI$5,0)),0),IF(ISERROR(1/VLOOKUP($N340,Capa!$A:$AE,BI$5,0)),0,1/VLOOKUP($N340,Capa!$A:$AE,BI$5,0))))</f>
        <v/>
      </c>
      <c r="BJ340" s="118" t="str">
        <f>IF(BJ$6="","",IF(BJ$3="Maior",IFERROR(IF(VLOOKUP($N340,Capa!$A:$AE,BJ$5,0)="",0,VLOOKUP($N340,Capa!$A:$AE,BJ$5,0)),0),IF(ISERROR(1/VLOOKUP($N340,Capa!$A:$AE,BJ$5,0)),0,1/VLOOKUP($N340,Capa!$A:$AE,BJ$5,0))))</f>
        <v/>
      </c>
      <c r="BK340" s="118" t="str">
        <f>IF(BK$6="","",IF(BK$3="Maior",IFERROR(IF(VLOOKUP($N340,Capa!$A:$AE,BK$5,0)="",0,VLOOKUP($N340,Capa!$A:$AE,BK$5,0)),0),IF(ISERROR(1/VLOOKUP($N340,Capa!$A:$AE,BK$5,0)),0,1/VLOOKUP($N340,Capa!$A:$AE,BK$5,0))))</f>
        <v/>
      </c>
      <c r="BL340" s="118" t="str">
        <f>IF(BL$6="","",IF(BL$3="Maior",IFERROR(IF(VLOOKUP($N340,Capa!$A:$AE,BL$5,0)="",0,VLOOKUP($N340,Capa!$A:$AE,BL$5,0)),0),IF(ISERROR(1/VLOOKUP($N340,Capa!$A:$AE,BL$5,0)),0,1/VLOOKUP($N340,Capa!$A:$AE,BL$5,0))))</f>
        <v/>
      </c>
      <c r="BM340" s="118" t="str">
        <f>IF(BM$6="","",IF(BM$3="Maior",IFERROR(IF(VLOOKUP($N340,Capa!$A:$AE,BM$5,0)="",0,VLOOKUP($N340,Capa!$A:$AE,BM$5,0)),0),IF(ISERROR(1/VLOOKUP($N340,Capa!$A:$AE,BM$5,0)),0,1/VLOOKUP($N340,Capa!$A:$AE,BM$5,0))))</f>
        <v/>
      </c>
      <c r="BN340" s="118" t="str">
        <f>IF(BN$6="","",IF(BN$3="Maior",IFERROR(IF(VLOOKUP($N340,Capa!$A:$AE,BN$5,0)="",0,VLOOKUP($N340,Capa!$A:$AE,BN$5,0)),0),IF(ISERROR(1/VLOOKUP($N340,Capa!$A:$AE,BN$5,0)),0,1/VLOOKUP($N340,Capa!$A:$AE,BN$5,0))))</f>
        <v/>
      </c>
      <c r="BO340" s="92"/>
    </row>
    <row r="341">
      <c r="G341" s="11"/>
      <c r="H341" s="11"/>
      <c r="I341" s="8"/>
      <c r="J341" s="132"/>
      <c r="K341" s="11"/>
      <c r="L341" s="11"/>
      <c r="M341" s="11"/>
      <c r="N341" s="10" t="s">
        <v>387</v>
      </c>
      <c r="O341" s="113">
        <f t="shared" si="8"/>
        <v>1273.0142</v>
      </c>
      <c r="P341" s="114">
        <f>VLOOKUP(N341,'Dados StatusInvest'!A:Z,26,0)</f>
        <v>89847.17</v>
      </c>
      <c r="Q341" s="115">
        <f t="shared" si="9"/>
        <v>142.0142</v>
      </c>
      <c r="R341" s="116">
        <f t="shared" ref="R341:AO341" si="344">IF(AQ341="","", RANK(AQ341,AQ$7:AQ$503,0))</f>
        <v>36</v>
      </c>
      <c r="S341" s="115">
        <f t="shared" si="344"/>
        <v>95</v>
      </c>
      <c r="T341" s="115" t="str">
        <f t="shared" si="344"/>
        <v/>
      </c>
      <c r="U341" s="115" t="str">
        <f t="shared" si="344"/>
        <v/>
      </c>
      <c r="V341" s="115" t="str">
        <f t="shared" si="344"/>
        <v/>
      </c>
      <c r="W341" s="115" t="str">
        <f t="shared" si="344"/>
        <v/>
      </c>
      <c r="X341" s="115" t="str">
        <f t="shared" si="344"/>
        <v/>
      </c>
      <c r="Y341" s="115" t="str">
        <f t="shared" si="344"/>
        <v/>
      </c>
      <c r="Z341" s="115" t="str">
        <f t="shared" si="344"/>
        <v/>
      </c>
      <c r="AA341" s="115" t="str">
        <f t="shared" si="344"/>
        <v/>
      </c>
      <c r="AB341" s="115" t="str">
        <f t="shared" si="344"/>
        <v/>
      </c>
      <c r="AC341" s="115" t="str">
        <f t="shared" si="344"/>
        <v/>
      </c>
      <c r="AD341" s="115" t="str">
        <f t="shared" si="344"/>
        <v/>
      </c>
      <c r="AE341" s="115" t="str">
        <f t="shared" si="344"/>
        <v/>
      </c>
      <c r="AF341" s="115" t="str">
        <f t="shared" si="344"/>
        <v/>
      </c>
      <c r="AG341" s="115" t="str">
        <f t="shared" si="344"/>
        <v/>
      </c>
      <c r="AH341" s="115" t="str">
        <f t="shared" si="344"/>
        <v/>
      </c>
      <c r="AI341" s="115" t="str">
        <f t="shared" si="344"/>
        <v/>
      </c>
      <c r="AJ341" s="115" t="str">
        <f t="shared" si="344"/>
        <v/>
      </c>
      <c r="AK341" s="115" t="str">
        <f t="shared" si="344"/>
        <v/>
      </c>
      <c r="AL341" s="115" t="str">
        <f t="shared" si="344"/>
        <v/>
      </c>
      <c r="AM341" s="115" t="str">
        <f t="shared" si="344"/>
        <v/>
      </c>
      <c r="AN341" s="115" t="str">
        <f t="shared" si="344"/>
        <v/>
      </c>
      <c r="AO341" s="115" t="str">
        <f t="shared" si="344"/>
        <v/>
      </c>
      <c r="AP341" s="117">
        <f>IF(AP$6="","",IF(AP$3="Maior",IFERROR(IF(VLOOKUP($N341,Capa!$A:$AE,AP$5,0)="",0,VLOOKUP($N341,Capa!$A:$AE,AP$5,0)),0),IF(ISERROR(1/VLOOKUP($N341,Capa!$A:$AE,AP$5,0)),0,1/VLOOKUP($N341,Capa!$A:$AE,AP$5,0))))</f>
        <v>0.1410137601</v>
      </c>
      <c r="AQ341" s="118">
        <f>IF(AQ$6="","",IF(AQ$3="Maior",IFERROR(IF(VLOOKUP($N341,Capa!$A:$AE,AQ$5,0)="",0,VLOOKUP($N341,Capa!$A:$AE,AQ$5,0)),0),IF(ISERROR(1/VLOOKUP($N341,Capa!$A:$AE,AQ$5,0)),0,1/VLOOKUP($N341,Capa!$A:$AE,AQ$5,0))))</f>
        <v>33.12</v>
      </c>
      <c r="AR341" s="118">
        <f>IF(AR$6="","",IF(AR$3="Maior",IFERROR(IF(VLOOKUP($N341,Capa!$A:$AE,AR$5,0)="",0,VLOOKUP($N341,Capa!$A:$AE,AR$5,0)),0),IF(ISERROR(1/VLOOKUP($N341,Capa!$A:$AE,AR$5,0)),0,1/VLOOKUP($N341,Capa!$A:$AE,AR$5,0))))</f>
        <v>27.6</v>
      </c>
      <c r="AS341" s="118" t="str">
        <f>IF(AS$6="","",IF(AS$3="Maior",IFERROR(IF(VLOOKUP($N341,Capa!$A:$AE,AS$5,0)="",0,VLOOKUP($N341,Capa!$A:$AE,AS$5,0)),0),IF(ISERROR(1/VLOOKUP($N341,Capa!$A:$AE,AS$5,0)),0,1/VLOOKUP($N341,Capa!$A:$AE,AS$5,0))))</f>
        <v/>
      </c>
      <c r="AT341" s="118" t="str">
        <f>IF(AT$6="","",IF(AT$3="Maior",IFERROR(IF(VLOOKUP($N341,Capa!$A:$AE,AT$5,0)="",0,VLOOKUP($N341,Capa!$A:$AE,AT$5,0)),0),IF(ISERROR(1/VLOOKUP($N341,Capa!$A:$AE,AT$5,0)),0,1/VLOOKUP($N341,Capa!$A:$AE,AT$5,0))))</f>
        <v/>
      </c>
      <c r="AU341" s="118" t="str">
        <f>IF(AU$6="","",IF(AU$3="Maior",IFERROR(IF(VLOOKUP($N341,Capa!$A:$AE,AU$5,0)="",0,VLOOKUP($N341,Capa!$A:$AE,AU$5,0)),0),IF(ISERROR(1/VLOOKUP($N341,Capa!$A:$AE,AU$5,0)),0,1/VLOOKUP($N341,Capa!$A:$AE,AU$5,0))))</f>
        <v/>
      </c>
      <c r="AV341" s="118" t="str">
        <f>IF(AV$6="","",IF(AV$3="Maior",IFERROR(IF(VLOOKUP($N341,Capa!$A:$AE,AV$5,0)="",0,VLOOKUP($N341,Capa!$A:$AE,AV$5,0)),0),IF(ISERROR(1/VLOOKUP($N341,Capa!$A:$AE,AV$5,0)),0,1/VLOOKUP($N341,Capa!$A:$AE,AV$5,0))))</f>
        <v/>
      </c>
      <c r="AW341" s="118" t="str">
        <f>IF(AW$6="","",IF(AW$3="Maior",IFERROR(IF(VLOOKUP($N341,Capa!$A:$AE,AW$5,0)="",0,VLOOKUP($N341,Capa!$A:$AE,AW$5,0)),0),IF(ISERROR(1/VLOOKUP($N341,Capa!$A:$AE,AW$5,0)),0,1/VLOOKUP($N341,Capa!$A:$AE,AW$5,0))))</f>
        <v/>
      </c>
      <c r="AX341" s="118" t="str">
        <f>IF(AX$6="","",IF(AX$3="Maior",IFERROR(IF(VLOOKUP($N341,Capa!$A:$AE,AX$5,0)="",0,VLOOKUP($N341,Capa!$A:$AE,AX$5,0)),0),IF(ISERROR(1/VLOOKUP($N341,Capa!$A:$AE,AX$5,0)),0,1/VLOOKUP($N341,Capa!$A:$AE,AX$5,0))))</f>
        <v/>
      </c>
      <c r="AY341" s="118" t="str">
        <f>IF(AY$6="","",IF(AY$3="Maior",IFERROR(IF(VLOOKUP($N341,Capa!$A:$AE,AY$5,0)="",0,VLOOKUP($N341,Capa!$A:$AE,AY$5,0)),0),IF(ISERROR(1/VLOOKUP($N341,Capa!$A:$AE,AY$5,0)),0,1/VLOOKUP($N341,Capa!$A:$AE,AY$5,0))))</f>
        <v/>
      </c>
      <c r="AZ341" s="118" t="str">
        <f>IF(AZ$6="","",IF(AZ$3="Maior",IFERROR(IF(VLOOKUP($N341,Capa!$A:$AE,AZ$5,0)="",0,VLOOKUP($N341,Capa!$A:$AE,AZ$5,0)),0),IF(ISERROR(1/VLOOKUP($N341,Capa!$A:$AE,AZ$5,0)),0,1/VLOOKUP($N341,Capa!$A:$AE,AZ$5,0))))</f>
        <v/>
      </c>
      <c r="BA341" s="118" t="str">
        <f>IF(BA$6="","",IF(BA$3="Maior",IFERROR(IF(VLOOKUP($N341,Capa!$A:$AE,BA$5,0)="",0,VLOOKUP($N341,Capa!$A:$AE,BA$5,0)),0),IF(ISERROR(1/VLOOKUP($N341,Capa!$A:$AE,BA$5,0)),0,1/VLOOKUP($N341,Capa!$A:$AE,BA$5,0))))</f>
        <v/>
      </c>
      <c r="BB341" s="118" t="str">
        <f>IF(BB$6="","",IF(BB$3="Maior",IFERROR(IF(VLOOKUP($N341,Capa!$A:$AE,BB$5,0)="",0,VLOOKUP($N341,Capa!$A:$AE,BB$5,0)),0),IF(ISERROR(1/VLOOKUP($N341,Capa!$A:$AE,BB$5,0)),0,1/VLOOKUP($N341,Capa!$A:$AE,BB$5,0))))</f>
        <v/>
      </c>
      <c r="BC341" s="118" t="str">
        <f>IF(BC$6="","",IF(BC$3="Maior",IFERROR(IF(VLOOKUP($N341,Capa!$A:$AE,BC$5,0)="",0,VLOOKUP($N341,Capa!$A:$AE,BC$5,0)),0),IF(ISERROR(1/VLOOKUP($N341,Capa!$A:$AE,BC$5,0)),0,1/VLOOKUP($N341,Capa!$A:$AE,BC$5,0))))</f>
        <v/>
      </c>
      <c r="BD341" s="118" t="str">
        <f>IF(BD$6="","",IF(BD$3="Maior",IFERROR(IF(VLOOKUP($N341,Capa!$A:$AE,BD$5,0)="",0,VLOOKUP($N341,Capa!$A:$AE,BD$5,0)),0),IF(ISERROR(1/VLOOKUP($N341,Capa!$A:$AE,BD$5,0)),0,1/VLOOKUP($N341,Capa!$A:$AE,BD$5,0))))</f>
        <v/>
      </c>
      <c r="BE341" s="118" t="str">
        <f>IF(BE$6="","",IF(BE$3="Maior",IFERROR(IF(VLOOKUP($N341,Capa!$A:$AE,BE$5,0)="",0,VLOOKUP($N341,Capa!$A:$AE,BE$5,0)),0),IF(ISERROR(1/VLOOKUP($N341,Capa!$A:$AE,BE$5,0)),0,1/VLOOKUP($N341,Capa!$A:$AE,BE$5,0))))</f>
        <v/>
      </c>
      <c r="BF341" s="118" t="str">
        <f>IF(BF$6="","",IF(BF$3="Maior",IFERROR(IF(VLOOKUP($N341,Capa!$A:$AE,BF$5,0)="",0,VLOOKUP($N341,Capa!$A:$AE,BF$5,0)),0),IF(ISERROR(1/VLOOKUP($N341,Capa!$A:$AE,BF$5,0)),0,1/VLOOKUP($N341,Capa!$A:$AE,BF$5,0))))</f>
        <v/>
      </c>
      <c r="BG341" s="118" t="str">
        <f>IF(BG$6="","",IF(BG$3="Maior",IFERROR(IF(VLOOKUP($N341,Capa!$A:$AE,BG$5,0)="",0,VLOOKUP($N341,Capa!$A:$AE,BG$5,0)),0),IF(ISERROR(1/VLOOKUP($N341,Capa!$A:$AE,BG$5,0)),0,1/VLOOKUP($N341,Capa!$A:$AE,BG$5,0))))</f>
        <v/>
      </c>
      <c r="BH341" s="118" t="str">
        <f>IF(BH$6="","",IF(BH$3="Maior",IFERROR(IF(VLOOKUP($N341,Capa!$A:$AE,BH$5,0)="",0,VLOOKUP($N341,Capa!$A:$AE,BH$5,0)),0),IF(ISERROR(1/VLOOKUP($N341,Capa!$A:$AE,BH$5,0)),0,1/VLOOKUP($N341,Capa!$A:$AE,BH$5,0))))</f>
        <v/>
      </c>
      <c r="BI341" s="118" t="str">
        <f>IF(BI$6="","",IF(BI$3="Maior",IFERROR(IF(VLOOKUP($N341,Capa!$A:$AE,BI$5,0)="",0,VLOOKUP($N341,Capa!$A:$AE,BI$5,0)),0),IF(ISERROR(1/VLOOKUP($N341,Capa!$A:$AE,BI$5,0)),0,1/VLOOKUP($N341,Capa!$A:$AE,BI$5,0))))</f>
        <v/>
      </c>
      <c r="BJ341" s="118" t="str">
        <f>IF(BJ$6="","",IF(BJ$3="Maior",IFERROR(IF(VLOOKUP($N341,Capa!$A:$AE,BJ$5,0)="",0,VLOOKUP($N341,Capa!$A:$AE,BJ$5,0)),0),IF(ISERROR(1/VLOOKUP($N341,Capa!$A:$AE,BJ$5,0)),0,1/VLOOKUP($N341,Capa!$A:$AE,BJ$5,0))))</f>
        <v/>
      </c>
      <c r="BK341" s="118" t="str">
        <f>IF(BK$6="","",IF(BK$3="Maior",IFERROR(IF(VLOOKUP($N341,Capa!$A:$AE,BK$5,0)="",0,VLOOKUP($N341,Capa!$A:$AE,BK$5,0)),0),IF(ISERROR(1/VLOOKUP($N341,Capa!$A:$AE,BK$5,0)),0,1/VLOOKUP($N341,Capa!$A:$AE,BK$5,0))))</f>
        <v/>
      </c>
      <c r="BL341" s="118" t="str">
        <f>IF(BL$6="","",IF(BL$3="Maior",IFERROR(IF(VLOOKUP($N341,Capa!$A:$AE,BL$5,0)="",0,VLOOKUP($N341,Capa!$A:$AE,BL$5,0)),0),IF(ISERROR(1/VLOOKUP($N341,Capa!$A:$AE,BL$5,0)),0,1/VLOOKUP($N341,Capa!$A:$AE,BL$5,0))))</f>
        <v/>
      </c>
      <c r="BM341" s="118" t="str">
        <f>IF(BM$6="","",IF(BM$3="Maior",IFERROR(IF(VLOOKUP($N341,Capa!$A:$AE,BM$5,0)="",0,VLOOKUP($N341,Capa!$A:$AE,BM$5,0)),0),IF(ISERROR(1/VLOOKUP($N341,Capa!$A:$AE,BM$5,0)),0,1/VLOOKUP($N341,Capa!$A:$AE,BM$5,0))))</f>
        <v/>
      </c>
      <c r="BN341" s="118" t="str">
        <f>IF(BN$6="","",IF(BN$3="Maior",IFERROR(IF(VLOOKUP($N341,Capa!$A:$AE,BN$5,0)="",0,VLOOKUP($N341,Capa!$A:$AE,BN$5,0)),0),IF(ISERROR(1/VLOOKUP($N341,Capa!$A:$AE,BN$5,0)),0,1/VLOOKUP($N341,Capa!$A:$AE,BN$5,0))))</f>
        <v/>
      </c>
      <c r="BO341" s="92"/>
    </row>
    <row r="342">
      <c r="G342" s="11"/>
      <c r="H342" s="11"/>
      <c r="I342" s="8"/>
      <c r="J342" s="132"/>
      <c r="K342" s="11"/>
      <c r="L342" s="11"/>
      <c r="M342" s="11"/>
      <c r="N342" s="10" t="s">
        <v>388</v>
      </c>
      <c r="O342" s="113">
        <f t="shared" si="8"/>
        <v>1408.0137</v>
      </c>
      <c r="P342" s="114">
        <f>VLOOKUP(N342,'Dados StatusInvest'!A:Z,26,0)</f>
        <v>160225.79</v>
      </c>
      <c r="Q342" s="115">
        <f t="shared" si="9"/>
        <v>137.0137</v>
      </c>
      <c r="R342" s="116">
        <f t="shared" ref="R342:AO342" si="345">IF(AQ342="","", RANK(AQ342,AQ$7:AQ$503,0))</f>
        <v>172</v>
      </c>
      <c r="S342" s="115">
        <f t="shared" si="345"/>
        <v>99</v>
      </c>
      <c r="T342" s="115" t="str">
        <f t="shared" si="345"/>
        <v/>
      </c>
      <c r="U342" s="115" t="str">
        <f t="shared" si="345"/>
        <v/>
      </c>
      <c r="V342" s="115" t="str">
        <f t="shared" si="345"/>
        <v/>
      </c>
      <c r="W342" s="115" t="str">
        <f t="shared" si="345"/>
        <v/>
      </c>
      <c r="X342" s="115" t="str">
        <f t="shared" si="345"/>
        <v/>
      </c>
      <c r="Y342" s="115" t="str">
        <f t="shared" si="345"/>
        <v/>
      </c>
      <c r="Z342" s="115" t="str">
        <f t="shared" si="345"/>
        <v/>
      </c>
      <c r="AA342" s="115" t="str">
        <f t="shared" si="345"/>
        <v/>
      </c>
      <c r="AB342" s="115" t="str">
        <f t="shared" si="345"/>
        <v/>
      </c>
      <c r="AC342" s="115" t="str">
        <f t="shared" si="345"/>
        <v/>
      </c>
      <c r="AD342" s="115" t="str">
        <f t="shared" si="345"/>
        <v/>
      </c>
      <c r="AE342" s="115" t="str">
        <f t="shared" si="345"/>
        <v/>
      </c>
      <c r="AF342" s="115" t="str">
        <f t="shared" si="345"/>
        <v/>
      </c>
      <c r="AG342" s="115" t="str">
        <f t="shared" si="345"/>
        <v/>
      </c>
      <c r="AH342" s="115" t="str">
        <f t="shared" si="345"/>
        <v/>
      </c>
      <c r="AI342" s="115" t="str">
        <f t="shared" si="345"/>
        <v/>
      </c>
      <c r="AJ342" s="115" t="str">
        <f t="shared" si="345"/>
        <v/>
      </c>
      <c r="AK342" s="115" t="str">
        <f t="shared" si="345"/>
        <v/>
      </c>
      <c r="AL342" s="115" t="str">
        <f t="shared" si="345"/>
        <v/>
      </c>
      <c r="AM342" s="115" t="str">
        <f t="shared" si="345"/>
        <v/>
      </c>
      <c r="AN342" s="115" t="str">
        <f t="shared" si="345"/>
        <v/>
      </c>
      <c r="AO342" s="115" t="str">
        <f t="shared" si="345"/>
        <v/>
      </c>
      <c r="AP342" s="117">
        <f>IF(AP$6="","",IF(AP$3="Maior",IFERROR(IF(VLOOKUP($N342,Capa!$A:$AE,AP$5,0)="",0,VLOOKUP($N342,Capa!$A:$AE,AP$5,0)),0),IF(ISERROR(1/VLOOKUP($N342,Capa!$A:$AE,AP$5,0)),0,1/VLOOKUP($N342,Capa!$A:$AE,AP$5,0))))</f>
        <v>0.1421914066</v>
      </c>
      <c r="AQ342" s="118">
        <f>IF(AQ$6="","",IF(AQ$3="Maior",IFERROR(IF(VLOOKUP($N342,Capa!$A:$AE,AQ$5,0)="",0,VLOOKUP($N342,Capa!$A:$AE,AQ$5,0)),0),IF(ISERROR(1/VLOOKUP($N342,Capa!$A:$AE,AQ$5,0)),0,1/VLOOKUP($N342,Capa!$A:$AE,AQ$5,0))))</f>
        <v>12.73</v>
      </c>
      <c r="AR342" s="118">
        <f>IF(AR$6="","",IF(AR$3="Maior",IFERROR(IF(VLOOKUP($N342,Capa!$A:$AE,AR$5,0)="",0,VLOOKUP($N342,Capa!$A:$AE,AR$5,0)),0),IF(ISERROR(1/VLOOKUP($N342,Capa!$A:$AE,AR$5,0)),0,1/VLOOKUP($N342,Capa!$A:$AE,AR$5,0))))</f>
        <v>25.65</v>
      </c>
      <c r="AS342" s="118" t="str">
        <f>IF(AS$6="","",IF(AS$3="Maior",IFERROR(IF(VLOOKUP($N342,Capa!$A:$AE,AS$5,0)="",0,VLOOKUP($N342,Capa!$A:$AE,AS$5,0)),0),IF(ISERROR(1/VLOOKUP($N342,Capa!$A:$AE,AS$5,0)),0,1/VLOOKUP($N342,Capa!$A:$AE,AS$5,0))))</f>
        <v/>
      </c>
      <c r="AT342" s="118" t="str">
        <f>IF(AT$6="","",IF(AT$3="Maior",IFERROR(IF(VLOOKUP($N342,Capa!$A:$AE,AT$5,0)="",0,VLOOKUP($N342,Capa!$A:$AE,AT$5,0)),0),IF(ISERROR(1/VLOOKUP($N342,Capa!$A:$AE,AT$5,0)),0,1/VLOOKUP($N342,Capa!$A:$AE,AT$5,0))))</f>
        <v/>
      </c>
      <c r="AU342" s="118" t="str">
        <f>IF(AU$6="","",IF(AU$3="Maior",IFERROR(IF(VLOOKUP($N342,Capa!$A:$AE,AU$5,0)="",0,VLOOKUP($N342,Capa!$A:$AE,AU$5,0)),0),IF(ISERROR(1/VLOOKUP($N342,Capa!$A:$AE,AU$5,0)),0,1/VLOOKUP($N342,Capa!$A:$AE,AU$5,0))))</f>
        <v/>
      </c>
      <c r="AV342" s="118" t="str">
        <f>IF(AV$6="","",IF(AV$3="Maior",IFERROR(IF(VLOOKUP($N342,Capa!$A:$AE,AV$5,0)="",0,VLOOKUP($N342,Capa!$A:$AE,AV$5,0)),0),IF(ISERROR(1/VLOOKUP($N342,Capa!$A:$AE,AV$5,0)),0,1/VLOOKUP($N342,Capa!$A:$AE,AV$5,0))))</f>
        <v/>
      </c>
      <c r="AW342" s="118" t="str">
        <f>IF(AW$6="","",IF(AW$3="Maior",IFERROR(IF(VLOOKUP($N342,Capa!$A:$AE,AW$5,0)="",0,VLOOKUP($N342,Capa!$A:$AE,AW$5,0)),0),IF(ISERROR(1/VLOOKUP($N342,Capa!$A:$AE,AW$5,0)),0,1/VLOOKUP($N342,Capa!$A:$AE,AW$5,0))))</f>
        <v/>
      </c>
      <c r="AX342" s="118" t="str">
        <f>IF(AX$6="","",IF(AX$3="Maior",IFERROR(IF(VLOOKUP($N342,Capa!$A:$AE,AX$5,0)="",0,VLOOKUP($N342,Capa!$A:$AE,AX$5,0)),0),IF(ISERROR(1/VLOOKUP($N342,Capa!$A:$AE,AX$5,0)),0,1/VLOOKUP($N342,Capa!$A:$AE,AX$5,0))))</f>
        <v/>
      </c>
      <c r="AY342" s="118" t="str">
        <f>IF(AY$6="","",IF(AY$3="Maior",IFERROR(IF(VLOOKUP($N342,Capa!$A:$AE,AY$5,0)="",0,VLOOKUP($N342,Capa!$A:$AE,AY$5,0)),0),IF(ISERROR(1/VLOOKUP($N342,Capa!$A:$AE,AY$5,0)),0,1/VLOOKUP($N342,Capa!$A:$AE,AY$5,0))))</f>
        <v/>
      </c>
      <c r="AZ342" s="118" t="str">
        <f>IF(AZ$6="","",IF(AZ$3="Maior",IFERROR(IF(VLOOKUP($N342,Capa!$A:$AE,AZ$5,0)="",0,VLOOKUP($N342,Capa!$A:$AE,AZ$5,0)),0),IF(ISERROR(1/VLOOKUP($N342,Capa!$A:$AE,AZ$5,0)),0,1/VLOOKUP($N342,Capa!$A:$AE,AZ$5,0))))</f>
        <v/>
      </c>
      <c r="BA342" s="118" t="str">
        <f>IF(BA$6="","",IF(BA$3="Maior",IFERROR(IF(VLOOKUP($N342,Capa!$A:$AE,BA$5,0)="",0,VLOOKUP($N342,Capa!$A:$AE,BA$5,0)),0),IF(ISERROR(1/VLOOKUP($N342,Capa!$A:$AE,BA$5,0)),0,1/VLOOKUP($N342,Capa!$A:$AE,BA$5,0))))</f>
        <v/>
      </c>
      <c r="BB342" s="118" t="str">
        <f>IF(BB$6="","",IF(BB$3="Maior",IFERROR(IF(VLOOKUP($N342,Capa!$A:$AE,BB$5,0)="",0,VLOOKUP($N342,Capa!$A:$AE,BB$5,0)),0),IF(ISERROR(1/VLOOKUP($N342,Capa!$A:$AE,BB$5,0)),0,1/VLOOKUP($N342,Capa!$A:$AE,BB$5,0))))</f>
        <v/>
      </c>
      <c r="BC342" s="118" t="str">
        <f>IF(BC$6="","",IF(BC$3="Maior",IFERROR(IF(VLOOKUP($N342,Capa!$A:$AE,BC$5,0)="",0,VLOOKUP($N342,Capa!$A:$AE,BC$5,0)),0),IF(ISERROR(1/VLOOKUP($N342,Capa!$A:$AE,BC$5,0)),0,1/VLOOKUP($N342,Capa!$A:$AE,BC$5,0))))</f>
        <v/>
      </c>
      <c r="BD342" s="118" t="str">
        <f>IF(BD$6="","",IF(BD$3="Maior",IFERROR(IF(VLOOKUP($N342,Capa!$A:$AE,BD$5,0)="",0,VLOOKUP($N342,Capa!$A:$AE,BD$5,0)),0),IF(ISERROR(1/VLOOKUP($N342,Capa!$A:$AE,BD$5,0)),0,1/VLOOKUP($N342,Capa!$A:$AE,BD$5,0))))</f>
        <v/>
      </c>
      <c r="BE342" s="118" t="str">
        <f>IF(BE$6="","",IF(BE$3="Maior",IFERROR(IF(VLOOKUP($N342,Capa!$A:$AE,BE$5,0)="",0,VLOOKUP($N342,Capa!$A:$AE,BE$5,0)),0),IF(ISERROR(1/VLOOKUP($N342,Capa!$A:$AE,BE$5,0)),0,1/VLOOKUP($N342,Capa!$A:$AE,BE$5,0))))</f>
        <v/>
      </c>
      <c r="BF342" s="118" t="str">
        <f>IF(BF$6="","",IF(BF$3="Maior",IFERROR(IF(VLOOKUP($N342,Capa!$A:$AE,BF$5,0)="",0,VLOOKUP($N342,Capa!$A:$AE,BF$5,0)),0),IF(ISERROR(1/VLOOKUP($N342,Capa!$A:$AE,BF$5,0)),0,1/VLOOKUP($N342,Capa!$A:$AE,BF$5,0))))</f>
        <v/>
      </c>
      <c r="BG342" s="118" t="str">
        <f>IF(BG$6="","",IF(BG$3="Maior",IFERROR(IF(VLOOKUP($N342,Capa!$A:$AE,BG$5,0)="",0,VLOOKUP($N342,Capa!$A:$AE,BG$5,0)),0),IF(ISERROR(1/VLOOKUP($N342,Capa!$A:$AE,BG$5,0)),0,1/VLOOKUP($N342,Capa!$A:$AE,BG$5,0))))</f>
        <v/>
      </c>
      <c r="BH342" s="118" t="str">
        <f>IF(BH$6="","",IF(BH$3="Maior",IFERROR(IF(VLOOKUP($N342,Capa!$A:$AE,BH$5,0)="",0,VLOOKUP($N342,Capa!$A:$AE,BH$5,0)),0),IF(ISERROR(1/VLOOKUP($N342,Capa!$A:$AE,BH$5,0)),0,1/VLOOKUP($N342,Capa!$A:$AE,BH$5,0))))</f>
        <v/>
      </c>
      <c r="BI342" s="118" t="str">
        <f>IF(BI$6="","",IF(BI$3="Maior",IFERROR(IF(VLOOKUP($N342,Capa!$A:$AE,BI$5,0)="",0,VLOOKUP($N342,Capa!$A:$AE,BI$5,0)),0),IF(ISERROR(1/VLOOKUP($N342,Capa!$A:$AE,BI$5,0)),0,1/VLOOKUP($N342,Capa!$A:$AE,BI$5,0))))</f>
        <v/>
      </c>
      <c r="BJ342" s="118" t="str">
        <f>IF(BJ$6="","",IF(BJ$3="Maior",IFERROR(IF(VLOOKUP($N342,Capa!$A:$AE,BJ$5,0)="",0,VLOOKUP($N342,Capa!$A:$AE,BJ$5,0)),0),IF(ISERROR(1/VLOOKUP($N342,Capa!$A:$AE,BJ$5,0)),0,1/VLOOKUP($N342,Capa!$A:$AE,BJ$5,0))))</f>
        <v/>
      </c>
      <c r="BK342" s="118" t="str">
        <f>IF(BK$6="","",IF(BK$3="Maior",IFERROR(IF(VLOOKUP($N342,Capa!$A:$AE,BK$5,0)="",0,VLOOKUP($N342,Capa!$A:$AE,BK$5,0)),0),IF(ISERROR(1/VLOOKUP($N342,Capa!$A:$AE,BK$5,0)),0,1/VLOOKUP($N342,Capa!$A:$AE,BK$5,0))))</f>
        <v/>
      </c>
      <c r="BL342" s="118" t="str">
        <f>IF(BL$6="","",IF(BL$3="Maior",IFERROR(IF(VLOOKUP($N342,Capa!$A:$AE,BL$5,0)="",0,VLOOKUP($N342,Capa!$A:$AE,BL$5,0)),0),IF(ISERROR(1/VLOOKUP($N342,Capa!$A:$AE,BL$5,0)),0,1/VLOOKUP($N342,Capa!$A:$AE,BL$5,0))))</f>
        <v/>
      </c>
      <c r="BM342" s="118" t="str">
        <f>IF(BM$6="","",IF(BM$3="Maior",IFERROR(IF(VLOOKUP($N342,Capa!$A:$AE,BM$5,0)="",0,VLOOKUP($N342,Capa!$A:$AE,BM$5,0)),0),IF(ISERROR(1/VLOOKUP($N342,Capa!$A:$AE,BM$5,0)),0,1/VLOOKUP($N342,Capa!$A:$AE,BM$5,0))))</f>
        <v/>
      </c>
      <c r="BN342" s="118" t="str">
        <f>IF(BN$6="","",IF(BN$3="Maior",IFERROR(IF(VLOOKUP($N342,Capa!$A:$AE,BN$5,0)="",0,VLOOKUP($N342,Capa!$A:$AE,BN$5,0)),0),IF(ISERROR(1/VLOOKUP($N342,Capa!$A:$AE,BN$5,0)),0,1/VLOOKUP($N342,Capa!$A:$AE,BN$5,0))))</f>
        <v/>
      </c>
      <c r="BO342" s="92"/>
    </row>
    <row r="343">
      <c r="G343" s="11"/>
      <c r="H343" s="11"/>
      <c r="I343" s="8"/>
      <c r="J343" s="132"/>
      <c r="K343" s="11"/>
      <c r="L343" s="11"/>
      <c r="M343" s="11"/>
      <c r="N343" s="10" t="s">
        <v>389</v>
      </c>
      <c r="O343" s="113">
        <f t="shared" si="8"/>
        <v>2160.0466</v>
      </c>
      <c r="P343" s="114">
        <f>VLOOKUP(N343,'Dados StatusInvest'!A:Z,26,0)</f>
        <v>157257.42</v>
      </c>
      <c r="Q343" s="115">
        <f t="shared" si="9"/>
        <v>466.0466</v>
      </c>
      <c r="R343" s="116">
        <f t="shared" ref="R343:AO343" si="346">IF(AQ343="","", RANK(AQ343,AQ$7:AQ$503,0))</f>
        <v>475</v>
      </c>
      <c r="S343" s="115">
        <f t="shared" si="346"/>
        <v>219</v>
      </c>
      <c r="T343" s="115" t="str">
        <f t="shared" si="346"/>
        <v/>
      </c>
      <c r="U343" s="115" t="str">
        <f t="shared" si="346"/>
        <v/>
      </c>
      <c r="V343" s="115" t="str">
        <f t="shared" si="346"/>
        <v/>
      </c>
      <c r="W343" s="115" t="str">
        <f t="shared" si="346"/>
        <v/>
      </c>
      <c r="X343" s="115" t="str">
        <f t="shared" si="346"/>
        <v/>
      </c>
      <c r="Y343" s="115" t="str">
        <f t="shared" si="346"/>
        <v/>
      </c>
      <c r="Z343" s="115" t="str">
        <f t="shared" si="346"/>
        <v/>
      </c>
      <c r="AA343" s="115" t="str">
        <f t="shared" si="346"/>
        <v/>
      </c>
      <c r="AB343" s="115" t="str">
        <f t="shared" si="346"/>
        <v/>
      </c>
      <c r="AC343" s="115" t="str">
        <f t="shared" si="346"/>
        <v/>
      </c>
      <c r="AD343" s="115" t="str">
        <f t="shared" si="346"/>
        <v/>
      </c>
      <c r="AE343" s="115" t="str">
        <f t="shared" si="346"/>
        <v/>
      </c>
      <c r="AF343" s="115" t="str">
        <f t="shared" si="346"/>
        <v/>
      </c>
      <c r="AG343" s="115" t="str">
        <f t="shared" si="346"/>
        <v/>
      </c>
      <c r="AH343" s="115" t="str">
        <f t="shared" si="346"/>
        <v/>
      </c>
      <c r="AI343" s="115" t="str">
        <f t="shared" si="346"/>
        <v/>
      </c>
      <c r="AJ343" s="115" t="str">
        <f t="shared" si="346"/>
        <v/>
      </c>
      <c r="AK343" s="115" t="str">
        <f t="shared" si="346"/>
        <v/>
      </c>
      <c r="AL343" s="115" t="str">
        <f t="shared" si="346"/>
        <v/>
      </c>
      <c r="AM343" s="115" t="str">
        <f t="shared" si="346"/>
        <v/>
      </c>
      <c r="AN343" s="115" t="str">
        <f t="shared" si="346"/>
        <v/>
      </c>
      <c r="AO343" s="115" t="str">
        <f t="shared" si="346"/>
        <v/>
      </c>
      <c r="AP343" s="117">
        <f>IF(AP$6="","",IF(AP$3="Maior",IFERROR(IF(VLOOKUP($N343,Capa!$A:$AE,AP$5,0)="",0,VLOOKUP($N343,Capa!$A:$AE,AP$5,0)),0),IF(ISERROR(1/VLOOKUP($N343,Capa!$A:$AE,AP$5,0)),0,1/VLOOKUP($N343,Capa!$A:$AE,AP$5,0))))</f>
        <v>-0.1626175233</v>
      </c>
      <c r="AQ343" s="118">
        <f>IF(AQ$6="","",IF(AQ$3="Maior",IFERROR(IF(VLOOKUP($N343,Capa!$A:$AE,AQ$5,0)="",0,VLOOKUP($N343,Capa!$A:$AE,AQ$5,0)),0),IF(ISERROR(1/VLOOKUP($N343,Capa!$A:$AE,AQ$5,0)),0,1/VLOOKUP($N343,Capa!$A:$AE,AQ$5,0))))</f>
        <v>-19.42</v>
      </c>
      <c r="AR343" s="118">
        <f>IF(AR$6="","",IF(AR$3="Maior",IFERROR(IF(VLOOKUP($N343,Capa!$A:$AE,AR$5,0)="",0,VLOOKUP($N343,Capa!$A:$AE,AR$5,0)),0),IF(ISERROR(1/VLOOKUP($N343,Capa!$A:$AE,AR$5,0)),0,1/VLOOKUP($N343,Capa!$A:$AE,AR$5,0))))</f>
        <v>0</v>
      </c>
      <c r="AS343" s="118" t="str">
        <f>IF(AS$6="","",IF(AS$3="Maior",IFERROR(IF(VLOOKUP($N343,Capa!$A:$AE,AS$5,0)="",0,VLOOKUP($N343,Capa!$A:$AE,AS$5,0)),0),IF(ISERROR(1/VLOOKUP($N343,Capa!$A:$AE,AS$5,0)),0,1/VLOOKUP($N343,Capa!$A:$AE,AS$5,0))))</f>
        <v/>
      </c>
      <c r="AT343" s="118" t="str">
        <f>IF(AT$6="","",IF(AT$3="Maior",IFERROR(IF(VLOOKUP($N343,Capa!$A:$AE,AT$5,0)="",0,VLOOKUP($N343,Capa!$A:$AE,AT$5,0)),0),IF(ISERROR(1/VLOOKUP($N343,Capa!$A:$AE,AT$5,0)),0,1/VLOOKUP($N343,Capa!$A:$AE,AT$5,0))))</f>
        <v/>
      </c>
      <c r="AU343" s="118" t="str">
        <f>IF(AU$6="","",IF(AU$3="Maior",IFERROR(IF(VLOOKUP($N343,Capa!$A:$AE,AU$5,0)="",0,VLOOKUP($N343,Capa!$A:$AE,AU$5,0)),0),IF(ISERROR(1/VLOOKUP($N343,Capa!$A:$AE,AU$5,0)),0,1/VLOOKUP($N343,Capa!$A:$AE,AU$5,0))))</f>
        <v/>
      </c>
      <c r="AV343" s="118" t="str">
        <f>IF(AV$6="","",IF(AV$3="Maior",IFERROR(IF(VLOOKUP($N343,Capa!$A:$AE,AV$5,0)="",0,VLOOKUP($N343,Capa!$A:$AE,AV$5,0)),0),IF(ISERROR(1/VLOOKUP($N343,Capa!$A:$AE,AV$5,0)),0,1/VLOOKUP($N343,Capa!$A:$AE,AV$5,0))))</f>
        <v/>
      </c>
      <c r="AW343" s="118" t="str">
        <f>IF(AW$6="","",IF(AW$3="Maior",IFERROR(IF(VLOOKUP($N343,Capa!$A:$AE,AW$5,0)="",0,VLOOKUP($N343,Capa!$A:$AE,AW$5,0)),0),IF(ISERROR(1/VLOOKUP($N343,Capa!$A:$AE,AW$5,0)),0,1/VLOOKUP($N343,Capa!$A:$AE,AW$5,0))))</f>
        <v/>
      </c>
      <c r="AX343" s="118" t="str">
        <f>IF(AX$6="","",IF(AX$3="Maior",IFERROR(IF(VLOOKUP($N343,Capa!$A:$AE,AX$5,0)="",0,VLOOKUP($N343,Capa!$A:$AE,AX$5,0)),0),IF(ISERROR(1/VLOOKUP($N343,Capa!$A:$AE,AX$5,0)),0,1/VLOOKUP($N343,Capa!$A:$AE,AX$5,0))))</f>
        <v/>
      </c>
      <c r="AY343" s="118" t="str">
        <f>IF(AY$6="","",IF(AY$3="Maior",IFERROR(IF(VLOOKUP($N343,Capa!$A:$AE,AY$5,0)="",0,VLOOKUP($N343,Capa!$A:$AE,AY$5,0)),0),IF(ISERROR(1/VLOOKUP($N343,Capa!$A:$AE,AY$5,0)),0,1/VLOOKUP($N343,Capa!$A:$AE,AY$5,0))))</f>
        <v/>
      </c>
      <c r="AZ343" s="118" t="str">
        <f>IF(AZ$6="","",IF(AZ$3="Maior",IFERROR(IF(VLOOKUP($N343,Capa!$A:$AE,AZ$5,0)="",0,VLOOKUP($N343,Capa!$A:$AE,AZ$5,0)),0),IF(ISERROR(1/VLOOKUP($N343,Capa!$A:$AE,AZ$5,0)),0,1/VLOOKUP($N343,Capa!$A:$AE,AZ$5,0))))</f>
        <v/>
      </c>
      <c r="BA343" s="118" t="str">
        <f>IF(BA$6="","",IF(BA$3="Maior",IFERROR(IF(VLOOKUP($N343,Capa!$A:$AE,BA$5,0)="",0,VLOOKUP($N343,Capa!$A:$AE,BA$5,0)),0),IF(ISERROR(1/VLOOKUP($N343,Capa!$A:$AE,BA$5,0)),0,1/VLOOKUP($N343,Capa!$A:$AE,BA$5,0))))</f>
        <v/>
      </c>
      <c r="BB343" s="118" t="str">
        <f>IF(BB$6="","",IF(BB$3="Maior",IFERROR(IF(VLOOKUP($N343,Capa!$A:$AE,BB$5,0)="",0,VLOOKUP($N343,Capa!$A:$AE,BB$5,0)),0),IF(ISERROR(1/VLOOKUP($N343,Capa!$A:$AE,BB$5,0)),0,1/VLOOKUP($N343,Capa!$A:$AE,BB$5,0))))</f>
        <v/>
      </c>
      <c r="BC343" s="118" t="str">
        <f>IF(BC$6="","",IF(BC$3="Maior",IFERROR(IF(VLOOKUP($N343,Capa!$A:$AE,BC$5,0)="",0,VLOOKUP($N343,Capa!$A:$AE,BC$5,0)),0),IF(ISERROR(1/VLOOKUP($N343,Capa!$A:$AE,BC$5,0)),0,1/VLOOKUP($N343,Capa!$A:$AE,BC$5,0))))</f>
        <v/>
      </c>
      <c r="BD343" s="118" t="str">
        <f>IF(BD$6="","",IF(BD$3="Maior",IFERROR(IF(VLOOKUP($N343,Capa!$A:$AE,BD$5,0)="",0,VLOOKUP($N343,Capa!$A:$AE,BD$5,0)),0),IF(ISERROR(1/VLOOKUP($N343,Capa!$A:$AE,BD$5,0)),0,1/VLOOKUP($N343,Capa!$A:$AE,BD$5,0))))</f>
        <v/>
      </c>
      <c r="BE343" s="118" t="str">
        <f>IF(BE$6="","",IF(BE$3="Maior",IFERROR(IF(VLOOKUP($N343,Capa!$A:$AE,BE$5,0)="",0,VLOOKUP($N343,Capa!$A:$AE,BE$5,0)),0),IF(ISERROR(1/VLOOKUP($N343,Capa!$A:$AE,BE$5,0)),0,1/VLOOKUP($N343,Capa!$A:$AE,BE$5,0))))</f>
        <v/>
      </c>
      <c r="BF343" s="118" t="str">
        <f>IF(BF$6="","",IF(BF$3="Maior",IFERROR(IF(VLOOKUP($N343,Capa!$A:$AE,BF$5,0)="",0,VLOOKUP($N343,Capa!$A:$AE,BF$5,0)),0),IF(ISERROR(1/VLOOKUP($N343,Capa!$A:$AE,BF$5,0)),0,1/VLOOKUP($N343,Capa!$A:$AE,BF$5,0))))</f>
        <v/>
      </c>
      <c r="BG343" s="118" t="str">
        <f>IF(BG$6="","",IF(BG$3="Maior",IFERROR(IF(VLOOKUP($N343,Capa!$A:$AE,BG$5,0)="",0,VLOOKUP($N343,Capa!$A:$AE,BG$5,0)),0),IF(ISERROR(1/VLOOKUP($N343,Capa!$A:$AE,BG$5,0)),0,1/VLOOKUP($N343,Capa!$A:$AE,BG$5,0))))</f>
        <v/>
      </c>
      <c r="BH343" s="118" t="str">
        <f>IF(BH$6="","",IF(BH$3="Maior",IFERROR(IF(VLOOKUP($N343,Capa!$A:$AE,BH$5,0)="",0,VLOOKUP($N343,Capa!$A:$AE,BH$5,0)),0),IF(ISERROR(1/VLOOKUP($N343,Capa!$A:$AE,BH$5,0)),0,1/VLOOKUP($N343,Capa!$A:$AE,BH$5,0))))</f>
        <v/>
      </c>
      <c r="BI343" s="118" t="str">
        <f>IF(BI$6="","",IF(BI$3="Maior",IFERROR(IF(VLOOKUP($N343,Capa!$A:$AE,BI$5,0)="",0,VLOOKUP($N343,Capa!$A:$AE,BI$5,0)),0),IF(ISERROR(1/VLOOKUP($N343,Capa!$A:$AE,BI$5,0)),0,1/VLOOKUP($N343,Capa!$A:$AE,BI$5,0))))</f>
        <v/>
      </c>
      <c r="BJ343" s="118" t="str">
        <f>IF(BJ$6="","",IF(BJ$3="Maior",IFERROR(IF(VLOOKUP($N343,Capa!$A:$AE,BJ$5,0)="",0,VLOOKUP($N343,Capa!$A:$AE,BJ$5,0)),0),IF(ISERROR(1/VLOOKUP($N343,Capa!$A:$AE,BJ$5,0)),0,1/VLOOKUP($N343,Capa!$A:$AE,BJ$5,0))))</f>
        <v/>
      </c>
      <c r="BK343" s="118" t="str">
        <f>IF(BK$6="","",IF(BK$3="Maior",IFERROR(IF(VLOOKUP($N343,Capa!$A:$AE,BK$5,0)="",0,VLOOKUP($N343,Capa!$A:$AE,BK$5,0)),0),IF(ISERROR(1/VLOOKUP($N343,Capa!$A:$AE,BK$5,0)),0,1/VLOOKUP($N343,Capa!$A:$AE,BK$5,0))))</f>
        <v/>
      </c>
      <c r="BL343" s="118" t="str">
        <f>IF(BL$6="","",IF(BL$3="Maior",IFERROR(IF(VLOOKUP($N343,Capa!$A:$AE,BL$5,0)="",0,VLOOKUP($N343,Capa!$A:$AE,BL$5,0)),0),IF(ISERROR(1/VLOOKUP($N343,Capa!$A:$AE,BL$5,0)),0,1/VLOOKUP($N343,Capa!$A:$AE,BL$5,0))))</f>
        <v/>
      </c>
      <c r="BM343" s="118" t="str">
        <f>IF(BM$6="","",IF(BM$3="Maior",IFERROR(IF(VLOOKUP($N343,Capa!$A:$AE,BM$5,0)="",0,VLOOKUP($N343,Capa!$A:$AE,BM$5,0)),0),IF(ISERROR(1/VLOOKUP($N343,Capa!$A:$AE,BM$5,0)),0,1/VLOOKUP($N343,Capa!$A:$AE,BM$5,0))))</f>
        <v/>
      </c>
      <c r="BN343" s="118" t="str">
        <f>IF(BN$6="","",IF(BN$3="Maior",IFERROR(IF(VLOOKUP($N343,Capa!$A:$AE,BN$5,0)="",0,VLOOKUP($N343,Capa!$A:$AE,BN$5,0)),0),IF(ISERROR(1/VLOOKUP($N343,Capa!$A:$AE,BN$5,0)),0,1/VLOOKUP($N343,Capa!$A:$AE,BN$5,0))))</f>
        <v/>
      </c>
      <c r="BO343" s="92"/>
    </row>
    <row r="344">
      <c r="G344" s="11"/>
      <c r="H344" s="11"/>
      <c r="I344" s="8"/>
      <c r="J344" s="132"/>
      <c r="K344" s="11"/>
      <c r="L344" s="11"/>
      <c r="M344" s="11"/>
      <c r="N344" s="10" t="s">
        <v>390</v>
      </c>
      <c r="O344" s="113">
        <f t="shared" si="8"/>
        <v>1423.0168</v>
      </c>
      <c r="P344" s="114">
        <f>VLOOKUP(N344,'Dados StatusInvest'!A:Z,26,0)</f>
        <v>140938</v>
      </c>
      <c r="Q344" s="115">
        <f t="shared" si="9"/>
        <v>168.0168</v>
      </c>
      <c r="R344" s="116">
        <f t="shared" ref="R344:AO344" si="347">IF(AQ344="","", RANK(AQ344,AQ$7:AQ$503,0))</f>
        <v>212</v>
      </c>
      <c r="S344" s="115">
        <f t="shared" si="347"/>
        <v>43</v>
      </c>
      <c r="T344" s="115" t="str">
        <f t="shared" si="347"/>
        <v/>
      </c>
      <c r="U344" s="115" t="str">
        <f t="shared" si="347"/>
        <v/>
      </c>
      <c r="V344" s="115" t="str">
        <f t="shared" si="347"/>
        <v/>
      </c>
      <c r="W344" s="115" t="str">
        <f t="shared" si="347"/>
        <v/>
      </c>
      <c r="X344" s="115" t="str">
        <f t="shared" si="347"/>
        <v/>
      </c>
      <c r="Y344" s="115" t="str">
        <f t="shared" si="347"/>
        <v/>
      </c>
      <c r="Z344" s="115" t="str">
        <f t="shared" si="347"/>
        <v/>
      </c>
      <c r="AA344" s="115" t="str">
        <f t="shared" si="347"/>
        <v/>
      </c>
      <c r="AB344" s="115" t="str">
        <f t="shared" si="347"/>
        <v/>
      </c>
      <c r="AC344" s="115" t="str">
        <f t="shared" si="347"/>
        <v/>
      </c>
      <c r="AD344" s="115" t="str">
        <f t="shared" si="347"/>
        <v/>
      </c>
      <c r="AE344" s="115" t="str">
        <f t="shared" si="347"/>
        <v/>
      </c>
      <c r="AF344" s="115" t="str">
        <f t="shared" si="347"/>
        <v/>
      </c>
      <c r="AG344" s="115" t="str">
        <f t="shared" si="347"/>
        <v/>
      </c>
      <c r="AH344" s="115" t="str">
        <f t="shared" si="347"/>
        <v/>
      </c>
      <c r="AI344" s="115" t="str">
        <f t="shared" si="347"/>
        <v/>
      </c>
      <c r="AJ344" s="115" t="str">
        <f t="shared" si="347"/>
        <v/>
      </c>
      <c r="AK344" s="115" t="str">
        <f t="shared" si="347"/>
        <v/>
      </c>
      <c r="AL344" s="115" t="str">
        <f t="shared" si="347"/>
        <v/>
      </c>
      <c r="AM344" s="115" t="str">
        <f t="shared" si="347"/>
        <v/>
      </c>
      <c r="AN344" s="115" t="str">
        <f t="shared" si="347"/>
        <v/>
      </c>
      <c r="AO344" s="115" t="str">
        <f t="shared" si="347"/>
        <v/>
      </c>
      <c r="AP344" s="117">
        <f>IF(AP$6="","",IF(AP$3="Maior",IFERROR(IF(VLOOKUP($N344,Capa!$A:$AE,AP$5,0)="",0,VLOOKUP($N344,Capa!$A:$AE,AP$5,0)),0),IF(ISERROR(1/VLOOKUP($N344,Capa!$A:$AE,AP$5,0)),0,1/VLOOKUP($N344,Capa!$A:$AE,AP$5,0))))</f>
        <v>0.1237695668</v>
      </c>
      <c r="AQ344" s="118">
        <f>IF(AQ$6="","",IF(AQ$3="Maior",IFERROR(IF(VLOOKUP($N344,Capa!$A:$AE,AQ$5,0)="",0,VLOOKUP($N344,Capa!$A:$AE,AQ$5,0)),0),IF(ISERROR(1/VLOOKUP($N344,Capa!$A:$AE,AQ$5,0)),0,1/VLOOKUP($N344,Capa!$A:$AE,AQ$5,0))))</f>
        <v>10.44</v>
      </c>
      <c r="AR344" s="118">
        <f>IF(AR$6="","",IF(AR$3="Maior",IFERROR(IF(VLOOKUP($N344,Capa!$A:$AE,AR$5,0)="",0,VLOOKUP($N344,Capa!$A:$AE,AR$5,0)),0),IF(ISERROR(1/VLOOKUP($N344,Capa!$A:$AE,AR$5,0)),0,1/VLOOKUP($N344,Capa!$A:$AE,AR$5,0))))</f>
        <v>50.4</v>
      </c>
      <c r="AS344" s="118" t="str">
        <f>IF(AS$6="","",IF(AS$3="Maior",IFERROR(IF(VLOOKUP($N344,Capa!$A:$AE,AS$5,0)="",0,VLOOKUP($N344,Capa!$A:$AE,AS$5,0)),0),IF(ISERROR(1/VLOOKUP($N344,Capa!$A:$AE,AS$5,0)),0,1/VLOOKUP($N344,Capa!$A:$AE,AS$5,0))))</f>
        <v/>
      </c>
      <c r="AT344" s="118" t="str">
        <f>IF(AT$6="","",IF(AT$3="Maior",IFERROR(IF(VLOOKUP($N344,Capa!$A:$AE,AT$5,0)="",0,VLOOKUP($N344,Capa!$A:$AE,AT$5,0)),0),IF(ISERROR(1/VLOOKUP($N344,Capa!$A:$AE,AT$5,0)),0,1/VLOOKUP($N344,Capa!$A:$AE,AT$5,0))))</f>
        <v/>
      </c>
      <c r="AU344" s="118" t="str">
        <f>IF(AU$6="","",IF(AU$3="Maior",IFERROR(IF(VLOOKUP($N344,Capa!$A:$AE,AU$5,0)="",0,VLOOKUP($N344,Capa!$A:$AE,AU$5,0)),0),IF(ISERROR(1/VLOOKUP($N344,Capa!$A:$AE,AU$5,0)),0,1/VLOOKUP($N344,Capa!$A:$AE,AU$5,0))))</f>
        <v/>
      </c>
      <c r="AV344" s="118" t="str">
        <f>IF(AV$6="","",IF(AV$3="Maior",IFERROR(IF(VLOOKUP($N344,Capa!$A:$AE,AV$5,0)="",0,VLOOKUP($N344,Capa!$A:$AE,AV$5,0)),0),IF(ISERROR(1/VLOOKUP($N344,Capa!$A:$AE,AV$5,0)),0,1/VLOOKUP($N344,Capa!$A:$AE,AV$5,0))))</f>
        <v/>
      </c>
      <c r="AW344" s="118" t="str">
        <f>IF(AW$6="","",IF(AW$3="Maior",IFERROR(IF(VLOOKUP($N344,Capa!$A:$AE,AW$5,0)="",0,VLOOKUP($N344,Capa!$A:$AE,AW$5,0)),0),IF(ISERROR(1/VLOOKUP($N344,Capa!$A:$AE,AW$5,0)),0,1/VLOOKUP($N344,Capa!$A:$AE,AW$5,0))))</f>
        <v/>
      </c>
      <c r="AX344" s="118" t="str">
        <f>IF(AX$6="","",IF(AX$3="Maior",IFERROR(IF(VLOOKUP($N344,Capa!$A:$AE,AX$5,0)="",0,VLOOKUP($N344,Capa!$A:$AE,AX$5,0)),0),IF(ISERROR(1/VLOOKUP($N344,Capa!$A:$AE,AX$5,0)),0,1/VLOOKUP($N344,Capa!$A:$AE,AX$5,0))))</f>
        <v/>
      </c>
      <c r="AY344" s="118" t="str">
        <f>IF(AY$6="","",IF(AY$3="Maior",IFERROR(IF(VLOOKUP($N344,Capa!$A:$AE,AY$5,0)="",0,VLOOKUP($N344,Capa!$A:$AE,AY$5,0)),0),IF(ISERROR(1/VLOOKUP($N344,Capa!$A:$AE,AY$5,0)),0,1/VLOOKUP($N344,Capa!$A:$AE,AY$5,0))))</f>
        <v/>
      </c>
      <c r="AZ344" s="118" t="str">
        <f>IF(AZ$6="","",IF(AZ$3="Maior",IFERROR(IF(VLOOKUP($N344,Capa!$A:$AE,AZ$5,0)="",0,VLOOKUP($N344,Capa!$A:$AE,AZ$5,0)),0),IF(ISERROR(1/VLOOKUP($N344,Capa!$A:$AE,AZ$5,0)),0,1/VLOOKUP($N344,Capa!$A:$AE,AZ$5,0))))</f>
        <v/>
      </c>
      <c r="BA344" s="118" t="str">
        <f>IF(BA$6="","",IF(BA$3="Maior",IFERROR(IF(VLOOKUP($N344,Capa!$A:$AE,BA$5,0)="",0,VLOOKUP($N344,Capa!$A:$AE,BA$5,0)),0),IF(ISERROR(1/VLOOKUP($N344,Capa!$A:$AE,BA$5,0)),0,1/VLOOKUP($N344,Capa!$A:$AE,BA$5,0))))</f>
        <v/>
      </c>
      <c r="BB344" s="118" t="str">
        <f>IF(BB$6="","",IF(BB$3="Maior",IFERROR(IF(VLOOKUP($N344,Capa!$A:$AE,BB$5,0)="",0,VLOOKUP($N344,Capa!$A:$AE,BB$5,0)),0),IF(ISERROR(1/VLOOKUP($N344,Capa!$A:$AE,BB$5,0)),0,1/VLOOKUP($N344,Capa!$A:$AE,BB$5,0))))</f>
        <v/>
      </c>
      <c r="BC344" s="118" t="str">
        <f>IF(BC$6="","",IF(BC$3="Maior",IFERROR(IF(VLOOKUP($N344,Capa!$A:$AE,BC$5,0)="",0,VLOOKUP($N344,Capa!$A:$AE,BC$5,0)),0),IF(ISERROR(1/VLOOKUP($N344,Capa!$A:$AE,BC$5,0)),0,1/VLOOKUP($N344,Capa!$A:$AE,BC$5,0))))</f>
        <v/>
      </c>
      <c r="BD344" s="118" t="str">
        <f>IF(BD$6="","",IF(BD$3="Maior",IFERROR(IF(VLOOKUP($N344,Capa!$A:$AE,BD$5,0)="",0,VLOOKUP($N344,Capa!$A:$AE,BD$5,0)),0),IF(ISERROR(1/VLOOKUP($N344,Capa!$A:$AE,BD$5,0)),0,1/VLOOKUP($N344,Capa!$A:$AE,BD$5,0))))</f>
        <v/>
      </c>
      <c r="BE344" s="118" t="str">
        <f>IF(BE$6="","",IF(BE$3="Maior",IFERROR(IF(VLOOKUP($N344,Capa!$A:$AE,BE$5,0)="",0,VLOOKUP($N344,Capa!$A:$AE,BE$5,0)),0),IF(ISERROR(1/VLOOKUP($N344,Capa!$A:$AE,BE$5,0)),0,1/VLOOKUP($N344,Capa!$A:$AE,BE$5,0))))</f>
        <v/>
      </c>
      <c r="BF344" s="118" t="str">
        <f>IF(BF$6="","",IF(BF$3="Maior",IFERROR(IF(VLOOKUP($N344,Capa!$A:$AE,BF$5,0)="",0,VLOOKUP($N344,Capa!$A:$AE,BF$5,0)),0),IF(ISERROR(1/VLOOKUP($N344,Capa!$A:$AE,BF$5,0)),0,1/VLOOKUP($N344,Capa!$A:$AE,BF$5,0))))</f>
        <v/>
      </c>
      <c r="BG344" s="118" t="str">
        <f>IF(BG$6="","",IF(BG$3="Maior",IFERROR(IF(VLOOKUP($N344,Capa!$A:$AE,BG$5,0)="",0,VLOOKUP($N344,Capa!$A:$AE,BG$5,0)),0),IF(ISERROR(1/VLOOKUP($N344,Capa!$A:$AE,BG$5,0)),0,1/VLOOKUP($N344,Capa!$A:$AE,BG$5,0))))</f>
        <v/>
      </c>
      <c r="BH344" s="118" t="str">
        <f>IF(BH$6="","",IF(BH$3="Maior",IFERROR(IF(VLOOKUP($N344,Capa!$A:$AE,BH$5,0)="",0,VLOOKUP($N344,Capa!$A:$AE,BH$5,0)),0),IF(ISERROR(1/VLOOKUP($N344,Capa!$A:$AE,BH$5,0)),0,1/VLOOKUP($N344,Capa!$A:$AE,BH$5,0))))</f>
        <v/>
      </c>
      <c r="BI344" s="118" t="str">
        <f>IF(BI$6="","",IF(BI$3="Maior",IFERROR(IF(VLOOKUP($N344,Capa!$A:$AE,BI$5,0)="",0,VLOOKUP($N344,Capa!$A:$AE,BI$5,0)),0),IF(ISERROR(1/VLOOKUP($N344,Capa!$A:$AE,BI$5,0)),0,1/VLOOKUP($N344,Capa!$A:$AE,BI$5,0))))</f>
        <v/>
      </c>
      <c r="BJ344" s="118" t="str">
        <f>IF(BJ$6="","",IF(BJ$3="Maior",IFERROR(IF(VLOOKUP($N344,Capa!$A:$AE,BJ$5,0)="",0,VLOOKUP($N344,Capa!$A:$AE,BJ$5,0)),0),IF(ISERROR(1/VLOOKUP($N344,Capa!$A:$AE,BJ$5,0)),0,1/VLOOKUP($N344,Capa!$A:$AE,BJ$5,0))))</f>
        <v/>
      </c>
      <c r="BK344" s="118" t="str">
        <f>IF(BK$6="","",IF(BK$3="Maior",IFERROR(IF(VLOOKUP($N344,Capa!$A:$AE,BK$5,0)="",0,VLOOKUP($N344,Capa!$A:$AE,BK$5,0)),0),IF(ISERROR(1/VLOOKUP($N344,Capa!$A:$AE,BK$5,0)),0,1/VLOOKUP($N344,Capa!$A:$AE,BK$5,0))))</f>
        <v/>
      </c>
      <c r="BL344" s="118" t="str">
        <f>IF(BL$6="","",IF(BL$3="Maior",IFERROR(IF(VLOOKUP($N344,Capa!$A:$AE,BL$5,0)="",0,VLOOKUP($N344,Capa!$A:$AE,BL$5,0)),0),IF(ISERROR(1/VLOOKUP($N344,Capa!$A:$AE,BL$5,0)),0,1/VLOOKUP($N344,Capa!$A:$AE,BL$5,0))))</f>
        <v/>
      </c>
      <c r="BM344" s="118" t="str">
        <f>IF(BM$6="","",IF(BM$3="Maior",IFERROR(IF(VLOOKUP($N344,Capa!$A:$AE,BM$5,0)="",0,VLOOKUP($N344,Capa!$A:$AE,BM$5,0)),0),IF(ISERROR(1/VLOOKUP($N344,Capa!$A:$AE,BM$5,0)),0,1/VLOOKUP($N344,Capa!$A:$AE,BM$5,0))))</f>
        <v/>
      </c>
      <c r="BN344" s="118" t="str">
        <f>IF(BN$6="","",IF(BN$3="Maior",IFERROR(IF(VLOOKUP($N344,Capa!$A:$AE,BN$5,0)="",0,VLOOKUP($N344,Capa!$A:$AE,BN$5,0)),0),IF(ISERROR(1/VLOOKUP($N344,Capa!$A:$AE,BN$5,0)),0,1/VLOOKUP($N344,Capa!$A:$AE,BN$5,0))))</f>
        <v/>
      </c>
      <c r="BO344" s="92"/>
    </row>
    <row r="345">
      <c r="G345" s="11"/>
      <c r="H345" s="11"/>
      <c r="I345" s="8"/>
      <c r="J345" s="132"/>
      <c r="K345" s="11"/>
      <c r="L345" s="11"/>
      <c r="M345" s="11"/>
      <c r="N345" s="10" t="s">
        <v>391</v>
      </c>
      <c r="O345" s="113">
        <f t="shared" si="8"/>
        <v>1183.0031</v>
      </c>
      <c r="P345" s="114">
        <f>VLOOKUP(N345,'Dados StatusInvest'!A:Z,26,0)</f>
        <v>160247.75</v>
      </c>
      <c r="Q345" s="115">
        <f t="shared" si="9"/>
        <v>31.0031</v>
      </c>
      <c r="R345" s="116">
        <f t="shared" ref="R345:AO345" si="348">IF(AQ345="","", RANK(AQ345,AQ$7:AQ$503,0))</f>
        <v>95</v>
      </c>
      <c r="S345" s="115">
        <f t="shared" si="348"/>
        <v>57</v>
      </c>
      <c r="T345" s="115" t="str">
        <f t="shared" si="348"/>
        <v/>
      </c>
      <c r="U345" s="115" t="str">
        <f t="shared" si="348"/>
        <v/>
      </c>
      <c r="V345" s="115" t="str">
        <f t="shared" si="348"/>
        <v/>
      </c>
      <c r="W345" s="115" t="str">
        <f t="shared" si="348"/>
        <v/>
      </c>
      <c r="X345" s="115" t="str">
        <f t="shared" si="348"/>
        <v/>
      </c>
      <c r="Y345" s="115" t="str">
        <f t="shared" si="348"/>
        <v/>
      </c>
      <c r="Z345" s="115" t="str">
        <f t="shared" si="348"/>
        <v/>
      </c>
      <c r="AA345" s="115" t="str">
        <f t="shared" si="348"/>
        <v/>
      </c>
      <c r="AB345" s="115" t="str">
        <f t="shared" si="348"/>
        <v/>
      </c>
      <c r="AC345" s="115" t="str">
        <f t="shared" si="348"/>
        <v/>
      </c>
      <c r="AD345" s="115" t="str">
        <f t="shared" si="348"/>
        <v/>
      </c>
      <c r="AE345" s="115" t="str">
        <f t="shared" si="348"/>
        <v/>
      </c>
      <c r="AF345" s="115" t="str">
        <f t="shared" si="348"/>
        <v/>
      </c>
      <c r="AG345" s="115" t="str">
        <f t="shared" si="348"/>
        <v/>
      </c>
      <c r="AH345" s="115" t="str">
        <f t="shared" si="348"/>
        <v/>
      </c>
      <c r="AI345" s="115" t="str">
        <f t="shared" si="348"/>
        <v/>
      </c>
      <c r="AJ345" s="115" t="str">
        <f t="shared" si="348"/>
        <v/>
      </c>
      <c r="AK345" s="115" t="str">
        <f t="shared" si="348"/>
        <v/>
      </c>
      <c r="AL345" s="115" t="str">
        <f t="shared" si="348"/>
        <v/>
      </c>
      <c r="AM345" s="115" t="str">
        <f t="shared" si="348"/>
        <v/>
      </c>
      <c r="AN345" s="115" t="str">
        <f t="shared" si="348"/>
        <v/>
      </c>
      <c r="AO345" s="115" t="str">
        <f t="shared" si="348"/>
        <v/>
      </c>
      <c r="AP345" s="117">
        <f>IF(AP$6="","",IF(AP$3="Maior",IFERROR(IF(VLOOKUP($N345,Capa!$A:$AE,AP$5,0)="",0,VLOOKUP($N345,Capa!$A:$AE,AP$5,0)),0),IF(ISERROR(1/VLOOKUP($N345,Capa!$A:$AE,AP$5,0)),0,1/VLOOKUP($N345,Capa!$A:$AE,AP$5,0))))</f>
        <v>0.3067040091</v>
      </c>
      <c r="AQ345" s="118">
        <f>IF(AQ$6="","",IF(AQ$3="Maior",IFERROR(IF(VLOOKUP($N345,Capa!$A:$AE,AQ$5,0)="",0,VLOOKUP($N345,Capa!$A:$AE,AQ$5,0)),0),IF(ISERROR(1/VLOOKUP($N345,Capa!$A:$AE,AQ$5,0)),0,1/VLOOKUP($N345,Capa!$A:$AE,AQ$5,0))))</f>
        <v>18.28</v>
      </c>
      <c r="AR345" s="118">
        <f>IF(AR$6="","",IF(AR$3="Maior",IFERROR(IF(VLOOKUP($N345,Capa!$A:$AE,AR$5,0)="",0,VLOOKUP($N345,Capa!$A:$AE,AR$5,0)),0),IF(ISERROR(1/VLOOKUP($N345,Capa!$A:$AE,AR$5,0)),0,1/VLOOKUP($N345,Capa!$A:$AE,AR$5,0))))</f>
        <v>45.13</v>
      </c>
      <c r="AS345" s="118" t="str">
        <f>IF(AS$6="","",IF(AS$3="Maior",IFERROR(IF(VLOOKUP($N345,Capa!$A:$AE,AS$5,0)="",0,VLOOKUP($N345,Capa!$A:$AE,AS$5,0)),0),IF(ISERROR(1/VLOOKUP($N345,Capa!$A:$AE,AS$5,0)),0,1/VLOOKUP($N345,Capa!$A:$AE,AS$5,0))))</f>
        <v/>
      </c>
      <c r="AT345" s="118" t="str">
        <f>IF(AT$6="","",IF(AT$3="Maior",IFERROR(IF(VLOOKUP($N345,Capa!$A:$AE,AT$5,0)="",0,VLOOKUP($N345,Capa!$A:$AE,AT$5,0)),0),IF(ISERROR(1/VLOOKUP($N345,Capa!$A:$AE,AT$5,0)),0,1/VLOOKUP($N345,Capa!$A:$AE,AT$5,0))))</f>
        <v/>
      </c>
      <c r="AU345" s="118" t="str">
        <f>IF(AU$6="","",IF(AU$3="Maior",IFERROR(IF(VLOOKUP($N345,Capa!$A:$AE,AU$5,0)="",0,VLOOKUP($N345,Capa!$A:$AE,AU$5,0)),0),IF(ISERROR(1/VLOOKUP($N345,Capa!$A:$AE,AU$5,0)),0,1/VLOOKUP($N345,Capa!$A:$AE,AU$5,0))))</f>
        <v/>
      </c>
      <c r="AV345" s="118" t="str">
        <f>IF(AV$6="","",IF(AV$3="Maior",IFERROR(IF(VLOOKUP($N345,Capa!$A:$AE,AV$5,0)="",0,VLOOKUP($N345,Capa!$A:$AE,AV$5,0)),0),IF(ISERROR(1/VLOOKUP($N345,Capa!$A:$AE,AV$5,0)),0,1/VLOOKUP($N345,Capa!$A:$AE,AV$5,0))))</f>
        <v/>
      </c>
      <c r="AW345" s="118" t="str">
        <f>IF(AW$6="","",IF(AW$3="Maior",IFERROR(IF(VLOOKUP($N345,Capa!$A:$AE,AW$5,0)="",0,VLOOKUP($N345,Capa!$A:$AE,AW$5,0)),0),IF(ISERROR(1/VLOOKUP($N345,Capa!$A:$AE,AW$5,0)),0,1/VLOOKUP($N345,Capa!$A:$AE,AW$5,0))))</f>
        <v/>
      </c>
      <c r="AX345" s="118" t="str">
        <f>IF(AX$6="","",IF(AX$3="Maior",IFERROR(IF(VLOOKUP($N345,Capa!$A:$AE,AX$5,0)="",0,VLOOKUP($N345,Capa!$A:$AE,AX$5,0)),0),IF(ISERROR(1/VLOOKUP($N345,Capa!$A:$AE,AX$5,0)),0,1/VLOOKUP($N345,Capa!$A:$AE,AX$5,0))))</f>
        <v/>
      </c>
      <c r="AY345" s="118" t="str">
        <f>IF(AY$6="","",IF(AY$3="Maior",IFERROR(IF(VLOOKUP($N345,Capa!$A:$AE,AY$5,0)="",0,VLOOKUP($N345,Capa!$A:$AE,AY$5,0)),0),IF(ISERROR(1/VLOOKUP($N345,Capa!$A:$AE,AY$5,0)),0,1/VLOOKUP($N345,Capa!$A:$AE,AY$5,0))))</f>
        <v/>
      </c>
      <c r="AZ345" s="118" t="str">
        <f>IF(AZ$6="","",IF(AZ$3="Maior",IFERROR(IF(VLOOKUP($N345,Capa!$A:$AE,AZ$5,0)="",0,VLOOKUP($N345,Capa!$A:$AE,AZ$5,0)),0),IF(ISERROR(1/VLOOKUP($N345,Capa!$A:$AE,AZ$5,0)),0,1/VLOOKUP($N345,Capa!$A:$AE,AZ$5,0))))</f>
        <v/>
      </c>
      <c r="BA345" s="118" t="str">
        <f>IF(BA$6="","",IF(BA$3="Maior",IFERROR(IF(VLOOKUP($N345,Capa!$A:$AE,BA$5,0)="",0,VLOOKUP($N345,Capa!$A:$AE,BA$5,0)),0),IF(ISERROR(1/VLOOKUP($N345,Capa!$A:$AE,BA$5,0)),0,1/VLOOKUP($N345,Capa!$A:$AE,BA$5,0))))</f>
        <v/>
      </c>
      <c r="BB345" s="118" t="str">
        <f>IF(BB$6="","",IF(BB$3="Maior",IFERROR(IF(VLOOKUP($N345,Capa!$A:$AE,BB$5,0)="",0,VLOOKUP($N345,Capa!$A:$AE,BB$5,0)),0),IF(ISERROR(1/VLOOKUP($N345,Capa!$A:$AE,BB$5,0)),0,1/VLOOKUP($N345,Capa!$A:$AE,BB$5,0))))</f>
        <v/>
      </c>
      <c r="BC345" s="118" t="str">
        <f>IF(BC$6="","",IF(BC$3="Maior",IFERROR(IF(VLOOKUP($N345,Capa!$A:$AE,BC$5,0)="",0,VLOOKUP($N345,Capa!$A:$AE,BC$5,0)),0),IF(ISERROR(1/VLOOKUP($N345,Capa!$A:$AE,BC$5,0)),0,1/VLOOKUP($N345,Capa!$A:$AE,BC$5,0))))</f>
        <v/>
      </c>
      <c r="BD345" s="118" t="str">
        <f>IF(BD$6="","",IF(BD$3="Maior",IFERROR(IF(VLOOKUP($N345,Capa!$A:$AE,BD$5,0)="",0,VLOOKUP($N345,Capa!$A:$AE,BD$5,0)),0),IF(ISERROR(1/VLOOKUP($N345,Capa!$A:$AE,BD$5,0)),0,1/VLOOKUP($N345,Capa!$A:$AE,BD$5,0))))</f>
        <v/>
      </c>
      <c r="BE345" s="118" t="str">
        <f>IF(BE$6="","",IF(BE$3="Maior",IFERROR(IF(VLOOKUP($N345,Capa!$A:$AE,BE$5,0)="",0,VLOOKUP($N345,Capa!$A:$AE,BE$5,0)),0),IF(ISERROR(1/VLOOKUP($N345,Capa!$A:$AE,BE$5,0)),0,1/VLOOKUP($N345,Capa!$A:$AE,BE$5,0))))</f>
        <v/>
      </c>
      <c r="BF345" s="118" t="str">
        <f>IF(BF$6="","",IF(BF$3="Maior",IFERROR(IF(VLOOKUP($N345,Capa!$A:$AE,BF$5,0)="",0,VLOOKUP($N345,Capa!$A:$AE,BF$5,0)),0),IF(ISERROR(1/VLOOKUP($N345,Capa!$A:$AE,BF$5,0)),0,1/VLOOKUP($N345,Capa!$A:$AE,BF$5,0))))</f>
        <v/>
      </c>
      <c r="BG345" s="118" t="str">
        <f>IF(BG$6="","",IF(BG$3="Maior",IFERROR(IF(VLOOKUP($N345,Capa!$A:$AE,BG$5,0)="",0,VLOOKUP($N345,Capa!$A:$AE,BG$5,0)),0),IF(ISERROR(1/VLOOKUP($N345,Capa!$A:$AE,BG$5,0)),0,1/VLOOKUP($N345,Capa!$A:$AE,BG$5,0))))</f>
        <v/>
      </c>
      <c r="BH345" s="118" t="str">
        <f>IF(BH$6="","",IF(BH$3="Maior",IFERROR(IF(VLOOKUP($N345,Capa!$A:$AE,BH$5,0)="",0,VLOOKUP($N345,Capa!$A:$AE,BH$5,0)),0),IF(ISERROR(1/VLOOKUP($N345,Capa!$A:$AE,BH$5,0)),0,1/VLOOKUP($N345,Capa!$A:$AE,BH$5,0))))</f>
        <v/>
      </c>
      <c r="BI345" s="118" t="str">
        <f>IF(BI$6="","",IF(BI$3="Maior",IFERROR(IF(VLOOKUP($N345,Capa!$A:$AE,BI$5,0)="",0,VLOOKUP($N345,Capa!$A:$AE,BI$5,0)),0),IF(ISERROR(1/VLOOKUP($N345,Capa!$A:$AE,BI$5,0)),0,1/VLOOKUP($N345,Capa!$A:$AE,BI$5,0))))</f>
        <v/>
      </c>
      <c r="BJ345" s="118" t="str">
        <f>IF(BJ$6="","",IF(BJ$3="Maior",IFERROR(IF(VLOOKUP($N345,Capa!$A:$AE,BJ$5,0)="",0,VLOOKUP($N345,Capa!$A:$AE,BJ$5,0)),0),IF(ISERROR(1/VLOOKUP($N345,Capa!$A:$AE,BJ$5,0)),0,1/VLOOKUP($N345,Capa!$A:$AE,BJ$5,0))))</f>
        <v/>
      </c>
      <c r="BK345" s="118" t="str">
        <f>IF(BK$6="","",IF(BK$3="Maior",IFERROR(IF(VLOOKUP($N345,Capa!$A:$AE,BK$5,0)="",0,VLOOKUP($N345,Capa!$A:$AE,BK$5,0)),0),IF(ISERROR(1/VLOOKUP($N345,Capa!$A:$AE,BK$5,0)),0,1/VLOOKUP($N345,Capa!$A:$AE,BK$5,0))))</f>
        <v/>
      </c>
      <c r="BL345" s="118" t="str">
        <f>IF(BL$6="","",IF(BL$3="Maior",IFERROR(IF(VLOOKUP($N345,Capa!$A:$AE,BL$5,0)="",0,VLOOKUP($N345,Capa!$A:$AE,BL$5,0)),0),IF(ISERROR(1/VLOOKUP($N345,Capa!$A:$AE,BL$5,0)),0,1/VLOOKUP($N345,Capa!$A:$AE,BL$5,0))))</f>
        <v/>
      </c>
      <c r="BM345" s="118" t="str">
        <f>IF(BM$6="","",IF(BM$3="Maior",IFERROR(IF(VLOOKUP($N345,Capa!$A:$AE,BM$5,0)="",0,VLOOKUP($N345,Capa!$A:$AE,BM$5,0)),0),IF(ISERROR(1/VLOOKUP($N345,Capa!$A:$AE,BM$5,0)),0,1/VLOOKUP($N345,Capa!$A:$AE,BM$5,0))))</f>
        <v/>
      </c>
      <c r="BN345" s="118" t="str">
        <f>IF(BN$6="","",IF(BN$3="Maior",IFERROR(IF(VLOOKUP($N345,Capa!$A:$AE,BN$5,0)="",0,VLOOKUP($N345,Capa!$A:$AE,BN$5,0)),0),IF(ISERROR(1/VLOOKUP($N345,Capa!$A:$AE,BN$5,0)),0,1/VLOOKUP($N345,Capa!$A:$AE,BN$5,0))))</f>
        <v/>
      </c>
      <c r="BO345" s="92"/>
    </row>
    <row r="346">
      <c r="G346" s="11"/>
      <c r="H346" s="11"/>
      <c r="I346" s="8"/>
      <c r="J346" s="132"/>
      <c r="K346" s="11"/>
      <c r="L346" s="11"/>
      <c r="M346" s="11"/>
      <c r="N346" s="10" t="s">
        <v>392</v>
      </c>
      <c r="O346" s="113">
        <f t="shared" si="8"/>
        <v>1221.0084</v>
      </c>
      <c r="P346" s="114">
        <f>VLOOKUP(N346,'Dados StatusInvest'!A:Z,26,0)</f>
        <v>35000</v>
      </c>
      <c r="Q346" s="115">
        <f t="shared" si="9"/>
        <v>84.0084</v>
      </c>
      <c r="R346" s="116">
        <f t="shared" ref="R346:AO346" si="349">IF(AQ346="","", RANK(AQ346,AQ$7:AQ$503,0))</f>
        <v>77</v>
      </c>
      <c r="S346" s="115">
        <f t="shared" si="349"/>
        <v>60</v>
      </c>
      <c r="T346" s="115" t="str">
        <f t="shared" si="349"/>
        <v/>
      </c>
      <c r="U346" s="115" t="str">
        <f t="shared" si="349"/>
        <v/>
      </c>
      <c r="V346" s="115" t="str">
        <f t="shared" si="349"/>
        <v/>
      </c>
      <c r="W346" s="115" t="str">
        <f t="shared" si="349"/>
        <v/>
      </c>
      <c r="X346" s="115" t="str">
        <f t="shared" si="349"/>
        <v/>
      </c>
      <c r="Y346" s="115" t="str">
        <f t="shared" si="349"/>
        <v/>
      </c>
      <c r="Z346" s="115" t="str">
        <f t="shared" si="349"/>
        <v/>
      </c>
      <c r="AA346" s="115" t="str">
        <f t="shared" si="349"/>
        <v/>
      </c>
      <c r="AB346" s="115" t="str">
        <f t="shared" si="349"/>
        <v/>
      </c>
      <c r="AC346" s="115" t="str">
        <f t="shared" si="349"/>
        <v/>
      </c>
      <c r="AD346" s="115" t="str">
        <f t="shared" si="349"/>
        <v/>
      </c>
      <c r="AE346" s="115" t="str">
        <f t="shared" si="349"/>
        <v/>
      </c>
      <c r="AF346" s="115" t="str">
        <f t="shared" si="349"/>
        <v/>
      </c>
      <c r="AG346" s="115" t="str">
        <f t="shared" si="349"/>
        <v/>
      </c>
      <c r="AH346" s="115" t="str">
        <f t="shared" si="349"/>
        <v/>
      </c>
      <c r="AI346" s="115" t="str">
        <f t="shared" si="349"/>
        <v/>
      </c>
      <c r="AJ346" s="115" t="str">
        <f t="shared" si="349"/>
        <v/>
      </c>
      <c r="AK346" s="115" t="str">
        <f t="shared" si="349"/>
        <v/>
      </c>
      <c r="AL346" s="115" t="str">
        <f t="shared" si="349"/>
        <v/>
      </c>
      <c r="AM346" s="115" t="str">
        <f t="shared" si="349"/>
        <v/>
      </c>
      <c r="AN346" s="115" t="str">
        <f t="shared" si="349"/>
        <v/>
      </c>
      <c r="AO346" s="115" t="str">
        <f t="shared" si="349"/>
        <v/>
      </c>
      <c r="AP346" s="117">
        <f>IF(AP$6="","",IF(AP$3="Maior",IFERROR(IF(VLOOKUP($N346,Capa!$A:$AE,AP$5,0)="",0,VLOOKUP($N346,Capa!$A:$AE,AP$5,0)),0),IF(ISERROR(1/VLOOKUP($N346,Capa!$A:$AE,AP$5,0)),0,1/VLOOKUP($N346,Capa!$A:$AE,AP$5,0))))</f>
        <v>0.2083333333</v>
      </c>
      <c r="AQ346" s="118">
        <f>IF(AQ$6="","",IF(AQ$3="Maior",IFERROR(IF(VLOOKUP($N346,Capa!$A:$AE,AQ$5,0)="",0,VLOOKUP($N346,Capa!$A:$AE,AQ$5,0)),0),IF(ISERROR(1/VLOOKUP($N346,Capa!$A:$AE,AQ$5,0)),0,1/VLOOKUP($N346,Capa!$A:$AE,AQ$5,0))))</f>
        <v>20.13</v>
      </c>
      <c r="AR346" s="118">
        <f>IF(AR$6="","",IF(AR$3="Maior",IFERROR(IF(VLOOKUP($N346,Capa!$A:$AE,AR$5,0)="",0,VLOOKUP($N346,Capa!$A:$AE,AR$5,0)),0),IF(ISERROR(1/VLOOKUP($N346,Capa!$A:$AE,AR$5,0)),0,1/VLOOKUP($N346,Capa!$A:$AE,AR$5,0))))</f>
        <v>44.2</v>
      </c>
      <c r="AS346" s="118" t="str">
        <f>IF(AS$6="","",IF(AS$3="Maior",IFERROR(IF(VLOOKUP($N346,Capa!$A:$AE,AS$5,0)="",0,VLOOKUP($N346,Capa!$A:$AE,AS$5,0)),0),IF(ISERROR(1/VLOOKUP($N346,Capa!$A:$AE,AS$5,0)),0,1/VLOOKUP($N346,Capa!$A:$AE,AS$5,0))))</f>
        <v/>
      </c>
      <c r="AT346" s="118" t="str">
        <f>IF(AT$6="","",IF(AT$3="Maior",IFERROR(IF(VLOOKUP($N346,Capa!$A:$AE,AT$5,0)="",0,VLOOKUP($N346,Capa!$A:$AE,AT$5,0)),0),IF(ISERROR(1/VLOOKUP($N346,Capa!$A:$AE,AT$5,0)),0,1/VLOOKUP($N346,Capa!$A:$AE,AT$5,0))))</f>
        <v/>
      </c>
      <c r="AU346" s="118" t="str">
        <f>IF(AU$6="","",IF(AU$3="Maior",IFERROR(IF(VLOOKUP($N346,Capa!$A:$AE,AU$5,0)="",0,VLOOKUP($N346,Capa!$A:$AE,AU$5,0)),0),IF(ISERROR(1/VLOOKUP($N346,Capa!$A:$AE,AU$5,0)),0,1/VLOOKUP($N346,Capa!$A:$AE,AU$5,0))))</f>
        <v/>
      </c>
      <c r="AV346" s="118" t="str">
        <f>IF(AV$6="","",IF(AV$3="Maior",IFERROR(IF(VLOOKUP($N346,Capa!$A:$AE,AV$5,0)="",0,VLOOKUP($N346,Capa!$A:$AE,AV$5,0)),0),IF(ISERROR(1/VLOOKUP($N346,Capa!$A:$AE,AV$5,0)),0,1/VLOOKUP($N346,Capa!$A:$AE,AV$5,0))))</f>
        <v/>
      </c>
      <c r="AW346" s="118" t="str">
        <f>IF(AW$6="","",IF(AW$3="Maior",IFERROR(IF(VLOOKUP($N346,Capa!$A:$AE,AW$5,0)="",0,VLOOKUP($N346,Capa!$A:$AE,AW$5,0)),0),IF(ISERROR(1/VLOOKUP($N346,Capa!$A:$AE,AW$5,0)),0,1/VLOOKUP($N346,Capa!$A:$AE,AW$5,0))))</f>
        <v/>
      </c>
      <c r="AX346" s="118" t="str">
        <f>IF(AX$6="","",IF(AX$3="Maior",IFERROR(IF(VLOOKUP($N346,Capa!$A:$AE,AX$5,0)="",0,VLOOKUP($N346,Capa!$A:$AE,AX$5,0)),0),IF(ISERROR(1/VLOOKUP($N346,Capa!$A:$AE,AX$5,0)),0,1/VLOOKUP($N346,Capa!$A:$AE,AX$5,0))))</f>
        <v/>
      </c>
      <c r="AY346" s="118" t="str">
        <f>IF(AY$6="","",IF(AY$3="Maior",IFERROR(IF(VLOOKUP($N346,Capa!$A:$AE,AY$5,0)="",0,VLOOKUP($N346,Capa!$A:$AE,AY$5,0)),0),IF(ISERROR(1/VLOOKUP($N346,Capa!$A:$AE,AY$5,0)),0,1/VLOOKUP($N346,Capa!$A:$AE,AY$5,0))))</f>
        <v/>
      </c>
      <c r="AZ346" s="118" t="str">
        <f>IF(AZ$6="","",IF(AZ$3="Maior",IFERROR(IF(VLOOKUP($N346,Capa!$A:$AE,AZ$5,0)="",0,VLOOKUP($N346,Capa!$A:$AE,AZ$5,0)),0),IF(ISERROR(1/VLOOKUP($N346,Capa!$A:$AE,AZ$5,0)),0,1/VLOOKUP($N346,Capa!$A:$AE,AZ$5,0))))</f>
        <v/>
      </c>
      <c r="BA346" s="118" t="str">
        <f>IF(BA$6="","",IF(BA$3="Maior",IFERROR(IF(VLOOKUP($N346,Capa!$A:$AE,BA$5,0)="",0,VLOOKUP($N346,Capa!$A:$AE,BA$5,0)),0),IF(ISERROR(1/VLOOKUP($N346,Capa!$A:$AE,BA$5,0)),0,1/VLOOKUP($N346,Capa!$A:$AE,BA$5,0))))</f>
        <v/>
      </c>
      <c r="BB346" s="118" t="str">
        <f>IF(BB$6="","",IF(BB$3="Maior",IFERROR(IF(VLOOKUP($N346,Capa!$A:$AE,BB$5,0)="",0,VLOOKUP($N346,Capa!$A:$AE,BB$5,0)),0),IF(ISERROR(1/VLOOKUP($N346,Capa!$A:$AE,BB$5,0)),0,1/VLOOKUP($N346,Capa!$A:$AE,BB$5,0))))</f>
        <v/>
      </c>
      <c r="BC346" s="118" t="str">
        <f>IF(BC$6="","",IF(BC$3="Maior",IFERROR(IF(VLOOKUP($N346,Capa!$A:$AE,BC$5,0)="",0,VLOOKUP($N346,Capa!$A:$AE,BC$5,0)),0),IF(ISERROR(1/VLOOKUP($N346,Capa!$A:$AE,BC$5,0)),0,1/VLOOKUP($N346,Capa!$A:$AE,BC$5,0))))</f>
        <v/>
      </c>
      <c r="BD346" s="118" t="str">
        <f>IF(BD$6="","",IF(BD$3="Maior",IFERROR(IF(VLOOKUP($N346,Capa!$A:$AE,BD$5,0)="",0,VLOOKUP($N346,Capa!$A:$AE,BD$5,0)),0),IF(ISERROR(1/VLOOKUP($N346,Capa!$A:$AE,BD$5,0)),0,1/VLOOKUP($N346,Capa!$A:$AE,BD$5,0))))</f>
        <v/>
      </c>
      <c r="BE346" s="118" t="str">
        <f>IF(BE$6="","",IF(BE$3="Maior",IFERROR(IF(VLOOKUP($N346,Capa!$A:$AE,BE$5,0)="",0,VLOOKUP($N346,Capa!$A:$AE,BE$5,0)),0),IF(ISERROR(1/VLOOKUP($N346,Capa!$A:$AE,BE$5,0)),0,1/VLOOKUP($N346,Capa!$A:$AE,BE$5,0))))</f>
        <v/>
      </c>
      <c r="BF346" s="118" t="str">
        <f>IF(BF$6="","",IF(BF$3="Maior",IFERROR(IF(VLOOKUP($N346,Capa!$A:$AE,BF$5,0)="",0,VLOOKUP($N346,Capa!$A:$AE,BF$5,0)),0),IF(ISERROR(1/VLOOKUP($N346,Capa!$A:$AE,BF$5,0)),0,1/VLOOKUP($N346,Capa!$A:$AE,BF$5,0))))</f>
        <v/>
      </c>
      <c r="BG346" s="118" t="str">
        <f>IF(BG$6="","",IF(BG$3="Maior",IFERROR(IF(VLOOKUP($N346,Capa!$A:$AE,BG$5,0)="",0,VLOOKUP($N346,Capa!$A:$AE,BG$5,0)),0),IF(ISERROR(1/VLOOKUP($N346,Capa!$A:$AE,BG$5,0)),0,1/VLOOKUP($N346,Capa!$A:$AE,BG$5,0))))</f>
        <v/>
      </c>
      <c r="BH346" s="118" t="str">
        <f>IF(BH$6="","",IF(BH$3="Maior",IFERROR(IF(VLOOKUP($N346,Capa!$A:$AE,BH$5,0)="",0,VLOOKUP($N346,Capa!$A:$AE,BH$5,0)),0),IF(ISERROR(1/VLOOKUP($N346,Capa!$A:$AE,BH$5,0)),0,1/VLOOKUP($N346,Capa!$A:$AE,BH$5,0))))</f>
        <v/>
      </c>
      <c r="BI346" s="118" t="str">
        <f>IF(BI$6="","",IF(BI$3="Maior",IFERROR(IF(VLOOKUP($N346,Capa!$A:$AE,BI$5,0)="",0,VLOOKUP($N346,Capa!$A:$AE,BI$5,0)),0),IF(ISERROR(1/VLOOKUP($N346,Capa!$A:$AE,BI$5,0)),0,1/VLOOKUP($N346,Capa!$A:$AE,BI$5,0))))</f>
        <v/>
      </c>
      <c r="BJ346" s="118" t="str">
        <f>IF(BJ$6="","",IF(BJ$3="Maior",IFERROR(IF(VLOOKUP($N346,Capa!$A:$AE,BJ$5,0)="",0,VLOOKUP($N346,Capa!$A:$AE,BJ$5,0)),0),IF(ISERROR(1/VLOOKUP($N346,Capa!$A:$AE,BJ$5,0)),0,1/VLOOKUP($N346,Capa!$A:$AE,BJ$5,0))))</f>
        <v/>
      </c>
      <c r="BK346" s="118" t="str">
        <f>IF(BK$6="","",IF(BK$3="Maior",IFERROR(IF(VLOOKUP($N346,Capa!$A:$AE,BK$5,0)="",0,VLOOKUP($N346,Capa!$A:$AE,BK$5,0)),0),IF(ISERROR(1/VLOOKUP($N346,Capa!$A:$AE,BK$5,0)),0,1/VLOOKUP($N346,Capa!$A:$AE,BK$5,0))))</f>
        <v/>
      </c>
      <c r="BL346" s="118" t="str">
        <f>IF(BL$6="","",IF(BL$3="Maior",IFERROR(IF(VLOOKUP($N346,Capa!$A:$AE,BL$5,0)="",0,VLOOKUP($N346,Capa!$A:$AE,BL$5,0)),0),IF(ISERROR(1/VLOOKUP($N346,Capa!$A:$AE,BL$5,0)),0,1/VLOOKUP($N346,Capa!$A:$AE,BL$5,0))))</f>
        <v/>
      </c>
      <c r="BM346" s="118" t="str">
        <f>IF(BM$6="","",IF(BM$3="Maior",IFERROR(IF(VLOOKUP($N346,Capa!$A:$AE,BM$5,0)="",0,VLOOKUP($N346,Capa!$A:$AE,BM$5,0)),0),IF(ISERROR(1/VLOOKUP($N346,Capa!$A:$AE,BM$5,0)),0,1/VLOOKUP($N346,Capa!$A:$AE,BM$5,0))))</f>
        <v/>
      </c>
      <c r="BN346" s="118" t="str">
        <f>IF(BN$6="","",IF(BN$3="Maior",IFERROR(IF(VLOOKUP($N346,Capa!$A:$AE,BN$5,0)="",0,VLOOKUP($N346,Capa!$A:$AE,BN$5,0)),0),IF(ISERROR(1/VLOOKUP($N346,Capa!$A:$AE,BN$5,0)),0,1/VLOOKUP($N346,Capa!$A:$AE,BN$5,0))))</f>
        <v/>
      </c>
      <c r="BO346" s="92"/>
    </row>
    <row r="347">
      <c r="G347" s="11"/>
      <c r="H347" s="11"/>
      <c r="I347" s="8"/>
      <c r="J347" s="132"/>
      <c r="K347" s="11"/>
      <c r="L347" s="11"/>
      <c r="M347" s="11"/>
      <c r="N347" s="10" t="s">
        <v>393</v>
      </c>
      <c r="O347" s="113">
        <f t="shared" si="8"/>
        <v>1270.0029</v>
      </c>
      <c r="P347" s="114">
        <f>VLOOKUP(N347,'Dados StatusInvest'!A:Z,26,0)</f>
        <v>87098.08</v>
      </c>
      <c r="Q347" s="115">
        <f t="shared" si="9"/>
        <v>29.0029</v>
      </c>
      <c r="R347" s="116">
        <f t="shared" ref="R347:AO347" si="350">IF(AQ347="","", RANK(AQ347,AQ$7:AQ$503,0))</f>
        <v>22</v>
      </c>
      <c r="S347" s="115">
        <f t="shared" si="350"/>
        <v>219</v>
      </c>
      <c r="T347" s="115" t="str">
        <f t="shared" si="350"/>
        <v/>
      </c>
      <c r="U347" s="115" t="str">
        <f t="shared" si="350"/>
        <v/>
      </c>
      <c r="V347" s="115" t="str">
        <f t="shared" si="350"/>
        <v/>
      </c>
      <c r="W347" s="115" t="str">
        <f t="shared" si="350"/>
        <v/>
      </c>
      <c r="X347" s="115" t="str">
        <f t="shared" si="350"/>
        <v/>
      </c>
      <c r="Y347" s="115" t="str">
        <f t="shared" si="350"/>
        <v/>
      </c>
      <c r="Z347" s="115" t="str">
        <f t="shared" si="350"/>
        <v/>
      </c>
      <c r="AA347" s="115" t="str">
        <f t="shared" si="350"/>
        <v/>
      </c>
      <c r="AB347" s="115" t="str">
        <f t="shared" si="350"/>
        <v/>
      </c>
      <c r="AC347" s="115" t="str">
        <f t="shared" si="350"/>
        <v/>
      </c>
      <c r="AD347" s="115" t="str">
        <f t="shared" si="350"/>
        <v/>
      </c>
      <c r="AE347" s="115" t="str">
        <f t="shared" si="350"/>
        <v/>
      </c>
      <c r="AF347" s="115" t="str">
        <f t="shared" si="350"/>
        <v/>
      </c>
      <c r="AG347" s="115" t="str">
        <f t="shared" si="350"/>
        <v/>
      </c>
      <c r="AH347" s="115" t="str">
        <f t="shared" si="350"/>
        <v/>
      </c>
      <c r="AI347" s="115" t="str">
        <f t="shared" si="350"/>
        <v/>
      </c>
      <c r="AJ347" s="115" t="str">
        <f t="shared" si="350"/>
        <v/>
      </c>
      <c r="AK347" s="115" t="str">
        <f t="shared" si="350"/>
        <v/>
      </c>
      <c r="AL347" s="115" t="str">
        <f t="shared" si="350"/>
        <v/>
      </c>
      <c r="AM347" s="115" t="str">
        <f t="shared" si="350"/>
        <v/>
      </c>
      <c r="AN347" s="115" t="str">
        <f t="shared" si="350"/>
        <v/>
      </c>
      <c r="AO347" s="115" t="str">
        <f t="shared" si="350"/>
        <v/>
      </c>
      <c r="AP347" s="117">
        <f>IF(AP$6="","",IF(AP$3="Maior",IFERROR(IF(VLOOKUP($N347,Capa!$A:$AE,AP$5,0)="",0,VLOOKUP($N347,Capa!$A:$AE,AP$5,0)),0),IF(ISERROR(1/VLOOKUP($N347,Capa!$A:$AE,AP$5,0)),0,1/VLOOKUP($N347,Capa!$A:$AE,AP$5,0))))</f>
        <v>0.3111189112</v>
      </c>
      <c r="AQ347" s="118">
        <f>IF(AQ$6="","",IF(AQ$3="Maior",IFERROR(IF(VLOOKUP($N347,Capa!$A:$AE,AQ$5,0)="",0,VLOOKUP($N347,Capa!$A:$AE,AQ$5,0)),0),IF(ISERROR(1/VLOOKUP($N347,Capa!$A:$AE,AQ$5,0)),0,1/VLOOKUP($N347,Capa!$A:$AE,AQ$5,0))))</f>
        <v>59.79</v>
      </c>
      <c r="AR347" s="118">
        <f>IF(AR$6="","",IF(AR$3="Maior",IFERROR(IF(VLOOKUP($N347,Capa!$A:$AE,AR$5,0)="",0,VLOOKUP($N347,Capa!$A:$AE,AR$5,0)),0),IF(ISERROR(1/VLOOKUP($N347,Capa!$A:$AE,AR$5,0)),0,1/VLOOKUP($N347,Capa!$A:$AE,AR$5,0))))</f>
        <v>0</v>
      </c>
      <c r="AS347" s="118" t="str">
        <f>IF(AS$6="","",IF(AS$3="Maior",IFERROR(IF(VLOOKUP($N347,Capa!$A:$AE,AS$5,0)="",0,VLOOKUP($N347,Capa!$A:$AE,AS$5,0)),0),IF(ISERROR(1/VLOOKUP($N347,Capa!$A:$AE,AS$5,0)),0,1/VLOOKUP($N347,Capa!$A:$AE,AS$5,0))))</f>
        <v/>
      </c>
      <c r="AT347" s="118" t="str">
        <f>IF(AT$6="","",IF(AT$3="Maior",IFERROR(IF(VLOOKUP($N347,Capa!$A:$AE,AT$5,0)="",0,VLOOKUP($N347,Capa!$A:$AE,AT$5,0)),0),IF(ISERROR(1/VLOOKUP($N347,Capa!$A:$AE,AT$5,0)),0,1/VLOOKUP($N347,Capa!$A:$AE,AT$5,0))))</f>
        <v/>
      </c>
      <c r="AU347" s="118" t="str">
        <f>IF(AU$6="","",IF(AU$3="Maior",IFERROR(IF(VLOOKUP($N347,Capa!$A:$AE,AU$5,0)="",0,VLOOKUP($N347,Capa!$A:$AE,AU$5,0)),0),IF(ISERROR(1/VLOOKUP($N347,Capa!$A:$AE,AU$5,0)),0,1/VLOOKUP($N347,Capa!$A:$AE,AU$5,0))))</f>
        <v/>
      </c>
      <c r="AV347" s="118" t="str">
        <f>IF(AV$6="","",IF(AV$3="Maior",IFERROR(IF(VLOOKUP($N347,Capa!$A:$AE,AV$5,0)="",0,VLOOKUP($N347,Capa!$A:$AE,AV$5,0)),0),IF(ISERROR(1/VLOOKUP($N347,Capa!$A:$AE,AV$5,0)),0,1/VLOOKUP($N347,Capa!$A:$AE,AV$5,0))))</f>
        <v/>
      </c>
      <c r="AW347" s="118" t="str">
        <f>IF(AW$6="","",IF(AW$3="Maior",IFERROR(IF(VLOOKUP($N347,Capa!$A:$AE,AW$5,0)="",0,VLOOKUP($N347,Capa!$A:$AE,AW$5,0)),0),IF(ISERROR(1/VLOOKUP($N347,Capa!$A:$AE,AW$5,0)),0,1/VLOOKUP($N347,Capa!$A:$AE,AW$5,0))))</f>
        <v/>
      </c>
      <c r="AX347" s="118" t="str">
        <f>IF(AX$6="","",IF(AX$3="Maior",IFERROR(IF(VLOOKUP($N347,Capa!$A:$AE,AX$5,0)="",0,VLOOKUP($N347,Capa!$A:$AE,AX$5,0)),0),IF(ISERROR(1/VLOOKUP($N347,Capa!$A:$AE,AX$5,0)),0,1/VLOOKUP($N347,Capa!$A:$AE,AX$5,0))))</f>
        <v/>
      </c>
      <c r="AY347" s="118" t="str">
        <f>IF(AY$6="","",IF(AY$3="Maior",IFERROR(IF(VLOOKUP($N347,Capa!$A:$AE,AY$5,0)="",0,VLOOKUP($N347,Capa!$A:$AE,AY$5,0)),0),IF(ISERROR(1/VLOOKUP($N347,Capa!$A:$AE,AY$5,0)),0,1/VLOOKUP($N347,Capa!$A:$AE,AY$5,0))))</f>
        <v/>
      </c>
      <c r="AZ347" s="118" t="str">
        <f>IF(AZ$6="","",IF(AZ$3="Maior",IFERROR(IF(VLOOKUP($N347,Capa!$A:$AE,AZ$5,0)="",0,VLOOKUP($N347,Capa!$A:$AE,AZ$5,0)),0),IF(ISERROR(1/VLOOKUP($N347,Capa!$A:$AE,AZ$5,0)),0,1/VLOOKUP($N347,Capa!$A:$AE,AZ$5,0))))</f>
        <v/>
      </c>
      <c r="BA347" s="118" t="str">
        <f>IF(BA$6="","",IF(BA$3="Maior",IFERROR(IF(VLOOKUP($N347,Capa!$A:$AE,BA$5,0)="",0,VLOOKUP($N347,Capa!$A:$AE,BA$5,0)),0),IF(ISERROR(1/VLOOKUP($N347,Capa!$A:$AE,BA$5,0)),0,1/VLOOKUP($N347,Capa!$A:$AE,BA$5,0))))</f>
        <v/>
      </c>
      <c r="BB347" s="118" t="str">
        <f>IF(BB$6="","",IF(BB$3="Maior",IFERROR(IF(VLOOKUP($N347,Capa!$A:$AE,BB$5,0)="",0,VLOOKUP($N347,Capa!$A:$AE,BB$5,0)),0),IF(ISERROR(1/VLOOKUP($N347,Capa!$A:$AE,BB$5,0)),0,1/VLOOKUP($N347,Capa!$A:$AE,BB$5,0))))</f>
        <v/>
      </c>
      <c r="BC347" s="118" t="str">
        <f>IF(BC$6="","",IF(BC$3="Maior",IFERROR(IF(VLOOKUP($N347,Capa!$A:$AE,BC$5,0)="",0,VLOOKUP($N347,Capa!$A:$AE,BC$5,0)),0),IF(ISERROR(1/VLOOKUP($N347,Capa!$A:$AE,BC$5,0)),0,1/VLOOKUP($N347,Capa!$A:$AE,BC$5,0))))</f>
        <v/>
      </c>
      <c r="BD347" s="118" t="str">
        <f>IF(BD$6="","",IF(BD$3="Maior",IFERROR(IF(VLOOKUP($N347,Capa!$A:$AE,BD$5,0)="",0,VLOOKUP($N347,Capa!$A:$AE,BD$5,0)),0),IF(ISERROR(1/VLOOKUP($N347,Capa!$A:$AE,BD$5,0)),0,1/VLOOKUP($N347,Capa!$A:$AE,BD$5,0))))</f>
        <v/>
      </c>
      <c r="BE347" s="118" t="str">
        <f>IF(BE$6="","",IF(BE$3="Maior",IFERROR(IF(VLOOKUP($N347,Capa!$A:$AE,BE$5,0)="",0,VLOOKUP($N347,Capa!$A:$AE,BE$5,0)),0),IF(ISERROR(1/VLOOKUP($N347,Capa!$A:$AE,BE$5,0)),0,1/VLOOKUP($N347,Capa!$A:$AE,BE$5,0))))</f>
        <v/>
      </c>
      <c r="BF347" s="118" t="str">
        <f>IF(BF$6="","",IF(BF$3="Maior",IFERROR(IF(VLOOKUP($N347,Capa!$A:$AE,BF$5,0)="",0,VLOOKUP($N347,Capa!$A:$AE,BF$5,0)),0),IF(ISERROR(1/VLOOKUP($N347,Capa!$A:$AE,BF$5,0)),0,1/VLOOKUP($N347,Capa!$A:$AE,BF$5,0))))</f>
        <v/>
      </c>
      <c r="BG347" s="118" t="str">
        <f>IF(BG$6="","",IF(BG$3="Maior",IFERROR(IF(VLOOKUP($N347,Capa!$A:$AE,BG$5,0)="",0,VLOOKUP($N347,Capa!$A:$AE,BG$5,0)),0),IF(ISERROR(1/VLOOKUP($N347,Capa!$A:$AE,BG$5,0)),0,1/VLOOKUP($N347,Capa!$A:$AE,BG$5,0))))</f>
        <v/>
      </c>
      <c r="BH347" s="118" t="str">
        <f>IF(BH$6="","",IF(BH$3="Maior",IFERROR(IF(VLOOKUP($N347,Capa!$A:$AE,BH$5,0)="",0,VLOOKUP($N347,Capa!$A:$AE,BH$5,0)),0),IF(ISERROR(1/VLOOKUP($N347,Capa!$A:$AE,BH$5,0)),0,1/VLOOKUP($N347,Capa!$A:$AE,BH$5,0))))</f>
        <v/>
      </c>
      <c r="BI347" s="118" t="str">
        <f>IF(BI$6="","",IF(BI$3="Maior",IFERROR(IF(VLOOKUP($N347,Capa!$A:$AE,BI$5,0)="",0,VLOOKUP($N347,Capa!$A:$AE,BI$5,0)),0),IF(ISERROR(1/VLOOKUP($N347,Capa!$A:$AE,BI$5,0)),0,1/VLOOKUP($N347,Capa!$A:$AE,BI$5,0))))</f>
        <v/>
      </c>
      <c r="BJ347" s="118" t="str">
        <f>IF(BJ$6="","",IF(BJ$3="Maior",IFERROR(IF(VLOOKUP($N347,Capa!$A:$AE,BJ$5,0)="",0,VLOOKUP($N347,Capa!$A:$AE,BJ$5,0)),0),IF(ISERROR(1/VLOOKUP($N347,Capa!$A:$AE,BJ$5,0)),0,1/VLOOKUP($N347,Capa!$A:$AE,BJ$5,0))))</f>
        <v/>
      </c>
      <c r="BK347" s="118" t="str">
        <f>IF(BK$6="","",IF(BK$3="Maior",IFERROR(IF(VLOOKUP($N347,Capa!$A:$AE,BK$5,0)="",0,VLOOKUP($N347,Capa!$A:$AE,BK$5,0)),0),IF(ISERROR(1/VLOOKUP($N347,Capa!$A:$AE,BK$5,0)),0,1/VLOOKUP($N347,Capa!$A:$AE,BK$5,0))))</f>
        <v/>
      </c>
      <c r="BL347" s="118" t="str">
        <f>IF(BL$6="","",IF(BL$3="Maior",IFERROR(IF(VLOOKUP($N347,Capa!$A:$AE,BL$5,0)="",0,VLOOKUP($N347,Capa!$A:$AE,BL$5,0)),0),IF(ISERROR(1/VLOOKUP($N347,Capa!$A:$AE,BL$5,0)),0,1/VLOOKUP($N347,Capa!$A:$AE,BL$5,0))))</f>
        <v/>
      </c>
      <c r="BM347" s="118" t="str">
        <f>IF(BM$6="","",IF(BM$3="Maior",IFERROR(IF(VLOOKUP($N347,Capa!$A:$AE,BM$5,0)="",0,VLOOKUP($N347,Capa!$A:$AE,BM$5,0)),0),IF(ISERROR(1/VLOOKUP($N347,Capa!$A:$AE,BM$5,0)),0,1/VLOOKUP($N347,Capa!$A:$AE,BM$5,0))))</f>
        <v/>
      </c>
      <c r="BN347" s="118" t="str">
        <f>IF(BN$6="","",IF(BN$3="Maior",IFERROR(IF(VLOOKUP($N347,Capa!$A:$AE,BN$5,0)="",0,VLOOKUP($N347,Capa!$A:$AE,BN$5,0)),0),IF(ISERROR(1/VLOOKUP($N347,Capa!$A:$AE,BN$5,0)),0,1/VLOOKUP($N347,Capa!$A:$AE,BN$5,0))))</f>
        <v/>
      </c>
      <c r="BO347" s="92"/>
    </row>
    <row r="348">
      <c r="G348" s="11"/>
      <c r="H348" s="11"/>
      <c r="I348" s="8"/>
      <c r="J348" s="132"/>
      <c r="K348" s="11"/>
      <c r="L348" s="11"/>
      <c r="M348" s="11"/>
      <c r="N348" s="10" t="s">
        <v>394</v>
      </c>
      <c r="O348" s="113">
        <f t="shared" si="8"/>
        <v>1381.0267</v>
      </c>
      <c r="P348" s="114">
        <f>VLOOKUP(N348,'Dados StatusInvest'!A:Z,26,0)</f>
        <v>142842.77</v>
      </c>
      <c r="Q348" s="115">
        <f t="shared" si="9"/>
        <v>267.0267</v>
      </c>
      <c r="R348" s="116">
        <f t="shared" ref="R348:AO348" si="351">IF(AQ348="","", RANK(AQ348,AQ$7:AQ$503,0))</f>
        <v>98</v>
      </c>
      <c r="S348" s="115">
        <f t="shared" si="351"/>
        <v>16</v>
      </c>
      <c r="T348" s="115" t="str">
        <f t="shared" si="351"/>
        <v/>
      </c>
      <c r="U348" s="115" t="str">
        <f t="shared" si="351"/>
        <v/>
      </c>
      <c r="V348" s="115" t="str">
        <f t="shared" si="351"/>
        <v/>
      </c>
      <c r="W348" s="115" t="str">
        <f t="shared" si="351"/>
        <v/>
      </c>
      <c r="X348" s="115" t="str">
        <f t="shared" si="351"/>
        <v/>
      </c>
      <c r="Y348" s="115" t="str">
        <f t="shared" si="351"/>
        <v/>
      </c>
      <c r="Z348" s="115" t="str">
        <f t="shared" si="351"/>
        <v/>
      </c>
      <c r="AA348" s="115" t="str">
        <f t="shared" si="351"/>
        <v/>
      </c>
      <c r="AB348" s="115" t="str">
        <f t="shared" si="351"/>
        <v/>
      </c>
      <c r="AC348" s="115" t="str">
        <f t="shared" si="351"/>
        <v/>
      </c>
      <c r="AD348" s="115" t="str">
        <f t="shared" si="351"/>
        <v/>
      </c>
      <c r="AE348" s="115" t="str">
        <f t="shared" si="351"/>
        <v/>
      </c>
      <c r="AF348" s="115" t="str">
        <f t="shared" si="351"/>
        <v/>
      </c>
      <c r="AG348" s="115" t="str">
        <f t="shared" si="351"/>
        <v/>
      </c>
      <c r="AH348" s="115" t="str">
        <f t="shared" si="351"/>
        <v/>
      </c>
      <c r="AI348" s="115" t="str">
        <f t="shared" si="351"/>
        <v/>
      </c>
      <c r="AJ348" s="115" t="str">
        <f t="shared" si="351"/>
        <v/>
      </c>
      <c r="AK348" s="115" t="str">
        <f t="shared" si="351"/>
        <v/>
      </c>
      <c r="AL348" s="115" t="str">
        <f t="shared" si="351"/>
        <v/>
      </c>
      <c r="AM348" s="115" t="str">
        <f t="shared" si="351"/>
        <v/>
      </c>
      <c r="AN348" s="115" t="str">
        <f t="shared" si="351"/>
        <v/>
      </c>
      <c r="AO348" s="115" t="str">
        <f t="shared" si="351"/>
        <v/>
      </c>
      <c r="AP348" s="117">
        <f>IF(AP$6="","",IF(AP$3="Maior",IFERROR(IF(VLOOKUP($N348,Capa!$A:$AE,AP$5,0)="",0,VLOOKUP($N348,Capa!$A:$AE,AP$5,0)),0),IF(ISERROR(1/VLOOKUP($N348,Capa!$A:$AE,AP$5,0)),0,1/VLOOKUP($N348,Capa!$A:$AE,AP$5,0))))</f>
        <v>0.0723691047</v>
      </c>
      <c r="AQ348" s="118">
        <f>IF(AQ$6="","",IF(AQ$3="Maior",IFERROR(IF(VLOOKUP($N348,Capa!$A:$AE,AQ$5,0)="",0,VLOOKUP($N348,Capa!$A:$AE,AQ$5,0)),0),IF(ISERROR(1/VLOOKUP($N348,Capa!$A:$AE,AQ$5,0)),0,1/VLOOKUP($N348,Capa!$A:$AE,AQ$5,0))))</f>
        <v>18.13</v>
      </c>
      <c r="AR348" s="118">
        <f>IF(AR$6="","",IF(AR$3="Maior",IFERROR(IF(VLOOKUP($N348,Capa!$A:$AE,AR$5,0)="",0,VLOOKUP($N348,Capa!$A:$AE,AR$5,0)),0),IF(ISERROR(1/VLOOKUP($N348,Capa!$A:$AE,AR$5,0)),0,1/VLOOKUP($N348,Capa!$A:$AE,AR$5,0))))</f>
        <v>92.28</v>
      </c>
      <c r="AS348" s="118" t="str">
        <f>IF(AS$6="","",IF(AS$3="Maior",IFERROR(IF(VLOOKUP($N348,Capa!$A:$AE,AS$5,0)="",0,VLOOKUP($N348,Capa!$A:$AE,AS$5,0)),0),IF(ISERROR(1/VLOOKUP($N348,Capa!$A:$AE,AS$5,0)),0,1/VLOOKUP($N348,Capa!$A:$AE,AS$5,0))))</f>
        <v/>
      </c>
      <c r="AT348" s="118" t="str">
        <f>IF(AT$6="","",IF(AT$3="Maior",IFERROR(IF(VLOOKUP($N348,Capa!$A:$AE,AT$5,0)="",0,VLOOKUP($N348,Capa!$A:$AE,AT$5,0)),0),IF(ISERROR(1/VLOOKUP($N348,Capa!$A:$AE,AT$5,0)),0,1/VLOOKUP($N348,Capa!$A:$AE,AT$5,0))))</f>
        <v/>
      </c>
      <c r="AU348" s="118" t="str">
        <f>IF(AU$6="","",IF(AU$3="Maior",IFERROR(IF(VLOOKUP($N348,Capa!$A:$AE,AU$5,0)="",0,VLOOKUP($N348,Capa!$A:$AE,AU$5,0)),0),IF(ISERROR(1/VLOOKUP($N348,Capa!$A:$AE,AU$5,0)),0,1/VLOOKUP($N348,Capa!$A:$AE,AU$5,0))))</f>
        <v/>
      </c>
      <c r="AV348" s="118" t="str">
        <f>IF(AV$6="","",IF(AV$3="Maior",IFERROR(IF(VLOOKUP($N348,Capa!$A:$AE,AV$5,0)="",0,VLOOKUP($N348,Capa!$A:$AE,AV$5,0)),0),IF(ISERROR(1/VLOOKUP($N348,Capa!$A:$AE,AV$5,0)),0,1/VLOOKUP($N348,Capa!$A:$AE,AV$5,0))))</f>
        <v/>
      </c>
      <c r="AW348" s="118" t="str">
        <f>IF(AW$6="","",IF(AW$3="Maior",IFERROR(IF(VLOOKUP($N348,Capa!$A:$AE,AW$5,0)="",0,VLOOKUP($N348,Capa!$A:$AE,AW$5,0)),0),IF(ISERROR(1/VLOOKUP($N348,Capa!$A:$AE,AW$5,0)),0,1/VLOOKUP($N348,Capa!$A:$AE,AW$5,0))))</f>
        <v/>
      </c>
      <c r="AX348" s="118" t="str">
        <f>IF(AX$6="","",IF(AX$3="Maior",IFERROR(IF(VLOOKUP($N348,Capa!$A:$AE,AX$5,0)="",0,VLOOKUP($N348,Capa!$A:$AE,AX$5,0)),0),IF(ISERROR(1/VLOOKUP($N348,Capa!$A:$AE,AX$5,0)),0,1/VLOOKUP($N348,Capa!$A:$AE,AX$5,0))))</f>
        <v/>
      </c>
      <c r="AY348" s="118" t="str">
        <f>IF(AY$6="","",IF(AY$3="Maior",IFERROR(IF(VLOOKUP($N348,Capa!$A:$AE,AY$5,0)="",0,VLOOKUP($N348,Capa!$A:$AE,AY$5,0)),0),IF(ISERROR(1/VLOOKUP($N348,Capa!$A:$AE,AY$5,0)),0,1/VLOOKUP($N348,Capa!$A:$AE,AY$5,0))))</f>
        <v/>
      </c>
      <c r="AZ348" s="118" t="str">
        <f>IF(AZ$6="","",IF(AZ$3="Maior",IFERROR(IF(VLOOKUP($N348,Capa!$A:$AE,AZ$5,0)="",0,VLOOKUP($N348,Capa!$A:$AE,AZ$5,0)),0),IF(ISERROR(1/VLOOKUP($N348,Capa!$A:$AE,AZ$5,0)),0,1/VLOOKUP($N348,Capa!$A:$AE,AZ$5,0))))</f>
        <v/>
      </c>
      <c r="BA348" s="118" t="str">
        <f>IF(BA$6="","",IF(BA$3="Maior",IFERROR(IF(VLOOKUP($N348,Capa!$A:$AE,BA$5,0)="",0,VLOOKUP($N348,Capa!$A:$AE,BA$5,0)),0),IF(ISERROR(1/VLOOKUP($N348,Capa!$A:$AE,BA$5,0)),0,1/VLOOKUP($N348,Capa!$A:$AE,BA$5,0))))</f>
        <v/>
      </c>
      <c r="BB348" s="118" t="str">
        <f>IF(BB$6="","",IF(BB$3="Maior",IFERROR(IF(VLOOKUP($N348,Capa!$A:$AE,BB$5,0)="",0,VLOOKUP($N348,Capa!$A:$AE,BB$5,0)),0),IF(ISERROR(1/VLOOKUP($N348,Capa!$A:$AE,BB$5,0)),0,1/VLOOKUP($N348,Capa!$A:$AE,BB$5,0))))</f>
        <v/>
      </c>
      <c r="BC348" s="118" t="str">
        <f>IF(BC$6="","",IF(BC$3="Maior",IFERROR(IF(VLOOKUP($N348,Capa!$A:$AE,BC$5,0)="",0,VLOOKUP($N348,Capa!$A:$AE,BC$5,0)),0),IF(ISERROR(1/VLOOKUP($N348,Capa!$A:$AE,BC$5,0)),0,1/VLOOKUP($N348,Capa!$A:$AE,BC$5,0))))</f>
        <v/>
      </c>
      <c r="BD348" s="118" t="str">
        <f>IF(BD$6="","",IF(BD$3="Maior",IFERROR(IF(VLOOKUP($N348,Capa!$A:$AE,BD$5,0)="",0,VLOOKUP($N348,Capa!$A:$AE,BD$5,0)),0),IF(ISERROR(1/VLOOKUP($N348,Capa!$A:$AE,BD$5,0)),0,1/VLOOKUP($N348,Capa!$A:$AE,BD$5,0))))</f>
        <v/>
      </c>
      <c r="BE348" s="118" t="str">
        <f>IF(BE$6="","",IF(BE$3="Maior",IFERROR(IF(VLOOKUP($N348,Capa!$A:$AE,BE$5,0)="",0,VLOOKUP($N348,Capa!$A:$AE,BE$5,0)),0),IF(ISERROR(1/VLOOKUP($N348,Capa!$A:$AE,BE$5,0)),0,1/VLOOKUP($N348,Capa!$A:$AE,BE$5,0))))</f>
        <v/>
      </c>
      <c r="BF348" s="118" t="str">
        <f>IF(BF$6="","",IF(BF$3="Maior",IFERROR(IF(VLOOKUP($N348,Capa!$A:$AE,BF$5,0)="",0,VLOOKUP($N348,Capa!$A:$AE,BF$5,0)),0),IF(ISERROR(1/VLOOKUP($N348,Capa!$A:$AE,BF$5,0)),0,1/VLOOKUP($N348,Capa!$A:$AE,BF$5,0))))</f>
        <v/>
      </c>
      <c r="BG348" s="118" t="str">
        <f>IF(BG$6="","",IF(BG$3="Maior",IFERROR(IF(VLOOKUP($N348,Capa!$A:$AE,BG$5,0)="",0,VLOOKUP($N348,Capa!$A:$AE,BG$5,0)),0),IF(ISERROR(1/VLOOKUP($N348,Capa!$A:$AE,BG$5,0)),0,1/VLOOKUP($N348,Capa!$A:$AE,BG$5,0))))</f>
        <v/>
      </c>
      <c r="BH348" s="118" t="str">
        <f>IF(BH$6="","",IF(BH$3="Maior",IFERROR(IF(VLOOKUP($N348,Capa!$A:$AE,BH$5,0)="",0,VLOOKUP($N348,Capa!$A:$AE,BH$5,0)),0),IF(ISERROR(1/VLOOKUP($N348,Capa!$A:$AE,BH$5,0)),0,1/VLOOKUP($N348,Capa!$A:$AE,BH$5,0))))</f>
        <v/>
      </c>
      <c r="BI348" s="118" t="str">
        <f>IF(BI$6="","",IF(BI$3="Maior",IFERROR(IF(VLOOKUP($N348,Capa!$A:$AE,BI$5,0)="",0,VLOOKUP($N348,Capa!$A:$AE,BI$5,0)),0),IF(ISERROR(1/VLOOKUP($N348,Capa!$A:$AE,BI$5,0)),0,1/VLOOKUP($N348,Capa!$A:$AE,BI$5,0))))</f>
        <v/>
      </c>
      <c r="BJ348" s="118" t="str">
        <f>IF(BJ$6="","",IF(BJ$3="Maior",IFERROR(IF(VLOOKUP($N348,Capa!$A:$AE,BJ$5,0)="",0,VLOOKUP($N348,Capa!$A:$AE,BJ$5,0)),0),IF(ISERROR(1/VLOOKUP($N348,Capa!$A:$AE,BJ$5,0)),0,1/VLOOKUP($N348,Capa!$A:$AE,BJ$5,0))))</f>
        <v/>
      </c>
      <c r="BK348" s="118" t="str">
        <f>IF(BK$6="","",IF(BK$3="Maior",IFERROR(IF(VLOOKUP($N348,Capa!$A:$AE,BK$5,0)="",0,VLOOKUP($N348,Capa!$A:$AE,BK$5,0)),0),IF(ISERROR(1/VLOOKUP($N348,Capa!$A:$AE,BK$5,0)),0,1/VLOOKUP($N348,Capa!$A:$AE,BK$5,0))))</f>
        <v/>
      </c>
      <c r="BL348" s="118" t="str">
        <f>IF(BL$6="","",IF(BL$3="Maior",IFERROR(IF(VLOOKUP($N348,Capa!$A:$AE,BL$5,0)="",0,VLOOKUP($N348,Capa!$A:$AE,BL$5,0)),0),IF(ISERROR(1/VLOOKUP($N348,Capa!$A:$AE,BL$5,0)),0,1/VLOOKUP($N348,Capa!$A:$AE,BL$5,0))))</f>
        <v/>
      </c>
      <c r="BM348" s="118" t="str">
        <f>IF(BM$6="","",IF(BM$3="Maior",IFERROR(IF(VLOOKUP($N348,Capa!$A:$AE,BM$5,0)="",0,VLOOKUP($N348,Capa!$A:$AE,BM$5,0)),0),IF(ISERROR(1/VLOOKUP($N348,Capa!$A:$AE,BM$5,0)),0,1/VLOOKUP($N348,Capa!$A:$AE,BM$5,0))))</f>
        <v/>
      </c>
      <c r="BN348" s="118" t="str">
        <f>IF(BN$6="","",IF(BN$3="Maior",IFERROR(IF(VLOOKUP($N348,Capa!$A:$AE,BN$5,0)="",0,VLOOKUP($N348,Capa!$A:$AE,BN$5,0)),0),IF(ISERROR(1/VLOOKUP($N348,Capa!$A:$AE,BN$5,0)),0,1/VLOOKUP($N348,Capa!$A:$AE,BN$5,0))))</f>
        <v/>
      </c>
      <c r="BO348" s="92"/>
    </row>
    <row r="349">
      <c r="G349" s="11"/>
      <c r="H349" s="11"/>
      <c r="I349" s="8"/>
      <c r="J349" s="132"/>
      <c r="K349" s="11"/>
      <c r="L349" s="11"/>
      <c r="M349" s="11"/>
      <c r="N349" s="10" t="s">
        <v>395</v>
      </c>
      <c r="O349" s="113">
        <f t="shared" si="8"/>
        <v>1628.0074</v>
      </c>
      <c r="P349" s="114">
        <f>VLOOKUP(N349,'Dados StatusInvest'!A:Z,26,0)</f>
        <v>88658.5</v>
      </c>
      <c r="Q349" s="115">
        <f t="shared" si="9"/>
        <v>74.0074</v>
      </c>
      <c r="R349" s="116">
        <f t="shared" ref="R349:AO349" si="352">IF(AQ349="","", RANK(AQ349,AQ$7:AQ$503,0))</f>
        <v>375</v>
      </c>
      <c r="S349" s="115">
        <f t="shared" si="352"/>
        <v>179</v>
      </c>
      <c r="T349" s="115" t="str">
        <f t="shared" si="352"/>
        <v/>
      </c>
      <c r="U349" s="115" t="str">
        <f t="shared" si="352"/>
        <v/>
      </c>
      <c r="V349" s="115" t="str">
        <f t="shared" si="352"/>
        <v/>
      </c>
      <c r="W349" s="115" t="str">
        <f t="shared" si="352"/>
        <v/>
      </c>
      <c r="X349" s="115" t="str">
        <f t="shared" si="352"/>
        <v/>
      </c>
      <c r="Y349" s="115" t="str">
        <f t="shared" si="352"/>
        <v/>
      </c>
      <c r="Z349" s="115" t="str">
        <f t="shared" si="352"/>
        <v/>
      </c>
      <c r="AA349" s="115" t="str">
        <f t="shared" si="352"/>
        <v/>
      </c>
      <c r="AB349" s="115" t="str">
        <f t="shared" si="352"/>
        <v/>
      </c>
      <c r="AC349" s="115" t="str">
        <f t="shared" si="352"/>
        <v/>
      </c>
      <c r="AD349" s="115" t="str">
        <f t="shared" si="352"/>
        <v/>
      </c>
      <c r="AE349" s="115" t="str">
        <f t="shared" si="352"/>
        <v/>
      </c>
      <c r="AF349" s="115" t="str">
        <f t="shared" si="352"/>
        <v/>
      </c>
      <c r="AG349" s="115" t="str">
        <f t="shared" si="352"/>
        <v/>
      </c>
      <c r="AH349" s="115" t="str">
        <f t="shared" si="352"/>
        <v/>
      </c>
      <c r="AI349" s="115" t="str">
        <f t="shared" si="352"/>
        <v/>
      </c>
      <c r="AJ349" s="115" t="str">
        <f t="shared" si="352"/>
        <v/>
      </c>
      <c r="AK349" s="115" t="str">
        <f t="shared" si="352"/>
        <v/>
      </c>
      <c r="AL349" s="115" t="str">
        <f t="shared" si="352"/>
        <v/>
      </c>
      <c r="AM349" s="115" t="str">
        <f t="shared" si="352"/>
        <v/>
      </c>
      <c r="AN349" s="115" t="str">
        <f t="shared" si="352"/>
        <v/>
      </c>
      <c r="AO349" s="115" t="str">
        <f t="shared" si="352"/>
        <v/>
      </c>
      <c r="AP349" s="117">
        <f>IF(AP$6="","",IF(AP$3="Maior",IFERROR(IF(VLOOKUP($N349,Capa!$A:$AE,AP$5,0)="",0,VLOOKUP($N349,Capa!$A:$AE,AP$5,0)),0),IF(ISERROR(1/VLOOKUP($N349,Capa!$A:$AE,AP$5,0)),0,1/VLOOKUP($N349,Capa!$A:$AE,AP$5,0))))</f>
        <v>0.2142804471</v>
      </c>
      <c r="AQ349" s="118">
        <f>IF(AQ$6="","",IF(AQ$3="Maior",IFERROR(IF(VLOOKUP($N349,Capa!$A:$AE,AQ$5,0)="",0,VLOOKUP($N349,Capa!$A:$AE,AQ$5,0)),0),IF(ISERROR(1/VLOOKUP($N349,Capa!$A:$AE,AQ$5,0)),0,1/VLOOKUP($N349,Capa!$A:$AE,AQ$5,0))))</f>
        <v>0</v>
      </c>
      <c r="AR349" s="118">
        <f>IF(AR$6="","",IF(AR$3="Maior",IFERROR(IF(VLOOKUP($N349,Capa!$A:$AE,AR$5,0)="",0,VLOOKUP($N349,Capa!$A:$AE,AR$5,0)),0),IF(ISERROR(1/VLOOKUP($N349,Capa!$A:$AE,AR$5,0)),0,1/VLOOKUP($N349,Capa!$A:$AE,AR$5,0))))</f>
        <v>7.19</v>
      </c>
      <c r="AS349" s="118" t="str">
        <f>IF(AS$6="","",IF(AS$3="Maior",IFERROR(IF(VLOOKUP($N349,Capa!$A:$AE,AS$5,0)="",0,VLOOKUP($N349,Capa!$A:$AE,AS$5,0)),0),IF(ISERROR(1/VLOOKUP($N349,Capa!$A:$AE,AS$5,0)),0,1/VLOOKUP($N349,Capa!$A:$AE,AS$5,0))))</f>
        <v/>
      </c>
      <c r="AT349" s="118" t="str">
        <f>IF(AT$6="","",IF(AT$3="Maior",IFERROR(IF(VLOOKUP($N349,Capa!$A:$AE,AT$5,0)="",0,VLOOKUP($N349,Capa!$A:$AE,AT$5,0)),0),IF(ISERROR(1/VLOOKUP($N349,Capa!$A:$AE,AT$5,0)),0,1/VLOOKUP($N349,Capa!$A:$AE,AT$5,0))))</f>
        <v/>
      </c>
      <c r="AU349" s="118" t="str">
        <f>IF(AU$6="","",IF(AU$3="Maior",IFERROR(IF(VLOOKUP($N349,Capa!$A:$AE,AU$5,0)="",0,VLOOKUP($N349,Capa!$A:$AE,AU$5,0)),0),IF(ISERROR(1/VLOOKUP($N349,Capa!$A:$AE,AU$5,0)),0,1/VLOOKUP($N349,Capa!$A:$AE,AU$5,0))))</f>
        <v/>
      </c>
      <c r="AV349" s="118" t="str">
        <f>IF(AV$6="","",IF(AV$3="Maior",IFERROR(IF(VLOOKUP($N349,Capa!$A:$AE,AV$5,0)="",0,VLOOKUP($N349,Capa!$A:$AE,AV$5,0)),0),IF(ISERROR(1/VLOOKUP($N349,Capa!$A:$AE,AV$5,0)),0,1/VLOOKUP($N349,Capa!$A:$AE,AV$5,0))))</f>
        <v/>
      </c>
      <c r="AW349" s="118" t="str">
        <f>IF(AW$6="","",IF(AW$3="Maior",IFERROR(IF(VLOOKUP($N349,Capa!$A:$AE,AW$5,0)="",0,VLOOKUP($N349,Capa!$A:$AE,AW$5,0)),0),IF(ISERROR(1/VLOOKUP($N349,Capa!$A:$AE,AW$5,0)),0,1/VLOOKUP($N349,Capa!$A:$AE,AW$5,0))))</f>
        <v/>
      </c>
      <c r="AX349" s="118" t="str">
        <f>IF(AX$6="","",IF(AX$3="Maior",IFERROR(IF(VLOOKUP($N349,Capa!$A:$AE,AX$5,0)="",0,VLOOKUP($N349,Capa!$A:$AE,AX$5,0)),0),IF(ISERROR(1/VLOOKUP($N349,Capa!$A:$AE,AX$5,0)),0,1/VLOOKUP($N349,Capa!$A:$AE,AX$5,0))))</f>
        <v/>
      </c>
      <c r="AY349" s="118" t="str">
        <f>IF(AY$6="","",IF(AY$3="Maior",IFERROR(IF(VLOOKUP($N349,Capa!$A:$AE,AY$5,0)="",0,VLOOKUP($N349,Capa!$A:$AE,AY$5,0)),0),IF(ISERROR(1/VLOOKUP($N349,Capa!$A:$AE,AY$5,0)),0,1/VLOOKUP($N349,Capa!$A:$AE,AY$5,0))))</f>
        <v/>
      </c>
      <c r="AZ349" s="118" t="str">
        <f>IF(AZ$6="","",IF(AZ$3="Maior",IFERROR(IF(VLOOKUP($N349,Capa!$A:$AE,AZ$5,0)="",0,VLOOKUP($N349,Capa!$A:$AE,AZ$5,0)),0),IF(ISERROR(1/VLOOKUP($N349,Capa!$A:$AE,AZ$5,0)),0,1/VLOOKUP($N349,Capa!$A:$AE,AZ$5,0))))</f>
        <v/>
      </c>
      <c r="BA349" s="118" t="str">
        <f>IF(BA$6="","",IF(BA$3="Maior",IFERROR(IF(VLOOKUP($N349,Capa!$A:$AE,BA$5,0)="",0,VLOOKUP($N349,Capa!$A:$AE,BA$5,0)),0),IF(ISERROR(1/VLOOKUP($N349,Capa!$A:$AE,BA$5,0)),0,1/VLOOKUP($N349,Capa!$A:$AE,BA$5,0))))</f>
        <v/>
      </c>
      <c r="BB349" s="118" t="str">
        <f>IF(BB$6="","",IF(BB$3="Maior",IFERROR(IF(VLOOKUP($N349,Capa!$A:$AE,BB$5,0)="",0,VLOOKUP($N349,Capa!$A:$AE,BB$5,0)),0),IF(ISERROR(1/VLOOKUP($N349,Capa!$A:$AE,BB$5,0)),0,1/VLOOKUP($N349,Capa!$A:$AE,BB$5,0))))</f>
        <v/>
      </c>
      <c r="BC349" s="118" t="str">
        <f>IF(BC$6="","",IF(BC$3="Maior",IFERROR(IF(VLOOKUP($N349,Capa!$A:$AE,BC$5,0)="",0,VLOOKUP($N349,Capa!$A:$AE,BC$5,0)),0),IF(ISERROR(1/VLOOKUP($N349,Capa!$A:$AE,BC$5,0)),0,1/VLOOKUP($N349,Capa!$A:$AE,BC$5,0))))</f>
        <v/>
      </c>
      <c r="BD349" s="118" t="str">
        <f>IF(BD$6="","",IF(BD$3="Maior",IFERROR(IF(VLOOKUP($N349,Capa!$A:$AE,BD$5,0)="",0,VLOOKUP($N349,Capa!$A:$AE,BD$5,0)),0),IF(ISERROR(1/VLOOKUP($N349,Capa!$A:$AE,BD$5,0)),0,1/VLOOKUP($N349,Capa!$A:$AE,BD$5,0))))</f>
        <v/>
      </c>
      <c r="BE349" s="118" t="str">
        <f>IF(BE$6="","",IF(BE$3="Maior",IFERROR(IF(VLOOKUP($N349,Capa!$A:$AE,BE$5,0)="",0,VLOOKUP($N349,Capa!$A:$AE,BE$5,0)),0),IF(ISERROR(1/VLOOKUP($N349,Capa!$A:$AE,BE$5,0)),0,1/VLOOKUP($N349,Capa!$A:$AE,BE$5,0))))</f>
        <v/>
      </c>
      <c r="BF349" s="118" t="str">
        <f>IF(BF$6="","",IF(BF$3="Maior",IFERROR(IF(VLOOKUP($N349,Capa!$A:$AE,BF$5,0)="",0,VLOOKUP($N349,Capa!$A:$AE,BF$5,0)),0),IF(ISERROR(1/VLOOKUP($N349,Capa!$A:$AE,BF$5,0)),0,1/VLOOKUP($N349,Capa!$A:$AE,BF$5,0))))</f>
        <v/>
      </c>
      <c r="BG349" s="118" t="str">
        <f>IF(BG$6="","",IF(BG$3="Maior",IFERROR(IF(VLOOKUP($N349,Capa!$A:$AE,BG$5,0)="",0,VLOOKUP($N349,Capa!$A:$AE,BG$5,0)),0),IF(ISERROR(1/VLOOKUP($N349,Capa!$A:$AE,BG$5,0)),0,1/VLOOKUP($N349,Capa!$A:$AE,BG$5,0))))</f>
        <v/>
      </c>
      <c r="BH349" s="118" t="str">
        <f>IF(BH$6="","",IF(BH$3="Maior",IFERROR(IF(VLOOKUP($N349,Capa!$A:$AE,BH$5,0)="",0,VLOOKUP($N349,Capa!$A:$AE,BH$5,0)),0),IF(ISERROR(1/VLOOKUP($N349,Capa!$A:$AE,BH$5,0)),0,1/VLOOKUP($N349,Capa!$A:$AE,BH$5,0))))</f>
        <v/>
      </c>
      <c r="BI349" s="118" t="str">
        <f>IF(BI$6="","",IF(BI$3="Maior",IFERROR(IF(VLOOKUP($N349,Capa!$A:$AE,BI$5,0)="",0,VLOOKUP($N349,Capa!$A:$AE,BI$5,0)),0),IF(ISERROR(1/VLOOKUP($N349,Capa!$A:$AE,BI$5,0)),0,1/VLOOKUP($N349,Capa!$A:$AE,BI$5,0))))</f>
        <v/>
      </c>
      <c r="BJ349" s="118" t="str">
        <f>IF(BJ$6="","",IF(BJ$3="Maior",IFERROR(IF(VLOOKUP($N349,Capa!$A:$AE,BJ$5,0)="",0,VLOOKUP($N349,Capa!$A:$AE,BJ$5,0)),0),IF(ISERROR(1/VLOOKUP($N349,Capa!$A:$AE,BJ$5,0)),0,1/VLOOKUP($N349,Capa!$A:$AE,BJ$5,0))))</f>
        <v/>
      </c>
      <c r="BK349" s="118" t="str">
        <f>IF(BK$6="","",IF(BK$3="Maior",IFERROR(IF(VLOOKUP($N349,Capa!$A:$AE,BK$5,0)="",0,VLOOKUP($N349,Capa!$A:$AE,BK$5,0)),0),IF(ISERROR(1/VLOOKUP($N349,Capa!$A:$AE,BK$5,0)),0,1/VLOOKUP($N349,Capa!$A:$AE,BK$5,0))))</f>
        <v/>
      </c>
      <c r="BL349" s="118" t="str">
        <f>IF(BL$6="","",IF(BL$3="Maior",IFERROR(IF(VLOOKUP($N349,Capa!$A:$AE,BL$5,0)="",0,VLOOKUP($N349,Capa!$A:$AE,BL$5,0)),0),IF(ISERROR(1/VLOOKUP($N349,Capa!$A:$AE,BL$5,0)),0,1/VLOOKUP($N349,Capa!$A:$AE,BL$5,0))))</f>
        <v/>
      </c>
      <c r="BM349" s="118" t="str">
        <f>IF(BM$6="","",IF(BM$3="Maior",IFERROR(IF(VLOOKUP($N349,Capa!$A:$AE,BM$5,0)="",0,VLOOKUP($N349,Capa!$A:$AE,BM$5,0)),0),IF(ISERROR(1/VLOOKUP($N349,Capa!$A:$AE,BM$5,0)),0,1/VLOOKUP($N349,Capa!$A:$AE,BM$5,0))))</f>
        <v/>
      </c>
      <c r="BN349" s="118" t="str">
        <f>IF(BN$6="","",IF(BN$3="Maior",IFERROR(IF(VLOOKUP($N349,Capa!$A:$AE,BN$5,0)="",0,VLOOKUP($N349,Capa!$A:$AE,BN$5,0)),0),IF(ISERROR(1/VLOOKUP($N349,Capa!$A:$AE,BN$5,0)),0,1/VLOOKUP($N349,Capa!$A:$AE,BN$5,0))))</f>
        <v/>
      </c>
      <c r="BO349" s="92"/>
    </row>
    <row r="350">
      <c r="G350" s="11"/>
      <c r="H350" s="11"/>
      <c r="I350" s="8"/>
      <c r="J350" s="132"/>
      <c r="K350" s="11"/>
      <c r="L350" s="11"/>
      <c r="M350" s="11"/>
      <c r="N350" s="10" t="s">
        <v>396</v>
      </c>
      <c r="O350" s="113">
        <f t="shared" si="8"/>
        <v>1292.0038</v>
      </c>
      <c r="P350" s="114">
        <f>VLOOKUP(N350,'Dados StatusInvest'!A:Z,26,0)</f>
        <v>87521.13</v>
      </c>
      <c r="Q350" s="115">
        <f t="shared" si="9"/>
        <v>38.0038</v>
      </c>
      <c r="R350" s="116">
        <f t="shared" ref="R350:AO350" si="353">IF(AQ350="","", RANK(AQ350,AQ$7:AQ$503,0))</f>
        <v>35</v>
      </c>
      <c r="S350" s="115">
        <f t="shared" si="353"/>
        <v>219</v>
      </c>
      <c r="T350" s="115" t="str">
        <f t="shared" si="353"/>
        <v/>
      </c>
      <c r="U350" s="115" t="str">
        <f t="shared" si="353"/>
        <v/>
      </c>
      <c r="V350" s="115" t="str">
        <f t="shared" si="353"/>
        <v/>
      </c>
      <c r="W350" s="115" t="str">
        <f t="shared" si="353"/>
        <v/>
      </c>
      <c r="X350" s="115" t="str">
        <f t="shared" si="353"/>
        <v/>
      </c>
      <c r="Y350" s="115" t="str">
        <f t="shared" si="353"/>
        <v/>
      </c>
      <c r="Z350" s="115" t="str">
        <f t="shared" si="353"/>
        <v/>
      </c>
      <c r="AA350" s="115" t="str">
        <f t="shared" si="353"/>
        <v/>
      </c>
      <c r="AB350" s="115" t="str">
        <f t="shared" si="353"/>
        <v/>
      </c>
      <c r="AC350" s="115" t="str">
        <f t="shared" si="353"/>
        <v/>
      </c>
      <c r="AD350" s="115" t="str">
        <f t="shared" si="353"/>
        <v/>
      </c>
      <c r="AE350" s="115" t="str">
        <f t="shared" si="353"/>
        <v/>
      </c>
      <c r="AF350" s="115" t="str">
        <f t="shared" si="353"/>
        <v/>
      </c>
      <c r="AG350" s="115" t="str">
        <f t="shared" si="353"/>
        <v/>
      </c>
      <c r="AH350" s="115" t="str">
        <f t="shared" si="353"/>
        <v/>
      </c>
      <c r="AI350" s="115" t="str">
        <f t="shared" si="353"/>
        <v/>
      </c>
      <c r="AJ350" s="115" t="str">
        <f t="shared" si="353"/>
        <v/>
      </c>
      <c r="AK350" s="115" t="str">
        <f t="shared" si="353"/>
        <v/>
      </c>
      <c r="AL350" s="115" t="str">
        <f t="shared" si="353"/>
        <v/>
      </c>
      <c r="AM350" s="115" t="str">
        <f t="shared" si="353"/>
        <v/>
      </c>
      <c r="AN350" s="115" t="str">
        <f t="shared" si="353"/>
        <v/>
      </c>
      <c r="AO350" s="115" t="str">
        <f t="shared" si="353"/>
        <v/>
      </c>
      <c r="AP350" s="117">
        <f>IF(AP$6="","",IF(AP$3="Maior",IFERROR(IF(VLOOKUP($N350,Capa!$A:$AE,AP$5,0)="",0,VLOOKUP($N350,Capa!$A:$AE,AP$5,0)),0),IF(ISERROR(1/VLOOKUP($N350,Capa!$A:$AE,AP$5,0)),0,1/VLOOKUP($N350,Capa!$A:$AE,AP$5,0))))</f>
        <v>0.2783371728</v>
      </c>
      <c r="AQ350" s="118">
        <f>IF(AQ$6="","",IF(AQ$3="Maior",IFERROR(IF(VLOOKUP($N350,Capa!$A:$AE,AQ$5,0)="",0,VLOOKUP($N350,Capa!$A:$AE,AQ$5,0)),0),IF(ISERROR(1/VLOOKUP($N350,Capa!$A:$AE,AQ$5,0)),0,1/VLOOKUP($N350,Capa!$A:$AE,AQ$5,0))))</f>
        <v>34.68</v>
      </c>
      <c r="AR350" s="118">
        <f>IF(AR$6="","",IF(AR$3="Maior",IFERROR(IF(VLOOKUP($N350,Capa!$A:$AE,AR$5,0)="",0,VLOOKUP($N350,Capa!$A:$AE,AR$5,0)),0),IF(ISERROR(1/VLOOKUP($N350,Capa!$A:$AE,AR$5,0)),0,1/VLOOKUP($N350,Capa!$A:$AE,AR$5,0))))</f>
        <v>0</v>
      </c>
      <c r="AS350" s="118" t="str">
        <f>IF(AS$6="","",IF(AS$3="Maior",IFERROR(IF(VLOOKUP($N350,Capa!$A:$AE,AS$5,0)="",0,VLOOKUP($N350,Capa!$A:$AE,AS$5,0)),0),IF(ISERROR(1/VLOOKUP($N350,Capa!$A:$AE,AS$5,0)),0,1/VLOOKUP($N350,Capa!$A:$AE,AS$5,0))))</f>
        <v/>
      </c>
      <c r="AT350" s="118" t="str">
        <f>IF(AT$6="","",IF(AT$3="Maior",IFERROR(IF(VLOOKUP($N350,Capa!$A:$AE,AT$5,0)="",0,VLOOKUP($N350,Capa!$A:$AE,AT$5,0)),0),IF(ISERROR(1/VLOOKUP($N350,Capa!$A:$AE,AT$5,0)),0,1/VLOOKUP($N350,Capa!$A:$AE,AT$5,0))))</f>
        <v/>
      </c>
      <c r="AU350" s="118" t="str">
        <f>IF(AU$6="","",IF(AU$3="Maior",IFERROR(IF(VLOOKUP($N350,Capa!$A:$AE,AU$5,0)="",0,VLOOKUP($N350,Capa!$A:$AE,AU$5,0)),0),IF(ISERROR(1/VLOOKUP($N350,Capa!$A:$AE,AU$5,0)),0,1/VLOOKUP($N350,Capa!$A:$AE,AU$5,0))))</f>
        <v/>
      </c>
      <c r="AV350" s="118" t="str">
        <f>IF(AV$6="","",IF(AV$3="Maior",IFERROR(IF(VLOOKUP($N350,Capa!$A:$AE,AV$5,0)="",0,VLOOKUP($N350,Capa!$A:$AE,AV$5,0)),0),IF(ISERROR(1/VLOOKUP($N350,Capa!$A:$AE,AV$5,0)),0,1/VLOOKUP($N350,Capa!$A:$AE,AV$5,0))))</f>
        <v/>
      </c>
      <c r="AW350" s="118" t="str">
        <f>IF(AW$6="","",IF(AW$3="Maior",IFERROR(IF(VLOOKUP($N350,Capa!$A:$AE,AW$5,0)="",0,VLOOKUP($N350,Capa!$A:$AE,AW$5,0)),0),IF(ISERROR(1/VLOOKUP($N350,Capa!$A:$AE,AW$5,0)),0,1/VLOOKUP($N350,Capa!$A:$AE,AW$5,0))))</f>
        <v/>
      </c>
      <c r="AX350" s="118" t="str">
        <f>IF(AX$6="","",IF(AX$3="Maior",IFERROR(IF(VLOOKUP($N350,Capa!$A:$AE,AX$5,0)="",0,VLOOKUP($N350,Capa!$A:$AE,AX$5,0)),0),IF(ISERROR(1/VLOOKUP($N350,Capa!$A:$AE,AX$5,0)),0,1/VLOOKUP($N350,Capa!$A:$AE,AX$5,0))))</f>
        <v/>
      </c>
      <c r="AY350" s="118" t="str">
        <f>IF(AY$6="","",IF(AY$3="Maior",IFERROR(IF(VLOOKUP($N350,Capa!$A:$AE,AY$5,0)="",0,VLOOKUP($N350,Capa!$A:$AE,AY$5,0)),0),IF(ISERROR(1/VLOOKUP($N350,Capa!$A:$AE,AY$5,0)),0,1/VLOOKUP($N350,Capa!$A:$AE,AY$5,0))))</f>
        <v/>
      </c>
      <c r="AZ350" s="118" t="str">
        <f>IF(AZ$6="","",IF(AZ$3="Maior",IFERROR(IF(VLOOKUP($N350,Capa!$A:$AE,AZ$5,0)="",0,VLOOKUP($N350,Capa!$A:$AE,AZ$5,0)),0),IF(ISERROR(1/VLOOKUP($N350,Capa!$A:$AE,AZ$5,0)),0,1/VLOOKUP($N350,Capa!$A:$AE,AZ$5,0))))</f>
        <v/>
      </c>
      <c r="BA350" s="118" t="str">
        <f>IF(BA$6="","",IF(BA$3="Maior",IFERROR(IF(VLOOKUP($N350,Capa!$A:$AE,BA$5,0)="",0,VLOOKUP($N350,Capa!$A:$AE,BA$5,0)),0),IF(ISERROR(1/VLOOKUP($N350,Capa!$A:$AE,BA$5,0)),0,1/VLOOKUP($N350,Capa!$A:$AE,BA$5,0))))</f>
        <v/>
      </c>
      <c r="BB350" s="118" t="str">
        <f>IF(BB$6="","",IF(BB$3="Maior",IFERROR(IF(VLOOKUP($N350,Capa!$A:$AE,BB$5,0)="",0,VLOOKUP($N350,Capa!$A:$AE,BB$5,0)),0),IF(ISERROR(1/VLOOKUP($N350,Capa!$A:$AE,BB$5,0)),0,1/VLOOKUP($N350,Capa!$A:$AE,BB$5,0))))</f>
        <v/>
      </c>
      <c r="BC350" s="118" t="str">
        <f>IF(BC$6="","",IF(BC$3="Maior",IFERROR(IF(VLOOKUP($N350,Capa!$A:$AE,BC$5,0)="",0,VLOOKUP($N350,Capa!$A:$AE,BC$5,0)),0),IF(ISERROR(1/VLOOKUP($N350,Capa!$A:$AE,BC$5,0)),0,1/VLOOKUP($N350,Capa!$A:$AE,BC$5,0))))</f>
        <v/>
      </c>
      <c r="BD350" s="118" t="str">
        <f>IF(BD$6="","",IF(BD$3="Maior",IFERROR(IF(VLOOKUP($N350,Capa!$A:$AE,BD$5,0)="",0,VLOOKUP($N350,Capa!$A:$AE,BD$5,0)),0),IF(ISERROR(1/VLOOKUP($N350,Capa!$A:$AE,BD$5,0)),0,1/VLOOKUP($N350,Capa!$A:$AE,BD$5,0))))</f>
        <v/>
      </c>
      <c r="BE350" s="118" t="str">
        <f>IF(BE$6="","",IF(BE$3="Maior",IFERROR(IF(VLOOKUP($N350,Capa!$A:$AE,BE$5,0)="",0,VLOOKUP($N350,Capa!$A:$AE,BE$5,0)),0),IF(ISERROR(1/VLOOKUP($N350,Capa!$A:$AE,BE$5,0)),0,1/VLOOKUP($N350,Capa!$A:$AE,BE$5,0))))</f>
        <v/>
      </c>
      <c r="BF350" s="118" t="str">
        <f>IF(BF$6="","",IF(BF$3="Maior",IFERROR(IF(VLOOKUP($N350,Capa!$A:$AE,BF$5,0)="",0,VLOOKUP($N350,Capa!$A:$AE,BF$5,0)),0),IF(ISERROR(1/VLOOKUP($N350,Capa!$A:$AE,BF$5,0)),0,1/VLOOKUP($N350,Capa!$A:$AE,BF$5,0))))</f>
        <v/>
      </c>
      <c r="BG350" s="118" t="str">
        <f>IF(BG$6="","",IF(BG$3="Maior",IFERROR(IF(VLOOKUP($N350,Capa!$A:$AE,BG$5,0)="",0,VLOOKUP($N350,Capa!$A:$AE,BG$5,0)),0),IF(ISERROR(1/VLOOKUP($N350,Capa!$A:$AE,BG$5,0)),0,1/VLOOKUP($N350,Capa!$A:$AE,BG$5,0))))</f>
        <v/>
      </c>
      <c r="BH350" s="118" t="str">
        <f>IF(BH$6="","",IF(BH$3="Maior",IFERROR(IF(VLOOKUP($N350,Capa!$A:$AE,BH$5,0)="",0,VLOOKUP($N350,Capa!$A:$AE,BH$5,0)),0),IF(ISERROR(1/VLOOKUP($N350,Capa!$A:$AE,BH$5,0)),0,1/VLOOKUP($N350,Capa!$A:$AE,BH$5,0))))</f>
        <v/>
      </c>
      <c r="BI350" s="118" t="str">
        <f>IF(BI$6="","",IF(BI$3="Maior",IFERROR(IF(VLOOKUP($N350,Capa!$A:$AE,BI$5,0)="",0,VLOOKUP($N350,Capa!$A:$AE,BI$5,0)),0),IF(ISERROR(1/VLOOKUP($N350,Capa!$A:$AE,BI$5,0)),0,1/VLOOKUP($N350,Capa!$A:$AE,BI$5,0))))</f>
        <v/>
      </c>
      <c r="BJ350" s="118" t="str">
        <f>IF(BJ$6="","",IF(BJ$3="Maior",IFERROR(IF(VLOOKUP($N350,Capa!$A:$AE,BJ$5,0)="",0,VLOOKUP($N350,Capa!$A:$AE,BJ$5,0)),0),IF(ISERROR(1/VLOOKUP($N350,Capa!$A:$AE,BJ$5,0)),0,1/VLOOKUP($N350,Capa!$A:$AE,BJ$5,0))))</f>
        <v/>
      </c>
      <c r="BK350" s="118" t="str">
        <f>IF(BK$6="","",IF(BK$3="Maior",IFERROR(IF(VLOOKUP($N350,Capa!$A:$AE,BK$5,0)="",0,VLOOKUP($N350,Capa!$A:$AE,BK$5,0)),0),IF(ISERROR(1/VLOOKUP($N350,Capa!$A:$AE,BK$5,0)),0,1/VLOOKUP($N350,Capa!$A:$AE,BK$5,0))))</f>
        <v/>
      </c>
      <c r="BL350" s="118" t="str">
        <f>IF(BL$6="","",IF(BL$3="Maior",IFERROR(IF(VLOOKUP($N350,Capa!$A:$AE,BL$5,0)="",0,VLOOKUP($N350,Capa!$A:$AE,BL$5,0)),0),IF(ISERROR(1/VLOOKUP($N350,Capa!$A:$AE,BL$5,0)),0,1/VLOOKUP($N350,Capa!$A:$AE,BL$5,0))))</f>
        <v/>
      </c>
      <c r="BM350" s="118" t="str">
        <f>IF(BM$6="","",IF(BM$3="Maior",IFERROR(IF(VLOOKUP($N350,Capa!$A:$AE,BM$5,0)="",0,VLOOKUP($N350,Capa!$A:$AE,BM$5,0)),0),IF(ISERROR(1/VLOOKUP($N350,Capa!$A:$AE,BM$5,0)),0,1/VLOOKUP($N350,Capa!$A:$AE,BM$5,0))))</f>
        <v/>
      </c>
      <c r="BN350" s="118" t="str">
        <f>IF(BN$6="","",IF(BN$3="Maior",IFERROR(IF(VLOOKUP($N350,Capa!$A:$AE,BN$5,0)="",0,VLOOKUP($N350,Capa!$A:$AE,BN$5,0)),0),IF(ISERROR(1/VLOOKUP($N350,Capa!$A:$AE,BN$5,0)),0,1/VLOOKUP($N350,Capa!$A:$AE,BN$5,0))))</f>
        <v/>
      </c>
      <c r="BO350" s="92"/>
    </row>
    <row r="351">
      <c r="G351" s="11"/>
      <c r="H351" s="11"/>
      <c r="I351" s="8"/>
      <c r="J351" s="132"/>
      <c r="K351" s="11"/>
      <c r="L351" s="11"/>
      <c r="M351" s="11"/>
      <c r="N351" s="10" t="s">
        <v>397</v>
      </c>
      <c r="O351" s="113">
        <f t="shared" si="8"/>
        <v>1237.0036</v>
      </c>
      <c r="P351" s="114">
        <f>VLOOKUP(N351,'Dados StatusInvest'!A:Z,26,0)</f>
        <v>136100.75</v>
      </c>
      <c r="Q351" s="115">
        <f t="shared" si="9"/>
        <v>36.0036</v>
      </c>
      <c r="R351" s="116">
        <f t="shared" ref="R351:AO351" si="354">IF(AQ351="","", RANK(AQ351,AQ$7:AQ$503,0))</f>
        <v>187</v>
      </c>
      <c r="S351" s="115">
        <f t="shared" si="354"/>
        <v>14</v>
      </c>
      <c r="T351" s="115" t="str">
        <f t="shared" si="354"/>
        <v/>
      </c>
      <c r="U351" s="115" t="str">
        <f t="shared" si="354"/>
        <v/>
      </c>
      <c r="V351" s="115" t="str">
        <f t="shared" si="354"/>
        <v/>
      </c>
      <c r="W351" s="115" t="str">
        <f t="shared" si="354"/>
        <v/>
      </c>
      <c r="X351" s="115" t="str">
        <f t="shared" si="354"/>
        <v/>
      </c>
      <c r="Y351" s="115" t="str">
        <f t="shared" si="354"/>
        <v/>
      </c>
      <c r="Z351" s="115" t="str">
        <f t="shared" si="354"/>
        <v/>
      </c>
      <c r="AA351" s="115" t="str">
        <f t="shared" si="354"/>
        <v/>
      </c>
      <c r="AB351" s="115" t="str">
        <f t="shared" si="354"/>
        <v/>
      </c>
      <c r="AC351" s="115" t="str">
        <f t="shared" si="354"/>
        <v/>
      </c>
      <c r="AD351" s="115" t="str">
        <f t="shared" si="354"/>
        <v/>
      </c>
      <c r="AE351" s="115" t="str">
        <f t="shared" si="354"/>
        <v/>
      </c>
      <c r="AF351" s="115" t="str">
        <f t="shared" si="354"/>
        <v/>
      </c>
      <c r="AG351" s="115" t="str">
        <f t="shared" si="354"/>
        <v/>
      </c>
      <c r="AH351" s="115" t="str">
        <f t="shared" si="354"/>
        <v/>
      </c>
      <c r="AI351" s="115" t="str">
        <f t="shared" si="354"/>
        <v/>
      </c>
      <c r="AJ351" s="115" t="str">
        <f t="shared" si="354"/>
        <v/>
      </c>
      <c r="AK351" s="115" t="str">
        <f t="shared" si="354"/>
        <v/>
      </c>
      <c r="AL351" s="115" t="str">
        <f t="shared" si="354"/>
        <v/>
      </c>
      <c r="AM351" s="115" t="str">
        <f t="shared" si="354"/>
        <v/>
      </c>
      <c r="AN351" s="115" t="str">
        <f t="shared" si="354"/>
        <v/>
      </c>
      <c r="AO351" s="115" t="str">
        <f t="shared" si="354"/>
        <v/>
      </c>
      <c r="AP351" s="117">
        <f>IF(AP$6="","",IF(AP$3="Maior",IFERROR(IF(VLOOKUP($N351,Capa!$A:$AE,AP$5,0)="",0,VLOOKUP($N351,Capa!$A:$AE,AP$5,0)),0),IF(ISERROR(1/VLOOKUP($N351,Capa!$A:$AE,AP$5,0)),0,1/VLOOKUP($N351,Capa!$A:$AE,AP$5,0))))</f>
        <v>0.2842477991</v>
      </c>
      <c r="AQ351" s="118">
        <f>IF(AQ$6="","",IF(AQ$3="Maior",IFERROR(IF(VLOOKUP($N351,Capa!$A:$AE,AQ$5,0)="",0,VLOOKUP($N351,Capa!$A:$AE,AQ$5,0)),0),IF(ISERROR(1/VLOOKUP($N351,Capa!$A:$AE,AQ$5,0)),0,1/VLOOKUP($N351,Capa!$A:$AE,AQ$5,0))))</f>
        <v>11.96</v>
      </c>
      <c r="AR351" s="118">
        <f>IF(AR$6="","",IF(AR$3="Maior",IFERROR(IF(VLOOKUP($N351,Capa!$A:$AE,AR$5,0)="",0,VLOOKUP($N351,Capa!$A:$AE,AR$5,0)),0),IF(ISERROR(1/VLOOKUP($N351,Capa!$A:$AE,AR$5,0)),0,1/VLOOKUP($N351,Capa!$A:$AE,AR$5,0))))</f>
        <v>94.72</v>
      </c>
      <c r="AS351" s="118" t="str">
        <f>IF(AS$6="","",IF(AS$3="Maior",IFERROR(IF(VLOOKUP($N351,Capa!$A:$AE,AS$5,0)="",0,VLOOKUP($N351,Capa!$A:$AE,AS$5,0)),0),IF(ISERROR(1/VLOOKUP($N351,Capa!$A:$AE,AS$5,0)),0,1/VLOOKUP($N351,Capa!$A:$AE,AS$5,0))))</f>
        <v/>
      </c>
      <c r="AT351" s="118" t="str">
        <f>IF(AT$6="","",IF(AT$3="Maior",IFERROR(IF(VLOOKUP($N351,Capa!$A:$AE,AT$5,0)="",0,VLOOKUP($N351,Capa!$A:$AE,AT$5,0)),0),IF(ISERROR(1/VLOOKUP($N351,Capa!$A:$AE,AT$5,0)),0,1/VLOOKUP($N351,Capa!$A:$AE,AT$5,0))))</f>
        <v/>
      </c>
      <c r="AU351" s="118" t="str">
        <f>IF(AU$6="","",IF(AU$3="Maior",IFERROR(IF(VLOOKUP($N351,Capa!$A:$AE,AU$5,0)="",0,VLOOKUP($N351,Capa!$A:$AE,AU$5,0)),0),IF(ISERROR(1/VLOOKUP($N351,Capa!$A:$AE,AU$5,0)),0,1/VLOOKUP($N351,Capa!$A:$AE,AU$5,0))))</f>
        <v/>
      </c>
      <c r="AV351" s="118" t="str">
        <f>IF(AV$6="","",IF(AV$3="Maior",IFERROR(IF(VLOOKUP($N351,Capa!$A:$AE,AV$5,0)="",0,VLOOKUP($N351,Capa!$A:$AE,AV$5,0)),0),IF(ISERROR(1/VLOOKUP($N351,Capa!$A:$AE,AV$5,0)),0,1/VLOOKUP($N351,Capa!$A:$AE,AV$5,0))))</f>
        <v/>
      </c>
      <c r="AW351" s="118" t="str">
        <f>IF(AW$6="","",IF(AW$3="Maior",IFERROR(IF(VLOOKUP($N351,Capa!$A:$AE,AW$5,0)="",0,VLOOKUP($N351,Capa!$A:$AE,AW$5,0)),0),IF(ISERROR(1/VLOOKUP($N351,Capa!$A:$AE,AW$5,0)),0,1/VLOOKUP($N351,Capa!$A:$AE,AW$5,0))))</f>
        <v/>
      </c>
      <c r="AX351" s="118" t="str">
        <f>IF(AX$6="","",IF(AX$3="Maior",IFERROR(IF(VLOOKUP($N351,Capa!$A:$AE,AX$5,0)="",0,VLOOKUP($N351,Capa!$A:$AE,AX$5,0)),0),IF(ISERROR(1/VLOOKUP($N351,Capa!$A:$AE,AX$5,0)),0,1/VLOOKUP($N351,Capa!$A:$AE,AX$5,0))))</f>
        <v/>
      </c>
      <c r="AY351" s="118" t="str">
        <f>IF(AY$6="","",IF(AY$3="Maior",IFERROR(IF(VLOOKUP($N351,Capa!$A:$AE,AY$5,0)="",0,VLOOKUP($N351,Capa!$A:$AE,AY$5,0)),0),IF(ISERROR(1/VLOOKUP($N351,Capa!$A:$AE,AY$5,0)),0,1/VLOOKUP($N351,Capa!$A:$AE,AY$5,0))))</f>
        <v/>
      </c>
      <c r="AZ351" s="118" t="str">
        <f>IF(AZ$6="","",IF(AZ$3="Maior",IFERROR(IF(VLOOKUP($N351,Capa!$A:$AE,AZ$5,0)="",0,VLOOKUP($N351,Capa!$A:$AE,AZ$5,0)),0),IF(ISERROR(1/VLOOKUP($N351,Capa!$A:$AE,AZ$5,0)),0,1/VLOOKUP($N351,Capa!$A:$AE,AZ$5,0))))</f>
        <v/>
      </c>
      <c r="BA351" s="118" t="str">
        <f>IF(BA$6="","",IF(BA$3="Maior",IFERROR(IF(VLOOKUP($N351,Capa!$A:$AE,BA$5,0)="",0,VLOOKUP($N351,Capa!$A:$AE,BA$5,0)),0),IF(ISERROR(1/VLOOKUP($N351,Capa!$A:$AE,BA$5,0)),0,1/VLOOKUP($N351,Capa!$A:$AE,BA$5,0))))</f>
        <v/>
      </c>
      <c r="BB351" s="118" t="str">
        <f>IF(BB$6="","",IF(BB$3="Maior",IFERROR(IF(VLOOKUP($N351,Capa!$A:$AE,BB$5,0)="",0,VLOOKUP($N351,Capa!$A:$AE,BB$5,0)),0),IF(ISERROR(1/VLOOKUP($N351,Capa!$A:$AE,BB$5,0)),0,1/VLOOKUP($N351,Capa!$A:$AE,BB$5,0))))</f>
        <v/>
      </c>
      <c r="BC351" s="118" t="str">
        <f>IF(BC$6="","",IF(BC$3="Maior",IFERROR(IF(VLOOKUP($N351,Capa!$A:$AE,BC$5,0)="",0,VLOOKUP($N351,Capa!$A:$AE,BC$5,0)),0),IF(ISERROR(1/VLOOKUP($N351,Capa!$A:$AE,BC$5,0)),0,1/VLOOKUP($N351,Capa!$A:$AE,BC$5,0))))</f>
        <v/>
      </c>
      <c r="BD351" s="118" t="str">
        <f>IF(BD$6="","",IF(BD$3="Maior",IFERROR(IF(VLOOKUP($N351,Capa!$A:$AE,BD$5,0)="",0,VLOOKUP($N351,Capa!$A:$AE,BD$5,0)),0),IF(ISERROR(1/VLOOKUP($N351,Capa!$A:$AE,BD$5,0)),0,1/VLOOKUP($N351,Capa!$A:$AE,BD$5,0))))</f>
        <v/>
      </c>
      <c r="BE351" s="118" t="str">
        <f>IF(BE$6="","",IF(BE$3="Maior",IFERROR(IF(VLOOKUP($N351,Capa!$A:$AE,BE$5,0)="",0,VLOOKUP($N351,Capa!$A:$AE,BE$5,0)),0),IF(ISERROR(1/VLOOKUP($N351,Capa!$A:$AE,BE$5,0)),0,1/VLOOKUP($N351,Capa!$A:$AE,BE$5,0))))</f>
        <v/>
      </c>
      <c r="BF351" s="118" t="str">
        <f>IF(BF$6="","",IF(BF$3="Maior",IFERROR(IF(VLOOKUP($N351,Capa!$A:$AE,BF$5,0)="",0,VLOOKUP($N351,Capa!$A:$AE,BF$5,0)),0),IF(ISERROR(1/VLOOKUP($N351,Capa!$A:$AE,BF$5,0)),0,1/VLOOKUP($N351,Capa!$A:$AE,BF$5,0))))</f>
        <v/>
      </c>
      <c r="BG351" s="118" t="str">
        <f>IF(BG$6="","",IF(BG$3="Maior",IFERROR(IF(VLOOKUP($N351,Capa!$A:$AE,BG$5,0)="",0,VLOOKUP($N351,Capa!$A:$AE,BG$5,0)),0),IF(ISERROR(1/VLOOKUP($N351,Capa!$A:$AE,BG$5,0)),0,1/VLOOKUP($N351,Capa!$A:$AE,BG$5,0))))</f>
        <v/>
      </c>
      <c r="BH351" s="118" t="str">
        <f>IF(BH$6="","",IF(BH$3="Maior",IFERROR(IF(VLOOKUP($N351,Capa!$A:$AE,BH$5,0)="",0,VLOOKUP($N351,Capa!$A:$AE,BH$5,0)),0),IF(ISERROR(1/VLOOKUP($N351,Capa!$A:$AE,BH$5,0)),0,1/VLOOKUP($N351,Capa!$A:$AE,BH$5,0))))</f>
        <v/>
      </c>
      <c r="BI351" s="118" t="str">
        <f>IF(BI$6="","",IF(BI$3="Maior",IFERROR(IF(VLOOKUP($N351,Capa!$A:$AE,BI$5,0)="",0,VLOOKUP($N351,Capa!$A:$AE,BI$5,0)),0),IF(ISERROR(1/VLOOKUP($N351,Capa!$A:$AE,BI$5,0)),0,1/VLOOKUP($N351,Capa!$A:$AE,BI$5,0))))</f>
        <v/>
      </c>
      <c r="BJ351" s="118" t="str">
        <f>IF(BJ$6="","",IF(BJ$3="Maior",IFERROR(IF(VLOOKUP($N351,Capa!$A:$AE,BJ$5,0)="",0,VLOOKUP($N351,Capa!$A:$AE,BJ$5,0)),0),IF(ISERROR(1/VLOOKUP($N351,Capa!$A:$AE,BJ$5,0)),0,1/VLOOKUP($N351,Capa!$A:$AE,BJ$5,0))))</f>
        <v/>
      </c>
      <c r="BK351" s="118" t="str">
        <f>IF(BK$6="","",IF(BK$3="Maior",IFERROR(IF(VLOOKUP($N351,Capa!$A:$AE,BK$5,0)="",0,VLOOKUP($N351,Capa!$A:$AE,BK$5,0)),0),IF(ISERROR(1/VLOOKUP($N351,Capa!$A:$AE,BK$5,0)),0,1/VLOOKUP($N351,Capa!$A:$AE,BK$5,0))))</f>
        <v/>
      </c>
      <c r="BL351" s="118" t="str">
        <f>IF(BL$6="","",IF(BL$3="Maior",IFERROR(IF(VLOOKUP($N351,Capa!$A:$AE,BL$5,0)="",0,VLOOKUP($N351,Capa!$A:$AE,BL$5,0)),0),IF(ISERROR(1/VLOOKUP($N351,Capa!$A:$AE,BL$5,0)),0,1/VLOOKUP($N351,Capa!$A:$AE,BL$5,0))))</f>
        <v/>
      </c>
      <c r="BM351" s="118" t="str">
        <f>IF(BM$6="","",IF(BM$3="Maior",IFERROR(IF(VLOOKUP($N351,Capa!$A:$AE,BM$5,0)="",0,VLOOKUP($N351,Capa!$A:$AE,BM$5,0)),0),IF(ISERROR(1/VLOOKUP($N351,Capa!$A:$AE,BM$5,0)),0,1/VLOOKUP($N351,Capa!$A:$AE,BM$5,0))))</f>
        <v/>
      </c>
      <c r="BN351" s="118" t="str">
        <f>IF(BN$6="","",IF(BN$3="Maior",IFERROR(IF(VLOOKUP($N351,Capa!$A:$AE,BN$5,0)="",0,VLOOKUP($N351,Capa!$A:$AE,BN$5,0)),0),IF(ISERROR(1/VLOOKUP($N351,Capa!$A:$AE,BN$5,0)),0,1/VLOOKUP($N351,Capa!$A:$AE,BN$5,0))))</f>
        <v/>
      </c>
      <c r="BO351" s="92"/>
    </row>
    <row r="352">
      <c r="G352" s="11"/>
      <c r="H352" s="11"/>
      <c r="I352" s="8"/>
      <c r="J352" s="132"/>
      <c r="K352" s="11"/>
      <c r="L352" s="11"/>
      <c r="M352" s="11"/>
      <c r="N352" s="10" t="s">
        <v>398</v>
      </c>
      <c r="O352" s="113">
        <f t="shared" si="8"/>
        <v>1419.0164</v>
      </c>
      <c r="P352" s="114">
        <f>VLOOKUP(N352,'Dados StatusInvest'!A:Z,26,0)</f>
        <v>129734.88</v>
      </c>
      <c r="Q352" s="115">
        <f t="shared" si="9"/>
        <v>164.0164</v>
      </c>
      <c r="R352" s="116">
        <f t="shared" ref="R352:AO352" si="355">IF(AQ352="","", RANK(AQ352,AQ$7:AQ$503,0))</f>
        <v>212</v>
      </c>
      <c r="S352" s="115">
        <f t="shared" si="355"/>
        <v>43</v>
      </c>
      <c r="T352" s="115" t="str">
        <f t="shared" si="355"/>
        <v/>
      </c>
      <c r="U352" s="115" t="str">
        <f t="shared" si="355"/>
        <v/>
      </c>
      <c r="V352" s="115" t="str">
        <f t="shared" si="355"/>
        <v/>
      </c>
      <c r="W352" s="115" t="str">
        <f t="shared" si="355"/>
        <v/>
      </c>
      <c r="X352" s="115" t="str">
        <f t="shared" si="355"/>
        <v/>
      </c>
      <c r="Y352" s="115" t="str">
        <f t="shared" si="355"/>
        <v/>
      </c>
      <c r="Z352" s="115" t="str">
        <f t="shared" si="355"/>
        <v/>
      </c>
      <c r="AA352" s="115" t="str">
        <f t="shared" si="355"/>
        <v/>
      </c>
      <c r="AB352" s="115" t="str">
        <f t="shared" si="355"/>
        <v/>
      </c>
      <c r="AC352" s="115" t="str">
        <f t="shared" si="355"/>
        <v/>
      </c>
      <c r="AD352" s="115" t="str">
        <f t="shared" si="355"/>
        <v/>
      </c>
      <c r="AE352" s="115" t="str">
        <f t="shared" si="355"/>
        <v/>
      </c>
      <c r="AF352" s="115" t="str">
        <f t="shared" si="355"/>
        <v/>
      </c>
      <c r="AG352" s="115" t="str">
        <f t="shared" si="355"/>
        <v/>
      </c>
      <c r="AH352" s="115" t="str">
        <f t="shared" si="355"/>
        <v/>
      </c>
      <c r="AI352" s="115" t="str">
        <f t="shared" si="355"/>
        <v/>
      </c>
      <c r="AJ352" s="115" t="str">
        <f t="shared" si="355"/>
        <v/>
      </c>
      <c r="AK352" s="115" t="str">
        <f t="shared" si="355"/>
        <v/>
      </c>
      <c r="AL352" s="115" t="str">
        <f t="shared" si="355"/>
        <v/>
      </c>
      <c r="AM352" s="115" t="str">
        <f t="shared" si="355"/>
        <v/>
      </c>
      <c r="AN352" s="115" t="str">
        <f t="shared" si="355"/>
        <v/>
      </c>
      <c r="AO352" s="115" t="str">
        <f t="shared" si="355"/>
        <v/>
      </c>
      <c r="AP352" s="117">
        <f>IF(AP$6="","",IF(AP$3="Maior",IFERROR(IF(VLOOKUP($N352,Capa!$A:$AE,AP$5,0)="",0,VLOOKUP($N352,Capa!$A:$AE,AP$5,0)),0),IF(ISERROR(1/VLOOKUP($N352,Capa!$A:$AE,AP$5,0)),0,1/VLOOKUP($N352,Capa!$A:$AE,AP$5,0))))</f>
        <v>0.1252465341</v>
      </c>
      <c r="AQ352" s="118">
        <f>IF(AQ$6="","",IF(AQ$3="Maior",IFERROR(IF(VLOOKUP($N352,Capa!$A:$AE,AQ$5,0)="",0,VLOOKUP($N352,Capa!$A:$AE,AQ$5,0)),0),IF(ISERROR(1/VLOOKUP($N352,Capa!$A:$AE,AQ$5,0)),0,1/VLOOKUP($N352,Capa!$A:$AE,AQ$5,0))))</f>
        <v>10.44</v>
      </c>
      <c r="AR352" s="118">
        <f>IF(AR$6="","",IF(AR$3="Maior",IFERROR(IF(VLOOKUP($N352,Capa!$A:$AE,AR$5,0)="",0,VLOOKUP($N352,Capa!$A:$AE,AR$5,0)),0),IF(ISERROR(1/VLOOKUP($N352,Capa!$A:$AE,AR$5,0)),0,1/VLOOKUP($N352,Capa!$A:$AE,AR$5,0))))</f>
        <v>50.4</v>
      </c>
      <c r="AS352" s="118" t="str">
        <f>IF(AS$6="","",IF(AS$3="Maior",IFERROR(IF(VLOOKUP($N352,Capa!$A:$AE,AS$5,0)="",0,VLOOKUP($N352,Capa!$A:$AE,AS$5,0)),0),IF(ISERROR(1/VLOOKUP($N352,Capa!$A:$AE,AS$5,0)),0,1/VLOOKUP($N352,Capa!$A:$AE,AS$5,0))))</f>
        <v/>
      </c>
      <c r="AT352" s="118" t="str">
        <f>IF(AT$6="","",IF(AT$3="Maior",IFERROR(IF(VLOOKUP($N352,Capa!$A:$AE,AT$5,0)="",0,VLOOKUP($N352,Capa!$A:$AE,AT$5,0)),0),IF(ISERROR(1/VLOOKUP($N352,Capa!$A:$AE,AT$5,0)),0,1/VLOOKUP($N352,Capa!$A:$AE,AT$5,0))))</f>
        <v/>
      </c>
      <c r="AU352" s="118" t="str">
        <f>IF(AU$6="","",IF(AU$3="Maior",IFERROR(IF(VLOOKUP($N352,Capa!$A:$AE,AU$5,0)="",0,VLOOKUP($N352,Capa!$A:$AE,AU$5,0)),0),IF(ISERROR(1/VLOOKUP($N352,Capa!$A:$AE,AU$5,0)),0,1/VLOOKUP($N352,Capa!$A:$AE,AU$5,0))))</f>
        <v/>
      </c>
      <c r="AV352" s="118" t="str">
        <f>IF(AV$6="","",IF(AV$3="Maior",IFERROR(IF(VLOOKUP($N352,Capa!$A:$AE,AV$5,0)="",0,VLOOKUP($N352,Capa!$A:$AE,AV$5,0)),0),IF(ISERROR(1/VLOOKUP($N352,Capa!$A:$AE,AV$5,0)),0,1/VLOOKUP($N352,Capa!$A:$AE,AV$5,0))))</f>
        <v/>
      </c>
      <c r="AW352" s="118" t="str">
        <f>IF(AW$6="","",IF(AW$3="Maior",IFERROR(IF(VLOOKUP($N352,Capa!$A:$AE,AW$5,0)="",0,VLOOKUP($N352,Capa!$A:$AE,AW$5,0)),0),IF(ISERROR(1/VLOOKUP($N352,Capa!$A:$AE,AW$5,0)),0,1/VLOOKUP($N352,Capa!$A:$AE,AW$5,0))))</f>
        <v/>
      </c>
      <c r="AX352" s="118" t="str">
        <f>IF(AX$6="","",IF(AX$3="Maior",IFERROR(IF(VLOOKUP($N352,Capa!$A:$AE,AX$5,0)="",0,VLOOKUP($N352,Capa!$A:$AE,AX$5,0)),0),IF(ISERROR(1/VLOOKUP($N352,Capa!$A:$AE,AX$5,0)),0,1/VLOOKUP($N352,Capa!$A:$AE,AX$5,0))))</f>
        <v/>
      </c>
      <c r="AY352" s="118" t="str">
        <f>IF(AY$6="","",IF(AY$3="Maior",IFERROR(IF(VLOOKUP($N352,Capa!$A:$AE,AY$5,0)="",0,VLOOKUP($N352,Capa!$A:$AE,AY$5,0)),0),IF(ISERROR(1/VLOOKUP($N352,Capa!$A:$AE,AY$5,0)),0,1/VLOOKUP($N352,Capa!$A:$AE,AY$5,0))))</f>
        <v/>
      </c>
      <c r="AZ352" s="118" t="str">
        <f>IF(AZ$6="","",IF(AZ$3="Maior",IFERROR(IF(VLOOKUP($N352,Capa!$A:$AE,AZ$5,0)="",0,VLOOKUP($N352,Capa!$A:$AE,AZ$5,0)),0),IF(ISERROR(1/VLOOKUP($N352,Capa!$A:$AE,AZ$5,0)),0,1/VLOOKUP($N352,Capa!$A:$AE,AZ$5,0))))</f>
        <v/>
      </c>
      <c r="BA352" s="118" t="str">
        <f>IF(BA$6="","",IF(BA$3="Maior",IFERROR(IF(VLOOKUP($N352,Capa!$A:$AE,BA$5,0)="",0,VLOOKUP($N352,Capa!$A:$AE,BA$5,0)),0),IF(ISERROR(1/VLOOKUP($N352,Capa!$A:$AE,BA$5,0)),0,1/VLOOKUP($N352,Capa!$A:$AE,BA$5,0))))</f>
        <v/>
      </c>
      <c r="BB352" s="118" t="str">
        <f>IF(BB$6="","",IF(BB$3="Maior",IFERROR(IF(VLOOKUP($N352,Capa!$A:$AE,BB$5,0)="",0,VLOOKUP($N352,Capa!$A:$AE,BB$5,0)),0),IF(ISERROR(1/VLOOKUP($N352,Capa!$A:$AE,BB$5,0)),0,1/VLOOKUP($N352,Capa!$A:$AE,BB$5,0))))</f>
        <v/>
      </c>
      <c r="BC352" s="118" t="str">
        <f>IF(BC$6="","",IF(BC$3="Maior",IFERROR(IF(VLOOKUP($N352,Capa!$A:$AE,BC$5,0)="",0,VLOOKUP($N352,Capa!$A:$AE,BC$5,0)),0),IF(ISERROR(1/VLOOKUP($N352,Capa!$A:$AE,BC$5,0)),0,1/VLOOKUP($N352,Capa!$A:$AE,BC$5,0))))</f>
        <v/>
      </c>
      <c r="BD352" s="118" t="str">
        <f>IF(BD$6="","",IF(BD$3="Maior",IFERROR(IF(VLOOKUP($N352,Capa!$A:$AE,BD$5,0)="",0,VLOOKUP($N352,Capa!$A:$AE,BD$5,0)),0),IF(ISERROR(1/VLOOKUP($N352,Capa!$A:$AE,BD$5,0)),0,1/VLOOKUP($N352,Capa!$A:$AE,BD$5,0))))</f>
        <v/>
      </c>
      <c r="BE352" s="118" t="str">
        <f>IF(BE$6="","",IF(BE$3="Maior",IFERROR(IF(VLOOKUP($N352,Capa!$A:$AE,BE$5,0)="",0,VLOOKUP($N352,Capa!$A:$AE,BE$5,0)),0),IF(ISERROR(1/VLOOKUP($N352,Capa!$A:$AE,BE$5,0)),0,1/VLOOKUP($N352,Capa!$A:$AE,BE$5,0))))</f>
        <v/>
      </c>
      <c r="BF352" s="118" t="str">
        <f>IF(BF$6="","",IF(BF$3="Maior",IFERROR(IF(VLOOKUP($N352,Capa!$A:$AE,BF$5,0)="",0,VLOOKUP($N352,Capa!$A:$AE,BF$5,0)),0),IF(ISERROR(1/VLOOKUP($N352,Capa!$A:$AE,BF$5,0)),0,1/VLOOKUP($N352,Capa!$A:$AE,BF$5,0))))</f>
        <v/>
      </c>
      <c r="BG352" s="118" t="str">
        <f>IF(BG$6="","",IF(BG$3="Maior",IFERROR(IF(VLOOKUP($N352,Capa!$A:$AE,BG$5,0)="",0,VLOOKUP($N352,Capa!$A:$AE,BG$5,0)),0),IF(ISERROR(1/VLOOKUP($N352,Capa!$A:$AE,BG$5,0)),0,1/VLOOKUP($N352,Capa!$A:$AE,BG$5,0))))</f>
        <v/>
      </c>
      <c r="BH352" s="118" t="str">
        <f>IF(BH$6="","",IF(BH$3="Maior",IFERROR(IF(VLOOKUP($N352,Capa!$A:$AE,BH$5,0)="",0,VLOOKUP($N352,Capa!$A:$AE,BH$5,0)),0),IF(ISERROR(1/VLOOKUP($N352,Capa!$A:$AE,BH$5,0)),0,1/VLOOKUP($N352,Capa!$A:$AE,BH$5,0))))</f>
        <v/>
      </c>
      <c r="BI352" s="118" t="str">
        <f>IF(BI$6="","",IF(BI$3="Maior",IFERROR(IF(VLOOKUP($N352,Capa!$A:$AE,BI$5,0)="",0,VLOOKUP($N352,Capa!$A:$AE,BI$5,0)),0),IF(ISERROR(1/VLOOKUP($N352,Capa!$A:$AE,BI$5,0)),0,1/VLOOKUP($N352,Capa!$A:$AE,BI$5,0))))</f>
        <v/>
      </c>
      <c r="BJ352" s="118" t="str">
        <f>IF(BJ$6="","",IF(BJ$3="Maior",IFERROR(IF(VLOOKUP($N352,Capa!$A:$AE,BJ$5,0)="",0,VLOOKUP($N352,Capa!$A:$AE,BJ$5,0)),0),IF(ISERROR(1/VLOOKUP($N352,Capa!$A:$AE,BJ$5,0)),0,1/VLOOKUP($N352,Capa!$A:$AE,BJ$5,0))))</f>
        <v/>
      </c>
      <c r="BK352" s="118" t="str">
        <f>IF(BK$6="","",IF(BK$3="Maior",IFERROR(IF(VLOOKUP($N352,Capa!$A:$AE,BK$5,0)="",0,VLOOKUP($N352,Capa!$A:$AE,BK$5,0)),0),IF(ISERROR(1/VLOOKUP($N352,Capa!$A:$AE,BK$5,0)),0,1/VLOOKUP($N352,Capa!$A:$AE,BK$5,0))))</f>
        <v/>
      </c>
      <c r="BL352" s="118" t="str">
        <f>IF(BL$6="","",IF(BL$3="Maior",IFERROR(IF(VLOOKUP($N352,Capa!$A:$AE,BL$5,0)="",0,VLOOKUP($N352,Capa!$A:$AE,BL$5,0)),0),IF(ISERROR(1/VLOOKUP($N352,Capa!$A:$AE,BL$5,0)),0,1/VLOOKUP($N352,Capa!$A:$AE,BL$5,0))))</f>
        <v/>
      </c>
      <c r="BM352" s="118" t="str">
        <f>IF(BM$6="","",IF(BM$3="Maior",IFERROR(IF(VLOOKUP($N352,Capa!$A:$AE,BM$5,0)="",0,VLOOKUP($N352,Capa!$A:$AE,BM$5,0)),0),IF(ISERROR(1/VLOOKUP($N352,Capa!$A:$AE,BM$5,0)),0,1/VLOOKUP($N352,Capa!$A:$AE,BM$5,0))))</f>
        <v/>
      </c>
      <c r="BN352" s="118" t="str">
        <f>IF(BN$6="","",IF(BN$3="Maior",IFERROR(IF(VLOOKUP($N352,Capa!$A:$AE,BN$5,0)="",0,VLOOKUP($N352,Capa!$A:$AE,BN$5,0)),0),IF(ISERROR(1/VLOOKUP($N352,Capa!$A:$AE,BN$5,0)),0,1/VLOOKUP($N352,Capa!$A:$AE,BN$5,0))))</f>
        <v/>
      </c>
      <c r="BO352" s="92"/>
    </row>
    <row r="353">
      <c r="G353" s="11"/>
      <c r="H353" s="11"/>
      <c r="I353" s="8"/>
      <c r="J353" s="132"/>
      <c r="K353" s="11"/>
      <c r="L353" s="11"/>
      <c r="M353" s="11"/>
      <c r="N353" s="10" t="s">
        <v>399</v>
      </c>
      <c r="O353" s="113">
        <f t="shared" si="8"/>
        <v>1742.0313</v>
      </c>
      <c r="P353" s="114">
        <f>VLOOKUP(N353,'Dados StatusInvest'!A:Z,26,0)</f>
        <v>90901.5</v>
      </c>
      <c r="Q353" s="115">
        <f t="shared" si="9"/>
        <v>313.0313</v>
      </c>
      <c r="R353" s="116">
        <f t="shared" ref="R353:AO353" si="356">IF(AQ353="","", RANK(AQ353,AQ$7:AQ$503,0))</f>
        <v>375</v>
      </c>
      <c r="S353" s="115">
        <f t="shared" si="356"/>
        <v>54</v>
      </c>
      <c r="T353" s="115" t="str">
        <f t="shared" si="356"/>
        <v/>
      </c>
      <c r="U353" s="115" t="str">
        <f t="shared" si="356"/>
        <v/>
      </c>
      <c r="V353" s="115" t="str">
        <f t="shared" si="356"/>
        <v/>
      </c>
      <c r="W353" s="115" t="str">
        <f t="shared" si="356"/>
        <v/>
      </c>
      <c r="X353" s="115" t="str">
        <f t="shared" si="356"/>
        <v/>
      </c>
      <c r="Y353" s="115" t="str">
        <f t="shared" si="356"/>
        <v/>
      </c>
      <c r="Z353" s="115" t="str">
        <f t="shared" si="356"/>
        <v/>
      </c>
      <c r="AA353" s="115" t="str">
        <f t="shared" si="356"/>
        <v/>
      </c>
      <c r="AB353" s="115" t="str">
        <f t="shared" si="356"/>
        <v/>
      </c>
      <c r="AC353" s="115" t="str">
        <f t="shared" si="356"/>
        <v/>
      </c>
      <c r="AD353" s="115" t="str">
        <f t="shared" si="356"/>
        <v/>
      </c>
      <c r="AE353" s="115" t="str">
        <f t="shared" si="356"/>
        <v/>
      </c>
      <c r="AF353" s="115" t="str">
        <f t="shared" si="356"/>
        <v/>
      </c>
      <c r="AG353" s="115" t="str">
        <f t="shared" si="356"/>
        <v/>
      </c>
      <c r="AH353" s="115" t="str">
        <f t="shared" si="356"/>
        <v/>
      </c>
      <c r="AI353" s="115" t="str">
        <f t="shared" si="356"/>
        <v/>
      </c>
      <c r="AJ353" s="115" t="str">
        <f t="shared" si="356"/>
        <v/>
      </c>
      <c r="AK353" s="115" t="str">
        <f t="shared" si="356"/>
        <v/>
      </c>
      <c r="AL353" s="115" t="str">
        <f t="shared" si="356"/>
        <v/>
      </c>
      <c r="AM353" s="115" t="str">
        <f t="shared" si="356"/>
        <v/>
      </c>
      <c r="AN353" s="115" t="str">
        <f t="shared" si="356"/>
        <v/>
      </c>
      <c r="AO353" s="115" t="str">
        <f t="shared" si="356"/>
        <v/>
      </c>
      <c r="AP353" s="117">
        <f>IF(AP$6="","",IF(AP$3="Maior",IFERROR(IF(VLOOKUP($N353,Capa!$A:$AE,AP$5,0)="",0,VLOOKUP($N353,Capa!$A:$AE,AP$5,0)),0),IF(ISERROR(1/VLOOKUP($N353,Capa!$A:$AE,AP$5,0)),0,1/VLOOKUP($N353,Capa!$A:$AE,AP$5,0))))</f>
        <v>0.04760373752</v>
      </c>
      <c r="AQ353" s="118">
        <f>IF(AQ$6="","",IF(AQ$3="Maior",IFERROR(IF(VLOOKUP($N353,Capa!$A:$AE,AQ$5,0)="",0,VLOOKUP($N353,Capa!$A:$AE,AQ$5,0)),0),IF(ISERROR(1/VLOOKUP($N353,Capa!$A:$AE,AQ$5,0)),0,1/VLOOKUP($N353,Capa!$A:$AE,AQ$5,0))))</f>
        <v>0</v>
      </c>
      <c r="AR353" s="118">
        <f>IF(AR$6="","",IF(AR$3="Maior",IFERROR(IF(VLOOKUP($N353,Capa!$A:$AE,AR$5,0)="",0,VLOOKUP($N353,Capa!$A:$AE,AR$5,0)),0),IF(ISERROR(1/VLOOKUP($N353,Capa!$A:$AE,AR$5,0)),0,1/VLOOKUP($N353,Capa!$A:$AE,AR$5,0))))</f>
        <v>45.84</v>
      </c>
      <c r="AS353" s="118" t="str">
        <f>IF(AS$6="","",IF(AS$3="Maior",IFERROR(IF(VLOOKUP($N353,Capa!$A:$AE,AS$5,0)="",0,VLOOKUP($N353,Capa!$A:$AE,AS$5,0)),0),IF(ISERROR(1/VLOOKUP($N353,Capa!$A:$AE,AS$5,0)),0,1/VLOOKUP($N353,Capa!$A:$AE,AS$5,0))))</f>
        <v/>
      </c>
      <c r="AT353" s="118" t="str">
        <f>IF(AT$6="","",IF(AT$3="Maior",IFERROR(IF(VLOOKUP($N353,Capa!$A:$AE,AT$5,0)="",0,VLOOKUP($N353,Capa!$A:$AE,AT$5,0)),0),IF(ISERROR(1/VLOOKUP($N353,Capa!$A:$AE,AT$5,0)),0,1/VLOOKUP($N353,Capa!$A:$AE,AT$5,0))))</f>
        <v/>
      </c>
      <c r="AU353" s="118" t="str">
        <f>IF(AU$6="","",IF(AU$3="Maior",IFERROR(IF(VLOOKUP($N353,Capa!$A:$AE,AU$5,0)="",0,VLOOKUP($N353,Capa!$A:$AE,AU$5,0)),0),IF(ISERROR(1/VLOOKUP($N353,Capa!$A:$AE,AU$5,0)),0,1/VLOOKUP($N353,Capa!$A:$AE,AU$5,0))))</f>
        <v/>
      </c>
      <c r="AV353" s="118" t="str">
        <f>IF(AV$6="","",IF(AV$3="Maior",IFERROR(IF(VLOOKUP($N353,Capa!$A:$AE,AV$5,0)="",0,VLOOKUP($N353,Capa!$A:$AE,AV$5,0)),0),IF(ISERROR(1/VLOOKUP($N353,Capa!$A:$AE,AV$5,0)),0,1/VLOOKUP($N353,Capa!$A:$AE,AV$5,0))))</f>
        <v/>
      </c>
      <c r="AW353" s="118" t="str">
        <f>IF(AW$6="","",IF(AW$3="Maior",IFERROR(IF(VLOOKUP($N353,Capa!$A:$AE,AW$5,0)="",0,VLOOKUP($N353,Capa!$A:$AE,AW$5,0)),0),IF(ISERROR(1/VLOOKUP($N353,Capa!$A:$AE,AW$5,0)),0,1/VLOOKUP($N353,Capa!$A:$AE,AW$5,0))))</f>
        <v/>
      </c>
      <c r="AX353" s="118" t="str">
        <f>IF(AX$6="","",IF(AX$3="Maior",IFERROR(IF(VLOOKUP($N353,Capa!$A:$AE,AX$5,0)="",0,VLOOKUP($N353,Capa!$A:$AE,AX$5,0)),0),IF(ISERROR(1/VLOOKUP($N353,Capa!$A:$AE,AX$5,0)),0,1/VLOOKUP($N353,Capa!$A:$AE,AX$5,0))))</f>
        <v/>
      </c>
      <c r="AY353" s="118" t="str">
        <f>IF(AY$6="","",IF(AY$3="Maior",IFERROR(IF(VLOOKUP($N353,Capa!$A:$AE,AY$5,0)="",0,VLOOKUP($N353,Capa!$A:$AE,AY$5,0)),0),IF(ISERROR(1/VLOOKUP($N353,Capa!$A:$AE,AY$5,0)),0,1/VLOOKUP($N353,Capa!$A:$AE,AY$5,0))))</f>
        <v/>
      </c>
      <c r="AZ353" s="118" t="str">
        <f>IF(AZ$6="","",IF(AZ$3="Maior",IFERROR(IF(VLOOKUP($N353,Capa!$A:$AE,AZ$5,0)="",0,VLOOKUP($N353,Capa!$A:$AE,AZ$5,0)),0),IF(ISERROR(1/VLOOKUP($N353,Capa!$A:$AE,AZ$5,0)),0,1/VLOOKUP($N353,Capa!$A:$AE,AZ$5,0))))</f>
        <v/>
      </c>
      <c r="BA353" s="118" t="str">
        <f>IF(BA$6="","",IF(BA$3="Maior",IFERROR(IF(VLOOKUP($N353,Capa!$A:$AE,BA$5,0)="",0,VLOOKUP($N353,Capa!$A:$AE,BA$5,0)),0),IF(ISERROR(1/VLOOKUP($N353,Capa!$A:$AE,BA$5,0)),0,1/VLOOKUP($N353,Capa!$A:$AE,BA$5,0))))</f>
        <v/>
      </c>
      <c r="BB353" s="118" t="str">
        <f>IF(BB$6="","",IF(BB$3="Maior",IFERROR(IF(VLOOKUP($N353,Capa!$A:$AE,BB$5,0)="",0,VLOOKUP($N353,Capa!$A:$AE,BB$5,0)),0),IF(ISERROR(1/VLOOKUP($N353,Capa!$A:$AE,BB$5,0)),0,1/VLOOKUP($N353,Capa!$A:$AE,BB$5,0))))</f>
        <v/>
      </c>
      <c r="BC353" s="118" t="str">
        <f>IF(BC$6="","",IF(BC$3="Maior",IFERROR(IF(VLOOKUP($N353,Capa!$A:$AE,BC$5,0)="",0,VLOOKUP($N353,Capa!$A:$AE,BC$5,0)),0),IF(ISERROR(1/VLOOKUP($N353,Capa!$A:$AE,BC$5,0)),0,1/VLOOKUP($N353,Capa!$A:$AE,BC$5,0))))</f>
        <v/>
      </c>
      <c r="BD353" s="118" t="str">
        <f>IF(BD$6="","",IF(BD$3="Maior",IFERROR(IF(VLOOKUP($N353,Capa!$A:$AE,BD$5,0)="",0,VLOOKUP($N353,Capa!$A:$AE,BD$5,0)),0),IF(ISERROR(1/VLOOKUP($N353,Capa!$A:$AE,BD$5,0)),0,1/VLOOKUP($N353,Capa!$A:$AE,BD$5,0))))</f>
        <v/>
      </c>
      <c r="BE353" s="118" t="str">
        <f>IF(BE$6="","",IF(BE$3="Maior",IFERROR(IF(VLOOKUP($N353,Capa!$A:$AE,BE$5,0)="",0,VLOOKUP($N353,Capa!$A:$AE,BE$5,0)),0),IF(ISERROR(1/VLOOKUP($N353,Capa!$A:$AE,BE$5,0)),0,1/VLOOKUP($N353,Capa!$A:$AE,BE$5,0))))</f>
        <v/>
      </c>
      <c r="BF353" s="118" t="str">
        <f>IF(BF$6="","",IF(BF$3="Maior",IFERROR(IF(VLOOKUP($N353,Capa!$A:$AE,BF$5,0)="",0,VLOOKUP($N353,Capa!$A:$AE,BF$5,0)),0),IF(ISERROR(1/VLOOKUP($N353,Capa!$A:$AE,BF$5,0)),0,1/VLOOKUP($N353,Capa!$A:$AE,BF$5,0))))</f>
        <v/>
      </c>
      <c r="BG353" s="118" t="str">
        <f>IF(BG$6="","",IF(BG$3="Maior",IFERROR(IF(VLOOKUP($N353,Capa!$A:$AE,BG$5,0)="",0,VLOOKUP($N353,Capa!$A:$AE,BG$5,0)),0),IF(ISERROR(1/VLOOKUP($N353,Capa!$A:$AE,BG$5,0)),0,1/VLOOKUP($N353,Capa!$A:$AE,BG$5,0))))</f>
        <v/>
      </c>
      <c r="BH353" s="118" t="str">
        <f>IF(BH$6="","",IF(BH$3="Maior",IFERROR(IF(VLOOKUP($N353,Capa!$A:$AE,BH$5,0)="",0,VLOOKUP($N353,Capa!$A:$AE,BH$5,0)),0),IF(ISERROR(1/VLOOKUP($N353,Capa!$A:$AE,BH$5,0)),0,1/VLOOKUP($N353,Capa!$A:$AE,BH$5,0))))</f>
        <v/>
      </c>
      <c r="BI353" s="118" t="str">
        <f>IF(BI$6="","",IF(BI$3="Maior",IFERROR(IF(VLOOKUP($N353,Capa!$A:$AE,BI$5,0)="",0,VLOOKUP($N353,Capa!$A:$AE,BI$5,0)),0),IF(ISERROR(1/VLOOKUP($N353,Capa!$A:$AE,BI$5,0)),0,1/VLOOKUP($N353,Capa!$A:$AE,BI$5,0))))</f>
        <v/>
      </c>
      <c r="BJ353" s="118" t="str">
        <f>IF(BJ$6="","",IF(BJ$3="Maior",IFERROR(IF(VLOOKUP($N353,Capa!$A:$AE,BJ$5,0)="",0,VLOOKUP($N353,Capa!$A:$AE,BJ$5,0)),0),IF(ISERROR(1/VLOOKUP($N353,Capa!$A:$AE,BJ$5,0)),0,1/VLOOKUP($N353,Capa!$A:$AE,BJ$5,0))))</f>
        <v/>
      </c>
      <c r="BK353" s="118" t="str">
        <f>IF(BK$6="","",IF(BK$3="Maior",IFERROR(IF(VLOOKUP($N353,Capa!$A:$AE,BK$5,0)="",0,VLOOKUP($N353,Capa!$A:$AE,BK$5,0)),0),IF(ISERROR(1/VLOOKUP($N353,Capa!$A:$AE,BK$5,0)),0,1/VLOOKUP($N353,Capa!$A:$AE,BK$5,0))))</f>
        <v/>
      </c>
      <c r="BL353" s="118" t="str">
        <f>IF(BL$6="","",IF(BL$3="Maior",IFERROR(IF(VLOOKUP($N353,Capa!$A:$AE,BL$5,0)="",0,VLOOKUP($N353,Capa!$A:$AE,BL$5,0)),0),IF(ISERROR(1/VLOOKUP($N353,Capa!$A:$AE,BL$5,0)),0,1/VLOOKUP($N353,Capa!$A:$AE,BL$5,0))))</f>
        <v/>
      </c>
      <c r="BM353" s="118" t="str">
        <f>IF(BM$6="","",IF(BM$3="Maior",IFERROR(IF(VLOOKUP($N353,Capa!$A:$AE,BM$5,0)="",0,VLOOKUP($N353,Capa!$A:$AE,BM$5,0)),0),IF(ISERROR(1/VLOOKUP($N353,Capa!$A:$AE,BM$5,0)),0,1/VLOOKUP($N353,Capa!$A:$AE,BM$5,0))))</f>
        <v/>
      </c>
      <c r="BN353" s="118" t="str">
        <f>IF(BN$6="","",IF(BN$3="Maior",IFERROR(IF(VLOOKUP($N353,Capa!$A:$AE,BN$5,0)="",0,VLOOKUP($N353,Capa!$A:$AE,BN$5,0)),0),IF(ISERROR(1/VLOOKUP($N353,Capa!$A:$AE,BN$5,0)),0,1/VLOOKUP($N353,Capa!$A:$AE,BN$5,0))))</f>
        <v/>
      </c>
      <c r="BO353" s="92"/>
    </row>
    <row r="354">
      <c r="G354" s="11"/>
      <c r="H354" s="11"/>
      <c r="I354" s="8"/>
      <c r="J354" s="132"/>
      <c r="K354" s="11"/>
      <c r="L354" s="11"/>
      <c r="M354" s="11"/>
      <c r="N354" s="10" t="s">
        <v>400</v>
      </c>
      <c r="O354" s="113">
        <f t="shared" si="8"/>
        <v>2092.0428</v>
      </c>
      <c r="P354" s="114">
        <f>VLOOKUP(N354,'Dados StatusInvest'!A:Z,26,0)</f>
        <v>143302.92</v>
      </c>
      <c r="Q354" s="115">
        <f t="shared" si="9"/>
        <v>428.0428</v>
      </c>
      <c r="R354" s="116">
        <f t="shared" ref="R354:AO354" si="357">IF(AQ354="","", RANK(AQ354,AQ$7:AQ$503,0))</f>
        <v>445</v>
      </c>
      <c r="S354" s="115">
        <f t="shared" si="357"/>
        <v>219</v>
      </c>
      <c r="T354" s="115" t="str">
        <f t="shared" si="357"/>
        <v/>
      </c>
      <c r="U354" s="115" t="str">
        <f t="shared" si="357"/>
        <v/>
      </c>
      <c r="V354" s="115" t="str">
        <f t="shared" si="357"/>
        <v/>
      </c>
      <c r="W354" s="115" t="str">
        <f t="shared" si="357"/>
        <v/>
      </c>
      <c r="X354" s="115" t="str">
        <f t="shared" si="357"/>
        <v/>
      </c>
      <c r="Y354" s="115" t="str">
        <f t="shared" si="357"/>
        <v/>
      </c>
      <c r="Z354" s="115" t="str">
        <f t="shared" si="357"/>
        <v/>
      </c>
      <c r="AA354" s="115" t="str">
        <f t="shared" si="357"/>
        <v/>
      </c>
      <c r="AB354" s="115" t="str">
        <f t="shared" si="357"/>
        <v/>
      </c>
      <c r="AC354" s="115" t="str">
        <f t="shared" si="357"/>
        <v/>
      </c>
      <c r="AD354" s="115" t="str">
        <f t="shared" si="357"/>
        <v/>
      </c>
      <c r="AE354" s="115" t="str">
        <f t="shared" si="357"/>
        <v/>
      </c>
      <c r="AF354" s="115" t="str">
        <f t="shared" si="357"/>
        <v/>
      </c>
      <c r="AG354" s="115" t="str">
        <f t="shared" si="357"/>
        <v/>
      </c>
      <c r="AH354" s="115" t="str">
        <f t="shared" si="357"/>
        <v/>
      </c>
      <c r="AI354" s="115" t="str">
        <f t="shared" si="357"/>
        <v/>
      </c>
      <c r="AJ354" s="115" t="str">
        <f t="shared" si="357"/>
        <v/>
      </c>
      <c r="AK354" s="115" t="str">
        <f t="shared" si="357"/>
        <v/>
      </c>
      <c r="AL354" s="115" t="str">
        <f t="shared" si="357"/>
        <v/>
      </c>
      <c r="AM354" s="115" t="str">
        <f t="shared" si="357"/>
        <v/>
      </c>
      <c r="AN354" s="115" t="str">
        <f t="shared" si="357"/>
        <v/>
      </c>
      <c r="AO354" s="115" t="str">
        <f t="shared" si="357"/>
        <v/>
      </c>
      <c r="AP354" s="117">
        <f>IF(AP$6="","",IF(AP$3="Maior",IFERROR(IF(VLOOKUP($N354,Capa!$A:$AE,AP$5,0)="",0,VLOOKUP($N354,Capa!$A:$AE,AP$5,0)),0),IF(ISERROR(1/VLOOKUP($N354,Capa!$A:$AE,AP$5,0)),0,1/VLOOKUP($N354,Capa!$A:$AE,AP$5,0))))</f>
        <v>-0.03417586517</v>
      </c>
      <c r="AQ354" s="118">
        <f>IF(AQ$6="","",IF(AQ$3="Maior",IFERROR(IF(VLOOKUP($N354,Capa!$A:$AE,AQ$5,0)="",0,VLOOKUP($N354,Capa!$A:$AE,AQ$5,0)),0),IF(ISERROR(1/VLOOKUP($N354,Capa!$A:$AE,AQ$5,0)),0,1/VLOOKUP($N354,Capa!$A:$AE,AQ$5,0))))</f>
        <v>-4.45</v>
      </c>
      <c r="AR354" s="118">
        <f>IF(AR$6="","",IF(AR$3="Maior",IFERROR(IF(VLOOKUP($N354,Capa!$A:$AE,AR$5,0)="",0,VLOOKUP($N354,Capa!$A:$AE,AR$5,0)),0),IF(ISERROR(1/VLOOKUP($N354,Capa!$A:$AE,AR$5,0)),0,1/VLOOKUP($N354,Capa!$A:$AE,AR$5,0))))</f>
        <v>0</v>
      </c>
      <c r="AS354" s="118" t="str">
        <f>IF(AS$6="","",IF(AS$3="Maior",IFERROR(IF(VLOOKUP($N354,Capa!$A:$AE,AS$5,0)="",0,VLOOKUP($N354,Capa!$A:$AE,AS$5,0)),0),IF(ISERROR(1/VLOOKUP($N354,Capa!$A:$AE,AS$5,0)),0,1/VLOOKUP($N354,Capa!$A:$AE,AS$5,0))))</f>
        <v/>
      </c>
      <c r="AT354" s="118" t="str">
        <f>IF(AT$6="","",IF(AT$3="Maior",IFERROR(IF(VLOOKUP($N354,Capa!$A:$AE,AT$5,0)="",0,VLOOKUP($N354,Capa!$A:$AE,AT$5,0)),0),IF(ISERROR(1/VLOOKUP($N354,Capa!$A:$AE,AT$5,0)),0,1/VLOOKUP($N354,Capa!$A:$AE,AT$5,0))))</f>
        <v/>
      </c>
      <c r="AU354" s="118" t="str">
        <f>IF(AU$6="","",IF(AU$3="Maior",IFERROR(IF(VLOOKUP($N354,Capa!$A:$AE,AU$5,0)="",0,VLOOKUP($N354,Capa!$A:$AE,AU$5,0)),0),IF(ISERROR(1/VLOOKUP($N354,Capa!$A:$AE,AU$5,0)),0,1/VLOOKUP($N354,Capa!$A:$AE,AU$5,0))))</f>
        <v/>
      </c>
      <c r="AV354" s="118" t="str">
        <f>IF(AV$6="","",IF(AV$3="Maior",IFERROR(IF(VLOOKUP($N354,Capa!$A:$AE,AV$5,0)="",0,VLOOKUP($N354,Capa!$A:$AE,AV$5,0)),0),IF(ISERROR(1/VLOOKUP($N354,Capa!$A:$AE,AV$5,0)),0,1/VLOOKUP($N354,Capa!$A:$AE,AV$5,0))))</f>
        <v/>
      </c>
      <c r="AW354" s="118" t="str">
        <f>IF(AW$6="","",IF(AW$3="Maior",IFERROR(IF(VLOOKUP($N354,Capa!$A:$AE,AW$5,0)="",0,VLOOKUP($N354,Capa!$A:$AE,AW$5,0)),0),IF(ISERROR(1/VLOOKUP($N354,Capa!$A:$AE,AW$5,0)),0,1/VLOOKUP($N354,Capa!$A:$AE,AW$5,0))))</f>
        <v/>
      </c>
      <c r="AX354" s="118" t="str">
        <f>IF(AX$6="","",IF(AX$3="Maior",IFERROR(IF(VLOOKUP($N354,Capa!$A:$AE,AX$5,0)="",0,VLOOKUP($N354,Capa!$A:$AE,AX$5,0)),0),IF(ISERROR(1/VLOOKUP($N354,Capa!$A:$AE,AX$5,0)),0,1/VLOOKUP($N354,Capa!$A:$AE,AX$5,0))))</f>
        <v/>
      </c>
      <c r="AY354" s="118" t="str">
        <f>IF(AY$6="","",IF(AY$3="Maior",IFERROR(IF(VLOOKUP($N354,Capa!$A:$AE,AY$5,0)="",0,VLOOKUP($N354,Capa!$A:$AE,AY$5,0)),0),IF(ISERROR(1/VLOOKUP($N354,Capa!$A:$AE,AY$5,0)),0,1/VLOOKUP($N354,Capa!$A:$AE,AY$5,0))))</f>
        <v/>
      </c>
      <c r="AZ354" s="118" t="str">
        <f>IF(AZ$6="","",IF(AZ$3="Maior",IFERROR(IF(VLOOKUP($N354,Capa!$A:$AE,AZ$5,0)="",0,VLOOKUP($N354,Capa!$A:$AE,AZ$5,0)),0),IF(ISERROR(1/VLOOKUP($N354,Capa!$A:$AE,AZ$5,0)),0,1/VLOOKUP($N354,Capa!$A:$AE,AZ$5,0))))</f>
        <v/>
      </c>
      <c r="BA354" s="118" t="str">
        <f>IF(BA$6="","",IF(BA$3="Maior",IFERROR(IF(VLOOKUP($N354,Capa!$A:$AE,BA$5,0)="",0,VLOOKUP($N354,Capa!$A:$AE,BA$5,0)),0),IF(ISERROR(1/VLOOKUP($N354,Capa!$A:$AE,BA$5,0)),0,1/VLOOKUP($N354,Capa!$A:$AE,BA$5,0))))</f>
        <v/>
      </c>
      <c r="BB354" s="118" t="str">
        <f>IF(BB$6="","",IF(BB$3="Maior",IFERROR(IF(VLOOKUP($N354,Capa!$A:$AE,BB$5,0)="",0,VLOOKUP($N354,Capa!$A:$AE,BB$5,0)),0),IF(ISERROR(1/VLOOKUP($N354,Capa!$A:$AE,BB$5,0)),0,1/VLOOKUP($N354,Capa!$A:$AE,BB$5,0))))</f>
        <v/>
      </c>
      <c r="BC354" s="118" t="str">
        <f>IF(BC$6="","",IF(BC$3="Maior",IFERROR(IF(VLOOKUP($N354,Capa!$A:$AE,BC$5,0)="",0,VLOOKUP($N354,Capa!$A:$AE,BC$5,0)),0),IF(ISERROR(1/VLOOKUP($N354,Capa!$A:$AE,BC$5,0)),0,1/VLOOKUP($N354,Capa!$A:$AE,BC$5,0))))</f>
        <v/>
      </c>
      <c r="BD354" s="118" t="str">
        <f>IF(BD$6="","",IF(BD$3="Maior",IFERROR(IF(VLOOKUP($N354,Capa!$A:$AE,BD$5,0)="",0,VLOOKUP($N354,Capa!$A:$AE,BD$5,0)),0),IF(ISERROR(1/VLOOKUP($N354,Capa!$A:$AE,BD$5,0)),0,1/VLOOKUP($N354,Capa!$A:$AE,BD$5,0))))</f>
        <v/>
      </c>
      <c r="BE354" s="118" t="str">
        <f>IF(BE$6="","",IF(BE$3="Maior",IFERROR(IF(VLOOKUP($N354,Capa!$A:$AE,BE$5,0)="",0,VLOOKUP($N354,Capa!$A:$AE,BE$5,0)),0),IF(ISERROR(1/VLOOKUP($N354,Capa!$A:$AE,BE$5,0)),0,1/VLOOKUP($N354,Capa!$A:$AE,BE$5,0))))</f>
        <v/>
      </c>
      <c r="BF354" s="118" t="str">
        <f>IF(BF$6="","",IF(BF$3="Maior",IFERROR(IF(VLOOKUP($N354,Capa!$A:$AE,BF$5,0)="",0,VLOOKUP($N354,Capa!$A:$AE,BF$5,0)),0),IF(ISERROR(1/VLOOKUP($N354,Capa!$A:$AE,BF$5,0)),0,1/VLOOKUP($N354,Capa!$A:$AE,BF$5,0))))</f>
        <v/>
      </c>
      <c r="BG354" s="118" t="str">
        <f>IF(BG$6="","",IF(BG$3="Maior",IFERROR(IF(VLOOKUP($N354,Capa!$A:$AE,BG$5,0)="",0,VLOOKUP($N354,Capa!$A:$AE,BG$5,0)),0),IF(ISERROR(1/VLOOKUP($N354,Capa!$A:$AE,BG$5,0)),0,1/VLOOKUP($N354,Capa!$A:$AE,BG$5,0))))</f>
        <v/>
      </c>
      <c r="BH354" s="118" t="str">
        <f>IF(BH$6="","",IF(BH$3="Maior",IFERROR(IF(VLOOKUP($N354,Capa!$A:$AE,BH$5,0)="",0,VLOOKUP($N354,Capa!$A:$AE,BH$5,0)),0),IF(ISERROR(1/VLOOKUP($N354,Capa!$A:$AE,BH$5,0)),0,1/VLOOKUP($N354,Capa!$A:$AE,BH$5,0))))</f>
        <v/>
      </c>
      <c r="BI354" s="118" t="str">
        <f>IF(BI$6="","",IF(BI$3="Maior",IFERROR(IF(VLOOKUP($N354,Capa!$A:$AE,BI$5,0)="",0,VLOOKUP($N354,Capa!$A:$AE,BI$5,0)),0),IF(ISERROR(1/VLOOKUP($N354,Capa!$A:$AE,BI$5,0)),0,1/VLOOKUP($N354,Capa!$A:$AE,BI$5,0))))</f>
        <v/>
      </c>
      <c r="BJ354" s="118" t="str">
        <f>IF(BJ$6="","",IF(BJ$3="Maior",IFERROR(IF(VLOOKUP($N354,Capa!$A:$AE,BJ$5,0)="",0,VLOOKUP($N354,Capa!$A:$AE,BJ$5,0)),0),IF(ISERROR(1/VLOOKUP($N354,Capa!$A:$AE,BJ$5,0)),0,1/VLOOKUP($N354,Capa!$A:$AE,BJ$5,0))))</f>
        <v/>
      </c>
      <c r="BK354" s="118" t="str">
        <f>IF(BK$6="","",IF(BK$3="Maior",IFERROR(IF(VLOOKUP($N354,Capa!$A:$AE,BK$5,0)="",0,VLOOKUP($N354,Capa!$A:$AE,BK$5,0)),0),IF(ISERROR(1/VLOOKUP($N354,Capa!$A:$AE,BK$5,0)),0,1/VLOOKUP($N354,Capa!$A:$AE,BK$5,0))))</f>
        <v/>
      </c>
      <c r="BL354" s="118" t="str">
        <f>IF(BL$6="","",IF(BL$3="Maior",IFERROR(IF(VLOOKUP($N354,Capa!$A:$AE,BL$5,0)="",0,VLOOKUP($N354,Capa!$A:$AE,BL$5,0)),0),IF(ISERROR(1/VLOOKUP($N354,Capa!$A:$AE,BL$5,0)),0,1/VLOOKUP($N354,Capa!$A:$AE,BL$5,0))))</f>
        <v/>
      </c>
      <c r="BM354" s="118" t="str">
        <f>IF(BM$6="","",IF(BM$3="Maior",IFERROR(IF(VLOOKUP($N354,Capa!$A:$AE,BM$5,0)="",0,VLOOKUP($N354,Capa!$A:$AE,BM$5,0)),0),IF(ISERROR(1/VLOOKUP($N354,Capa!$A:$AE,BM$5,0)),0,1/VLOOKUP($N354,Capa!$A:$AE,BM$5,0))))</f>
        <v/>
      </c>
      <c r="BN354" s="118" t="str">
        <f>IF(BN$6="","",IF(BN$3="Maior",IFERROR(IF(VLOOKUP($N354,Capa!$A:$AE,BN$5,0)="",0,VLOOKUP($N354,Capa!$A:$AE,BN$5,0)),0),IF(ISERROR(1/VLOOKUP($N354,Capa!$A:$AE,BN$5,0)),0,1/VLOOKUP($N354,Capa!$A:$AE,BN$5,0))))</f>
        <v/>
      </c>
      <c r="BO354" s="92"/>
    </row>
    <row r="355">
      <c r="G355" s="11"/>
      <c r="H355" s="11"/>
      <c r="I355" s="8"/>
      <c r="J355" s="132"/>
      <c r="K355" s="11"/>
      <c r="L355" s="11"/>
      <c r="M355" s="11"/>
      <c r="N355" s="10" t="s">
        <v>401</v>
      </c>
      <c r="O355" s="113">
        <f t="shared" si="8"/>
        <v>1275.0144</v>
      </c>
      <c r="P355" s="114">
        <f>VLOOKUP(N355,'Dados StatusInvest'!A:Z,26,0)</f>
        <v>138570.29</v>
      </c>
      <c r="Q355" s="115">
        <f t="shared" si="9"/>
        <v>144.0144</v>
      </c>
      <c r="R355" s="116">
        <f t="shared" ref="R355:AO355" si="358">IF(AQ355="","", RANK(AQ355,AQ$7:AQ$503,0))</f>
        <v>36</v>
      </c>
      <c r="S355" s="115">
        <f t="shared" si="358"/>
        <v>95</v>
      </c>
      <c r="T355" s="115" t="str">
        <f t="shared" si="358"/>
        <v/>
      </c>
      <c r="U355" s="115" t="str">
        <f t="shared" si="358"/>
        <v/>
      </c>
      <c r="V355" s="115" t="str">
        <f t="shared" si="358"/>
        <v/>
      </c>
      <c r="W355" s="115" t="str">
        <f t="shared" si="358"/>
        <v/>
      </c>
      <c r="X355" s="115" t="str">
        <f t="shared" si="358"/>
        <v/>
      </c>
      <c r="Y355" s="115" t="str">
        <f t="shared" si="358"/>
        <v/>
      </c>
      <c r="Z355" s="115" t="str">
        <f t="shared" si="358"/>
        <v/>
      </c>
      <c r="AA355" s="115" t="str">
        <f t="shared" si="358"/>
        <v/>
      </c>
      <c r="AB355" s="115" t="str">
        <f t="shared" si="358"/>
        <v/>
      </c>
      <c r="AC355" s="115" t="str">
        <f t="shared" si="358"/>
        <v/>
      </c>
      <c r="AD355" s="115" t="str">
        <f t="shared" si="358"/>
        <v/>
      </c>
      <c r="AE355" s="115" t="str">
        <f t="shared" si="358"/>
        <v/>
      </c>
      <c r="AF355" s="115" t="str">
        <f t="shared" si="358"/>
        <v/>
      </c>
      <c r="AG355" s="115" t="str">
        <f t="shared" si="358"/>
        <v/>
      </c>
      <c r="AH355" s="115" t="str">
        <f t="shared" si="358"/>
        <v/>
      </c>
      <c r="AI355" s="115" t="str">
        <f t="shared" si="358"/>
        <v/>
      </c>
      <c r="AJ355" s="115" t="str">
        <f t="shared" si="358"/>
        <v/>
      </c>
      <c r="AK355" s="115" t="str">
        <f t="shared" si="358"/>
        <v/>
      </c>
      <c r="AL355" s="115" t="str">
        <f t="shared" si="358"/>
        <v/>
      </c>
      <c r="AM355" s="115" t="str">
        <f t="shared" si="358"/>
        <v/>
      </c>
      <c r="AN355" s="115" t="str">
        <f t="shared" si="358"/>
        <v/>
      </c>
      <c r="AO355" s="115" t="str">
        <f t="shared" si="358"/>
        <v/>
      </c>
      <c r="AP355" s="117">
        <f>IF(AP$6="","",IF(AP$3="Maior",IFERROR(IF(VLOOKUP($N355,Capa!$A:$AE,AP$5,0)="",0,VLOOKUP($N355,Capa!$A:$AE,AP$5,0)),0),IF(ISERROR(1/VLOOKUP($N355,Capa!$A:$AE,AP$5,0)),0,1/VLOOKUP($N355,Capa!$A:$AE,AP$5,0))))</f>
        <v>0.1369044254</v>
      </c>
      <c r="AQ355" s="118">
        <f>IF(AQ$6="","",IF(AQ$3="Maior",IFERROR(IF(VLOOKUP($N355,Capa!$A:$AE,AQ$5,0)="",0,VLOOKUP($N355,Capa!$A:$AE,AQ$5,0)),0),IF(ISERROR(1/VLOOKUP($N355,Capa!$A:$AE,AQ$5,0)),0,1/VLOOKUP($N355,Capa!$A:$AE,AQ$5,0))))</f>
        <v>33.12</v>
      </c>
      <c r="AR355" s="118">
        <f>IF(AR$6="","",IF(AR$3="Maior",IFERROR(IF(VLOOKUP($N355,Capa!$A:$AE,AR$5,0)="",0,VLOOKUP($N355,Capa!$A:$AE,AR$5,0)),0),IF(ISERROR(1/VLOOKUP($N355,Capa!$A:$AE,AR$5,0)),0,1/VLOOKUP($N355,Capa!$A:$AE,AR$5,0))))</f>
        <v>27.6</v>
      </c>
      <c r="AS355" s="118" t="str">
        <f>IF(AS$6="","",IF(AS$3="Maior",IFERROR(IF(VLOOKUP($N355,Capa!$A:$AE,AS$5,0)="",0,VLOOKUP($N355,Capa!$A:$AE,AS$5,0)),0),IF(ISERROR(1/VLOOKUP($N355,Capa!$A:$AE,AS$5,0)),0,1/VLOOKUP($N355,Capa!$A:$AE,AS$5,0))))</f>
        <v/>
      </c>
      <c r="AT355" s="118" t="str">
        <f>IF(AT$6="","",IF(AT$3="Maior",IFERROR(IF(VLOOKUP($N355,Capa!$A:$AE,AT$5,0)="",0,VLOOKUP($N355,Capa!$A:$AE,AT$5,0)),0),IF(ISERROR(1/VLOOKUP($N355,Capa!$A:$AE,AT$5,0)),0,1/VLOOKUP($N355,Capa!$A:$AE,AT$5,0))))</f>
        <v/>
      </c>
      <c r="AU355" s="118" t="str">
        <f>IF(AU$6="","",IF(AU$3="Maior",IFERROR(IF(VLOOKUP($N355,Capa!$A:$AE,AU$5,0)="",0,VLOOKUP($N355,Capa!$A:$AE,AU$5,0)),0),IF(ISERROR(1/VLOOKUP($N355,Capa!$A:$AE,AU$5,0)),0,1/VLOOKUP($N355,Capa!$A:$AE,AU$5,0))))</f>
        <v/>
      </c>
      <c r="AV355" s="118" t="str">
        <f>IF(AV$6="","",IF(AV$3="Maior",IFERROR(IF(VLOOKUP($N355,Capa!$A:$AE,AV$5,0)="",0,VLOOKUP($N355,Capa!$A:$AE,AV$5,0)),0),IF(ISERROR(1/VLOOKUP($N355,Capa!$A:$AE,AV$5,0)),0,1/VLOOKUP($N355,Capa!$A:$AE,AV$5,0))))</f>
        <v/>
      </c>
      <c r="AW355" s="118" t="str">
        <f>IF(AW$6="","",IF(AW$3="Maior",IFERROR(IF(VLOOKUP($N355,Capa!$A:$AE,AW$5,0)="",0,VLOOKUP($N355,Capa!$A:$AE,AW$5,0)),0),IF(ISERROR(1/VLOOKUP($N355,Capa!$A:$AE,AW$5,0)),0,1/VLOOKUP($N355,Capa!$A:$AE,AW$5,0))))</f>
        <v/>
      </c>
      <c r="AX355" s="118" t="str">
        <f>IF(AX$6="","",IF(AX$3="Maior",IFERROR(IF(VLOOKUP($N355,Capa!$A:$AE,AX$5,0)="",0,VLOOKUP($N355,Capa!$A:$AE,AX$5,0)),0),IF(ISERROR(1/VLOOKUP($N355,Capa!$A:$AE,AX$5,0)),0,1/VLOOKUP($N355,Capa!$A:$AE,AX$5,0))))</f>
        <v/>
      </c>
      <c r="AY355" s="118" t="str">
        <f>IF(AY$6="","",IF(AY$3="Maior",IFERROR(IF(VLOOKUP($N355,Capa!$A:$AE,AY$5,0)="",0,VLOOKUP($N355,Capa!$A:$AE,AY$5,0)),0),IF(ISERROR(1/VLOOKUP($N355,Capa!$A:$AE,AY$5,0)),0,1/VLOOKUP($N355,Capa!$A:$AE,AY$5,0))))</f>
        <v/>
      </c>
      <c r="AZ355" s="118" t="str">
        <f>IF(AZ$6="","",IF(AZ$3="Maior",IFERROR(IF(VLOOKUP($N355,Capa!$A:$AE,AZ$5,0)="",0,VLOOKUP($N355,Capa!$A:$AE,AZ$5,0)),0),IF(ISERROR(1/VLOOKUP($N355,Capa!$A:$AE,AZ$5,0)),0,1/VLOOKUP($N355,Capa!$A:$AE,AZ$5,0))))</f>
        <v/>
      </c>
      <c r="BA355" s="118" t="str">
        <f>IF(BA$6="","",IF(BA$3="Maior",IFERROR(IF(VLOOKUP($N355,Capa!$A:$AE,BA$5,0)="",0,VLOOKUP($N355,Capa!$A:$AE,BA$5,0)),0),IF(ISERROR(1/VLOOKUP($N355,Capa!$A:$AE,BA$5,0)),0,1/VLOOKUP($N355,Capa!$A:$AE,BA$5,0))))</f>
        <v/>
      </c>
      <c r="BB355" s="118" t="str">
        <f>IF(BB$6="","",IF(BB$3="Maior",IFERROR(IF(VLOOKUP($N355,Capa!$A:$AE,BB$5,0)="",0,VLOOKUP($N355,Capa!$A:$AE,BB$5,0)),0),IF(ISERROR(1/VLOOKUP($N355,Capa!$A:$AE,BB$5,0)),0,1/VLOOKUP($N355,Capa!$A:$AE,BB$5,0))))</f>
        <v/>
      </c>
      <c r="BC355" s="118" t="str">
        <f>IF(BC$6="","",IF(BC$3="Maior",IFERROR(IF(VLOOKUP($N355,Capa!$A:$AE,BC$5,0)="",0,VLOOKUP($N355,Capa!$A:$AE,BC$5,0)),0),IF(ISERROR(1/VLOOKUP($N355,Capa!$A:$AE,BC$5,0)),0,1/VLOOKUP($N355,Capa!$A:$AE,BC$5,0))))</f>
        <v/>
      </c>
      <c r="BD355" s="118" t="str">
        <f>IF(BD$6="","",IF(BD$3="Maior",IFERROR(IF(VLOOKUP($N355,Capa!$A:$AE,BD$5,0)="",0,VLOOKUP($N355,Capa!$A:$AE,BD$5,0)),0),IF(ISERROR(1/VLOOKUP($N355,Capa!$A:$AE,BD$5,0)),0,1/VLOOKUP($N355,Capa!$A:$AE,BD$5,0))))</f>
        <v/>
      </c>
      <c r="BE355" s="118" t="str">
        <f>IF(BE$6="","",IF(BE$3="Maior",IFERROR(IF(VLOOKUP($N355,Capa!$A:$AE,BE$5,0)="",0,VLOOKUP($N355,Capa!$A:$AE,BE$5,0)),0),IF(ISERROR(1/VLOOKUP($N355,Capa!$A:$AE,BE$5,0)),0,1/VLOOKUP($N355,Capa!$A:$AE,BE$5,0))))</f>
        <v/>
      </c>
      <c r="BF355" s="118" t="str">
        <f>IF(BF$6="","",IF(BF$3="Maior",IFERROR(IF(VLOOKUP($N355,Capa!$A:$AE,BF$5,0)="",0,VLOOKUP($N355,Capa!$A:$AE,BF$5,0)),0),IF(ISERROR(1/VLOOKUP($N355,Capa!$A:$AE,BF$5,0)),0,1/VLOOKUP($N355,Capa!$A:$AE,BF$5,0))))</f>
        <v/>
      </c>
      <c r="BG355" s="118" t="str">
        <f>IF(BG$6="","",IF(BG$3="Maior",IFERROR(IF(VLOOKUP($N355,Capa!$A:$AE,BG$5,0)="",0,VLOOKUP($N355,Capa!$A:$AE,BG$5,0)),0),IF(ISERROR(1/VLOOKUP($N355,Capa!$A:$AE,BG$5,0)),0,1/VLOOKUP($N355,Capa!$A:$AE,BG$5,0))))</f>
        <v/>
      </c>
      <c r="BH355" s="118" t="str">
        <f>IF(BH$6="","",IF(BH$3="Maior",IFERROR(IF(VLOOKUP($N355,Capa!$A:$AE,BH$5,0)="",0,VLOOKUP($N355,Capa!$A:$AE,BH$5,0)),0),IF(ISERROR(1/VLOOKUP($N355,Capa!$A:$AE,BH$5,0)),0,1/VLOOKUP($N355,Capa!$A:$AE,BH$5,0))))</f>
        <v/>
      </c>
      <c r="BI355" s="118" t="str">
        <f>IF(BI$6="","",IF(BI$3="Maior",IFERROR(IF(VLOOKUP($N355,Capa!$A:$AE,BI$5,0)="",0,VLOOKUP($N355,Capa!$A:$AE,BI$5,0)),0),IF(ISERROR(1/VLOOKUP($N355,Capa!$A:$AE,BI$5,0)),0,1/VLOOKUP($N355,Capa!$A:$AE,BI$5,0))))</f>
        <v/>
      </c>
      <c r="BJ355" s="118" t="str">
        <f>IF(BJ$6="","",IF(BJ$3="Maior",IFERROR(IF(VLOOKUP($N355,Capa!$A:$AE,BJ$5,0)="",0,VLOOKUP($N355,Capa!$A:$AE,BJ$5,0)),0),IF(ISERROR(1/VLOOKUP($N355,Capa!$A:$AE,BJ$5,0)),0,1/VLOOKUP($N355,Capa!$A:$AE,BJ$5,0))))</f>
        <v/>
      </c>
      <c r="BK355" s="118" t="str">
        <f>IF(BK$6="","",IF(BK$3="Maior",IFERROR(IF(VLOOKUP($N355,Capa!$A:$AE,BK$5,0)="",0,VLOOKUP($N355,Capa!$A:$AE,BK$5,0)),0),IF(ISERROR(1/VLOOKUP($N355,Capa!$A:$AE,BK$5,0)),0,1/VLOOKUP($N355,Capa!$A:$AE,BK$5,0))))</f>
        <v/>
      </c>
      <c r="BL355" s="118" t="str">
        <f>IF(BL$6="","",IF(BL$3="Maior",IFERROR(IF(VLOOKUP($N355,Capa!$A:$AE,BL$5,0)="",0,VLOOKUP($N355,Capa!$A:$AE,BL$5,0)),0),IF(ISERROR(1/VLOOKUP($N355,Capa!$A:$AE,BL$5,0)),0,1/VLOOKUP($N355,Capa!$A:$AE,BL$5,0))))</f>
        <v/>
      </c>
      <c r="BM355" s="118" t="str">
        <f>IF(BM$6="","",IF(BM$3="Maior",IFERROR(IF(VLOOKUP($N355,Capa!$A:$AE,BM$5,0)="",0,VLOOKUP($N355,Capa!$A:$AE,BM$5,0)),0),IF(ISERROR(1/VLOOKUP($N355,Capa!$A:$AE,BM$5,0)),0,1/VLOOKUP($N355,Capa!$A:$AE,BM$5,0))))</f>
        <v/>
      </c>
      <c r="BN355" s="118" t="str">
        <f>IF(BN$6="","",IF(BN$3="Maior",IFERROR(IF(VLOOKUP($N355,Capa!$A:$AE,BN$5,0)="",0,VLOOKUP($N355,Capa!$A:$AE,BN$5,0)),0),IF(ISERROR(1/VLOOKUP($N355,Capa!$A:$AE,BN$5,0)),0,1/VLOOKUP($N355,Capa!$A:$AE,BN$5,0))))</f>
        <v/>
      </c>
      <c r="BO355" s="92"/>
    </row>
    <row r="356">
      <c r="G356" s="11"/>
      <c r="H356" s="11"/>
      <c r="I356" s="8"/>
      <c r="J356" s="132"/>
      <c r="K356" s="11"/>
      <c r="L356" s="11"/>
      <c r="M356" s="11"/>
      <c r="N356" s="10" t="s">
        <v>402</v>
      </c>
      <c r="O356" s="113">
        <f t="shared" si="8"/>
        <v>1180.0028</v>
      </c>
      <c r="P356" s="114">
        <f>VLOOKUP(N356,'Dados StatusInvest'!A:Z,26,0)</f>
        <v>106300.5</v>
      </c>
      <c r="Q356" s="115">
        <f t="shared" si="9"/>
        <v>28.0028</v>
      </c>
      <c r="R356" s="116">
        <f t="shared" ref="R356:AO356" si="359">IF(AQ356="","", RANK(AQ356,AQ$7:AQ$503,0))</f>
        <v>95</v>
      </c>
      <c r="S356" s="115">
        <f t="shared" si="359"/>
        <v>57</v>
      </c>
      <c r="T356" s="115" t="str">
        <f t="shared" si="359"/>
        <v/>
      </c>
      <c r="U356" s="115" t="str">
        <f t="shared" si="359"/>
        <v/>
      </c>
      <c r="V356" s="115" t="str">
        <f t="shared" si="359"/>
        <v/>
      </c>
      <c r="W356" s="115" t="str">
        <f t="shared" si="359"/>
        <v/>
      </c>
      <c r="X356" s="115" t="str">
        <f t="shared" si="359"/>
        <v/>
      </c>
      <c r="Y356" s="115" t="str">
        <f t="shared" si="359"/>
        <v/>
      </c>
      <c r="Z356" s="115" t="str">
        <f t="shared" si="359"/>
        <v/>
      </c>
      <c r="AA356" s="115" t="str">
        <f t="shared" si="359"/>
        <v/>
      </c>
      <c r="AB356" s="115" t="str">
        <f t="shared" si="359"/>
        <v/>
      </c>
      <c r="AC356" s="115" t="str">
        <f t="shared" si="359"/>
        <v/>
      </c>
      <c r="AD356" s="115" t="str">
        <f t="shared" si="359"/>
        <v/>
      </c>
      <c r="AE356" s="115" t="str">
        <f t="shared" si="359"/>
        <v/>
      </c>
      <c r="AF356" s="115" t="str">
        <f t="shared" si="359"/>
        <v/>
      </c>
      <c r="AG356" s="115" t="str">
        <f t="shared" si="359"/>
        <v/>
      </c>
      <c r="AH356" s="115" t="str">
        <f t="shared" si="359"/>
        <v/>
      </c>
      <c r="AI356" s="115" t="str">
        <f t="shared" si="359"/>
        <v/>
      </c>
      <c r="AJ356" s="115" t="str">
        <f t="shared" si="359"/>
        <v/>
      </c>
      <c r="AK356" s="115" t="str">
        <f t="shared" si="359"/>
        <v/>
      </c>
      <c r="AL356" s="115" t="str">
        <f t="shared" si="359"/>
        <v/>
      </c>
      <c r="AM356" s="115" t="str">
        <f t="shared" si="359"/>
        <v/>
      </c>
      <c r="AN356" s="115" t="str">
        <f t="shared" si="359"/>
        <v/>
      </c>
      <c r="AO356" s="115" t="str">
        <f t="shared" si="359"/>
        <v/>
      </c>
      <c r="AP356" s="117">
        <f>IF(AP$6="","",IF(AP$3="Maior",IFERROR(IF(VLOOKUP($N356,Capa!$A:$AE,AP$5,0)="",0,VLOOKUP($N356,Capa!$A:$AE,AP$5,0)),0),IF(ISERROR(1/VLOOKUP($N356,Capa!$A:$AE,AP$5,0)),0,1/VLOOKUP($N356,Capa!$A:$AE,AP$5,0))))</f>
        <v>0.3117141147</v>
      </c>
      <c r="AQ356" s="118">
        <f>IF(AQ$6="","",IF(AQ$3="Maior",IFERROR(IF(VLOOKUP($N356,Capa!$A:$AE,AQ$5,0)="",0,VLOOKUP($N356,Capa!$A:$AE,AQ$5,0)),0),IF(ISERROR(1/VLOOKUP($N356,Capa!$A:$AE,AQ$5,0)),0,1/VLOOKUP($N356,Capa!$A:$AE,AQ$5,0))))</f>
        <v>18.28</v>
      </c>
      <c r="AR356" s="118">
        <f>IF(AR$6="","",IF(AR$3="Maior",IFERROR(IF(VLOOKUP($N356,Capa!$A:$AE,AR$5,0)="",0,VLOOKUP($N356,Capa!$A:$AE,AR$5,0)),0),IF(ISERROR(1/VLOOKUP($N356,Capa!$A:$AE,AR$5,0)),0,1/VLOOKUP($N356,Capa!$A:$AE,AR$5,0))))</f>
        <v>45.13</v>
      </c>
      <c r="AS356" s="118" t="str">
        <f>IF(AS$6="","",IF(AS$3="Maior",IFERROR(IF(VLOOKUP($N356,Capa!$A:$AE,AS$5,0)="",0,VLOOKUP($N356,Capa!$A:$AE,AS$5,0)),0),IF(ISERROR(1/VLOOKUP($N356,Capa!$A:$AE,AS$5,0)),0,1/VLOOKUP($N356,Capa!$A:$AE,AS$5,0))))</f>
        <v/>
      </c>
      <c r="AT356" s="118" t="str">
        <f>IF(AT$6="","",IF(AT$3="Maior",IFERROR(IF(VLOOKUP($N356,Capa!$A:$AE,AT$5,0)="",0,VLOOKUP($N356,Capa!$A:$AE,AT$5,0)),0),IF(ISERROR(1/VLOOKUP($N356,Capa!$A:$AE,AT$5,0)),0,1/VLOOKUP($N356,Capa!$A:$AE,AT$5,0))))</f>
        <v/>
      </c>
      <c r="AU356" s="118" t="str">
        <f>IF(AU$6="","",IF(AU$3="Maior",IFERROR(IF(VLOOKUP($N356,Capa!$A:$AE,AU$5,0)="",0,VLOOKUP($N356,Capa!$A:$AE,AU$5,0)),0),IF(ISERROR(1/VLOOKUP($N356,Capa!$A:$AE,AU$5,0)),0,1/VLOOKUP($N356,Capa!$A:$AE,AU$5,0))))</f>
        <v/>
      </c>
      <c r="AV356" s="118" t="str">
        <f>IF(AV$6="","",IF(AV$3="Maior",IFERROR(IF(VLOOKUP($N356,Capa!$A:$AE,AV$5,0)="",0,VLOOKUP($N356,Capa!$A:$AE,AV$5,0)),0),IF(ISERROR(1/VLOOKUP($N356,Capa!$A:$AE,AV$5,0)),0,1/VLOOKUP($N356,Capa!$A:$AE,AV$5,0))))</f>
        <v/>
      </c>
      <c r="AW356" s="118" t="str">
        <f>IF(AW$6="","",IF(AW$3="Maior",IFERROR(IF(VLOOKUP($N356,Capa!$A:$AE,AW$5,0)="",0,VLOOKUP($N356,Capa!$A:$AE,AW$5,0)),0),IF(ISERROR(1/VLOOKUP($N356,Capa!$A:$AE,AW$5,0)),0,1/VLOOKUP($N356,Capa!$A:$AE,AW$5,0))))</f>
        <v/>
      </c>
      <c r="AX356" s="118" t="str">
        <f>IF(AX$6="","",IF(AX$3="Maior",IFERROR(IF(VLOOKUP($N356,Capa!$A:$AE,AX$5,0)="",0,VLOOKUP($N356,Capa!$A:$AE,AX$5,0)),0),IF(ISERROR(1/VLOOKUP($N356,Capa!$A:$AE,AX$5,0)),0,1/VLOOKUP($N356,Capa!$A:$AE,AX$5,0))))</f>
        <v/>
      </c>
      <c r="AY356" s="118" t="str">
        <f>IF(AY$6="","",IF(AY$3="Maior",IFERROR(IF(VLOOKUP($N356,Capa!$A:$AE,AY$5,0)="",0,VLOOKUP($N356,Capa!$A:$AE,AY$5,0)),0),IF(ISERROR(1/VLOOKUP($N356,Capa!$A:$AE,AY$5,0)),0,1/VLOOKUP($N356,Capa!$A:$AE,AY$5,0))))</f>
        <v/>
      </c>
      <c r="AZ356" s="118" t="str">
        <f>IF(AZ$6="","",IF(AZ$3="Maior",IFERROR(IF(VLOOKUP($N356,Capa!$A:$AE,AZ$5,0)="",0,VLOOKUP($N356,Capa!$A:$AE,AZ$5,0)),0),IF(ISERROR(1/VLOOKUP($N356,Capa!$A:$AE,AZ$5,0)),0,1/VLOOKUP($N356,Capa!$A:$AE,AZ$5,0))))</f>
        <v/>
      </c>
      <c r="BA356" s="118" t="str">
        <f>IF(BA$6="","",IF(BA$3="Maior",IFERROR(IF(VLOOKUP($N356,Capa!$A:$AE,BA$5,0)="",0,VLOOKUP($N356,Capa!$A:$AE,BA$5,0)),0),IF(ISERROR(1/VLOOKUP($N356,Capa!$A:$AE,BA$5,0)),0,1/VLOOKUP($N356,Capa!$A:$AE,BA$5,0))))</f>
        <v/>
      </c>
      <c r="BB356" s="118" t="str">
        <f>IF(BB$6="","",IF(BB$3="Maior",IFERROR(IF(VLOOKUP($N356,Capa!$A:$AE,BB$5,0)="",0,VLOOKUP($N356,Capa!$A:$AE,BB$5,0)),0),IF(ISERROR(1/VLOOKUP($N356,Capa!$A:$AE,BB$5,0)),0,1/VLOOKUP($N356,Capa!$A:$AE,BB$5,0))))</f>
        <v/>
      </c>
      <c r="BC356" s="118" t="str">
        <f>IF(BC$6="","",IF(BC$3="Maior",IFERROR(IF(VLOOKUP($N356,Capa!$A:$AE,BC$5,0)="",0,VLOOKUP($N356,Capa!$A:$AE,BC$5,0)),0),IF(ISERROR(1/VLOOKUP($N356,Capa!$A:$AE,BC$5,0)),0,1/VLOOKUP($N356,Capa!$A:$AE,BC$5,0))))</f>
        <v/>
      </c>
      <c r="BD356" s="118" t="str">
        <f>IF(BD$6="","",IF(BD$3="Maior",IFERROR(IF(VLOOKUP($N356,Capa!$A:$AE,BD$5,0)="",0,VLOOKUP($N356,Capa!$A:$AE,BD$5,0)),0),IF(ISERROR(1/VLOOKUP($N356,Capa!$A:$AE,BD$5,0)),0,1/VLOOKUP($N356,Capa!$A:$AE,BD$5,0))))</f>
        <v/>
      </c>
      <c r="BE356" s="118" t="str">
        <f>IF(BE$6="","",IF(BE$3="Maior",IFERROR(IF(VLOOKUP($N356,Capa!$A:$AE,BE$5,0)="",0,VLOOKUP($N356,Capa!$A:$AE,BE$5,0)),0),IF(ISERROR(1/VLOOKUP($N356,Capa!$A:$AE,BE$5,0)),0,1/VLOOKUP($N356,Capa!$A:$AE,BE$5,0))))</f>
        <v/>
      </c>
      <c r="BF356" s="118" t="str">
        <f>IF(BF$6="","",IF(BF$3="Maior",IFERROR(IF(VLOOKUP($N356,Capa!$A:$AE,BF$5,0)="",0,VLOOKUP($N356,Capa!$A:$AE,BF$5,0)),0),IF(ISERROR(1/VLOOKUP($N356,Capa!$A:$AE,BF$5,0)),0,1/VLOOKUP($N356,Capa!$A:$AE,BF$5,0))))</f>
        <v/>
      </c>
      <c r="BG356" s="118" t="str">
        <f>IF(BG$6="","",IF(BG$3="Maior",IFERROR(IF(VLOOKUP($N356,Capa!$A:$AE,BG$5,0)="",0,VLOOKUP($N356,Capa!$A:$AE,BG$5,0)),0),IF(ISERROR(1/VLOOKUP($N356,Capa!$A:$AE,BG$5,0)),0,1/VLOOKUP($N356,Capa!$A:$AE,BG$5,0))))</f>
        <v/>
      </c>
      <c r="BH356" s="118" t="str">
        <f>IF(BH$6="","",IF(BH$3="Maior",IFERROR(IF(VLOOKUP($N356,Capa!$A:$AE,BH$5,0)="",0,VLOOKUP($N356,Capa!$A:$AE,BH$5,0)),0),IF(ISERROR(1/VLOOKUP($N356,Capa!$A:$AE,BH$5,0)),0,1/VLOOKUP($N356,Capa!$A:$AE,BH$5,0))))</f>
        <v/>
      </c>
      <c r="BI356" s="118" t="str">
        <f>IF(BI$6="","",IF(BI$3="Maior",IFERROR(IF(VLOOKUP($N356,Capa!$A:$AE,BI$5,0)="",0,VLOOKUP($N356,Capa!$A:$AE,BI$5,0)),0),IF(ISERROR(1/VLOOKUP($N356,Capa!$A:$AE,BI$5,0)),0,1/VLOOKUP($N356,Capa!$A:$AE,BI$5,0))))</f>
        <v/>
      </c>
      <c r="BJ356" s="118" t="str">
        <f>IF(BJ$6="","",IF(BJ$3="Maior",IFERROR(IF(VLOOKUP($N356,Capa!$A:$AE,BJ$5,0)="",0,VLOOKUP($N356,Capa!$A:$AE,BJ$5,0)),0),IF(ISERROR(1/VLOOKUP($N356,Capa!$A:$AE,BJ$5,0)),0,1/VLOOKUP($N356,Capa!$A:$AE,BJ$5,0))))</f>
        <v/>
      </c>
      <c r="BK356" s="118" t="str">
        <f>IF(BK$6="","",IF(BK$3="Maior",IFERROR(IF(VLOOKUP($N356,Capa!$A:$AE,BK$5,0)="",0,VLOOKUP($N356,Capa!$A:$AE,BK$5,0)),0),IF(ISERROR(1/VLOOKUP($N356,Capa!$A:$AE,BK$5,0)),0,1/VLOOKUP($N356,Capa!$A:$AE,BK$5,0))))</f>
        <v/>
      </c>
      <c r="BL356" s="118" t="str">
        <f>IF(BL$6="","",IF(BL$3="Maior",IFERROR(IF(VLOOKUP($N356,Capa!$A:$AE,BL$5,0)="",0,VLOOKUP($N356,Capa!$A:$AE,BL$5,0)),0),IF(ISERROR(1/VLOOKUP($N356,Capa!$A:$AE,BL$5,0)),0,1/VLOOKUP($N356,Capa!$A:$AE,BL$5,0))))</f>
        <v/>
      </c>
      <c r="BM356" s="118" t="str">
        <f>IF(BM$6="","",IF(BM$3="Maior",IFERROR(IF(VLOOKUP($N356,Capa!$A:$AE,BM$5,0)="",0,VLOOKUP($N356,Capa!$A:$AE,BM$5,0)),0),IF(ISERROR(1/VLOOKUP($N356,Capa!$A:$AE,BM$5,0)),0,1/VLOOKUP($N356,Capa!$A:$AE,BM$5,0))))</f>
        <v/>
      </c>
      <c r="BN356" s="118" t="str">
        <f>IF(BN$6="","",IF(BN$3="Maior",IFERROR(IF(VLOOKUP($N356,Capa!$A:$AE,BN$5,0)="",0,VLOOKUP($N356,Capa!$A:$AE,BN$5,0)),0),IF(ISERROR(1/VLOOKUP($N356,Capa!$A:$AE,BN$5,0)),0,1/VLOOKUP($N356,Capa!$A:$AE,BN$5,0))))</f>
        <v/>
      </c>
      <c r="BO356" s="92"/>
    </row>
    <row r="357">
      <c r="G357" s="11"/>
      <c r="H357" s="11"/>
      <c r="I357" s="8"/>
      <c r="J357" s="132"/>
      <c r="K357" s="11"/>
      <c r="L357" s="11"/>
      <c r="M357" s="11"/>
      <c r="N357" s="10" t="s">
        <v>403</v>
      </c>
      <c r="O357" s="113">
        <f t="shared" si="8"/>
        <v>2127.0456</v>
      </c>
      <c r="P357" s="114">
        <f>VLOOKUP(N357,'Dados StatusInvest'!A:Z,26,0)</f>
        <v>96997</v>
      </c>
      <c r="Q357" s="115">
        <f t="shared" si="9"/>
        <v>456.0456</v>
      </c>
      <c r="R357" s="116">
        <f t="shared" ref="R357:AO357" si="360">IF(AQ357="","", RANK(AQ357,AQ$7:AQ$503,0))</f>
        <v>452</v>
      </c>
      <c r="S357" s="115">
        <f t="shared" si="360"/>
        <v>219</v>
      </c>
      <c r="T357" s="115" t="str">
        <f t="shared" si="360"/>
        <v/>
      </c>
      <c r="U357" s="115" t="str">
        <f t="shared" si="360"/>
        <v/>
      </c>
      <c r="V357" s="115" t="str">
        <f t="shared" si="360"/>
        <v/>
      </c>
      <c r="W357" s="115" t="str">
        <f t="shared" si="360"/>
        <v/>
      </c>
      <c r="X357" s="115" t="str">
        <f t="shared" si="360"/>
        <v/>
      </c>
      <c r="Y357" s="115" t="str">
        <f t="shared" si="360"/>
        <v/>
      </c>
      <c r="Z357" s="115" t="str">
        <f t="shared" si="360"/>
        <v/>
      </c>
      <c r="AA357" s="115" t="str">
        <f t="shared" si="360"/>
        <v/>
      </c>
      <c r="AB357" s="115" t="str">
        <f t="shared" si="360"/>
        <v/>
      </c>
      <c r="AC357" s="115" t="str">
        <f t="shared" si="360"/>
        <v/>
      </c>
      <c r="AD357" s="115" t="str">
        <f t="shared" si="360"/>
        <v/>
      </c>
      <c r="AE357" s="115" t="str">
        <f t="shared" si="360"/>
        <v/>
      </c>
      <c r="AF357" s="115" t="str">
        <f t="shared" si="360"/>
        <v/>
      </c>
      <c r="AG357" s="115" t="str">
        <f t="shared" si="360"/>
        <v/>
      </c>
      <c r="AH357" s="115" t="str">
        <f t="shared" si="360"/>
        <v/>
      </c>
      <c r="AI357" s="115" t="str">
        <f t="shared" si="360"/>
        <v/>
      </c>
      <c r="AJ357" s="115" t="str">
        <f t="shared" si="360"/>
        <v/>
      </c>
      <c r="AK357" s="115" t="str">
        <f t="shared" si="360"/>
        <v/>
      </c>
      <c r="AL357" s="115" t="str">
        <f t="shared" si="360"/>
        <v/>
      </c>
      <c r="AM357" s="115" t="str">
        <f t="shared" si="360"/>
        <v/>
      </c>
      <c r="AN357" s="115" t="str">
        <f t="shared" si="360"/>
        <v/>
      </c>
      <c r="AO357" s="115" t="str">
        <f t="shared" si="360"/>
        <v/>
      </c>
      <c r="AP357" s="117">
        <f>IF(AP$6="","",IF(AP$3="Maior",IFERROR(IF(VLOOKUP($N357,Capa!$A:$AE,AP$5,0)="",0,VLOOKUP($N357,Capa!$A:$AE,AP$5,0)),0),IF(ISERROR(1/VLOOKUP($N357,Capa!$A:$AE,AP$5,0)),0,1/VLOOKUP($N357,Capa!$A:$AE,AP$5,0))))</f>
        <v>-0.1367989056</v>
      </c>
      <c r="AQ357" s="118">
        <f>IF(AQ$6="","",IF(AQ$3="Maior",IFERROR(IF(VLOOKUP($N357,Capa!$A:$AE,AQ$5,0)="",0,VLOOKUP($N357,Capa!$A:$AE,AQ$5,0)),0),IF(ISERROR(1/VLOOKUP($N357,Capa!$A:$AE,AQ$5,0)),0,1/VLOOKUP($N357,Capa!$A:$AE,AQ$5,0))))</f>
        <v>-7.07</v>
      </c>
      <c r="AR357" s="118">
        <f>IF(AR$6="","",IF(AR$3="Maior",IFERROR(IF(VLOOKUP($N357,Capa!$A:$AE,AR$5,0)="",0,VLOOKUP($N357,Capa!$A:$AE,AR$5,0)),0),IF(ISERROR(1/VLOOKUP($N357,Capa!$A:$AE,AR$5,0)),0,1/VLOOKUP($N357,Capa!$A:$AE,AR$5,0))))</f>
        <v>0</v>
      </c>
      <c r="AS357" s="118" t="str">
        <f>IF(AS$6="","",IF(AS$3="Maior",IFERROR(IF(VLOOKUP($N357,Capa!$A:$AE,AS$5,0)="",0,VLOOKUP($N357,Capa!$A:$AE,AS$5,0)),0),IF(ISERROR(1/VLOOKUP($N357,Capa!$A:$AE,AS$5,0)),0,1/VLOOKUP($N357,Capa!$A:$AE,AS$5,0))))</f>
        <v/>
      </c>
      <c r="AT357" s="118" t="str">
        <f>IF(AT$6="","",IF(AT$3="Maior",IFERROR(IF(VLOOKUP($N357,Capa!$A:$AE,AT$5,0)="",0,VLOOKUP($N357,Capa!$A:$AE,AT$5,0)),0),IF(ISERROR(1/VLOOKUP($N357,Capa!$A:$AE,AT$5,0)),0,1/VLOOKUP($N357,Capa!$A:$AE,AT$5,0))))</f>
        <v/>
      </c>
      <c r="AU357" s="118" t="str">
        <f>IF(AU$6="","",IF(AU$3="Maior",IFERROR(IF(VLOOKUP($N357,Capa!$A:$AE,AU$5,0)="",0,VLOOKUP($N357,Capa!$A:$AE,AU$5,0)),0),IF(ISERROR(1/VLOOKUP($N357,Capa!$A:$AE,AU$5,0)),0,1/VLOOKUP($N357,Capa!$A:$AE,AU$5,0))))</f>
        <v/>
      </c>
      <c r="AV357" s="118" t="str">
        <f>IF(AV$6="","",IF(AV$3="Maior",IFERROR(IF(VLOOKUP($N357,Capa!$A:$AE,AV$5,0)="",0,VLOOKUP($N357,Capa!$A:$AE,AV$5,0)),0),IF(ISERROR(1/VLOOKUP($N357,Capa!$A:$AE,AV$5,0)),0,1/VLOOKUP($N357,Capa!$A:$AE,AV$5,0))))</f>
        <v/>
      </c>
      <c r="AW357" s="118" t="str">
        <f>IF(AW$6="","",IF(AW$3="Maior",IFERROR(IF(VLOOKUP($N357,Capa!$A:$AE,AW$5,0)="",0,VLOOKUP($N357,Capa!$A:$AE,AW$5,0)),0),IF(ISERROR(1/VLOOKUP($N357,Capa!$A:$AE,AW$5,0)),0,1/VLOOKUP($N357,Capa!$A:$AE,AW$5,0))))</f>
        <v/>
      </c>
      <c r="AX357" s="118" t="str">
        <f>IF(AX$6="","",IF(AX$3="Maior",IFERROR(IF(VLOOKUP($N357,Capa!$A:$AE,AX$5,0)="",0,VLOOKUP($N357,Capa!$A:$AE,AX$5,0)),0),IF(ISERROR(1/VLOOKUP($N357,Capa!$A:$AE,AX$5,0)),0,1/VLOOKUP($N357,Capa!$A:$AE,AX$5,0))))</f>
        <v/>
      </c>
      <c r="AY357" s="118" t="str">
        <f>IF(AY$6="","",IF(AY$3="Maior",IFERROR(IF(VLOOKUP($N357,Capa!$A:$AE,AY$5,0)="",0,VLOOKUP($N357,Capa!$A:$AE,AY$5,0)),0),IF(ISERROR(1/VLOOKUP($N357,Capa!$A:$AE,AY$5,0)),0,1/VLOOKUP($N357,Capa!$A:$AE,AY$5,0))))</f>
        <v/>
      </c>
      <c r="AZ357" s="118" t="str">
        <f>IF(AZ$6="","",IF(AZ$3="Maior",IFERROR(IF(VLOOKUP($N357,Capa!$A:$AE,AZ$5,0)="",0,VLOOKUP($N357,Capa!$A:$AE,AZ$5,0)),0),IF(ISERROR(1/VLOOKUP($N357,Capa!$A:$AE,AZ$5,0)),0,1/VLOOKUP($N357,Capa!$A:$AE,AZ$5,0))))</f>
        <v/>
      </c>
      <c r="BA357" s="118" t="str">
        <f>IF(BA$6="","",IF(BA$3="Maior",IFERROR(IF(VLOOKUP($N357,Capa!$A:$AE,BA$5,0)="",0,VLOOKUP($N357,Capa!$A:$AE,BA$5,0)),0),IF(ISERROR(1/VLOOKUP($N357,Capa!$A:$AE,BA$5,0)),0,1/VLOOKUP($N357,Capa!$A:$AE,BA$5,0))))</f>
        <v/>
      </c>
      <c r="BB357" s="118" t="str">
        <f>IF(BB$6="","",IF(BB$3="Maior",IFERROR(IF(VLOOKUP($N357,Capa!$A:$AE,BB$5,0)="",0,VLOOKUP($N357,Capa!$A:$AE,BB$5,0)),0),IF(ISERROR(1/VLOOKUP($N357,Capa!$A:$AE,BB$5,0)),0,1/VLOOKUP($N357,Capa!$A:$AE,BB$5,0))))</f>
        <v/>
      </c>
      <c r="BC357" s="118" t="str">
        <f>IF(BC$6="","",IF(BC$3="Maior",IFERROR(IF(VLOOKUP($N357,Capa!$A:$AE,BC$5,0)="",0,VLOOKUP($N357,Capa!$A:$AE,BC$5,0)),0),IF(ISERROR(1/VLOOKUP($N357,Capa!$A:$AE,BC$5,0)),0,1/VLOOKUP($N357,Capa!$A:$AE,BC$5,0))))</f>
        <v/>
      </c>
      <c r="BD357" s="118" t="str">
        <f>IF(BD$6="","",IF(BD$3="Maior",IFERROR(IF(VLOOKUP($N357,Capa!$A:$AE,BD$5,0)="",0,VLOOKUP($N357,Capa!$A:$AE,BD$5,0)),0),IF(ISERROR(1/VLOOKUP($N357,Capa!$A:$AE,BD$5,0)),0,1/VLOOKUP($N357,Capa!$A:$AE,BD$5,0))))</f>
        <v/>
      </c>
      <c r="BE357" s="118" t="str">
        <f>IF(BE$6="","",IF(BE$3="Maior",IFERROR(IF(VLOOKUP($N357,Capa!$A:$AE,BE$5,0)="",0,VLOOKUP($N357,Capa!$A:$AE,BE$5,0)),0),IF(ISERROR(1/VLOOKUP($N357,Capa!$A:$AE,BE$5,0)),0,1/VLOOKUP($N357,Capa!$A:$AE,BE$5,0))))</f>
        <v/>
      </c>
      <c r="BF357" s="118" t="str">
        <f>IF(BF$6="","",IF(BF$3="Maior",IFERROR(IF(VLOOKUP($N357,Capa!$A:$AE,BF$5,0)="",0,VLOOKUP($N357,Capa!$A:$AE,BF$5,0)),0),IF(ISERROR(1/VLOOKUP($N357,Capa!$A:$AE,BF$5,0)),0,1/VLOOKUP($N357,Capa!$A:$AE,BF$5,0))))</f>
        <v/>
      </c>
      <c r="BG357" s="118" t="str">
        <f>IF(BG$6="","",IF(BG$3="Maior",IFERROR(IF(VLOOKUP($N357,Capa!$A:$AE,BG$5,0)="",0,VLOOKUP($N357,Capa!$A:$AE,BG$5,0)),0),IF(ISERROR(1/VLOOKUP($N357,Capa!$A:$AE,BG$5,0)),0,1/VLOOKUP($N357,Capa!$A:$AE,BG$5,0))))</f>
        <v/>
      </c>
      <c r="BH357" s="118" t="str">
        <f>IF(BH$6="","",IF(BH$3="Maior",IFERROR(IF(VLOOKUP($N357,Capa!$A:$AE,BH$5,0)="",0,VLOOKUP($N357,Capa!$A:$AE,BH$5,0)),0),IF(ISERROR(1/VLOOKUP($N357,Capa!$A:$AE,BH$5,0)),0,1/VLOOKUP($N357,Capa!$A:$AE,BH$5,0))))</f>
        <v/>
      </c>
      <c r="BI357" s="118" t="str">
        <f>IF(BI$6="","",IF(BI$3="Maior",IFERROR(IF(VLOOKUP($N357,Capa!$A:$AE,BI$5,0)="",0,VLOOKUP($N357,Capa!$A:$AE,BI$5,0)),0),IF(ISERROR(1/VLOOKUP($N357,Capa!$A:$AE,BI$5,0)),0,1/VLOOKUP($N357,Capa!$A:$AE,BI$5,0))))</f>
        <v/>
      </c>
      <c r="BJ357" s="118" t="str">
        <f>IF(BJ$6="","",IF(BJ$3="Maior",IFERROR(IF(VLOOKUP($N357,Capa!$A:$AE,BJ$5,0)="",0,VLOOKUP($N357,Capa!$A:$AE,BJ$5,0)),0),IF(ISERROR(1/VLOOKUP($N357,Capa!$A:$AE,BJ$5,0)),0,1/VLOOKUP($N357,Capa!$A:$AE,BJ$5,0))))</f>
        <v/>
      </c>
      <c r="BK357" s="118" t="str">
        <f>IF(BK$6="","",IF(BK$3="Maior",IFERROR(IF(VLOOKUP($N357,Capa!$A:$AE,BK$5,0)="",0,VLOOKUP($N357,Capa!$A:$AE,BK$5,0)),0),IF(ISERROR(1/VLOOKUP($N357,Capa!$A:$AE,BK$5,0)),0,1/VLOOKUP($N357,Capa!$A:$AE,BK$5,0))))</f>
        <v/>
      </c>
      <c r="BL357" s="118" t="str">
        <f>IF(BL$6="","",IF(BL$3="Maior",IFERROR(IF(VLOOKUP($N357,Capa!$A:$AE,BL$5,0)="",0,VLOOKUP($N357,Capa!$A:$AE,BL$5,0)),0),IF(ISERROR(1/VLOOKUP($N357,Capa!$A:$AE,BL$5,0)),0,1/VLOOKUP($N357,Capa!$A:$AE,BL$5,0))))</f>
        <v/>
      </c>
      <c r="BM357" s="118" t="str">
        <f>IF(BM$6="","",IF(BM$3="Maior",IFERROR(IF(VLOOKUP($N357,Capa!$A:$AE,BM$5,0)="",0,VLOOKUP($N357,Capa!$A:$AE,BM$5,0)),0),IF(ISERROR(1/VLOOKUP($N357,Capa!$A:$AE,BM$5,0)),0,1/VLOOKUP($N357,Capa!$A:$AE,BM$5,0))))</f>
        <v/>
      </c>
      <c r="BN357" s="118" t="str">
        <f>IF(BN$6="","",IF(BN$3="Maior",IFERROR(IF(VLOOKUP($N357,Capa!$A:$AE,BN$5,0)="",0,VLOOKUP($N357,Capa!$A:$AE,BN$5,0)),0),IF(ISERROR(1/VLOOKUP($N357,Capa!$A:$AE,BN$5,0)),0,1/VLOOKUP($N357,Capa!$A:$AE,BN$5,0))))</f>
        <v/>
      </c>
      <c r="BO357" s="92"/>
    </row>
    <row r="358">
      <c r="G358" s="11"/>
      <c r="H358" s="11"/>
      <c r="I358" s="8"/>
      <c r="J358" s="132"/>
      <c r="K358" s="11"/>
      <c r="L358" s="11"/>
      <c r="M358" s="11"/>
      <c r="N358" s="10" t="s">
        <v>404</v>
      </c>
      <c r="O358" s="113">
        <f t="shared" si="8"/>
        <v>1659.0068</v>
      </c>
      <c r="P358" s="114">
        <f>VLOOKUP(N358,'Dados StatusInvest'!A:Z,26,0)</f>
        <v>91833.96</v>
      </c>
      <c r="Q358" s="115">
        <f t="shared" si="9"/>
        <v>68.0068</v>
      </c>
      <c r="R358" s="116">
        <f t="shared" ref="R358:AO358" si="361">IF(AQ358="","", RANK(AQ358,AQ$7:AQ$503,0))</f>
        <v>375</v>
      </c>
      <c r="S358" s="115">
        <f t="shared" si="361"/>
        <v>216</v>
      </c>
      <c r="T358" s="115" t="str">
        <f t="shared" si="361"/>
        <v/>
      </c>
      <c r="U358" s="115" t="str">
        <f t="shared" si="361"/>
        <v/>
      </c>
      <c r="V358" s="115" t="str">
        <f t="shared" si="361"/>
        <v/>
      </c>
      <c r="W358" s="115" t="str">
        <f t="shared" si="361"/>
        <v/>
      </c>
      <c r="X358" s="115" t="str">
        <f t="shared" si="361"/>
        <v/>
      </c>
      <c r="Y358" s="115" t="str">
        <f t="shared" si="361"/>
        <v/>
      </c>
      <c r="Z358" s="115" t="str">
        <f t="shared" si="361"/>
        <v/>
      </c>
      <c r="AA358" s="115" t="str">
        <f t="shared" si="361"/>
        <v/>
      </c>
      <c r="AB358" s="115" t="str">
        <f t="shared" si="361"/>
        <v/>
      </c>
      <c r="AC358" s="115" t="str">
        <f t="shared" si="361"/>
        <v/>
      </c>
      <c r="AD358" s="115" t="str">
        <f t="shared" si="361"/>
        <v/>
      </c>
      <c r="AE358" s="115" t="str">
        <f t="shared" si="361"/>
        <v/>
      </c>
      <c r="AF358" s="115" t="str">
        <f t="shared" si="361"/>
        <v/>
      </c>
      <c r="AG358" s="115" t="str">
        <f t="shared" si="361"/>
        <v/>
      </c>
      <c r="AH358" s="115" t="str">
        <f t="shared" si="361"/>
        <v/>
      </c>
      <c r="AI358" s="115" t="str">
        <f t="shared" si="361"/>
        <v/>
      </c>
      <c r="AJ358" s="115" t="str">
        <f t="shared" si="361"/>
        <v/>
      </c>
      <c r="AK358" s="115" t="str">
        <f t="shared" si="361"/>
        <v/>
      </c>
      <c r="AL358" s="115" t="str">
        <f t="shared" si="361"/>
        <v/>
      </c>
      <c r="AM358" s="115" t="str">
        <f t="shared" si="361"/>
        <v/>
      </c>
      <c r="AN358" s="115" t="str">
        <f t="shared" si="361"/>
        <v/>
      </c>
      <c r="AO358" s="115" t="str">
        <f t="shared" si="361"/>
        <v/>
      </c>
      <c r="AP358" s="117">
        <f>IF(AP$6="","",IF(AP$3="Maior",IFERROR(IF(VLOOKUP($N358,Capa!$A:$AE,AP$5,0)="",0,VLOOKUP($N358,Capa!$A:$AE,AP$5,0)),0),IF(ISERROR(1/VLOOKUP($N358,Capa!$A:$AE,AP$5,0)),0,1/VLOOKUP($N358,Capa!$A:$AE,AP$5,0))))</f>
        <v>0.2187206617</v>
      </c>
      <c r="AQ358" s="118">
        <f>IF(AQ$6="","",IF(AQ$3="Maior",IFERROR(IF(VLOOKUP($N358,Capa!$A:$AE,AQ$5,0)="",0,VLOOKUP($N358,Capa!$A:$AE,AQ$5,0)),0),IF(ISERROR(1/VLOOKUP($N358,Capa!$A:$AE,AQ$5,0)),0,1/VLOOKUP($N358,Capa!$A:$AE,AQ$5,0))))</f>
        <v>0</v>
      </c>
      <c r="AR358" s="118">
        <f>IF(AR$6="","",IF(AR$3="Maior",IFERROR(IF(VLOOKUP($N358,Capa!$A:$AE,AR$5,0)="",0,VLOOKUP($N358,Capa!$A:$AE,AR$5,0)),0),IF(ISERROR(1/VLOOKUP($N358,Capa!$A:$AE,AR$5,0)),0,1/VLOOKUP($N358,Capa!$A:$AE,AR$5,0))))</f>
        <v>0.33</v>
      </c>
      <c r="AS358" s="118" t="str">
        <f>IF(AS$6="","",IF(AS$3="Maior",IFERROR(IF(VLOOKUP($N358,Capa!$A:$AE,AS$5,0)="",0,VLOOKUP($N358,Capa!$A:$AE,AS$5,0)),0),IF(ISERROR(1/VLOOKUP($N358,Capa!$A:$AE,AS$5,0)),0,1/VLOOKUP($N358,Capa!$A:$AE,AS$5,0))))</f>
        <v/>
      </c>
      <c r="AT358" s="118" t="str">
        <f>IF(AT$6="","",IF(AT$3="Maior",IFERROR(IF(VLOOKUP($N358,Capa!$A:$AE,AT$5,0)="",0,VLOOKUP($N358,Capa!$A:$AE,AT$5,0)),0),IF(ISERROR(1/VLOOKUP($N358,Capa!$A:$AE,AT$5,0)),0,1/VLOOKUP($N358,Capa!$A:$AE,AT$5,0))))</f>
        <v/>
      </c>
      <c r="AU358" s="118" t="str">
        <f>IF(AU$6="","",IF(AU$3="Maior",IFERROR(IF(VLOOKUP($N358,Capa!$A:$AE,AU$5,0)="",0,VLOOKUP($N358,Capa!$A:$AE,AU$5,0)),0),IF(ISERROR(1/VLOOKUP($N358,Capa!$A:$AE,AU$5,0)),0,1/VLOOKUP($N358,Capa!$A:$AE,AU$5,0))))</f>
        <v/>
      </c>
      <c r="AV358" s="118" t="str">
        <f>IF(AV$6="","",IF(AV$3="Maior",IFERROR(IF(VLOOKUP($N358,Capa!$A:$AE,AV$5,0)="",0,VLOOKUP($N358,Capa!$A:$AE,AV$5,0)),0),IF(ISERROR(1/VLOOKUP($N358,Capa!$A:$AE,AV$5,0)),0,1/VLOOKUP($N358,Capa!$A:$AE,AV$5,0))))</f>
        <v/>
      </c>
      <c r="AW358" s="118" t="str">
        <f>IF(AW$6="","",IF(AW$3="Maior",IFERROR(IF(VLOOKUP($N358,Capa!$A:$AE,AW$5,0)="",0,VLOOKUP($N358,Capa!$A:$AE,AW$5,0)),0),IF(ISERROR(1/VLOOKUP($N358,Capa!$A:$AE,AW$5,0)),0,1/VLOOKUP($N358,Capa!$A:$AE,AW$5,0))))</f>
        <v/>
      </c>
      <c r="AX358" s="118" t="str">
        <f>IF(AX$6="","",IF(AX$3="Maior",IFERROR(IF(VLOOKUP($N358,Capa!$A:$AE,AX$5,0)="",0,VLOOKUP($N358,Capa!$A:$AE,AX$5,0)),0),IF(ISERROR(1/VLOOKUP($N358,Capa!$A:$AE,AX$5,0)),0,1/VLOOKUP($N358,Capa!$A:$AE,AX$5,0))))</f>
        <v/>
      </c>
      <c r="AY358" s="118" t="str">
        <f>IF(AY$6="","",IF(AY$3="Maior",IFERROR(IF(VLOOKUP($N358,Capa!$A:$AE,AY$5,0)="",0,VLOOKUP($N358,Capa!$A:$AE,AY$5,0)),0),IF(ISERROR(1/VLOOKUP($N358,Capa!$A:$AE,AY$5,0)),0,1/VLOOKUP($N358,Capa!$A:$AE,AY$5,0))))</f>
        <v/>
      </c>
      <c r="AZ358" s="118" t="str">
        <f>IF(AZ$6="","",IF(AZ$3="Maior",IFERROR(IF(VLOOKUP($N358,Capa!$A:$AE,AZ$5,0)="",0,VLOOKUP($N358,Capa!$A:$AE,AZ$5,0)),0),IF(ISERROR(1/VLOOKUP($N358,Capa!$A:$AE,AZ$5,0)),0,1/VLOOKUP($N358,Capa!$A:$AE,AZ$5,0))))</f>
        <v/>
      </c>
      <c r="BA358" s="118" t="str">
        <f>IF(BA$6="","",IF(BA$3="Maior",IFERROR(IF(VLOOKUP($N358,Capa!$A:$AE,BA$5,0)="",0,VLOOKUP($N358,Capa!$A:$AE,BA$5,0)),0),IF(ISERROR(1/VLOOKUP($N358,Capa!$A:$AE,BA$5,0)),0,1/VLOOKUP($N358,Capa!$A:$AE,BA$5,0))))</f>
        <v/>
      </c>
      <c r="BB358" s="118" t="str">
        <f>IF(BB$6="","",IF(BB$3="Maior",IFERROR(IF(VLOOKUP($N358,Capa!$A:$AE,BB$5,0)="",0,VLOOKUP($N358,Capa!$A:$AE,BB$5,0)),0),IF(ISERROR(1/VLOOKUP($N358,Capa!$A:$AE,BB$5,0)),0,1/VLOOKUP($N358,Capa!$A:$AE,BB$5,0))))</f>
        <v/>
      </c>
      <c r="BC358" s="118" t="str">
        <f>IF(BC$6="","",IF(BC$3="Maior",IFERROR(IF(VLOOKUP($N358,Capa!$A:$AE,BC$5,0)="",0,VLOOKUP($N358,Capa!$A:$AE,BC$5,0)),0),IF(ISERROR(1/VLOOKUP($N358,Capa!$A:$AE,BC$5,0)),0,1/VLOOKUP($N358,Capa!$A:$AE,BC$5,0))))</f>
        <v/>
      </c>
      <c r="BD358" s="118" t="str">
        <f>IF(BD$6="","",IF(BD$3="Maior",IFERROR(IF(VLOOKUP($N358,Capa!$A:$AE,BD$5,0)="",0,VLOOKUP($N358,Capa!$A:$AE,BD$5,0)),0),IF(ISERROR(1/VLOOKUP($N358,Capa!$A:$AE,BD$5,0)),0,1/VLOOKUP($N358,Capa!$A:$AE,BD$5,0))))</f>
        <v/>
      </c>
      <c r="BE358" s="118" t="str">
        <f>IF(BE$6="","",IF(BE$3="Maior",IFERROR(IF(VLOOKUP($N358,Capa!$A:$AE,BE$5,0)="",0,VLOOKUP($N358,Capa!$A:$AE,BE$5,0)),0),IF(ISERROR(1/VLOOKUP($N358,Capa!$A:$AE,BE$5,0)),0,1/VLOOKUP($N358,Capa!$A:$AE,BE$5,0))))</f>
        <v/>
      </c>
      <c r="BF358" s="118" t="str">
        <f>IF(BF$6="","",IF(BF$3="Maior",IFERROR(IF(VLOOKUP($N358,Capa!$A:$AE,BF$5,0)="",0,VLOOKUP($N358,Capa!$A:$AE,BF$5,0)),0),IF(ISERROR(1/VLOOKUP($N358,Capa!$A:$AE,BF$5,0)),0,1/VLOOKUP($N358,Capa!$A:$AE,BF$5,0))))</f>
        <v/>
      </c>
      <c r="BG358" s="118" t="str">
        <f>IF(BG$6="","",IF(BG$3="Maior",IFERROR(IF(VLOOKUP($N358,Capa!$A:$AE,BG$5,0)="",0,VLOOKUP($N358,Capa!$A:$AE,BG$5,0)),0),IF(ISERROR(1/VLOOKUP($N358,Capa!$A:$AE,BG$5,0)),0,1/VLOOKUP($N358,Capa!$A:$AE,BG$5,0))))</f>
        <v/>
      </c>
      <c r="BH358" s="118" t="str">
        <f>IF(BH$6="","",IF(BH$3="Maior",IFERROR(IF(VLOOKUP($N358,Capa!$A:$AE,BH$5,0)="",0,VLOOKUP($N358,Capa!$A:$AE,BH$5,0)),0),IF(ISERROR(1/VLOOKUP($N358,Capa!$A:$AE,BH$5,0)),0,1/VLOOKUP($N358,Capa!$A:$AE,BH$5,0))))</f>
        <v/>
      </c>
      <c r="BI358" s="118" t="str">
        <f>IF(BI$6="","",IF(BI$3="Maior",IFERROR(IF(VLOOKUP($N358,Capa!$A:$AE,BI$5,0)="",0,VLOOKUP($N358,Capa!$A:$AE,BI$5,0)),0),IF(ISERROR(1/VLOOKUP($N358,Capa!$A:$AE,BI$5,0)),0,1/VLOOKUP($N358,Capa!$A:$AE,BI$5,0))))</f>
        <v/>
      </c>
      <c r="BJ358" s="118" t="str">
        <f>IF(BJ$6="","",IF(BJ$3="Maior",IFERROR(IF(VLOOKUP($N358,Capa!$A:$AE,BJ$5,0)="",0,VLOOKUP($N358,Capa!$A:$AE,BJ$5,0)),0),IF(ISERROR(1/VLOOKUP($N358,Capa!$A:$AE,BJ$5,0)),0,1/VLOOKUP($N358,Capa!$A:$AE,BJ$5,0))))</f>
        <v/>
      </c>
      <c r="BK358" s="118" t="str">
        <f>IF(BK$6="","",IF(BK$3="Maior",IFERROR(IF(VLOOKUP($N358,Capa!$A:$AE,BK$5,0)="",0,VLOOKUP($N358,Capa!$A:$AE,BK$5,0)),0),IF(ISERROR(1/VLOOKUP($N358,Capa!$A:$AE,BK$5,0)),0,1/VLOOKUP($N358,Capa!$A:$AE,BK$5,0))))</f>
        <v/>
      </c>
      <c r="BL358" s="118" t="str">
        <f>IF(BL$6="","",IF(BL$3="Maior",IFERROR(IF(VLOOKUP($N358,Capa!$A:$AE,BL$5,0)="",0,VLOOKUP($N358,Capa!$A:$AE,BL$5,0)),0),IF(ISERROR(1/VLOOKUP($N358,Capa!$A:$AE,BL$5,0)),0,1/VLOOKUP($N358,Capa!$A:$AE,BL$5,0))))</f>
        <v/>
      </c>
      <c r="BM358" s="118" t="str">
        <f>IF(BM$6="","",IF(BM$3="Maior",IFERROR(IF(VLOOKUP($N358,Capa!$A:$AE,BM$5,0)="",0,VLOOKUP($N358,Capa!$A:$AE,BM$5,0)),0),IF(ISERROR(1/VLOOKUP($N358,Capa!$A:$AE,BM$5,0)),0,1/VLOOKUP($N358,Capa!$A:$AE,BM$5,0))))</f>
        <v/>
      </c>
      <c r="BN358" s="118" t="str">
        <f>IF(BN$6="","",IF(BN$3="Maior",IFERROR(IF(VLOOKUP($N358,Capa!$A:$AE,BN$5,0)="",0,VLOOKUP($N358,Capa!$A:$AE,BN$5,0)),0),IF(ISERROR(1/VLOOKUP($N358,Capa!$A:$AE,BN$5,0)),0,1/VLOOKUP($N358,Capa!$A:$AE,BN$5,0))))</f>
        <v/>
      </c>
      <c r="BO358" s="92"/>
    </row>
    <row r="359">
      <c r="G359" s="11"/>
      <c r="H359" s="11"/>
      <c r="I359" s="8"/>
      <c r="J359" s="132"/>
      <c r="K359" s="11"/>
      <c r="L359" s="11"/>
      <c r="M359" s="11"/>
      <c r="N359" s="10" t="s">
        <v>405</v>
      </c>
      <c r="O359" s="113">
        <f t="shared" si="8"/>
        <v>1409.0107</v>
      </c>
      <c r="P359" s="114">
        <f>VLOOKUP(N359,'Dados StatusInvest'!A:Z,26,0)</f>
        <v>58207.46</v>
      </c>
      <c r="Q359" s="115">
        <f t="shared" si="9"/>
        <v>107.0107</v>
      </c>
      <c r="R359" s="116">
        <f t="shared" ref="R359:AO359" si="362">IF(AQ359="","", RANK(AQ359,AQ$7:AQ$503,0))</f>
        <v>117</v>
      </c>
      <c r="S359" s="115">
        <f t="shared" si="362"/>
        <v>185</v>
      </c>
      <c r="T359" s="115" t="str">
        <f t="shared" si="362"/>
        <v/>
      </c>
      <c r="U359" s="115" t="str">
        <f t="shared" si="362"/>
        <v/>
      </c>
      <c r="V359" s="115" t="str">
        <f t="shared" si="362"/>
        <v/>
      </c>
      <c r="W359" s="115" t="str">
        <f t="shared" si="362"/>
        <v/>
      </c>
      <c r="X359" s="115" t="str">
        <f t="shared" si="362"/>
        <v/>
      </c>
      <c r="Y359" s="115" t="str">
        <f t="shared" si="362"/>
        <v/>
      </c>
      <c r="Z359" s="115" t="str">
        <f t="shared" si="362"/>
        <v/>
      </c>
      <c r="AA359" s="115" t="str">
        <f t="shared" si="362"/>
        <v/>
      </c>
      <c r="AB359" s="115" t="str">
        <f t="shared" si="362"/>
        <v/>
      </c>
      <c r="AC359" s="115" t="str">
        <f t="shared" si="362"/>
        <v/>
      </c>
      <c r="AD359" s="115" t="str">
        <f t="shared" si="362"/>
        <v/>
      </c>
      <c r="AE359" s="115" t="str">
        <f t="shared" si="362"/>
        <v/>
      </c>
      <c r="AF359" s="115" t="str">
        <f t="shared" si="362"/>
        <v/>
      </c>
      <c r="AG359" s="115" t="str">
        <f t="shared" si="362"/>
        <v/>
      </c>
      <c r="AH359" s="115" t="str">
        <f t="shared" si="362"/>
        <v/>
      </c>
      <c r="AI359" s="115" t="str">
        <f t="shared" si="362"/>
        <v/>
      </c>
      <c r="AJ359" s="115" t="str">
        <f t="shared" si="362"/>
        <v/>
      </c>
      <c r="AK359" s="115" t="str">
        <f t="shared" si="362"/>
        <v/>
      </c>
      <c r="AL359" s="115" t="str">
        <f t="shared" si="362"/>
        <v/>
      </c>
      <c r="AM359" s="115" t="str">
        <f t="shared" si="362"/>
        <v/>
      </c>
      <c r="AN359" s="115" t="str">
        <f t="shared" si="362"/>
        <v/>
      </c>
      <c r="AO359" s="115" t="str">
        <f t="shared" si="362"/>
        <v/>
      </c>
      <c r="AP359" s="117">
        <f>IF(AP$6="","",IF(AP$3="Maior",IFERROR(IF(VLOOKUP($N359,Capa!$A:$AE,AP$5,0)="",0,VLOOKUP($N359,Capa!$A:$AE,AP$5,0)),0),IF(ISERROR(1/VLOOKUP($N359,Capa!$A:$AE,AP$5,0)),0,1/VLOOKUP($N359,Capa!$A:$AE,AP$5,0))))</f>
        <v>0.178031497</v>
      </c>
      <c r="AQ359" s="118">
        <f>IF(AQ$6="","",IF(AQ$3="Maior",IFERROR(IF(VLOOKUP($N359,Capa!$A:$AE,AQ$5,0)="",0,VLOOKUP($N359,Capa!$A:$AE,AQ$5,0)),0),IF(ISERROR(1/VLOOKUP($N359,Capa!$A:$AE,AQ$5,0)),0,1/VLOOKUP($N359,Capa!$A:$AE,AQ$5,0))))</f>
        <v>15.95</v>
      </c>
      <c r="AR359" s="118">
        <f>IF(AR$6="","",IF(AR$3="Maior",IFERROR(IF(VLOOKUP($N359,Capa!$A:$AE,AR$5,0)="",0,VLOOKUP($N359,Capa!$A:$AE,AR$5,0)),0),IF(ISERROR(1/VLOOKUP($N359,Capa!$A:$AE,AR$5,0)),0,1/VLOOKUP($N359,Capa!$A:$AE,AR$5,0))))</f>
        <v>6.48</v>
      </c>
      <c r="AS359" s="118" t="str">
        <f>IF(AS$6="","",IF(AS$3="Maior",IFERROR(IF(VLOOKUP($N359,Capa!$A:$AE,AS$5,0)="",0,VLOOKUP($N359,Capa!$A:$AE,AS$5,0)),0),IF(ISERROR(1/VLOOKUP($N359,Capa!$A:$AE,AS$5,0)),0,1/VLOOKUP($N359,Capa!$A:$AE,AS$5,0))))</f>
        <v/>
      </c>
      <c r="AT359" s="118" t="str">
        <f>IF(AT$6="","",IF(AT$3="Maior",IFERROR(IF(VLOOKUP($N359,Capa!$A:$AE,AT$5,0)="",0,VLOOKUP($N359,Capa!$A:$AE,AT$5,0)),0),IF(ISERROR(1/VLOOKUP($N359,Capa!$A:$AE,AT$5,0)),0,1/VLOOKUP($N359,Capa!$A:$AE,AT$5,0))))</f>
        <v/>
      </c>
      <c r="AU359" s="118" t="str">
        <f>IF(AU$6="","",IF(AU$3="Maior",IFERROR(IF(VLOOKUP($N359,Capa!$A:$AE,AU$5,0)="",0,VLOOKUP($N359,Capa!$A:$AE,AU$5,0)),0),IF(ISERROR(1/VLOOKUP($N359,Capa!$A:$AE,AU$5,0)),0,1/VLOOKUP($N359,Capa!$A:$AE,AU$5,0))))</f>
        <v/>
      </c>
      <c r="AV359" s="118" t="str">
        <f>IF(AV$6="","",IF(AV$3="Maior",IFERROR(IF(VLOOKUP($N359,Capa!$A:$AE,AV$5,0)="",0,VLOOKUP($N359,Capa!$A:$AE,AV$5,0)),0),IF(ISERROR(1/VLOOKUP($N359,Capa!$A:$AE,AV$5,0)),0,1/VLOOKUP($N359,Capa!$A:$AE,AV$5,0))))</f>
        <v/>
      </c>
      <c r="AW359" s="118" t="str">
        <f>IF(AW$6="","",IF(AW$3="Maior",IFERROR(IF(VLOOKUP($N359,Capa!$A:$AE,AW$5,0)="",0,VLOOKUP($N359,Capa!$A:$AE,AW$5,0)),0),IF(ISERROR(1/VLOOKUP($N359,Capa!$A:$AE,AW$5,0)),0,1/VLOOKUP($N359,Capa!$A:$AE,AW$5,0))))</f>
        <v/>
      </c>
      <c r="AX359" s="118" t="str">
        <f>IF(AX$6="","",IF(AX$3="Maior",IFERROR(IF(VLOOKUP($N359,Capa!$A:$AE,AX$5,0)="",0,VLOOKUP($N359,Capa!$A:$AE,AX$5,0)),0),IF(ISERROR(1/VLOOKUP($N359,Capa!$A:$AE,AX$5,0)),0,1/VLOOKUP($N359,Capa!$A:$AE,AX$5,0))))</f>
        <v/>
      </c>
      <c r="AY359" s="118" t="str">
        <f>IF(AY$6="","",IF(AY$3="Maior",IFERROR(IF(VLOOKUP($N359,Capa!$A:$AE,AY$5,0)="",0,VLOOKUP($N359,Capa!$A:$AE,AY$5,0)),0),IF(ISERROR(1/VLOOKUP($N359,Capa!$A:$AE,AY$5,0)),0,1/VLOOKUP($N359,Capa!$A:$AE,AY$5,0))))</f>
        <v/>
      </c>
      <c r="AZ359" s="118" t="str">
        <f>IF(AZ$6="","",IF(AZ$3="Maior",IFERROR(IF(VLOOKUP($N359,Capa!$A:$AE,AZ$5,0)="",0,VLOOKUP($N359,Capa!$A:$AE,AZ$5,0)),0),IF(ISERROR(1/VLOOKUP($N359,Capa!$A:$AE,AZ$5,0)),0,1/VLOOKUP($N359,Capa!$A:$AE,AZ$5,0))))</f>
        <v/>
      </c>
      <c r="BA359" s="118" t="str">
        <f>IF(BA$6="","",IF(BA$3="Maior",IFERROR(IF(VLOOKUP($N359,Capa!$A:$AE,BA$5,0)="",0,VLOOKUP($N359,Capa!$A:$AE,BA$5,0)),0),IF(ISERROR(1/VLOOKUP($N359,Capa!$A:$AE,BA$5,0)),0,1/VLOOKUP($N359,Capa!$A:$AE,BA$5,0))))</f>
        <v/>
      </c>
      <c r="BB359" s="118" t="str">
        <f>IF(BB$6="","",IF(BB$3="Maior",IFERROR(IF(VLOOKUP($N359,Capa!$A:$AE,BB$5,0)="",0,VLOOKUP($N359,Capa!$A:$AE,BB$5,0)),0),IF(ISERROR(1/VLOOKUP($N359,Capa!$A:$AE,BB$5,0)),0,1/VLOOKUP($N359,Capa!$A:$AE,BB$5,0))))</f>
        <v/>
      </c>
      <c r="BC359" s="118" t="str">
        <f>IF(BC$6="","",IF(BC$3="Maior",IFERROR(IF(VLOOKUP($N359,Capa!$A:$AE,BC$5,0)="",0,VLOOKUP($N359,Capa!$A:$AE,BC$5,0)),0),IF(ISERROR(1/VLOOKUP($N359,Capa!$A:$AE,BC$5,0)),0,1/VLOOKUP($N359,Capa!$A:$AE,BC$5,0))))</f>
        <v/>
      </c>
      <c r="BD359" s="118" t="str">
        <f>IF(BD$6="","",IF(BD$3="Maior",IFERROR(IF(VLOOKUP($N359,Capa!$A:$AE,BD$5,0)="",0,VLOOKUP($N359,Capa!$A:$AE,BD$5,0)),0),IF(ISERROR(1/VLOOKUP($N359,Capa!$A:$AE,BD$5,0)),0,1/VLOOKUP($N359,Capa!$A:$AE,BD$5,0))))</f>
        <v/>
      </c>
      <c r="BE359" s="118" t="str">
        <f>IF(BE$6="","",IF(BE$3="Maior",IFERROR(IF(VLOOKUP($N359,Capa!$A:$AE,BE$5,0)="",0,VLOOKUP($N359,Capa!$A:$AE,BE$5,0)),0),IF(ISERROR(1/VLOOKUP($N359,Capa!$A:$AE,BE$5,0)),0,1/VLOOKUP($N359,Capa!$A:$AE,BE$5,0))))</f>
        <v/>
      </c>
      <c r="BF359" s="118" t="str">
        <f>IF(BF$6="","",IF(BF$3="Maior",IFERROR(IF(VLOOKUP($N359,Capa!$A:$AE,BF$5,0)="",0,VLOOKUP($N359,Capa!$A:$AE,BF$5,0)),0),IF(ISERROR(1/VLOOKUP($N359,Capa!$A:$AE,BF$5,0)),0,1/VLOOKUP($N359,Capa!$A:$AE,BF$5,0))))</f>
        <v/>
      </c>
      <c r="BG359" s="118" t="str">
        <f>IF(BG$6="","",IF(BG$3="Maior",IFERROR(IF(VLOOKUP($N359,Capa!$A:$AE,BG$5,0)="",0,VLOOKUP($N359,Capa!$A:$AE,BG$5,0)),0),IF(ISERROR(1/VLOOKUP($N359,Capa!$A:$AE,BG$5,0)),0,1/VLOOKUP($N359,Capa!$A:$AE,BG$5,0))))</f>
        <v/>
      </c>
      <c r="BH359" s="118" t="str">
        <f>IF(BH$6="","",IF(BH$3="Maior",IFERROR(IF(VLOOKUP($N359,Capa!$A:$AE,BH$5,0)="",0,VLOOKUP($N359,Capa!$A:$AE,BH$5,0)),0),IF(ISERROR(1/VLOOKUP($N359,Capa!$A:$AE,BH$5,0)),0,1/VLOOKUP($N359,Capa!$A:$AE,BH$5,0))))</f>
        <v/>
      </c>
      <c r="BI359" s="118" t="str">
        <f>IF(BI$6="","",IF(BI$3="Maior",IFERROR(IF(VLOOKUP($N359,Capa!$A:$AE,BI$5,0)="",0,VLOOKUP($N359,Capa!$A:$AE,BI$5,0)),0),IF(ISERROR(1/VLOOKUP($N359,Capa!$A:$AE,BI$5,0)),0,1/VLOOKUP($N359,Capa!$A:$AE,BI$5,0))))</f>
        <v/>
      </c>
      <c r="BJ359" s="118" t="str">
        <f>IF(BJ$6="","",IF(BJ$3="Maior",IFERROR(IF(VLOOKUP($N359,Capa!$A:$AE,BJ$5,0)="",0,VLOOKUP($N359,Capa!$A:$AE,BJ$5,0)),0),IF(ISERROR(1/VLOOKUP($N359,Capa!$A:$AE,BJ$5,0)),0,1/VLOOKUP($N359,Capa!$A:$AE,BJ$5,0))))</f>
        <v/>
      </c>
      <c r="BK359" s="118" t="str">
        <f>IF(BK$6="","",IF(BK$3="Maior",IFERROR(IF(VLOOKUP($N359,Capa!$A:$AE,BK$5,0)="",0,VLOOKUP($N359,Capa!$A:$AE,BK$5,0)),0),IF(ISERROR(1/VLOOKUP($N359,Capa!$A:$AE,BK$5,0)),0,1/VLOOKUP($N359,Capa!$A:$AE,BK$5,0))))</f>
        <v/>
      </c>
      <c r="BL359" s="118" t="str">
        <f>IF(BL$6="","",IF(BL$3="Maior",IFERROR(IF(VLOOKUP($N359,Capa!$A:$AE,BL$5,0)="",0,VLOOKUP($N359,Capa!$A:$AE,BL$5,0)),0),IF(ISERROR(1/VLOOKUP($N359,Capa!$A:$AE,BL$5,0)),0,1/VLOOKUP($N359,Capa!$A:$AE,BL$5,0))))</f>
        <v/>
      </c>
      <c r="BM359" s="118" t="str">
        <f>IF(BM$6="","",IF(BM$3="Maior",IFERROR(IF(VLOOKUP($N359,Capa!$A:$AE,BM$5,0)="",0,VLOOKUP($N359,Capa!$A:$AE,BM$5,0)),0),IF(ISERROR(1/VLOOKUP($N359,Capa!$A:$AE,BM$5,0)),0,1/VLOOKUP($N359,Capa!$A:$AE,BM$5,0))))</f>
        <v/>
      </c>
      <c r="BN359" s="118" t="str">
        <f>IF(BN$6="","",IF(BN$3="Maior",IFERROR(IF(VLOOKUP($N359,Capa!$A:$AE,BN$5,0)="",0,VLOOKUP($N359,Capa!$A:$AE,BN$5,0)),0),IF(ISERROR(1/VLOOKUP($N359,Capa!$A:$AE,BN$5,0)),0,1/VLOOKUP($N359,Capa!$A:$AE,BN$5,0))))</f>
        <v/>
      </c>
      <c r="BO359" s="92"/>
    </row>
    <row r="360">
      <c r="G360" s="11"/>
      <c r="H360" s="11"/>
      <c r="I360" s="8"/>
      <c r="J360" s="132"/>
      <c r="K360" s="11"/>
      <c r="L360" s="11"/>
      <c r="M360" s="11"/>
      <c r="N360" s="10" t="s">
        <v>406</v>
      </c>
      <c r="O360" s="113">
        <f t="shared" si="8"/>
        <v>1533.0288</v>
      </c>
      <c r="P360" s="114">
        <f>VLOOKUP(N360,'Dados StatusInvest'!A:Z,26,0)</f>
        <v>92909.67</v>
      </c>
      <c r="Q360" s="115">
        <f t="shared" si="9"/>
        <v>288.0288</v>
      </c>
      <c r="R360" s="116">
        <f t="shared" ref="R360:AO360" si="363">IF(AQ360="","", RANK(AQ360,AQ$7:AQ$503,0))</f>
        <v>223</v>
      </c>
      <c r="S360" s="115">
        <f t="shared" si="363"/>
        <v>22</v>
      </c>
      <c r="T360" s="115" t="str">
        <f t="shared" si="363"/>
        <v/>
      </c>
      <c r="U360" s="115" t="str">
        <f t="shared" si="363"/>
        <v/>
      </c>
      <c r="V360" s="115" t="str">
        <f t="shared" si="363"/>
        <v/>
      </c>
      <c r="W360" s="115" t="str">
        <f t="shared" si="363"/>
        <v/>
      </c>
      <c r="X360" s="115" t="str">
        <f t="shared" si="363"/>
        <v/>
      </c>
      <c r="Y360" s="115" t="str">
        <f t="shared" si="363"/>
        <v/>
      </c>
      <c r="Z360" s="115" t="str">
        <f t="shared" si="363"/>
        <v/>
      </c>
      <c r="AA360" s="115" t="str">
        <f t="shared" si="363"/>
        <v/>
      </c>
      <c r="AB360" s="115" t="str">
        <f t="shared" si="363"/>
        <v/>
      </c>
      <c r="AC360" s="115" t="str">
        <f t="shared" si="363"/>
        <v/>
      </c>
      <c r="AD360" s="115" t="str">
        <f t="shared" si="363"/>
        <v/>
      </c>
      <c r="AE360" s="115" t="str">
        <f t="shared" si="363"/>
        <v/>
      </c>
      <c r="AF360" s="115" t="str">
        <f t="shared" si="363"/>
        <v/>
      </c>
      <c r="AG360" s="115" t="str">
        <f t="shared" si="363"/>
        <v/>
      </c>
      <c r="AH360" s="115" t="str">
        <f t="shared" si="363"/>
        <v/>
      </c>
      <c r="AI360" s="115" t="str">
        <f t="shared" si="363"/>
        <v/>
      </c>
      <c r="AJ360" s="115" t="str">
        <f t="shared" si="363"/>
        <v/>
      </c>
      <c r="AK360" s="115" t="str">
        <f t="shared" si="363"/>
        <v/>
      </c>
      <c r="AL360" s="115" t="str">
        <f t="shared" si="363"/>
        <v/>
      </c>
      <c r="AM360" s="115" t="str">
        <f t="shared" si="363"/>
        <v/>
      </c>
      <c r="AN360" s="115" t="str">
        <f t="shared" si="363"/>
        <v/>
      </c>
      <c r="AO360" s="115" t="str">
        <f t="shared" si="363"/>
        <v/>
      </c>
      <c r="AP360" s="117">
        <f>IF(AP$6="","",IF(AP$3="Maior",IFERROR(IF(VLOOKUP($N360,Capa!$A:$AE,AP$5,0)="",0,VLOOKUP($N360,Capa!$A:$AE,AP$5,0)),0),IF(ISERROR(1/VLOOKUP($N360,Capa!$A:$AE,AP$5,0)),0,1/VLOOKUP($N360,Capa!$A:$AE,AP$5,0))))</f>
        <v>0.06227173204</v>
      </c>
      <c r="AQ360" s="118">
        <f>IF(AQ$6="","",IF(AQ$3="Maior",IFERROR(IF(VLOOKUP($N360,Capa!$A:$AE,AQ$5,0)="",0,VLOOKUP($N360,Capa!$A:$AE,AQ$5,0)),0),IF(ISERROR(1/VLOOKUP($N360,Capa!$A:$AE,AQ$5,0)),0,1/VLOOKUP($N360,Capa!$A:$AE,AQ$5,0))))</f>
        <v>10.08</v>
      </c>
      <c r="AR360" s="118">
        <f>IF(AR$6="","",IF(AR$3="Maior",IFERROR(IF(VLOOKUP($N360,Capa!$A:$AE,AR$5,0)="",0,VLOOKUP($N360,Capa!$A:$AE,AR$5,0)),0),IF(ISERROR(1/VLOOKUP($N360,Capa!$A:$AE,AR$5,0)),0,1/VLOOKUP($N360,Capa!$A:$AE,AR$5,0))))</f>
        <v>87.22</v>
      </c>
      <c r="AS360" s="118" t="str">
        <f>IF(AS$6="","",IF(AS$3="Maior",IFERROR(IF(VLOOKUP($N360,Capa!$A:$AE,AS$5,0)="",0,VLOOKUP($N360,Capa!$A:$AE,AS$5,0)),0),IF(ISERROR(1/VLOOKUP($N360,Capa!$A:$AE,AS$5,0)),0,1/VLOOKUP($N360,Capa!$A:$AE,AS$5,0))))</f>
        <v/>
      </c>
      <c r="AT360" s="118" t="str">
        <f>IF(AT$6="","",IF(AT$3="Maior",IFERROR(IF(VLOOKUP($N360,Capa!$A:$AE,AT$5,0)="",0,VLOOKUP($N360,Capa!$A:$AE,AT$5,0)),0),IF(ISERROR(1/VLOOKUP($N360,Capa!$A:$AE,AT$5,0)),0,1/VLOOKUP($N360,Capa!$A:$AE,AT$5,0))))</f>
        <v/>
      </c>
      <c r="AU360" s="118" t="str">
        <f>IF(AU$6="","",IF(AU$3="Maior",IFERROR(IF(VLOOKUP($N360,Capa!$A:$AE,AU$5,0)="",0,VLOOKUP($N360,Capa!$A:$AE,AU$5,0)),0),IF(ISERROR(1/VLOOKUP($N360,Capa!$A:$AE,AU$5,0)),0,1/VLOOKUP($N360,Capa!$A:$AE,AU$5,0))))</f>
        <v/>
      </c>
      <c r="AV360" s="118" t="str">
        <f>IF(AV$6="","",IF(AV$3="Maior",IFERROR(IF(VLOOKUP($N360,Capa!$A:$AE,AV$5,0)="",0,VLOOKUP($N360,Capa!$A:$AE,AV$5,0)),0),IF(ISERROR(1/VLOOKUP($N360,Capa!$A:$AE,AV$5,0)),0,1/VLOOKUP($N360,Capa!$A:$AE,AV$5,0))))</f>
        <v/>
      </c>
      <c r="AW360" s="118" t="str">
        <f>IF(AW$6="","",IF(AW$3="Maior",IFERROR(IF(VLOOKUP($N360,Capa!$A:$AE,AW$5,0)="",0,VLOOKUP($N360,Capa!$A:$AE,AW$5,0)),0),IF(ISERROR(1/VLOOKUP($N360,Capa!$A:$AE,AW$5,0)),0,1/VLOOKUP($N360,Capa!$A:$AE,AW$5,0))))</f>
        <v/>
      </c>
      <c r="AX360" s="118" t="str">
        <f>IF(AX$6="","",IF(AX$3="Maior",IFERROR(IF(VLOOKUP($N360,Capa!$A:$AE,AX$5,0)="",0,VLOOKUP($N360,Capa!$A:$AE,AX$5,0)),0),IF(ISERROR(1/VLOOKUP($N360,Capa!$A:$AE,AX$5,0)),0,1/VLOOKUP($N360,Capa!$A:$AE,AX$5,0))))</f>
        <v/>
      </c>
      <c r="AY360" s="118" t="str">
        <f>IF(AY$6="","",IF(AY$3="Maior",IFERROR(IF(VLOOKUP($N360,Capa!$A:$AE,AY$5,0)="",0,VLOOKUP($N360,Capa!$A:$AE,AY$5,0)),0),IF(ISERROR(1/VLOOKUP($N360,Capa!$A:$AE,AY$5,0)),0,1/VLOOKUP($N360,Capa!$A:$AE,AY$5,0))))</f>
        <v/>
      </c>
      <c r="AZ360" s="118" t="str">
        <f>IF(AZ$6="","",IF(AZ$3="Maior",IFERROR(IF(VLOOKUP($N360,Capa!$A:$AE,AZ$5,0)="",0,VLOOKUP($N360,Capa!$A:$AE,AZ$5,0)),0),IF(ISERROR(1/VLOOKUP($N360,Capa!$A:$AE,AZ$5,0)),0,1/VLOOKUP($N360,Capa!$A:$AE,AZ$5,0))))</f>
        <v/>
      </c>
      <c r="BA360" s="118" t="str">
        <f>IF(BA$6="","",IF(BA$3="Maior",IFERROR(IF(VLOOKUP($N360,Capa!$A:$AE,BA$5,0)="",0,VLOOKUP($N360,Capa!$A:$AE,BA$5,0)),0),IF(ISERROR(1/VLOOKUP($N360,Capa!$A:$AE,BA$5,0)),0,1/VLOOKUP($N360,Capa!$A:$AE,BA$5,0))))</f>
        <v/>
      </c>
      <c r="BB360" s="118" t="str">
        <f>IF(BB$6="","",IF(BB$3="Maior",IFERROR(IF(VLOOKUP($N360,Capa!$A:$AE,BB$5,0)="",0,VLOOKUP($N360,Capa!$A:$AE,BB$5,0)),0),IF(ISERROR(1/VLOOKUP($N360,Capa!$A:$AE,BB$5,0)),0,1/VLOOKUP($N360,Capa!$A:$AE,BB$5,0))))</f>
        <v/>
      </c>
      <c r="BC360" s="118" t="str">
        <f>IF(BC$6="","",IF(BC$3="Maior",IFERROR(IF(VLOOKUP($N360,Capa!$A:$AE,BC$5,0)="",0,VLOOKUP($N360,Capa!$A:$AE,BC$5,0)),0),IF(ISERROR(1/VLOOKUP($N360,Capa!$A:$AE,BC$5,0)),0,1/VLOOKUP($N360,Capa!$A:$AE,BC$5,0))))</f>
        <v/>
      </c>
      <c r="BD360" s="118" t="str">
        <f>IF(BD$6="","",IF(BD$3="Maior",IFERROR(IF(VLOOKUP($N360,Capa!$A:$AE,BD$5,0)="",0,VLOOKUP($N360,Capa!$A:$AE,BD$5,0)),0),IF(ISERROR(1/VLOOKUP($N360,Capa!$A:$AE,BD$5,0)),0,1/VLOOKUP($N360,Capa!$A:$AE,BD$5,0))))</f>
        <v/>
      </c>
      <c r="BE360" s="118" t="str">
        <f>IF(BE$6="","",IF(BE$3="Maior",IFERROR(IF(VLOOKUP($N360,Capa!$A:$AE,BE$5,0)="",0,VLOOKUP($N360,Capa!$A:$AE,BE$5,0)),0),IF(ISERROR(1/VLOOKUP($N360,Capa!$A:$AE,BE$5,0)),0,1/VLOOKUP($N360,Capa!$A:$AE,BE$5,0))))</f>
        <v/>
      </c>
      <c r="BF360" s="118" t="str">
        <f>IF(BF$6="","",IF(BF$3="Maior",IFERROR(IF(VLOOKUP($N360,Capa!$A:$AE,BF$5,0)="",0,VLOOKUP($N360,Capa!$A:$AE,BF$5,0)),0),IF(ISERROR(1/VLOOKUP($N360,Capa!$A:$AE,BF$5,0)),0,1/VLOOKUP($N360,Capa!$A:$AE,BF$5,0))))</f>
        <v/>
      </c>
      <c r="BG360" s="118" t="str">
        <f>IF(BG$6="","",IF(BG$3="Maior",IFERROR(IF(VLOOKUP($N360,Capa!$A:$AE,BG$5,0)="",0,VLOOKUP($N360,Capa!$A:$AE,BG$5,0)),0),IF(ISERROR(1/VLOOKUP($N360,Capa!$A:$AE,BG$5,0)),0,1/VLOOKUP($N360,Capa!$A:$AE,BG$5,0))))</f>
        <v/>
      </c>
      <c r="BH360" s="118" t="str">
        <f>IF(BH$6="","",IF(BH$3="Maior",IFERROR(IF(VLOOKUP($N360,Capa!$A:$AE,BH$5,0)="",0,VLOOKUP($N360,Capa!$A:$AE,BH$5,0)),0),IF(ISERROR(1/VLOOKUP($N360,Capa!$A:$AE,BH$5,0)),0,1/VLOOKUP($N360,Capa!$A:$AE,BH$5,0))))</f>
        <v/>
      </c>
      <c r="BI360" s="118" t="str">
        <f>IF(BI$6="","",IF(BI$3="Maior",IFERROR(IF(VLOOKUP($N360,Capa!$A:$AE,BI$5,0)="",0,VLOOKUP($N360,Capa!$A:$AE,BI$5,0)),0),IF(ISERROR(1/VLOOKUP($N360,Capa!$A:$AE,BI$5,0)),0,1/VLOOKUP($N360,Capa!$A:$AE,BI$5,0))))</f>
        <v/>
      </c>
      <c r="BJ360" s="118" t="str">
        <f>IF(BJ$6="","",IF(BJ$3="Maior",IFERROR(IF(VLOOKUP($N360,Capa!$A:$AE,BJ$5,0)="",0,VLOOKUP($N360,Capa!$A:$AE,BJ$5,0)),0),IF(ISERROR(1/VLOOKUP($N360,Capa!$A:$AE,BJ$5,0)),0,1/VLOOKUP($N360,Capa!$A:$AE,BJ$5,0))))</f>
        <v/>
      </c>
      <c r="BK360" s="118" t="str">
        <f>IF(BK$6="","",IF(BK$3="Maior",IFERROR(IF(VLOOKUP($N360,Capa!$A:$AE,BK$5,0)="",0,VLOOKUP($N360,Capa!$A:$AE,BK$5,0)),0),IF(ISERROR(1/VLOOKUP($N360,Capa!$A:$AE,BK$5,0)),0,1/VLOOKUP($N360,Capa!$A:$AE,BK$5,0))))</f>
        <v/>
      </c>
      <c r="BL360" s="118" t="str">
        <f>IF(BL$6="","",IF(BL$3="Maior",IFERROR(IF(VLOOKUP($N360,Capa!$A:$AE,BL$5,0)="",0,VLOOKUP($N360,Capa!$A:$AE,BL$5,0)),0),IF(ISERROR(1/VLOOKUP($N360,Capa!$A:$AE,BL$5,0)),0,1/VLOOKUP($N360,Capa!$A:$AE,BL$5,0))))</f>
        <v/>
      </c>
      <c r="BM360" s="118" t="str">
        <f>IF(BM$6="","",IF(BM$3="Maior",IFERROR(IF(VLOOKUP($N360,Capa!$A:$AE,BM$5,0)="",0,VLOOKUP($N360,Capa!$A:$AE,BM$5,0)),0),IF(ISERROR(1/VLOOKUP($N360,Capa!$A:$AE,BM$5,0)),0,1/VLOOKUP($N360,Capa!$A:$AE,BM$5,0))))</f>
        <v/>
      </c>
      <c r="BN360" s="118" t="str">
        <f>IF(BN$6="","",IF(BN$3="Maior",IFERROR(IF(VLOOKUP($N360,Capa!$A:$AE,BN$5,0)="",0,VLOOKUP($N360,Capa!$A:$AE,BN$5,0)),0),IF(ISERROR(1/VLOOKUP($N360,Capa!$A:$AE,BN$5,0)),0,1/VLOOKUP($N360,Capa!$A:$AE,BN$5,0))))</f>
        <v/>
      </c>
      <c r="BO360" s="92"/>
    </row>
    <row r="361">
      <c r="G361" s="11"/>
      <c r="H361" s="11"/>
      <c r="I361" s="8"/>
      <c r="J361" s="132"/>
      <c r="K361" s="11"/>
      <c r="L361" s="11"/>
      <c r="M361" s="11"/>
      <c r="N361" s="10" t="s">
        <v>407</v>
      </c>
      <c r="O361" s="113">
        <f t="shared" si="8"/>
        <v>1622.0136</v>
      </c>
      <c r="P361" s="114">
        <f>VLOOKUP(N361,'Dados StatusInvest'!A:Z,26,0)</f>
        <v>108508.42</v>
      </c>
      <c r="Q361" s="115">
        <f t="shared" si="9"/>
        <v>136.0136</v>
      </c>
      <c r="R361" s="116">
        <f t="shared" ref="R361:AO361" si="364">IF(AQ361="","", RANK(AQ361,AQ$7:AQ$503,0))</f>
        <v>267</v>
      </c>
      <c r="S361" s="115">
        <f t="shared" si="364"/>
        <v>219</v>
      </c>
      <c r="T361" s="115" t="str">
        <f t="shared" si="364"/>
        <v/>
      </c>
      <c r="U361" s="115" t="str">
        <f t="shared" si="364"/>
        <v/>
      </c>
      <c r="V361" s="115" t="str">
        <f t="shared" si="364"/>
        <v/>
      </c>
      <c r="W361" s="115" t="str">
        <f t="shared" si="364"/>
        <v/>
      </c>
      <c r="X361" s="115" t="str">
        <f t="shared" si="364"/>
        <v/>
      </c>
      <c r="Y361" s="115" t="str">
        <f t="shared" si="364"/>
        <v/>
      </c>
      <c r="Z361" s="115" t="str">
        <f t="shared" si="364"/>
        <v/>
      </c>
      <c r="AA361" s="115" t="str">
        <f t="shared" si="364"/>
        <v/>
      </c>
      <c r="AB361" s="115" t="str">
        <f t="shared" si="364"/>
        <v/>
      </c>
      <c r="AC361" s="115" t="str">
        <f t="shared" si="364"/>
        <v/>
      </c>
      <c r="AD361" s="115" t="str">
        <f t="shared" si="364"/>
        <v/>
      </c>
      <c r="AE361" s="115" t="str">
        <f t="shared" si="364"/>
        <v/>
      </c>
      <c r="AF361" s="115" t="str">
        <f t="shared" si="364"/>
        <v/>
      </c>
      <c r="AG361" s="115" t="str">
        <f t="shared" si="364"/>
        <v/>
      </c>
      <c r="AH361" s="115" t="str">
        <f t="shared" si="364"/>
        <v/>
      </c>
      <c r="AI361" s="115" t="str">
        <f t="shared" si="364"/>
        <v/>
      </c>
      <c r="AJ361" s="115" t="str">
        <f t="shared" si="364"/>
        <v/>
      </c>
      <c r="AK361" s="115" t="str">
        <f t="shared" si="364"/>
        <v/>
      </c>
      <c r="AL361" s="115" t="str">
        <f t="shared" si="364"/>
        <v/>
      </c>
      <c r="AM361" s="115" t="str">
        <f t="shared" si="364"/>
        <v/>
      </c>
      <c r="AN361" s="115" t="str">
        <f t="shared" si="364"/>
        <v/>
      </c>
      <c r="AO361" s="115" t="str">
        <f t="shared" si="364"/>
        <v/>
      </c>
      <c r="AP361" s="117">
        <f>IF(AP$6="","",IF(AP$3="Maior",IFERROR(IF(VLOOKUP($N361,Capa!$A:$AE,AP$5,0)="",0,VLOOKUP($N361,Capa!$A:$AE,AP$5,0)),0),IF(ISERROR(1/VLOOKUP($N361,Capa!$A:$AE,AP$5,0)),0,1/VLOOKUP($N361,Capa!$A:$AE,AP$5,0))))</f>
        <v>0.142581999</v>
      </c>
      <c r="AQ361" s="118">
        <f>IF(AQ$6="","",IF(AQ$3="Maior",IFERROR(IF(VLOOKUP($N361,Capa!$A:$AE,AQ$5,0)="",0,VLOOKUP($N361,Capa!$A:$AE,AQ$5,0)),0),IF(ISERROR(1/VLOOKUP($N361,Capa!$A:$AE,AQ$5,0)),0,1/VLOOKUP($N361,Capa!$A:$AE,AQ$5,0))))</f>
        <v>7.01</v>
      </c>
      <c r="AR361" s="118">
        <f>IF(AR$6="","",IF(AR$3="Maior",IFERROR(IF(VLOOKUP($N361,Capa!$A:$AE,AR$5,0)="",0,VLOOKUP($N361,Capa!$A:$AE,AR$5,0)),0),IF(ISERROR(1/VLOOKUP($N361,Capa!$A:$AE,AR$5,0)),0,1/VLOOKUP($N361,Capa!$A:$AE,AR$5,0))))</f>
        <v>0</v>
      </c>
      <c r="AS361" s="118" t="str">
        <f>IF(AS$6="","",IF(AS$3="Maior",IFERROR(IF(VLOOKUP($N361,Capa!$A:$AE,AS$5,0)="",0,VLOOKUP($N361,Capa!$A:$AE,AS$5,0)),0),IF(ISERROR(1/VLOOKUP($N361,Capa!$A:$AE,AS$5,0)),0,1/VLOOKUP($N361,Capa!$A:$AE,AS$5,0))))</f>
        <v/>
      </c>
      <c r="AT361" s="118" t="str">
        <f>IF(AT$6="","",IF(AT$3="Maior",IFERROR(IF(VLOOKUP($N361,Capa!$A:$AE,AT$5,0)="",0,VLOOKUP($N361,Capa!$A:$AE,AT$5,0)),0),IF(ISERROR(1/VLOOKUP($N361,Capa!$A:$AE,AT$5,0)),0,1/VLOOKUP($N361,Capa!$A:$AE,AT$5,0))))</f>
        <v/>
      </c>
      <c r="AU361" s="118" t="str">
        <f>IF(AU$6="","",IF(AU$3="Maior",IFERROR(IF(VLOOKUP($N361,Capa!$A:$AE,AU$5,0)="",0,VLOOKUP($N361,Capa!$A:$AE,AU$5,0)),0),IF(ISERROR(1/VLOOKUP($N361,Capa!$A:$AE,AU$5,0)),0,1/VLOOKUP($N361,Capa!$A:$AE,AU$5,0))))</f>
        <v/>
      </c>
      <c r="AV361" s="118" t="str">
        <f>IF(AV$6="","",IF(AV$3="Maior",IFERROR(IF(VLOOKUP($N361,Capa!$A:$AE,AV$5,0)="",0,VLOOKUP($N361,Capa!$A:$AE,AV$5,0)),0),IF(ISERROR(1/VLOOKUP($N361,Capa!$A:$AE,AV$5,0)),0,1/VLOOKUP($N361,Capa!$A:$AE,AV$5,0))))</f>
        <v/>
      </c>
      <c r="AW361" s="118" t="str">
        <f>IF(AW$6="","",IF(AW$3="Maior",IFERROR(IF(VLOOKUP($N361,Capa!$A:$AE,AW$5,0)="",0,VLOOKUP($N361,Capa!$A:$AE,AW$5,0)),0),IF(ISERROR(1/VLOOKUP($N361,Capa!$A:$AE,AW$5,0)),0,1/VLOOKUP($N361,Capa!$A:$AE,AW$5,0))))</f>
        <v/>
      </c>
      <c r="AX361" s="118" t="str">
        <f>IF(AX$6="","",IF(AX$3="Maior",IFERROR(IF(VLOOKUP($N361,Capa!$A:$AE,AX$5,0)="",0,VLOOKUP($N361,Capa!$A:$AE,AX$5,0)),0),IF(ISERROR(1/VLOOKUP($N361,Capa!$A:$AE,AX$5,0)),0,1/VLOOKUP($N361,Capa!$A:$AE,AX$5,0))))</f>
        <v/>
      </c>
      <c r="AY361" s="118" t="str">
        <f>IF(AY$6="","",IF(AY$3="Maior",IFERROR(IF(VLOOKUP($N361,Capa!$A:$AE,AY$5,0)="",0,VLOOKUP($N361,Capa!$A:$AE,AY$5,0)),0),IF(ISERROR(1/VLOOKUP($N361,Capa!$A:$AE,AY$5,0)),0,1/VLOOKUP($N361,Capa!$A:$AE,AY$5,0))))</f>
        <v/>
      </c>
      <c r="AZ361" s="118" t="str">
        <f>IF(AZ$6="","",IF(AZ$3="Maior",IFERROR(IF(VLOOKUP($N361,Capa!$A:$AE,AZ$5,0)="",0,VLOOKUP($N361,Capa!$A:$AE,AZ$5,0)),0),IF(ISERROR(1/VLOOKUP($N361,Capa!$A:$AE,AZ$5,0)),0,1/VLOOKUP($N361,Capa!$A:$AE,AZ$5,0))))</f>
        <v/>
      </c>
      <c r="BA361" s="118" t="str">
        <f>IF(BA$6="","",IF(BA$3="Maior",IFERROR(IF(VLOOKUP($N361,Capa!$A:$AE,BA$5,0)="",0,VLOOKUP($N361,Capa!$A:$AE,BA$5,0)),0),IF(ISERROR(1/VLOOKUP($N361,Capa!$A:$AE,BA$5,0)),0,1/VLOOKUP($N361,Capa!$A:$AE,BA$5,0))))</f>
        <v/>
      </c>
      <c r="BB361" s="118" t="str">
        <f>IF(BB$6="","",IF(BB$3="Maior",IFERROR(IF(VLOOKUP($N361,Capa!$A:$AE,BB$5,0)="",0,VLOOKUP($N361,Capa!$A:$AE,BB$5,0)),0),IF(ISERROR(1/VLOOKUP($N361,Capa!$A:$AE,BB$5,0)),0,1/VLOOKUP($N361,Capa!$A:$AE,BB$5,0))))</f>
        <v/>
      </c>
      <c r="BC361" s="118" t="str">
        <f>IF(BC$6="","",IF(BC$3="Maior",IFERROR(IF(VLOOKUP($N361,Capa!$A:$AE,BC$5,0)="",0,VLOOKUP($N361,Capa!$A:$AE,BC$5,0)),0),IF(ISERROR(1/VLOOKUP($N361,Capa!$A:$AE,BC$5,0)),0,1/VLOOKUP($N361,Capa!$A:$AE,BC$5,0))))</f>
        <v/>
      </c>
      <c r="BD361" s="118" t="str">
        <f>IF(BD$6="","",IF(BD$3="Maior",IFERROR(IF(VLOOKUP($N361,Capa!$A:$AE,BD$5,0)="",0,VLOOKUP($N361,Capa!$A:$AE,BD$5,0)),0),IF(ISERROR(1/VLOOKUP($N361,Capa!$A:$AE,BD$5,0)),0,1/VLOOKUP($N361,Capa!$A:$AE,BD$5,0))))</f>
        <v/>
      </c>
      <c r="BE361" s="118" t="str">
        <f>IF(BE$6="","",IF(BE$3="Maior",IFERROR(IF(VLOOKUP($N361,Capa!$A:$AE,BE$5,0)="",0,VLOOKUP($N361,Capa!$A:$AE,BE$5,0)),0),IF(ISERROR(1/VLOOKUP($N361,Capa!$A:$AE,BE$5,0)),0,1/VLOOKUP($N361,Capa!$A:$AE,BE$5,0))))</f>
        <v/>
      </c>
      <c r="BF361" s="118" t="str">
        <f>IF(BF$6="","",IF(BF$3="Maior",IFERROR(IF(VLOOKUP($N361,Capa!$A:$AE,BF$5,0)="",0,VLOOKUP($N361,Capa!$A:$AE,BF$5,0)),0),IF(ISERROR(1/VLOOKUP($N361,Capa!$A:$AE,BF$5,0)),0,1/VLOOKUP($N361,Capa!$A:$AE,BF$5,0))))</f>
        <v/>
      </c>
      <c r="BG361" s="118" t="str">
        <f>IF(BG$6="","",IF(BG$3="Maior",IFERROR(IF(VLOOKUP($N361,Capa!$A:$AE,BG$5,0)="",0,VLOOKUP($N361,Capa!$A:$AE,BG$5,0)),0),IF(ISERROR(1/VLOOKUP($N361,Capa!$A:$AE,BG$5,0)),0,1/VLOOKUP($N361,Capa!$A:$AE,BG$5,0))))</f>
        <v/>
      </c>
      <c r="BH361" s="118" t="str">
        <f>IF(BH$6="","",IF(BH$3="Maior",IFERROR(IF(VLOOKUP($N361,Capa!$A:$AE,BH$5,0)="",0,VLOOKUP($N361,Capa!$A:$AE,BH$5,0)),0),IF(ISERROR(1/VLOOKUP($N361,Capa!$A:$AE,BH$5,0)),0,1/VLOOKUP($N361,Capa!$A:$AE,BH$5,0))))</f>
        <v/>
      </c>
      <c r="BI361" s="118" t="str">
        <f>IF(BI$6="","",IF(BI$3="Maior",IFERROR(IF(VLOOKUP($N361,Capa!$A:$AE,BI$5,0)="",0,VLOOKUP($N361,Capa!$A:$AE,BI$5,0)),0),IF(ISERROR(1/VLOOKUP($N361,Capa!$A:$AE,BI$5,0)),0,1/VLOOKUP($N361,Capa!$A:$AE,BI$5,0))))</f>
        <v/>
      </c>
      <c r="BJ361" s="118" t="str">
        <f>IF(BJ$6="","",IF(BJ$3="Maior",IFERROR(IF(VLOOKUP($N361,Capa!$A:$AE,BJ$5,0)="",0,VLOOKUP($N361,Capa!$A:$AE,BJ$5,0)),0),IF(ISERROR(1/VLOOKUP($N361,Capa!$A:$AE,BJ$5,0)),0,1/VLOOKUP($N361,Capa!$A:$AE,BJ$5,0))))</f>
        <v/>
      </c>
      <c r="BK361" s="118" t="str">
        <f>IF(BK$6="","",IF(BK$3="Maior",IFERROR(IF(VLOOKUP($N361,Capa!$A:$AE,BK$5,0)="",0,VLOOKUP($N361,Capa!$A:$AE,BK$5,0)),0),IF(ISERROR(1/VLOOKUP($N361,Capa!$A:$AE,BK$5,0)),0,1/VLOOKUP($N361,Capa!$A:$AE,BK$5,0))))</f>
        <v/>
      </c>
      <c r="BL361" s="118" t="str">
        <f>IF(BL$6="","",IF(BL$3="Maior",IFERROR(IF(VLOOKUP($N361,Capa!$A:$AE,BL$5,0)="",0,VLOOKUP($N361,Capa!$A:$AE,BL$5,0)),0),IF(ISERROR(1/VLOOKUP($N361,Capa!$A:$AE,BL$5,0)),0,1/VLOOKUP($N361,Capa!$A:$AE,BL$5,0))))</f>
        <v/>
      </c>
      <c r="BM361" s="118" t="str">
        <f>IF(BM$6="","",IF(BM$3="Maior",IFERROR(IF(VLOOKUP($N361,Capa!$A:$AE,BM$5,0)="",0,VLOOKUP($N361,Capa!$A:$AE,BM$5,0)),0),IF(ISERROR(1/VLOOKUP($N361,Capa!$A:$AE,BM$5,0)),0,1/VLOOKUP($N361,Capa!$A:$AE,BM$5,0))))</f>
        <v/>
      </c>
      <c r="BN361" s="118" t="str">
        <f>IF(BN$6="","",IF(BN$3="Maior",IFERROR(IF(VLOOKUP($N361,Capa!$A:$AE,BN$5,0)="",0,VLOOKUP($N361,Capa!$A:$AE,BN$5,0)),0),IF(ISERROR(1/VLOOKUP($N361,Capa!$A:$AE,BN$5,0)),0,1/VLOOKUP($N361,Capa!$A:$AE,BN$5,0))))</f>
        <v/>
      </c>
      <c r="BO361" s="92"/>
    </row>
    <row r="362">
      <c r="G362" s="11"/>
      <c r="H362" s="11"/>
      <c r="I362" s="8"/>
      <c r="J362" s="132"/>
      <c r="K362" s="11"/>
      <c r="L362" s="11"/>
      <c r="M362" s="11"/>
      <c r="N362" s="10" t="s">
        <v>408</v>
      </c>
      <c r="O362" s="113">
        <f t="shared" si="8"/>
        <v>1422.0116</v>
      </c>
      <c r="P362" s="114">
        <f>VLOOKUP(N362,'Dados StatusInvest'!A:Z,26,0)</f>
        <v>90597.05</v>
      </c>
      <c r="Q362" s="115">
        <f t="shared" si="9"/>
        <v>116.0116</v>
      </c>
      <c r="R362" s="116">
        <f t="shared" ref="R362:AO362" si="365">IF(AQ362="","", RANK(AQ362,AQ$7:AQ$503,0))</f>
        <v>87</v>
      </c>
      <c r="S362" s="115">
        <f t="shared" si="365"/>
        <v>219</v>
      </c>
      <c r="T362" s="115" t="str">
        <f t="shared" si="365"/>
        <v/>
      </c>
      <c r="U362" s="115" t="str">
        <f t="shared" si="365"/>
        <v/>
      </c>
      <c r="V362" s="115" t="str">
        <f t="shared" si="365"/>
        <v/>
      </c>
      <c r="W362" s="115" t="str">
        <f t="shared" si="365"/>
        <v/>
      </c>
      <c r="X362" s="115" t="str">
        <f t="shared" si="365"/>
        <v/>
      </c>
      <c r="Y362" s="115" t="str">
        <f t="shared" si="365"/>
        <v/>
      </c>
      <c r="Z362" s="115" t="str">
        <f t="shared" si="365"/>
        <v/>
      </c>
      <c r="AA362" s="115" t="str">
        <f t="shared" si="365"/>
        <v/>
      </c>
      <c r="AB362" s="115" t="str">
        <f t="shared" si="365"/>
        <v/>
      </c>
      <c r="AC362" s="115" t="str">
        <f t="shared" si="365"/>
        <v/>
      </c>
      <c r="AD362" s="115" t="str">
        <f t="shared" si="365"/>
        <v/>
      </c>
      <c r="AE362" s="115" t="str">
        <f t="shared" si="365"/>
        <v/>
      </c>
      <c r="AF362" s="115" t="str">
        <f t="shared" si="365"/>
        <v/>
      </c>
      <c r="AG362" s="115" t="str">
        <f t="shared" si="365"/>
        <v/>
      </c>
      <c r="AH362" s="115" t="str">
        <f t="shared" si="365"/>
        <v/>
      </c>
      <c r="AI362" s="115" t="str">
        <f t="shared" si="365"/>
        <v/>
      </c>
      <c r="AJ362" s="115" t="str">
        <f t="shared" si="365"/>
        <v/>
      </c>
      <c r="AK362" s="115" t="str">
        <f t="shared" si="365"/>
        <v/>
      </c>
      <c r="AL362" s="115" t="str">
        <f t="shared" si="365"/>
        <v/>
      </c>
      <c r="AM362" s="115" t="str">
        <f t="shared" si="365"/>
        <v/>
      </c>
      <c r="AN362" s="115" t="str">
        <f t="shared" si="365"/>
        <v/>
      </c>
      <c r="AO362" s="115" t="str">
        <f t="shared" si="365"/>
        <v/>
      </c>
      <c r="AP362" s="117">
        <f>IF(AP$6="","",IF(AP$3="Maior",IFERROR(IF(VLOOKUP($N362,Capa!$A:$AE,AP$5,0)="",0,VLOOKUP($N362,Capa!$A:$AE,AP$5,0)),0),IF(ISERROR(1/VLOOKUP($N362,Capa!$A:$AE,AP$5,0)),0,1/VLOOKUP($N362,Capa!$A:$AE,AP$5,0))))</f>
        <v>0.1618631329</v>
      </c>
      <c r="AQ362" s="118">
        <f>IF(AQ$6="","",IF(AQ$3="Maior",IFERROR(IF(VLOOKUP($N362,Capa!$A:$AE,AQ$5,0)="",0,VLOOKUP($N362,Capa!$A:$AE,AQ$5,0)),0),IF(ISERROR(1/VLOOKUP($N362,Capa!$A:$AE,AQ$5,0)),0,1/VLOOKUP($N362,Capa!$A:$AE,AQ$5,0))))</f>
        <v>19.4</v>
      </c>
      <c r="AR362" s="118">
        <f>IF(AR$6="","",IF(AR$3="Maior",IFERROR(IF(VLOOKUP($N362,Capa!$A:$AE,AR$5,0)="",0,VLOOKUP($N362,Capa!$A:$AE,AR$5,0)),0),IF(ISERROR(1/VLOOKUP($N362,Capa!$A:$AE,AR$5,0)),0,1/VLOOKUP($N362,Capa!$A:$AE,AR$5,0))))</f>
        <v>0</v>
      </c>
      <c r="AS362" s="118" t="str">
        <f>IF(AS$6="","",IF(AS$3="Maior",IFERROR(IF(VLOOKUP($N362,Capa!$A:$AE,AS$5,0)="",0,VLOOKUP($N362,Capa!$A:$AE,AS$5,0)),0),IF(ISERROR(1/VLOOKUP($N362,Capa!$A:$AE,AS$5,0)),0,1/VLOOKUP($N362,Capa!$A:$AE,AS$5,0))))</f>
        <v/>
      </c>
      <c r="AT362" s="118" t="str">
        <f>IF(AT$6="","",IF(AT$3="Maior",IFERROR(IF(VLOOKUP($N362,Capa!$A:$AE,AT$5,0)="",0,VLOOKUP($N362,Capa!$A:$AE,AT$5,0)),0),IF(ISERROR(1/VLOOKUP($N362,Capa!$A:$AE,AT$5,0)),0,1/VLOOKUP($N362,Capa!$A:$AE,AT$5,0))))</f>
        <v/>
      </c>
      <c r="AU362" s="118" t="str">
        <f>IF(AU$6="","",IF(AU$3="Maior",IFERROR(IF(VLOOKUP($N362,Capa!$A:$AE,AU$5,0)="",0,VLOOKUP($N362,Capa!$A:$AE,AU$5,0)),0),IF(ISERROR(1/VLOOKUP($N362,Capa!$A:$AE,AU$5,0)),0,1/VLOOKUP($N362,Capa!$A:$AE,AU$5,0))))</f>
        <v/>
      </c>
      <c r="AV362" s="118" t="str">
        <f>IF(AV$6="","",IF(AV$3="Maior",IFERROR(IF(VLOOKUP($N362,Capa!$A:$AE,AV$5,0)="",0,VLOOKUP($N362,Capa!$A:$AE,AV$5,0)),0),IF(ISERROR(1/VLOOKUP($N362,Capa!$A:$AE,AV$5,0)),0,1/VLOOKUP($N362,Capa!$A:$AE,AV$5,0))))</f>
        <v/>
      </c>
      <c r="AW362" s="118" t="str">
        <f>IF(AW$6="","",IF(AW$3="Maior",IFERROR(IF(VLOOKUP($N362,Capa!$A:$AE,AW$5,0)="",0,VLOOKUP($N362,Capa!$A:$AE,AW$5,0)),0),IF(ISERROR(1/VLOOKUP($N362,Capa!$A:$AE,AW$5,0)),0,1/VLOOKUP($N362,Capa!$A:$AE,AW$5,0))))</f>
        <v/>
      </c>
      <c r="AX362" s="118" t="str">
        <f>IF(AX$6="","",IF(AX$3="Maior",IFERROR(IF(VLOOKUP($N362,Capa!$A:$AE,AX$5,0)="",0,VLOOKUP($N362,Capa!$A:$AE,AX$5,0)),0),IF(ISERROR(1/VLOOKUP($N362,Capa!$A:$AE,AX$5,0)),0,1/VLOOKUP($N362,Capa!$A:$AE,AX$5,0))))</f>
        <v/>
      </c>
      <c r="AY362" s="118" t="str">
        <f>IF(AY$6="","",IF(AY$3="Maior",IFERROR(IF(VLOOKUP($N362,Capa!$A:$AE,AY$5,0)="",0,VLOOKUP($N362,Capa!$A:$AE,AY$5,0)),0),IF(ISERROR(1/VLOOKUP($N362,Capa!$A:$AE,AY$5,0)),0,1/VLOOKUP($N362,Capa!$A:$AE,AY$5,0))))</f>
        <v/>
      </c>
      <c r="AZ362" s="118" t="str">
        <f>IF(AZ$6="","",IF(AZ$3="Maior",IFERROR(IF(VLOOKUP($N362,Capa!$A:$AE,AZ$5,0)="",0,VLOOKUP($N362,Capa!$A:$AE,AZ$5,0)),0),IF(ISERROR(1/VLOOKUP($N362,Capa!$A:$AE,AZ$5,0)),0,1/VLOOKUP($N362,Capa!$A:$AE,AZ$5,0))))</f>
        <v/>
      </c>
      <c r="BA362" s="118" t="str">
        <f>IF(BA$6="","",IF(BA$3="Maior",IFERROR(IF(VLOOKUP($N362,Capa!$A:$AE,BA$5,0)="",0,VLOOKUP($N362,Capa!$A:$AE,BA$5,0)),0),IF(ISERROR(1/VLOOKUP($N362,Capa!$A:$AE,BA$5,0)),0,1/VLOOKUP($N362,Capa!$A:$AE,BA$5,0))))</f>
        <v/>
      </c>
      <c r="BB362" s="118" t="str">
        <f>IF(BB$6="","",IF(BB$3="Maior",IFERROR(IF(VLOOKUP($N362,Capa!$A:$AE,BB$5,0)="",0,VLOOKUP($N362,Capa!$A:$AE,BB$5,0)),0),IF(ISERROR(1/VLOOKUP($N362,Capa!$A:$AE,BB$5,0)),0,1/VLOOKUP($N362,Capa!$A:$AE,BB$5,0))))</f>
        <v/>
      </c>
      <c r="BC362" s="118" t="str">
        <f>IF(BC$6="","",IF(BC$3="Maior",IFERROR(IF(VLOOKUP($N362,Capa!$A:$AE,BC$5,0)="",0,VLOOKUP($N362,Capa!$A:$AE,BC$5,0)),0),IF(ISERROR(1/VLOOKUP($N362,Capa!$A:$AE,BC$5,0)),0,1/VLOOKUP($N362,Capa!$A:$AE,BC$5,0))))</f>
        <v/>
      </c>
      <c r="BD362" s="118" t="str">
        <f>IF(BD$6="","",IF(BD$3="Maior",IFERROR(IF(VLOOKUP($N362,Capa!$A:$AE,BD$5,0)="",0,VLOOKUP($N362,Capa!$A:$AE,BD$5,0)),0),IF(ISERROR(1/VLOOKUP($N362,Capa!$A:$AE,BD$5,0)),0,1/VLOOKUP($N362,Capa!$A:$AE,BD$5,0))))</f>
        <v/>
      </c>
      <c r="BE362" s="118" t="str">
        <f>IF(BE$6="","",IF(BE$3="Maior",IFERROR(IF(VLOOKUP($N362,Capa!$A:$AE,BE$5,0)="",0,VLOOKUP($N362,Capa!$A:$AE,BE$5,0)),0),IF(ISERROR(1/VLOOKUP($N362,Capa!$A:$AE,BE$5,0)),0,1/VLOOKUP($N362,Capa!$A:$AE,BE$5,0))))</f>
        <v/>
      </c>
      <c r="BF362" s="118" t="str">
        <f>IF(BF$6="","",IF(BF$3="Maior",IFERROR(IF(VLOOKUP($N362,Capa!$A:$AE,BF$5,0)="",0,VLOOKUP($N362,Capa!$A:$AE,BF$5,0)),0),IF(ISERROR(1/VLOOKUP($N362,Capa!$A:$AE,BF$5,0)),0,1/VLOOKUP($N362,Capa!$A:$AE,BF$5,0))))</f>
        <v/>
      </c>
      <c r="BG362" s="118" t="str">
        <f>IF(BG$6="","",IF(BG$3="Maior",IFERROR(IF(VLOOKUP($N362,Capa!$A:$AE,BG$5,0)="",0,VLOOKUP($N362,Capa!$A:$AE,BG$5,0)),0),IF(ISERROR(1/VLOOKUP($N362,Capa!$A:$AE,BG$5,0)),0,1/VLOOKUP($N362,Capa!$A:$AE,BG$5,0))))</f>
        <v/>
      </c>
      <c r="BH362" s="118" t="str">
        <f>IF(BH$6="","",IF(BH$3="Maior",IFERROR(IF(VLOOKUP($N362,Capa!$A:$AE,BH$5,0)="",0,VLOOKUP($N362,Capa!$A:$AE,BH$5,0)),0),IF(ISERROR(1/VLOOKUP($N362,Capa!$A:$AE,BH$5,0)),0,1/VLOOKUP($N362,Capa!$A:$AE,BH$5,0))))</f>
        <v/>
      </c>
      <c r="BI362" s="118" t="str">
        <f>IF(BI$6="","",IF(BI$3="Maior",IFERROR(IF(VLOOKUP($N362,Capa!$A:$AE,BI$5,0)="",0,VLOOKUP($N362,Capa!$A:$AE,BI$5,0)),0),IF(ISERROR(1/VLOOKUP($N362,Capa!$A:$AE,BI$5,0)),0,1/VLOOKUP($N362,Capa!$A:$AE,BI$5,0))))</f>
        <v/>
      </c>
      <c r="BJ362" s="118" t="str">
        <f>IF(BJ$6="","",IF(BJ$3="Maior",IFERROR(IF(VLOOKUP($N362,Capa!$A:$AE,BJ$5,0)="",0,VLOOKUP($N362,Capa!$A:$AE,BJ$5,0)),0),IF(ISERROR(1/VLOOKUP($N362,Capa!$A:$AE,BJ$5,0)),0,1/VLOOKUP($N362,Capa!$A:$AE,BJ$5,0))))</f>
        <v/>
      </c>
      <c r="BK362" s="118" t="str">
        <f>IF(BK$6="","",IF(BK$3="Maior",IFERROR(IF(VLOOKUP($N362,Capa!$A:$AE,BK$5,0)="",0,VLOOKUP($N362,Capa!$A:$AE,BK$5,0)),0),IF(ISERROR(1/VLOOKUP($N362,Capa!$A:$AE,BK$5,0)),0,1/VLOOKUP($N362,Capa!$A:$AE,BK$5,0))))</f>
        <v/>
      </c>
      <c r="BL362" s="118" t="str">
        <f>IF(BL$6="","",IF(BL$3="Maior",IFERROR(IF(VLOOKUP($N362,Capa!$A:$AE,BL$5,0)="",0,VLOOKUP($N362,Capa!$A:$AE,BL$5,0)),0),IF(ISERROR(1/VLOOKUP($N362,Capa!$A:$AE,BL$5,0)),0,1/VLOOKUP($N362,Capa!$A:$AE,BL$5,0))))</f>
        <v/>
      </c>
      <c r="BM362" s="118" t="str">
        <f>IF(BM$6="","",IF(BM$3="Maior",IFERROR(IF(VLOOKUP($N362,Capa!$A:$AE,BM$5,0)="",0,VLOOKUP($N362,Capa!$A:$AE,BM$5,0)),0),IF(ISERROR(1/VLOOKUP($N362,Capa!$A:$AE,BM$5,0)),0,1/VLOOKUP($N362,Capa!$A:$AE,BM$5,0))))</f>
        <v/>
      </c>
      <c r="BN362" s="118" t="str">
        <f>IF(BN$6="","",IF(BN$3="Maior",IFERROR(IF(VLOOKUP($N362,Capa!$A:$AE,BN$5,0)="",0,VLOOKUP($N362,Capa!$A:$AE,BN$5,0)),0),IF(ISERROR(1/VLOOKUP($N362,Capa!$A:$AE,BN$5,0)),0,1/VLOOKUP($N362,Capa!$A:$AE,BN$5,0))))</f>
        <v/>
      </c>
      <c r="BO362" s="92"/>
    </row>
    <row r="363">
      <c r="G363" s="11"/>
      <c r="H363" s="11"/>
      <c r="I363" s="8"/>
      <c r="J363" s="132"/>
      <c r="K363" s="11"/>
      <c r="L363" s="11"/>
      <c r="M363" s="11"/>
      <c r="N363" s="10" t="s">
        <v>409</v>
      </c>
      <c r="O363" s="113">
        <f t="shared" si="8"/>
        <v>1676.0201</v>
      </c>
      <c r="P363" s="114">
        <f>VLOOKUP(N363,'Dados StatusInvest'!A:Z,26,0)</f>
        <v>86357.38</v>
      </c>
      <c r="Q363" s="115">
        <f t="shared" si="9"/>
        <v>201.0201</v>
      </c>
      <c r="R363" s="116">
        <f t="shared" ref="R363:AO363" si="366">IF(AQ363="","", RANK(AQ363,AQ$7:AQ$503,0))</f>
        <v>256</v>
      </c>
      <c r="S363" s="115">
        <f t="shared" si="366"/>
        <v>219</v>
      </c>
      <c r="T363" s="115" t="str">
        <f t="shared" si="366"/>
        <v/>
      </c>
      <c r="U363" s="115" t="str">
        <f t="shared" si="366"/>
        <v/>
      </c>
      <c r="V363" s="115" t="str">
        <f t="shared" si="366"/>
        <v/>
      </c>
      <c r="W363" s="115" t="str">
        <f t="shared" si="366"/>
        <v/>
      </c>
      <c r="X363" s="115" t="str">
        <f t="shared" si="366"/>
        <v/>
      </c>
      <c r="Y363" s="115" t="str">
        <f t="shared" si="366"/>
        <v/>
      </c>
      <c r="Z363" s="115" t="str">
        <f t="shared" si="366"/>
        <v/>
      </c>
      <c r="AA363" s="115" t="str">
        <f t="shared" si="366"/>
        <v/>
      </c>
      <c r="AB363" s="115" t="str">
        <f t="shared" si="366"/>
        <v/>
      </c>
      <c r="AC363" s="115" t="str">
        <f t="shared" si="366"/>
        <v/>
      </c>
      <c r="AD363" s="115" t="str">
        <f t="shared" si="366"/>
        <v/>
      </c>
      <c r="AE363" s="115" t="str">
        <f t="shared" si="366"/>
        <v/>
      </c>
      <c r="AF363" s="115" t="str">
        <f t="shared" si="366"/>
        <v/>
      </c>
      <c r="AG363" s="115" t="str">
        <f t="shared" si="366"/>
        <v/>
      </c>
      <c r="AH363" s="115" t="str">
        <f t="shared" si="366"/>
        <v/>
      </c>
      <c r="AI363" s="115" t="str">
        <f t="shared" si="366"/>
        <v/>
      </c>
      <c r="AJ363" s="115" t="str">
        <f t="shared" si="366"/>
        <v/>
      </c>
      <c r="AK363" s="115" t="str">
        <f t="shared" si="366"/>
        <v/>
      </c>
      <c r="AL363" s="115" t="str">
        <f t="shared" si="366"/>
        <v/>
      </c>
      <c r="AM363" s="115" t="str">
        <f t="shared" si="366"/>
        <v/>
      </c>
      <c r="AN363" s="115" t="str">
        <f t="shared" si="366"/>
        <v/>
      </c>
      <c r="AO363" s="115" t="str">
        <f t="shared" si="366"/>
        <v/>
      </c>
      <c r="AP363" s="117">
        <f>IF(AP$6="","",IF(AP$3="Maior",IFERROR(IF(VLOOKUP($N363,Capa!$A:$AE,AP$5,0)="",0,VLOOKUP($N363,Capa!$A:$AE,AP$5,0)),0),IF(ISERROR(1/VLOOKUP($N363,Capa!$A:$AE,AP$5,0)),0,1/VLOOKUP($N363,Capa!$A:$AE,AP$5,0))))</f>
        <v>0.1062118775</v>
      </c>
      <c r="AQ363" s="118">
        <f>IF(AQ$6="","",IF(AQ$3="Maior",IFERROR(IF(VLOOKUP($N363,Capa!$A:$AE,AQ$5,0)="",0,VLOOKUP($N363,Capa!$A:$AE,AQ$5,0)),0),IF(ISERROR(1/VLOOKUP($N363,Capa!$A:$AE,AQ$5,0)),0,1/VLOOKUP($N363,Capa!$A:$AE,AQ$5,0))))</f>
        <v>8.03</v>
      </c>
      <c r="AR363" s="118">
        <f>IF(AR$6="","",IF(AR$3="Maior",IFERROR(IF(VLOOKUP($N363,Capa!$A:$AE,AR$5,0)="",0,VLOOKUP($N363,Capa!$A:$AE,AR$5,0)),0),IF(ISERROR(1/VLOOKUP($N363,Capa!$A:$AE,AR$5,0)),0,1/VLOOKUP($N363,Capa!$A:$AE,AR$5,0))))</f>
        <v>0</v>
      </c>
      <c r="AS363" s="118" t="str">
        <f>IF(AS$6="","",IF(AS$3="Maior",IFERROR(IF(VLOOKUP($N363,Capa!$A:$AE,AS$5,0)="",0,VLOOKUP($N363,Capa!$A:$AE,AS$5,0)),0),IF(ISERROR(1/VLOOKUP($N363,Capa!$A:$AE,AS$5,0)),0,1/VLOOKUP($N363,Capa!$A:$AE,AS$5,0))))</f>
        <v/>
      </c>
      <c r="AT363" s="118" t="str">
        <f>IF(AT$6="","",IF(AT$3="Maior",IFERROR(IF(VLOOKUP($N363,Capa!$A:$AE,AT$5,0)="",0,VLOOKUP($N363,Capa!$A:$AE,AT$5,0)),0),IF(ISERROR(1/VLOOKUP($N363,Capa!$A:$AE,AT$5,0)),0,1/VLOOKUP($N363,Capa!$A:$AE,AT$5,0))))</f>
        <v/>
      </c>
      <c r="AU363" s="118" t="str">
        <f>IF(AU$6="","",IF(AU$3="Maior",IFERROR(IF(VLOOKUP($N363,Capa!$A:$AE,AU$5,0)="",0,VLOOKUP($N363,Capa!$A:$AE,AU$5,0)),0),IF(ISERROR(1/VLOOKUP($N363,Capa!$A:$AE,AU$5,0)),0,1/VLOOKUP($N363,Capa!$A:$AE,AU$5,0))))</f>
        <v/>
      </c>
      <c r="AV363" s="118" t="str">
        <f>IF(AV$6="","",IF(AV$3="Maior",IFERROR(IF(VLOOKUP($N363,Capa!$A:$AE,AV$5,0)="",0,VLOOKUP($N363,Capa!$A:$AE,AV$5,0)),0),IF(ISERROR(1/VLOOKUP($N363,Capa!$A:$AE,AV$5,0)),0,1/VLOOKUP($N363,Capa!$A:$AE,AV$5,0))))</f>
        <v/>
      </c>
      <c r="AW363" s="118" t="str">
        <f>IF(AW$6="","",IF(AW$3="Maior",IFERROR(IF(VLOOKUP($N363,Capa!$A:$AE,AW$5,0)="",0,VLOOKUP($N363,Capa!$A:$AE,AW$5,0)),0),IF(ISERROR(1/VLOOKUP($N363,Capa!$A:$AE,AW$5,0)),0,1/VLOOKUP($N363,Capa!$A:$AE,AW$5,0))))</f>
        <v/>
      </c>
      <c r="AX363" s="118" t="str">
        <f>IF(AX$6="","",IF(AX$3="Maior",IFERROR(IF(VLOOKUP($N363,Capa!$A:$AE,AX$5,0)="",0,VLOOKUP($N363,Capa!$A:$AE,AX$5,0)),0),IF(ISERROR(1/VLOOKUP($N363,Capa!$A:$AE,AX$5,0)),0,1/VLOOKUP($N363,Capa!$A:$AE,AX$5,0))))</f>
        <v/>
      </c>
      <c r="AY363" s="118" t="str">
        <f>IF(AY$6="","",IF(AY$3="Maior",IFERROR(IF(VLOOKUP($N363,Capa!$A:$AE,AY$5,0)="",0,VLOOKUP($N363,Capa!$A:$AE,AY$5,0)),0),IF(ISERROR(1/VLOOKUP($N363,Capa!$A:$AE,AY$5,0)),0,1/VLOOKUP($N363,Capa!$A:$AE,AY$5,0))))</f>
        <v/>
      </c>
      <c r="AZ363" s="118" t="str">
        <f>IF(AZ$6="","",IF(AZ$3="Maior",IFERROR(IF(VLOOKUP($N363,Capa!$A:$AE,AZ$5,0)="",0,VLOOKUP($N363,Capa!$A:$AE,AZ$5,0)),0),IF(ISERROR(1/VLOOKUP($N363,Capa!$A:$AE,AZ$5,0)),0,1/VLOOKUP($N363,Capa!$A:$AE,AZ$5,0))))</f>
        <v/>
      </c>
      <c r="BA363" s="118" t="str">
        <f>IF(BA$6="","",IF(BA$3="Maior",IFERROR(IF(VLOOKUP($N363,Capa!$A:$AE,BA$5,0)="",0,VLOOKUP($N363,Capa!$A:$AE,BA$5,0)),0),IF(ISERROR(1/VLOOKUP($N363,Capa!$A:$AE,BA$5,0)),0,1/VLOOKUP($N363,Capa!$A:$AE,BA$5,0))))</f>
        <v/>
      </c>
      <c r="BB363" s="118" t="str">
        <f>IF(BB$6="","",IF(BB$3="Maior",IFERROR(IF(VLOOKUP($N363,Capa!$A:$AE,BB$5,0)="",0,VLOOKUP($N363,Capa!$A:$AE,BB$5,0)),0),IF(ISERROR(1/VLOOKUP($N363,Capa!$A:$AE,BB$5,0)),0,1/VLOOKUP($N363,Capa!$A:$AE,BB$5,0))))</f>
        <v/>
      </c>
      <c r="BC363" s="118" t="str">
        <f>IF(BC$6="","",IF(BC$3="Maior",IFERROR(IF(VLOOKUP($N363,Capa!$A:$AE,BC$5,0)="",0,VLOOKUP($N363,Capa!$A:$AE,BC$5,0)),0),IF(ISERROR(1/VLOOKUP($N363,Capa!$A:$AE,BC$5,0)),0,1/VLOOKUP($N363,Capa!$A:$AE,BC$5,0))))</f>
        <v/>
      </c>
      <c r="BD363" s="118" t="str">
        <f>IF(BD$6="","",IF(BD$3="Maior",IFERROR(IF(VLOOKUP($N363,Capa!$A:$AE,BD$5,0)="",0,VLOOKUP($N363,Capa!$A:$AE,BD$5,0)),0),IF(ISERROR(1/VLOOKUP($N363,Capa!$A:$AE,BD$5,0)),0,1/VLOOKUP($N363,Capa!$A:$AE,BD$5,0))))</f>
        <v/>
      </c>
      <c r="BE363" s="118" t="str">
        <f>IF(BE$6="","",IF(BE$3="Maior",IFERROR(IF(VLOOKUP($N363,Capa!$A:$AE,BE$5,0)="",0,VLOOKUP($N363,Capa!$A:$AE,BE$5,0)),0),IF(ISERROR(1/VLOOKUP($N363,Capa!$A:$AE,BE$5,0)),0,1/VLOOKUP($N363,Capa!$A:$AE,BE$5,0))))</f>
        <v/>
      </c>
      <c r="BF363" s="118" t="str">
        <f>IF(BF$6="","",IF(BF$3="Maior",IFERROR(IF(VLOOKUP($N363,Capa!$A:$AE,BF$5,0)="",0,VLOOKUP($N363,Capa!$A:$AE,BF$5,0)),0),IF(ISERROR(1/VLOOKUP($N363,Capa!$A:$AE,BF$5,0)),0,1/VLOOKUP($N363,Capa!$A:$AE,BF$5,0))))</f>
        <v/>
      </c>
      <c r="BG363" s="118" t="str">
        <f>IF(BG$6="","",IF(BG$3="Maior",IFERROR(IF(VLOOKUP($N363,Capa!$A:$AE,BG$5,0)="",0,VLOOKUP($N363,Capa!$A:$AE,BG$5,0)),0),IF(ISERROR(1/VLOOKUP($N363,Capa!$A:$AE,BG$5,0)),0,1/VLOOKUP($N363,Capa!$A:$AE,BG$5,0))))</f>
        <v/>
      </c>
      <c r="BH363" s="118" t="str">
        <f>IF(BH$6="","",IF(BH$3="Maior",IFERROR(IF(VLOOKUP($N363,Capa!$A:$AE,BH$5,0)="",0,VLOOKUP($N363,Capa!$A:$AE,BH$5,0)),0),IF(ISERROR(1/VLOOKUP($N363,Capa!$A:$AE,BH$5,0)),0,1/VLOOKUP($N363,Capa!$A:$AE,BH$5,0))))</f>
        <v/>
      </c>
      <c r="BI363" s="118" t="str">
        <f>IF(BI$6="","",IF(BI$3="Maior",IFERROR(IF(VLOOKUP($N363,Capa!$A:$AE,BI$5,0)="",0,VLOOKUP($N363,Capa!$A:$AE,BI$5,0)),0),IF(ISERROR(1/VLOOKUP($N363,Capa!$A:$AE,BI$5,0)),0,1/VLOOKUP($N363,Capa!$A:$AE,BI$5,0))))</f>
        <v/>
      </c>
      <c r="BJ363" s="118" t="str">
        <f>IF(BJ$6="","",IF(BJ$3="Maior",IFERROR(IF(VLOOKUP($N363,Capa!$A:$AE,BJ$5,0)="",0,VLOOKUP($N363,Capa!$A:$AE,BJ$5,0)),0),IF(ISERROR(1/VLOOKUP($N363,Capa!$A:$AE,BJ$5,0)),0,1/VLOOKUP($N363,Capa!$A:$AE,BJ$5,0))))</f>
        <v/>
      </c>
      <c r="BK363" s="118" t="str">
        <f>IF(BK$6="","",IF(BK$3="Maior",IFERROR(IF(VLOOKUP($N363,Capa!$A:$AE,BK$5,0)="",0,VLOOKUP($N363,Capa!$A:$AE,BK$5,0)),0),IF(ISERROR(1/VLOOKUP($N363,Capa!$A:$AE,BK$5,0)),0,1/VLOOKUP($N363,Capa!$A:$AE,BK$5,0))))</f>
        <v/>
      </c>
      <c r="BL363" s="118" t="str">
        <f>IF(BL$6="","",IF(BL$3="Maior",IFERROR(IF(VLOOKUP($N363,Capa!$A:$AE,BL$5,0)="",0,VLOOKUP($N363,Capa!$A:$AE,BL$5,0)),0),IF(ISERROR(1/VLOOKUP($N363,Capa!$A:$AE,BL$5,0)),0,1/VLOOKUP($N363,Capa!$A:$AE,BL$5,0))))</f>
        <v/>
      </c>
      <c r="BM363" s="118" t="str">
        <f>IF(BM$6="","",IF(BM$3="Maior",IFERROR(IF(VLOOKUP($N363,Capa!$A:$AE,BM$5,0)="",0,VLOOKUP($N363,Capa!$A:$AE,BM$5,0)),0),IF(ISERROR(1/VLOOKUP($N363,Capa!$A:$AE,BM$5,0)),0,1/VLOOKUP($N363,Capa!$A:$AE,BM$5,0))))</f>
        <v/>
      </c>
      <c r="BN363" s="118" t="str">
        <f>IF(BN$6="","",IF(BN$3="Maior",IFERROR(IF(VLOOKUP($N363,Capa!$A:$AE,BN$5,0)="",0,VLOOKUP($N363,Capa!$A:$AE,BN$5,0)),0),IF(ISERROR(1/VLOOKUP($N363,Capa!$A:$AE,BN$5,0)),0,1/VLOOKUP($N363,Capa!$A:$AE,BN$5,0))))</f>
        <v/>
      </c>
      <c r="BO363" s="92"/>
    </row>
    <row r="364">
      <c r="G364" s="11"/>
      <c r="H364" s="11"/>
      <c r="I364" s="8"/>
      <c r="J364" s="132"/>
      <c r="K364" s="11"/>
      <c r="L364" s="11"/>
      <c r="M364" s="11"/>
      <c r="N364" s="10" t="s">
        <v>410</v>
      </c>
      <c r="O364" s="113">
        <f t="shared" si="8"/>
        <v>1319.0076</v>
      </c>
      <c r="P364" s="114">
        <f>VLOOKUP(N364,'Dados StatusInvest'!A:Z,26,0)</f>
        <v>73072.47</v>
      </c>
      <c r="Q364" s="115">
        <f t="shared" si="9"/>
        <v>76.0076</v>
      </c>
      <c r="R364" s="116">
        <f t="shared" ref="R364:AO364" si="367">IF(AQ364="","", RANK(AQ364,AQ$7:AQ$503,0))</f>
        <v>24</v>
      </c>
      <c r="S364" s="115">
        <f t="shared" si="367"/>
        <v>219</v>
      </c>
      <c r="T364" s="115" t="str">
        <f t="shared" si="367"/>
        <v/>
      </c>
      <c r="U364" s="115" t="str">
        <f t="shared" si="367"/>
        <v/>
      </c>
      <c r="V364" s="115" t="str">
        <f t="shared" si="367"/>
        <v/>
      </c>
      <c r="W364" s="115" t="str">
        <f t="shared" si="367"/>
        <v/>
      </c>
      <c r="X364" s="115" t="str">
        <f t="shared" si="367"/>
        <v/>
      </c>
      <c r="Y364" s="115" t="str">
        <f t="shared" si="367"/>
        <v/>
      </c>
      <c r="Z364" s="115" t="str">
        <f t="shared" si="367"/>
        <v/>
      </c>
      <c r="AA364" s="115" t="str">
        <f t="shared" si="367"/>
        <v/>
      </c>
      <c r="AB364" s="115" t="str">
        <f t="shared" si="367"/>
        <v/>
      </c>
      <c r="AC364" s="115" t="str">
        <f t="shared" si="367"/>
        <v/>
      </c>
      <c r="AD364" s="115" t="str">
        <f t="shared" si="367"/>
        <v/>
      </c>
      <c r="AE364" s="115" t="str">
        <f t="shared" si="367"/>
        <v/>
      </c>
      <c r="AF364" s="115" t="str">
        <f t="shared" si="367"/>
        <v/>
      </c>
      <c r="AG364" s="115" t="str">
        <f t="shared" si="367"/>
        <v/>
      </c>
      <c r="AH364" s="115" t="str">
        <f t="shared" si="367"/>
        <v/>
      </c>
      <c r="AI364" s="115" t="str">
        <f t="shared" si="367"/>
        <v/>
      </c>
      <c r="AJ364" s="115" t="str">
        <f t="shared" si="367"/>
        <v/>
      </c>
      <c r="AK364" s="115" t="str">
        <f t="shared" si="367"/>
        <v/>
      </c>
      <c r="AL364" s="115" t="str">
        <f t="shared" si="367"/>
        <v/>
      </c>
      <c r="AM364" s="115" t="str">
        <f t="shared" si="367"/>
        <v/>
      </c>
      <c r="AN364" s="115" t="str">
        <f t="shared" si="367"/>
        <v/>
      </c>
      <c r="AO364" s="115" t="str">
        <f t="shared" si="367"/>
        <v/>
      </c>
      <c r="AP364" s="117">
        <f>IF(AP$6="","",IF(AP$3="Maior",IFERROR(IF(VLOOKUP($N364,Capa!$A:$AE,AP$5,0)="",0,VLOOKUP($N364,Capa!$A:$AE,AP$5,0)),0),IF(ISERROR(1/VLOOKUP($N364,Capa!$A:$AE,AP$5,0)),0,1/VLOOKUP($N364,Capa!$A:$AE,AP$5,0))))</f>
        <v>0.2118625048</v>
      </c>
      <c r="AQ364" s="118">
        <f>IF(AQ$6="","",IF(AQ$3="Maior",IFERROR(IF(VLOOKUP($N364,Capa!$A:$AE,AQ$5,0)="",0,VLOOKUP($N364,Capa!$A:$AE,AQ$5,0)),0),IF(ISERROR(1/VLOOKUP($N364,Capa!$A:$AE,AQ$5,0)),0,1/VLOOKUP($N364,Capa!$A:$AE,AQ$5,0))))</f>
        <v>57.77</v>
      </c>
      <c r="AR364" s="118">
        <f>IF(AR$6="","",IF(AR$3="Maior",IFERROR(IF(VLOOKUP($N364,Capa!$A:$AE,AR$5,0)="",0,VLOOKUP($N364,Capa!$A:$AE,AR$5,0)),0),IF(ISERROR(1/VLOOKUP($N364,Capa!$A:$AE,AR$5,0)),0,1/VLOOKUP($N364,Capa!$A:$AE,AR$5,0))))</f>
        <v>0</v>
      </c>
      <c r="AS364" s="118" t="str">
        <f>IF(AS$6="","",IF(AS$3="Maior",IFERROR(IF(VLOOKUP($N364,Capa!$A:$AE,AS$5,0)="",0,VLOOKUP($N364,Capa!$A:$AE,AS$5,0)),0),IF(ISERROR(1/VLOOKUP($N364,Capa!$A:$AE,AS$5,0)),0,1/VLOOKUP($N364,Capa!$A:$AE,AS$5,0))))</f>
        <v/>
      </c>
      <c r="AT364" s="118" t="str">
        <f>IF(AT$6="","",IF(AT$3="Maior",IFERROR(IF(VLOOKUP($N364,Capa!$A:$AE,AT$5,0)="",0,VLOOKUP($N364,Capa!$A:$AE,AT$5,0)),0),IF(ISERROR(1/VLOOKUP($N364,Capa!$A:$AE,AT$5,0)),0,1/VLOOKUP($N364,Capa!$A:$AE,AT$5,0))))</f>
        <v/>
      </c>
      <c r="AU364" s="118" t="str">
        <f>IF(AU$6="","",IF(AU$3="Maior",IFERROR(IF(VLOOKUP($N364,Capa!$A:$AE,AU$5,0)="",0,VLOOKUP($N364,Capa!$A:$AE,AU$5,0)),0),IF(ISERROR(1/VLOOKUP($N364,Capa!$A:$AE,AU$5,0)),0,1/VLOOKUP($N364,Capa!$A:$AE,AU$5,0))))</f>
        <v/>
      </c>
      <c r="AV364" s="118" t="str">
        <f>IF(AV$6="","",IF(AV$3="Maior",IFERROR(IF(VLOOKUP($N364,Capa!$A:$AE,AV$5,0)="",0,VLOOKUP($N364,Capa!$A:$AE,AV$5,0)),0),IF(ISERROR(1/VLOOKUP($N364,Capa!$A:$AE,AV$5,0)),0,1/VLOOKUP($N364,Capa!$A:$AE,AV$5,0))))</f>
        <v/>
      </c>
      <c r="AW364" s="118" t="str">
        <f>IF(AW$6="","",IF(AW$3="Maior",IFERROR(IF(VLOOKUP($N364,Capa!$A:$AE,AW$5,0)="",0,VLOOKUP($N364,Capa!$A:$AE,AW$5,0)),0),IF(ISERROR(1/VLOOKUP($N364,Capa!$A:$AE,AW$5,0)),0,1/VLOOKUP($N364,Capa!$A:$AE,AW$5,0))))</f>
        <v/>
      </c>
      <c r="AX364" s="118" t="str">
        <f>IF(AX$6="","",IF(AX$3="Maior",IFERROR(IF(VLOOKUP($N364,Capa!$A:$AE,AX$5,0)="",0,VLOOKUP($N364,Capa!$A:$AE,AX$5,0)),0),IF(ISERROR(1/VLOOKUP($N364,Capa!$A:$AE,AX$5,0)),0,1/VLOOKUP($N364,Capa!$A:$AE,AX$5,0))))</f>
        <v/>
      </c>
      <c r="AY364" s="118" t="str">
        <f>IF(AY$6="","",IF(AY$3="Maior",IFERROR(IF(VLOOKUP($N364,Capa!$A:$AE,AY$5,0)="",0,VLOOKUP($N364,Capa!$A:$AE,AY$5,0)),0),IF(ISERROR(1/VLOOKUP($N364,Capa!$A:$AE,AY$5,0)),0,1/VLOOKUP($N364,Capa!$A:$AE,AY$5,0))))</f>
        <v/>
      </c>
      <c r="AZ364" s="118" t="str">
        <f>IF(AZ$6="","",IF(AZ$3="Maior",IFERROR(IF(VLOOKUP($N364,Capa!$A:$AE,AZ$5,0)="",0,VLOOKUP($N364,Capa!$A:$AE,AZ$5,0)),0),IF(ISERROR(1/VLOOKUP($N364,Capa!$A:$AE,AZ$5,0)),0,1/VLOOKUP($N364,Capa!$A:$AE,AZ$5,0))))</f>
        <v/>
      </c>
      <c r="BA364" s="118" t="str">
        <f>IF(BA$6="","",IF(BA$3="Maior",IFERROR(IF(VLOOKUP($N364,Capa!$A:$AE,BA$5,0)="",0,VLOOKUP($N364,Capa!$A:$AE,BA$5,0)),0),IF(ISERROR(1/VLOOKUP($N364,Capa!$A:$AE,BA$5,0)),0,1/VLOOKUP($N364,Capa!$A:$AE,BA$5,0))))</f>
        <v/>
      </c>
      <c r="BB364" s="118" t="str">
        <f>IF(BB$6="","",IF(BB$3="Maior",IFERROR(IF(VLOOKUP($N364,Capa!$A:$AE,BB$5,0)="",0,VLOOKUP($N364,Capa!$A:$AE,BB$5,0)),0),IF(ISERROR(1/VLOOKUP($N364,Capa!$A:$AE,BB$5,0)),0,1/VLOOKUP($N364,Capa!$A:$AE,BB$5,0))))</f>
        <v/>
      </c>
      <c r="BC364" s="118" t="str">
        <f>IF(BC$6="","",IF(BC$3="Maior",IFERROR(IF(VLOOKUP($N364,Capa!$A:$AE,BC$5,0)="",0,VLOOKUP($N364,Capa!$A:$AE,BC$5,0)),0),IF(ISERROR(1/VLOOKUP($N364,Capa!$A:$AE,BC$5,0)),0,1/VLOOKUP($N364,Capa!$A:$AE,BC$5,0))))</f>
        <v/>
      </c>
      <c r="BD364" s="118" t="str">
        <f>IF(BD$6="","",IF(BD$3="Maior",IFERROR(IF(VLOOKUP($N364,Capa!$A:$AE,BD$5,0)="",0,VLOOKUP($N364,Capa!$A:$AE,BD$5,0)),0),IF(ISERROR(1/VLOOKUP($N364,Capa!$A:$AE,BD$5,0)),0,1/VLOOKUP($N364,Capa!$A:$AE,BD$5,0))))</f>
        <v/>
      </c>
      <c r="BE364" s="118" t="str">
        <f>IF(BE$6="","",IF(BE$3="Maior",IFERROR(IF(VLOOKUP($N364,Capa!$A:$AE,BE$5,0)="",0,VLOOKUP($N364,Capa!$A:$AE,BE$5,0)),0),IF(ISERROR(1/VLOOKUP($N364,Capa!$A:$AE,BE$5,0)),0,1/VLOOKUP($N364,Capa!$A:$AE,BE$5,0))))</f>
        <v/>
      </c>
      <c r="BF364" s="118" t="str">
        <f>IF(BF$6="","",IF(BF$3="Maior",IFERROR(IF(VLOOKUP($N364,Capa!$A:$AE,BF$5,0)="",0,VLOOKUP($N364,Capa!$A:$AE,BF$5,0)),0),IF(ISERROR(1/VLOOKUP($N364,Capa!$A:$AE,BF$5,0)),0,1/VLOOKUP($N364,Capa!$A:$AE,BF$5,0))))</f>
        <v/>
      </c>
      <c r="BG364" s="118" t="str">
        <f>IF(BG$6="","",IF(BG$3="Maior",IFERROR(IF(VLOOKUP($N364,Capa!$A:$AE,BG$5,0)="",0,VLOOKUP($N364,Capa!$A:$AE,BG$5,0)),0),IF(ISERROR(1/VLOOKUP($N364,Capa!$A:$AE,BG$5,0)),0,1/VLOOKUP($N364,Capa!$A:$AE,BG$5,0))))</f>
        <v/>
      </c>
      <c r="BH364" s="118" t="str">
        <f>IF(BH$6="","",IF(BH$3="Maior",IFERROR(IF(VLOOKUP($N364,Capa!$A:$AE,BH$5,0)="",0,VLOOKUP($N364,Capa!$A:$AE,BH$5,0)),0),IF(ISERROR(1/VLOOKUP($N364,Capa!$A:$AE,BH$5,0)),0,1/VLOOKUP($N364,Capa!$A:$AE,BH$5,0))))</f>
        <v/>
      </c>
      <c r="BI364" s="118" t="str">
        <f>IF(BI$6="","",IF(BI$3="Maior",IFERROR(IF(VLOOKUP($N364,Capa!$A:$AE,BI$5,0)="",0,VLOOKUP($N364,Capa!$A:$AE,BI$5,0)),0),IF(ISERROR(1/VLOOKUP($N364,Capa!$A:$AE,BI$5,0)),0,1/VLOOKUP($N364,Capa!$A:$AE,BI$5,0))))</f>
        <v/>
      </c>
      <c r="BJ364" s="118" t="str">
        <f>IF(BJ$6="","",IF(BJ$3="Maior",IFERROR(IF(VLOOKUP($N364,Capa!$A:$AE,BJ$5,0)="",0,VLOOKUP($N364,Capa!$A:$AE,BJ$5,0)),0),IF(ISERROR(1/VLOOKUP($N364,Capa!$A:$AE,BJ$5,0)),0,1/VLOOKUP($N364,Capa!$A:$AE,BJ$5,0))))</f>
        <v/>
      </c>
      <c r="BK364" s="118" t="str">
        <f>IF(BK$6="","",IF(BK$3="Maior",IFERROR(IF(VLOOKUP($N364,Capa!$A:$AE,BK$5,0)="",0,VLOOKUP($N364,Capa!$A:$AE,BK$5,0)),0),IF(ISERROR(1/VLOOKUP($N364,Capa!$A:$AE,BK$5,0)),0,1/VLOOKUP($N364,Capa!$A:$AE,BK$5,0))))</f>
        <v/>
      </c>
      <c r="BL364" s="118" t="str">
        <f>IF(BL$6="","",IF(BL$3="Maior",IFERROR(IF(VLOOKUP($N364,Capa!$A:$AE,BL$5,0)="",0,VLOOKUP($N364,Capa!$A:$AE,BL$5,0)),0),IF(ISERROR(1/VLOOKUP($N364,Capa!$A:$AE,BL$5,0)),0,1/VLOOKUP($N364,Capa!$A:$AE,BL$5,0))))</f>
        <v/>
      </c>
      <c r="BM364" s="118" t="str">
        <f>IF(BM$6="","",IF(BM$3="Maior",IFERROR(IF(VLOOKUP($N364,Capa!$A:$AE,BM$5,0)="",0,VLOOKUP($N364,Capa!$A:$AE,BM$5,0)),0),IF(ISERROR(1/VLOOKUP($N364,Capa!$A:$AE,BM$5,0)),0,1/VLOOKUP($N364,Capa!$A:$AE,BM$5,0))))</f>
        <v/>
      </c>
      <c r="BN364" s="118" t="str">
        <f>IF(BN$6="","",IF(BN$3="Maior",IFERROR(IF(VLOOKUP($N364,Capa!$A:$AE,BN$5,0)="",0,VLOOKUP($N364,Capa!$A:$AE,BN$5,0)),0),IF(ISERROR(1/VLOOKUP($N364,Capa!$A:$AE,BN$5,0)),0,1/VLOOKUP($N364,Capa!$A:$AE,BN$5,0))))</f>
        <v/>
      </c>
      <c r="BO364" s="92"/>
    </row>
    <row r="365">
      <c r="G365" s="11"/>
      <c r="H365" s="11"/>
      <c r="I365" s="8"/>
      <c r="J365" s="132"/>
      <c r="K365" s="11"/>
      <c r="L365" s="11"/>
      <c r="M365" s="11"/>
      <c r="N365" s="10" t="s">
        <v>411</v>
      </c>
      <c r="O365" s="113">
        <f t="shared" si="8"/>
        <v>2093.0429</v>
      </c>
      <c r="P365" s="114">
        <f>VLOOKUP(N365,'Dados StatusInvest'!A:Z,26,0)</f>
        <v>108945.05</v>
      </c>
      <c r="Q365" s="115">
        <f t="shared" si="9"/>
        <v>429.0429</v>
      </c>
      <c r="R365" s="116">
        <f t="shared" ref="R365:AO365" si="368">IF(AQ365="","", RANK(AQ365,AQ$7:AQ$503,0))</f>
        <v>445</v>
      </c>
      <c r="S365" s="115">
        <f t="shared" si="368"/>
        <v>219</v>
      </c>
      <c r="T365" s="115" t="str">
        <f t="shared" si="368"/>
        <v/>
      </c>
      <c r="U365" s="115" t="str">
        <f t="shared" si="368"/>
        <v/>
      </c>
      <c r="V365" s="115" t="str">
        <f t="shared" si="368"/>
        <v/>
      </c>
      <c r="W365" s="115" t="str">
        <f t="shared" si="368"/>
        <v/>
      </c>
      <c r="X365" s="115" t="str">
        <f t="shared" si="368"/>
        <v/>
      </c>
      <c r="Y365" s="115" t="str">
        <f t="shared" si="368"/>
        <v/>
      </c>
      <c r="Z365" s="115" t="str">
        <f t="shared" si="368"/>
        <v/>
      </c>
      <c r="AA365" s="115" t="str">
        <f t="shared" si="368"/>
        <v/>
      </c>
      <c r="AB365" s="115" t="str">
        <f t="shared" si="368"/>
        <v/>
      </c>
      <c r="AC365" s="115" t="str">
        <f t="shared" si="368"/>
        <v/>
      </c>
      <c r="AD365" s="115" t="str">
        <f t="shared" si="368"/>
        <v/>
      </c>
      <c r="AE365" s="115" t="str">
        <f t="shared" si="368"/>
        <v/>
      </c>
      <c r="AF365" s="115" t="str">
        <f t="shared" si="368"/>
        <v/>
      </c>
      <c r="AG365" s="115" t="str">
        <f t="shared" si="368"/>
        <v/>
      </c>
      <c r="AH365" s="115" t="str">
        <f t="shared" si="368"/>
        <v/>
      </c>
      <c r="AI365" s="115" t="str">
        <f t="shared" si="368"/>
        <v/>
      </c>
      <c r="AJ365" s="115" t="str">
        <f t="shared" si="368"/>
        <v/>
      </c>
      <c r="AK365" s="115" t="str">
        <f t="shared" si="368"/>
        <v/>
      </c>
      <c r="AL365" s="115" t="str">
        <f t="shared" si="368"/>
        <v/>
      </c>
      <c r="AM365" s="115" t="str">
        <f t="shared" si="368"/>
        <v/>
      </c>
      <c r="AN365" s="115" t="str">
        <f t="shared" si="368"/>
        <v/>
      </c>
      <c r="AO365" s="115" t="str">
        <f t="shared" si="368"/>
        <v/>
      </c>
      <c r="AP365" s="117">
        <f>IF(AP$6="","",IF(AP$3="Maior",IFERROR(IF(VLOOKUP($N365,Capa!$A:$AE,AP$5,0)="",0,VLOOKUP($N365,Capa!$A:$AE,AP$5,0)),0),IF(ISERROR(1/VLOOKUP($N365,Capa!$A:$AE,AP$5,0)),0,1/VLOOKUP($N365,Capa!$A:$AE,AP$5,0))))</f>
        <v>-0.03521396627</v>
      </c>
      <c r="AQ365" s="118">
        <f>IF(AQ$6="","",IF(AQ$3="Maior",IFERROR(IF(VLOOKUP($N365,Capa!$A:$AE,AQ$5,0)="",0,VLOOKUP($N365,Capa!$A:$AE,AQ$5,0)),0),IF(ISERROR(1/VLOOKUP($N365,Capa!$A:$AE,AQ$5,0)),0,1/VLOOKUP($N365,Capa!$A:$AE,AQ$5,0))))</f>
        <v>-4.45</v>
      </c>
      <c r="AR365" s="118">
        <f>IF(AR$6="","",IF(AR$3="Maior",IFERROR(IF(VLOOKUP($N365,Capa!$A:$AE,AR$5,0)="",0,VLOOKUP($N365,Capa!$A:$AE,AR$5,0)),0),IF(ISERROR(1/VLOOKUP($N365,Capa!$A:$AE,AR$5,0)),0,1/VLOOKUP($N365,Capa!$A:$AE,AR$5,0))))</f>
        <v>0</v>
      </c>
      <c r="AS365" s="118" t="str">
        <f>IF(AS$6="","",IF(AS$3="Maior",IFERROR(IF(VLOOKUP($N365,Capa!$A:$AE,AS$5,0)="",0,VLOOKUP($N365,Capa!$A:$AE,AS$5,0)),0),IF(ISERROR(1/VLOOKUP($N365,Capa!$A:$AE,AS$5,0)),0,1/VLOOKUP($N365,Capa!$A:$AE,AS$5,0))))</f>
        <v/>
      </c>
      <c r="AT365" s="118" t="str">
        <f>IF(AT$6="","",IF(AT$3="Maior",IFERROR(IF(VLOOKUP($N365,Capa!$A:$AE,AT$5,0)="",0,VLOOKUP($N365,Capa!$A:$AE,AT$5,0)),0),IF(ISERROR(1/VLOOKUP($N365,Capa!$A:$AE,AT$5,0)),0,1/VLOOKUP($N365,Capa!$A:$AE,AT$5,0))))</f>
        <v/>
      </c>
      <c r="AU365" s="118" t="str">
        <f>IF(AU$6="","",IF(AU$3="Maior",IFERROR(IF(VLOOKUP($N365,Capa!$A:$AE,AU$5,0)="",0,VLOOKUP($N365,Capa!$A:$AE,AU$5,0)),0),IF(ISERROR(1/VLOOKUP($N365,Capa!$A:$AE,AU$5,0)),0,1/VLOOKUP($N365,Capa!$A:$AE,AU$5,0))))</f>
        <v/>
      </c>
      <c r="AV365" s="118" t="str">
        <f>IF(AV$6="","",IF(AV$3="Maior",IFERROR(IF(VLOOKUP($N365,Capa!$A:$AE,AV$5,0)="",0,VLOOKUP($N365,Capa!$A:$AE,AV$5,0)),0),IF(ISERROR(1/VLOOKUP($N365,Capa!$A:$AE,AV$5,0)),0,1/VLOOKUP($N365,Capa!$A:$AE,AV$5,0))))</f>
        <v/>
      </c>
      <c r="AW365" s="118" t="str">
        <f>IF(AW$6="","",IF(AW$3="Maior",IFERROR(IF(VLOOKUP($N365,Capa!$A:$AE,AW$5,0)="",0,VLOOKUP($N365,Capa!$A:$AE,AW$5,0)),0),IF(ISERROR(1/VLOOKUP($N365,Capa!$A:$AE,AW$5,0)),0,1/VLOOKUP($N365,Capa!$A:$AE,AW$5,0))))</f>
        <v/>
      </c>
      <c r="AX365" s="118" t="str">
        <f>IF(AX$6="","",IF(AX$3="Maior",IFERROR(IF(VLOOKUP($N365,Capa!$A:$AE,AX$5,0)="",0,VLOOKUP($N365,Capa!$A:$AE,AX$5,0)),0),IF(ISERROR(1/VLOOKUP($N365,Capa!$A:$AE,AX$5,0)),0,1/VLOOKUP($N365,Capa!$A:$AE,AX$5,0))))</f>
        <v/>
      </c>
      <c r="AY365" s="118" t="str">
        <f>IF(AY$6="","",IF(AY$3="Maior",IFERROR(IF(VLOOKUP($N365,Capa!$A:$AE,AY$5,0)="",0,VLOOKUP($N365,Capa!$A:$AE,AY$5,0)),0),IF(ISERROR(1/VLOOKUP($N365,Capa!$A:$AE,AY$5,0)),0,1/VLOOKUP($N365,Capa!$A:$AE,AY$5,0))))</f>
        <v/>
      </c>
      <c r="AZ365" s="118" t="str">
        <f>IF(AZ$6="","",IF(AZ$3="Maior",IFERROR(IF(VLOOKUP($N365,Capa!$A:$AE,AZ$5,0)="",0,VLOOKUP($N365,Capa!$A:$AE,AZ$5,0)),0),IF(ISERROR(1/VLOOKUP($N365,Capa!$A:$AE,AZ$5,0)),0,1/VLOOKUP($N365,Capa!$A:$AE,AZ$5,0))))</f>
        <v/>
      </c>
      <c r="BA365" s="118" t="str">
        <f>IF(BA$6="","",IF(BA$3="Maior",IFERROR(IF(VLOOKUP($N365,Capa!$A:$AE,BA$5,0)="",0,VLOOKUP($N365,Capa!$A:$AE,BA$5,0)),0),IF(ISERROR(1/VLOOKUP($N365,Capa!$A:$AE,BA$5,0)),0,1/VLOOKUP($N365,Capa!$A:$AE,BA$5,0))))</f>
        <v/>
      </c>
      <c r="BB365" s="118" t="str">
        <f>IF(BB$6="","",IF(BB$3="Maior",IFERROR(IF(VLOOKUP($N365,Capa!$A:$AE,BB$5,0)="",0,VLOOKUP($N365,Capa!$A:$AE,BB$5,0)),0),IF(ISERROR(1/VLOOKUP($N365,Capa!$A:$AE,BB$5,0)),0,1/VLOOKUP($N365,Capa!$A:$AE,BB$5,0))))</f>
        <v/>
      </c>
      <c r="BC365" s="118" t="str">
        <f>IF(BC$6="","",IF(BC$3="Maior",IFERROR(IF(VLOOKUP($N365,Capa!$A:$AE,BC$5,0)="",0,VLOOKUP($N365,Capa!$A:$AE,BC$5,0)),0),IF(ISERROR(1/VLOOKUP($N365,Capa!$A:$AE,BC$5,0)),0,1/VLOOKUP($N365,Capa!$A:$AE,BC$5,0))))</f>
        <v/>
      </c>
      <c r="BD365" s="118" t="str">
        <f>IF(BD$6="","",IF(BD$3="Maior",IFERROR(IF(VLOOKUP($N365,Capa!$A:$AE,BD$5,0)="",0,VLOOKUP($N365,Capa!$A:$AE,BD$5,0)),0),IF(ISERROR(1/VLOOKUP($N365,Capa!$A:$AE,BD$5,0)),0,1/VLOOKUP($N365,Capa!$A:$AE,BD$5,0))))</f>
        <v/>
      </c>
      <c r="BE365" s="118" t="str">
        <f>IF(BE$6="","",IF(BE$3="Maior",IFERROR(IF(VLOOKUP($N365,Capa!$A:$AE,BE$5,0)="",0,VLOOKUP($N365,Capa!$A:$AE,BE$5,0)),0),IF(ISERROR(1/VLOOKUP($N365,Capa!$A:$AE,BE$5,0)),0,1/VLOOKUP($N365,Capa!$A:$AE,BE$5,0))))</f>
        <v/>
      </c>
      <c r="BF365" s="118" t="str">
        <f>IF(BF$6="","",IF(BF$3="Maior",IFERROR(IF(VLOOKUP($N365,Capa!$A:$AE,BF$5,0)="",0,VLOOKUP($N365,Capa!$A:$AE,BF$5,0)),0),IF(ISERROR(1/VLOOKUP($N365,Capa!$A:$AE,BF$5,0)),0,1/VLOOKUP($N365,Capa!$A:$AE,BF$5,0))))</f>
        <v/>
      </c>
      <c r="BG365" s="118" t="str">
        <f>IF(BG$6="","",IF(BG$3="Maior",IFERROR(IF(VLOOKUP($N365,Capa!$A:$AE,BG$5,0)="",0,VLOOKUP($N365,Capa!$A:$AE,BG$5,0)),0),IF(ISERROR(1/VLOOKUP($N365,Capa!$A:$AE,BG$5,0)),0,1/VLOOKUP($N365,Capa!$A:$AE,BG$5,0))))</f>
        <v/>
      </c>
      <c r="BH365" s="118" t="str">
        <f>IF(BH$6="","",IF(BH$3="Maior",IFERROR(IF(VLOOKUP($N365,Capa!$A:$AE,BH$5,0)="",0,VLOOKUP($N365,Capa!$A:$AE,BH$5,0)),0),IF(ISERROR(1/VLOOKUP($N365,Capa!$A:$AE,BH$5,0)),0,1/VLOOKUP($N365,Capa!$A:$AE,BH$5,0))))</f>
        <v/>
      </c>
      <c r="BI365" s="118" t="str">
        <f>IF(BI$6="","",IF(BI$3="Maior",IFERROR(IF(VLOOKUP($N365,Capa!$A:$AE,BI$5,0)="",0,VLOOKUP($N365,Capa!$A:$AE,BI$5,0)),0),IF(ISERROR(1/VLOOKUP($N365,Capa!$A:$AE,BI$5,0)),0,1/VLOOKUP($N365,Capa!$A:$AE,BI$5,0))))</f>
        <v/>
      </c>
      <c r="BJ365" s="118" t="str">
        <f>IF(BJ$6="","",IF(BJ$3="Maior",IFERROR(IF(VLOOKUP($N365,Capa!$A:$AE,BJ$5,0)="",0,VLOOKUP($N365,Capa!$A:$AE,BJ$5,0)),0),IF(ISERROR(1/VLOOKUP($N365,Capa!$A:$AE,BJ$5,0)),0,1/VLOOKUP($N365,Capa!$A:$AE,BJ$5,0))))</f>
        <v/>
      </c>
      <c r="BK365" s="118" t="str">
        <f>IF(BK$6="","",IF(BK$3="Maior",IFERROR(IF(VLOOKUP($N365,Capa!$A:$AE,BK$5,0)="",0,VLOOKUP($N365,Capa!$A:$AE,BK$5,0)),0),IF(ISERROR(1/VLOOKUP($N365,Capa!$A:$AE,BK$5,0)),0,1/VLOOKUP($N365,Capa!$A:$AE,BK$5,0))))</f>
        <v/>
      </c>
      <c r="BL365" s="118" t="str">
        <f>IF(BL$6="","",IF(BL$3="Maior",IFERROR(IF(VLOOKUP($N365,Capa!$A:$AE,BL$5,0)="",0,VLOOKUP($N365,Capa!$A:$AE,BL$5,0)),0),IF(ISERROR(1/VLOOKUP($N365,Capa!$A:$AE,BL$5,0)),0,1/VLOOKUP($N365,Capa!$A:$AE,BL$5,0))))</f>
        <v/>
      </c>
      <c r="BM365" s="118" t="str">
        <f>IF(BM$6="","",IF(BM$3="Maior",IFERROR(IF(VLOOKUP($N365,Capa!$A:$AE,BM$5,0)="",0,VLOOKUP($N365,Capa!$A:$AE,BM$5,0)),0),IF(ISERROR(1/VLOOKUP($N365,Capa!$A:$AE,BM$5,0)),0,1/VLOOKUP($N365,Capa!$A:$AE,BM$5,0))))</f>
        <v/>
      </c>
      <c r="BN365" s="118" t="str">
        <f>IF(BN$6="","",IF(BN$3="Maior",IFERROR(IF(VLOOKUP($N365,Capa!$A:$AE,BN$5,0)="",0,VLOOKUP($N365,Capa!$A:$AE,BN$5,0)),0),IF(ISERROR(1/VLOOKUP($N365,Capa!$A:$AE,BN$5,0)),0,1/VLOOKUP($N365,Capa!$A:$AE,BN$5,0))))</f>
        <v/>
      </c>
      <c r="BO365" s="92"/>
    </row>
    <row r="366">
      <c r="G366" s="11"/>
      <c r="H366" s="11"/>
      <c r="I366" s="8"/>
      <c r="J366" s="132"/>
      <c r="K366" s="11"/>
      <c r="L366" s="11"/>
      <c r="M366" s="11"/>
      <c r="N366" s="10" t="s">
        <v>412</v>
      </c>
      <c r="O366" s="113">
        <f t="shared" si="8"/>
        <v>1605.0335</v>
      </c>
      <c r="P366" s="114">
        <f>VLOOKUP(N366,'Dados StatusInvest'!A:Z,26,0)</f>
        <v>9621</v>
      </c>
      <c r="Q366" s="115">
        <f t="shared" si="9"/>
        <v>335.0335</v>
      </c>
      <c r="R366" s="116">
        <f t="shared" ref="R366:AO366" si="369">IF(AQ366="","", RANK(AQ366,AQ$7:AQ$503,0))</f>
        <v>83</v>
      </c>
      <c r="S366" s="115">
        <f t="shared" si="369"/>
        <v>187</v>
      </c>
      <c r="T366" s="115" t="str">
        <f t="shared" si="369"/>
        <v/>
      </c>
      <c r="U366" s="115" t="str">
        <f t="shared" si="369"/>
        <v/>
      </c>
      <c r="V366" s="115" t="str">
        <f t="shared" si="369"/>
        <v/>
      </c>
      <c r="W366" s="115" t="str">
        <f t="shared" si="369"/>
        <v/>
      </c>
      <c r="X366" s="115" t="str">
        <f t="shared" si="369"/>
        <v/>
      </c>
      <c r="Y366" s="115" t="str">
        <f t="shared" si="369"/>
        <v/>
      </c>
      <c r="Z366" s="115" t="str">
        <f t="shared" si="369"/>
        <v/>
      </c>
      <c r="AA366" s="115" t="str">
        <f t="shared" si="369"/>
        <v/>
      </c>
      <c r="AB366" s="115" t="str">
        <f t="shared" si="369"/>
        <v/>
      </c>
      <c r="AC366" s="115" t="str">
        <f t="shared" si="369"/>
        <v/>
      </c>
      <c r="AD366" s="115" t="str">
        <f t="shared" si="369"/>
        <v/>
      </c>
      <c r="AE366" s="115" t="str">
        <f t="shared" si="369"/>
        <v/>
      </c>
      <c r="AF366" s="115" t="str">
        <f t="shared" si="369"/>
        <v/>
      </c>
      <c r="AG366" s="115" t="str">
        <f t="shared" si="369"/>
        <v/>
      </c>
      <c r="AH366" s="115" t="str">
        <f t="shared" si="369"/>
        <v/>
      </c>
      <c r="AI366" s="115" t="str">
        <f t="shared" si="369"/>
        <v/>
      </c>
      <c r="AJ366" s="115" t="str">
        <f t="shared" si="369"/>
        <v/>
      </c>
      <c r="AK366" s="115" t="str">
        <f t="shared" si="369"/>
        <v/>
      </c>
      <c r="AL366" s="115" t="str">
        <f t="shared" si="369"/>
        <v/>
      </c>
      <c r="AM366" s="115" t="str">
        <f t="shared" si="369"/>
        <v/>
      </c>
      <c r="AN366" s="115" t="str">
        <f t="shared" si="369"/>
        <v/>
      </c>
      <c r="AO366" s="115" t="str">
        <f t="shared" si="369"/>
        <v/>
      </c>
      <c r="AP366" s="117">
        <f>IF(AP$6="","",IF(AP$3="Maior",IFERROR(IF(VLOOKUP($N366,Capa!$A:$AE,AP$5,0)="",0,VLOOKUP($N366,Capa!$A:$AE,AP$5,0)),0),IF(ISERROR(1/VLOOKUP($N366,Capa!$A:$AE,AP$5,0)),0,1/VLOOKUP($N366,Capa!$A:$AE,AP$5,0))))</f>
        <v>0.03875968992</v>
      </c>
      <c r="AQ366" s="118">
        <f>IF(AQ$6="","",IF(AQ$3="Maior",IFERROR(IF(VLOOKUP($N366,Capa!$A:$AE,AQ$5,0)="",0,VLOOKUP($N366,Capa!$A:$AE,AQ$5,0)),0),IF(ISERROR(1/VLOOKUP($N366,Capa!$A:$AE,AQ$5,0)),0,1/VLOOKUP($N366,Capa!$A:$AE,AQ$5,0))))</f>
        <v>19.7</v>
      </c>
      <c r="AR366" s="118">
        <f>IF(AR$6="","",IF(AR$3="Maior",IFERROR(IF(VLOOKUP($N366,Capa!$A:$AE,AR$5,0)="",0,VLOOKUP($N366,Capa!$A:$AE,AR$5,0)),0),IF(ISERROR(1/VLOOKUP($N366,Capa!$A:$AE,AR$5,0)),0,1/VLOOKUP($N366,Capa!$A:$AE,AR$5,0))))</f>
        <v>5.68</v>
      </c>
      <c r="AS366" s="118" t="str">
        <f>IF(AS$6="","",IF(AS$3="Maior",IFERROR(IF(VLOOKUP($N366,Capa!$A:$AE,AS$5,0)="",0,VLOOKUP($N366,Capa!$A:$AE,AS$5,0)),0),IF(ISERROR(1/VLOOKUP($N366,Capa!$A:$AE,AS$5,0)),0,1/VLOOKUP($N366,Capa!$A:$AE,AS$5,0))))</f>
        <v/>
      </c>
      <c r="AT366" s="118" t="str">
        <f>IF(AT$6="","",IF(AT$3="Maior",IFERROR(IF(VLOOKUP($N366,Capa!$A:$AE,AT$5,0)="",0,VLOOKUP($N366,Capa!$A:$AE,AT$5,0)),0),IF(ISERROR(1/VLOOKUP($N366,Capa!$A:$AE,AT$5,0)),0,1/VLOOKUP($N366,Capa!$A:$AE,AT$5,0))))</f>
        <v/>
      </c>
      <c r="AU366" s="118" t="str">
        <f>IF(AU$6="","",IF(AU$3="Maior",IFERROR(IF(VLOOKUP($N366,Capa!$A:$AE,AU$5,0)="",0,VLOOKUP($N366,Capa!$A:$AE,AU$5,0)),0),IF(ISERROR(1/VLOOKUP($N366,Capa!$A:$AE,AU$5,0)),0,1/VLOOKUP($N366,Capa!$A:$AE,AU$5,0))))</f>
        <v/>
      </c>
      <c r="AV366" s="118" t="str">
        <f>IF(AV$6="","",IF(AV$3="Maior",IFERROR(IF(VLOOKUP($N366,Capa!$A:$AE,AV$5,0)="",0,VLOOKUP($N366,Capa!$A:$AE,AV$5,0)),0),IF(ISERROR(1/VLOOKUP($N366,Capa!$A:$AE,AV$5,0)),0,1/VLOOKUP($N366,Capa!$A:$AE,AV$5,0))))</f>
        <v/>
      </c>
      <c r="AW366" s="118" t="str">
        <f>IF(AW$6="","",IF(AW$3="Maior",IFERROR(IF(VLOOKUP($N366,Capa!$A:$AE,AW$5,0)="",0,VLOOKUP($N366,Capa!$A:$AE,AW$5,0)),0),IF(ISERROR(1/VLOOKUP($N366,Capa!$A:$AE,AW$5,0)),0,1/VLOOKUP($N366,Capa!$A:$AE,AW$5,0))))</f>
        <v/>
      </c>
      <c r="AX366" s="118" t="str">
        <f>IF(AX$6="","",IF(AX$3="Maior",IFERROR(IF(VLOOKUP($N366,Capa!$A:$AE,AX$5,0)="",0,VLOOKUP($N366,Capa!$A:$AE,AX$5,0)),0),IF(ISERROR(1/VLOOKUP($N366,Capa!$A:$AE,AX$5,0)),0,1/VLOOKUP($N366,Capa!$A:$AE,AX$5,0))))</f>
        <v/>
      </c>
      <c r="AY366" s="118" t="str">
        <f>IF(AY$6="","",IF(AY$3="Maior",IFERROR(IF(VLOOKUP($N366,Capa!$A:$AE,AY$5,0)="",0,VLOOKUP($N366,Capa!$A:$AE,AY$5,0)),0),IF(ISERROR(1/VLOOKUP($N366,Capa!$A:$AE,AY$5,0)),0,1/VLOOKUP($N366,Capa!$A:$AE,AY$5,0))))</f>
        <v/>
      </c>
      <c r="AZ366" s="118" t="str">
        <f>IF(AZ$6="","",IF(AZ$3="Maior",IFERROR(IF(VLOOKUP($N366,Capa!$A:$AE,AZ$5,0)="",0,VLOOKUP($N366,Capa!$A:$AE,AZ$5,0)),0),IF(ISERROR(1/VLOOKUP($N366,Capa!$A:$AE,AZ$5,0)),0,1/VLOOKUP($N366,Capa!$A:$AE,AZ$5,0))))</f>
        <v/>
      </c>
      <c r="BA366" s="118" t="str">
        <f>IF(BA$6="","",IF(BA$3="Maior",IFERROR(IF(VLOOKUP($N366,Capa!$A:$AE,BA$5,0)="",0,VLOOKUP($N366,Capa!$A:$AE,BA$5,0)),0),IF(ISERROR(1/VLOOKUP($N366,Capa!$A:$AE,BA$5,0)),0,1/VLOOKUP($N366,Capa!$A:$AE,BA$5,0))))</f>
        <v/>
      </c>
      <c r="BB366" s="118" t="str">
        <f>IF(BB$6="","",IF(BB$3="Maior",IFERROR(IF(VLOOKUP($N366,Capa!$A:$AE,BB$5,0)="",0,VLOOKUP($N366,Capa!$A:$AE,BB$5,0)),0),IF(ISERROR(1/VLOOKUP($N366,Capa!$A:$AE,BB$5,0)),0,1/VLOOKUP($N366,Capa!$A:$AE,BB$5,0))))</f>
        <v/>
      </c>
      <c r="BC366" s="118" t="str">
        <f>IF(BC$6="","",IF(BC$3="Maior",IFERROR(IF(VLOOKUP($N366,Capa!$A:$AE,BC$5,0)="",0,VLOOKUP($N366,Capa!$A:$AE,BC$5,0)),0),IF(ISERROR(1/VLOOKUP($N366,Capa!$A:$AE,BC$5,0)),0,1/VLOOKUP($N366,Capa!$A:$AE,BC$5,0))))</f>
        <v/>
      </c>
      <c r="BD366" s="118" t="str">
        <f>IF(BD$6="","",IF(BD$3="Maior",IFERROR(IF(VLOOKUP($N366,Capa!$A:$AE,BD$5,0)="",0,VLOOKUP($N366,Capa!$A:$AE,BD$5,0)),0),IF(ISERROR(1/VLOOKUP($N366,Capa!$A:$AE,BD$5,0)),0,1/VLOOKUP($N366,Capa!$A:$AE,BD$5,0))))</f>
        <v/>
      </c>
      <c r="BE366" s="118" t="str">
        <f>IF(BE$6="","",IF(BE$3="Maior",IFERROR(IF(VLOOKUP($N366,Capa!$A:$AE,BE$5,0)="",0,VLOOKUP($N366,Capa!$A:$AE,BE$5,0)),0),IF(ISERROR(1/VLOOKUP($N366,Capa!$A:$AE,BE$5,0)),0,1/VLOOKUP($N366,Capa!$A:$AE,BE$5,0))))</f>
        <v/>
      </c>
      <c r="BF366" s="118" t="str">
        <f>IF(BF$6="","",IF(BF$3="Maior",IFERROR(IF(VLOOKUP($N366,Capa!$A:$AE,BF$5,0)="",0,VLOOKUP($N366,Capa!$A:$AE,BF$5,0)),0),IF(ISERROR(1/VLOOKUP($N366,Capa!$A:$AE,BF$5,0)),0,1/VLOOKUP($N366,Capa!$A:$AE,BF$5,0))))</f>
        <v/>
      </c>
      <c r="BG366" s="118" t="str">
        <f>IF(BG$6="","",IF(BG$3="Maior",IFERROR(IF(VLOOKUP($N366,Capa!$A:$AE,BG$5,0)="",0,VLOOKUP($N366,Capa!$A:$AE,BG$5,0)),0),IF(ISERROR(1/VLOOKUP($N366,Capa!$A:$AE,BG$5,0)),0,1/VLOOKUP($N366,Capa!$A:$AE,BG$5,0))))</f>
        <v/>
      </c>
      <c r="BH366" s="118" t="str">
        <f>IF(BH$6="","",IF(BH$3="Maior",IFERROR(IF(VLOOKUP($N366,Capa!$A:$AE,BH$5,0)="",0,VLOOKUP($N366,Capa!$A:$AE,BH$5,0)),0),IF(ISERROR(1/VLOOKUP($N366,Capa!$A:$AE,BH$5,0)),0,1/VLOOKUP($N366,Capa!$A:$AE,BH$5,0))))</f>
        <v/>
      </c>
      <c r="BI366" s="118" t="str">
        <f>IF(BI$6="","",IF(BI$3="Maior",IFERROR(IF(VLOOKUP($N366,Capa!$A:$AE,BI$5,0)="",0,VLOOKUP($N366,Capa!$A:$AE,BI$5,0)),0),IF(ISERROR(1/VLOOKUP($N366,Capa!$A:$AE,BI$5,0)),0,1/VLOOKUP($N366,Capa!$A:$AE,BI$5,0))))</f>
        <v/>
      </c>
      <c r="BJ366" s="118" t="str">
        <f>IF(BJ$6="","",IF(BJ$3="Maior",IFERROR(IF(VLOOKUP($N366,Capa!$A:$AE,BJ$5,0)="",0,VLOOKUP($N366,Capa!$A:$AE,BJ$5,0)),0),IF(ISERROR(1/VLOOKUP($N366,Capa!$A:$AE,BJ$5,0)),0,1/VLOOKUP($N366,Capa!$A:$AE,BJ$5,0))))</f>
        <v/>
      </c>
      <c r="BK366" s="118" t="str">
        <f>IF(BK$6="","",IF(BK$3="Maior",IFERROR(IF(VLOOKUP($N366,Capa!$A:$AE,BK$5,0)="",0,VLOOKUP($N366,Capa!$A:$AE,BK$5,0)),0),IF(ISERROR(1/VLOOKUP($N366,Capa!$A:$AE,BK$5,0)),0,1/VLOOKUP($N366,Capa!$A:$AE,BK$5,0))))</f>
        <v/>
      </c>
      <c r="BL366" s="118" t="str">
        <f>IF(BL$6="","",IF(BL$3="Maior",IFERROR(IF(VLOOKUP($N366,Capa!$A:$AE,BL$5,0)="",0,VLOOKUP($N366,Capa!$A:$AE,BL$5,0)),0),IF(ISERROR(1/VLOOKUP($N366,Capa!$A:$AE,BL$5,0)),0,1/VLOOKUP($N366,Capa!$A:$AE,BL$5,0))))</f>
        <v/>
      </c>
      <c r="BM366" s="118" t="str">
        <f>IF(BM$6="","",IF(BM$3="Maior",IFERROR(IF(VLOOKUP($N366,Capa!$A:$AE,BM$5,0)="",0,VLOOKUP($N366,Capa!$A:$AE,BM$5,0)),0),IF(ISERROR(1/VLOOKUP($N366,Capa!$A:$AE,BM$5,0)),0,1/VLOOKUP($N366,Capa!$A:$AE,BM$5,0))))</f>
        <v/>
      </c>
      <c r="BN366" s="118" t="str">
        <f>IF(BN$6="","",IF(BN$3="Maior",IFERROR(IF(VLOOKUP($N366,Capa!$A:$AE,BN$5,0)="",0,VLOOKUP($N366,Capa!$A:$AE,BN$5,0)),0),IF(ISERROR(1/VLOOKUP($N366,Capa!$A:$AE,BN$5,0)),0,1/VLOOKUP($N366,Capa!$A:$AE,BN$5,0))))</f>
        <v/>
      </c>
      <c r="BO366" s="92"/>
    </row>
    <row r="367">
      <c r="G367" s="11"/>
      <c r="H367" s="11"/>
      <c r="I367" s="8"/>
      <c r="J367" s="132"/>
      <c r="K367" s="11"/>
      <c r="L367" s="11"/>
      <c r="M367" s="11"/>
      <c r="N367" s="10" t="s">
        <v>413</v>
      </c>
      <c r="O367" s="113">
        <f t="shared" si="8"/>
        <v>1510.0195</v>
      </c>
      <c r="P367" s="114">
        <f>VLOOKUP(N367,'Dados StatusInvest'!A:Z,26,0)</f>
        <v>45287.92</v>
      </c>
      <c r="Q367" s="115">
        <f t="shared" si="9"/>
        <v>195.0195</v>
      </c>
      <c r="R367" s="116">
        <f t="shared" ref="R367:AO367" si="370">IF(AQ367="","", RANK(AQ367,AQ$7:AQ$503,0))</f>
        <v>145</v>
      </c>
      <c r="S367" s="115">
        <f t="shared" si="370"/>
        <v>170</v>
      </c>
      <c r="T367" s="115" t="str">
        <f t="shared" si="370"/>
        <v/>
      </c>
      <c r="U367" s="115" t="str">
        <f t="shared" si="370"/>
        <v/>
      </c>
      <c r="V367" s="115" t="str">
        <f t="shared" si="370"/>
        <v/>
      </c>
      <c r="W367" s="115" t="str">
        <f t="shared" si="370"/>
        <v/>
      </c>
      <c r="X367" s="115" t="str">
        <f t="shared" si="370"/>
        <v/>
      </c>
      <c r="Y367" s="115" t="str">
        <f t="shared" si="370"/>
        <v/>
      </c>
      <c r="Z367" s="115" t="str">
        <f t="shared" si="370"/>
        <v/>
      </c>
      <c r="AA367" s="115" t="str">
        <f t="shared" si="370"/>
        <v/>
      </c>
      <c r="AB367" s="115" t="str">
        <f t="shared" si="370"/>
        <v/>
      </c>
      <c r="AC367" s="115" t="str">
        <f t="shared" si="370"/>
        <v/>
      </c>
      <c r="AD367" s="115" t="str">
        <f t="shared" si="370"/>
        <v/>
      </c>
      <c r="AE367" s="115" t="str">
        <f t="shared" si="370"/>
        <v/>
      </c>
      <c r="AF367" s="115" t="str">
        <f t="shared" si="370"/>
        <v/>
      </c>
      <c r="AG367" s="115" t="str">
        <f t="shared" si="370"/>
        <v/>
      </c>
      <c r="AH367" s="115" t="str">
        <f t="shared" si="370"/>
        <v/>
      </c>
      <c r="AI367" s="115" t="str">
        <f t="shared" si="370"/>
        <v/>
      </c>
      <c r="AJ367" s="115" t="str">
        <f t="shared" si="370"/>
        <v/>
      </c>
      <c r="AK367" s="115" t="str">
        <f t="shared" si="370"/>
        <v/>
      </c>
      <c r="AL367" s="115" t="str">
        <f t="shared" si="370"/>
        <v/>
      </c>
      <c r="AM367" s="115" t="str">
        <f t="shared" si="370"/>
        <v/>
      </c>
      <c r="AN367" s="115" t="str">
        <f t="shared" si="370"/>
        <v/>
      </c>
      <c r="AO367" s="115" t="str">
        <f t="shared" si="370"/>
        <v/>
      </c>
      <c r="AP367" s="117">
        <f>IF(AP$6="","",IF(AP$3="Maior",IFERROR(IF(VLOOKUP($N367,Capa!$A:$AE,AP$5,0)="",0,VLOOKUP($N367,Capa!$A:$AE,AP$5,0)),0),IF(ISERROR(1/VLOOKUP($N367,Capa!$A:$AE,AP$5,0)),0,1/VLOOKUP($N367,Capa!$A:$AE,AP$5,0))))</f>
        <v>0.1084598698</v>
      </c>
      <c r="AQ367" s="118">
        <f>IF(AQ$6="","",IF(AQ$3="Maior",IFERROR(IF(VLOOKUP($N367,Capa!$A:$AE,AQ$5,0)="",0,VLOOKUP($N367,Capa!$A:$AE,AQ$5,0)),0),IF(ISERROR(1/VLOOKUP($N367,Capa!$A:$AE,AQ$5,0)),0,1/VLOOKUP($N367,Capa!$A:$AE,AQ$5,0))))</f>
        <v>14.32</v>
      </c>
      <c r="AR367" s="118">
        <f>IF(AR$6="","",IF(AR$3="Maior",IFERROR(IF(VLOOKUP($N367,Capa!$A:$AE,AR$5,0)="",0,VLOOKUP($N367,Capa!$A:$AE,AR$5,0)),0),IF(ISERROR(1/VLOOKUP($N367,Capa!$A:$AE,AR$5,0)),0,1/VLOOKUP($N367,Capa!$A:$AE,AR$5,0))))</f>
        <v>10.16</v>
      </c>
      <c r="AS367" s="118" t="str">
        <f>IF(AS$6="","",IF(AS$3="Maior",IFERROR(IF(VLOOKUP($N367,Capa!$A:$AE,AS$5,0)="",0,VLOOKUP($N367,Capa!$A:$AE,AS$5,0)),0),IF(ISERROR(1/VLOOKUP($N367,Capa!$A:$AE,AS$5,0)),0,1/VLOOKUP($N367,Capa!$A:$AE,AS$5,0))))</f>
        <v/>
      </c>
      <c r="AT367" s="118" t="str">
        <f>IF(AT$6="","",IF(AT$3="Maior",IFERROR(IF(VLOOKUP($N367,Capa!$A:$AE,AT$5,0)="",0,VLOOKUP($N367,Capa!$A:$AE,AT$5,0)),0),IF(ISERROR(1/VLOOKUP($N367,Capa!$A:$AE,AT$5,0)),0,1/VLOOKUP($N367,Capa!$A:$AE,AT$5,0))))</f>
        <v/>
      </c>
      <c r="AU367" s="118" t="str">
        <f>IF(AU$6="","",IF(AU$3="Maior",IFERROR(IF(VLOOKUP($N367,Capa!$A:$AE,AU$5,0)="",0,VLOOKUP($N367,Capa!$A:$AE,AU$5,0)),0),IF(ISERROR(1/VLOOKUP($N367,Capa!$A:$AE,AU$5,0)),0,1/VLOOKUP($N367,Capa!$A:$AE,AU$5,0))))</f>
        <v/>
      </c>
      <c r="AV367" s="118" t="str">
        <f>IF(AV$6="","",IF(AV$3="Maior",IFERROR(IF(VLOOKUP($N367,Capa!$A:$AE,AV$5,0)="",0,VLOOKUP($N367,Capa!$A:$AE,AV$5,0)),0),IF(ISERROR(1/VLOOKUP($N367,Capa!$A:$AE,AV$5,0)),0,1/VLOOKUP($N367,Capa!$A:$AE,AV$5,0))))</f>
        <v/>
      </c>
      <c r="AW367" s="118" t="str">
        <f>IF(AW$6="","",IF(AW$3="Maior",IFERROR(IF(VLOOKUP($N367,Capa!$A:$AE,AW$5,0)="",0,VLOOKUP($N367,Capa!$A:$AE,AW$5,0)),0),IF(ISERROR(1/VLOOKUP($N367,Capa!$A:$AE,AW$5,0)),0,1/VLOOKUP($N367,Capa!$A:$AE,AW$5,0))))</f>
        <v/>
      </c>
      <c r="AX367" s="118" t="str">
        <f>IF(AX$6="","",IF(AX$3="Maior",IFERROR(IF(VLOOKUP($N367,Capa!$A:$AE,AX$5,0)="",0,VLOOKUP($N367,Capa!$A:$AE,AX$5,0)),0),IF(ISERROR(1/VLOOKUP($N367,Capa!$A:$AE,AX$5,0)),0,1/VLOOKUP($N367,Capa!$A:$AE,AX$5,0))))</f>
        <v/>
      </c>
      <c r="AY367" s="118" t="str">
        <f>IF(AY$6="","",IF(AY$3="Maior",IFERROR(IF(VLOOKUP($N367,Capa!$A:$AE,AY$5,0)="",0,VLOOKUP($N367,Capa!$A:$AE,AY$5,0)),0),IF(ISERROR(1/VLOOKUP($N367,Capa!$A:$AE,AY$5,0)),0,1/VLOOKUP($N367,Capa!$A:$AE,AY$5,0))))</f>
        <v/>
      </c>
      <c r="AZ367" s="118" t="str">
        <f>IF(AZ$6="","",IF(AZ$3="Maior",IFERROR(IF(VLOOKUP($N367,Capa!$A:$AE,AZ$5,0)="",0,VLOOKUP($N367,Capa!$A:$AE,AZ$5,0)),0),IF(ISERROR(1/VLOOKUP($N367,Capa!$A:$AE,AZ$5,0)),0,1/VLOOKUP($N367,Capa!$A:$AE,AZ$5,0))))</f>
        <v/>
      </c>
      <c r="BA367" s="118" t="str">
        <f>IF(BA$6="","",IF(BA$3="Maior",IFERROR(IF(VLOOKUP($N367,Capa!$A:$AE,BA$5,0)="",0,VLOOKUP($N367,Capa!$A:$AE,BA$5,0)),0),IF(ISERROR(1/VLOOKUP($N367,Capa!$A:$AE,BA$5,0)),0,1/VLOOKUP($N367,Capa!$A:$AE,BA$5,0))))</f>
        <v/>
      </c>
      <c r="BB367" s="118" t="str">
        <f>IF(BB$6="","",IF(BB$3="Maior",IFERROR(IF(VLOOKUP($N367,Capa!$A:$AE,BB$5,0)="",0,VLOOKUP($N367,Capa!$A:$AE,BB$5,0)),0),IF(ISERROR(1/VLOOKUP($N367,Capa!$A:$AE,BB$5,0)),0,1/VLOOKUP($N367,Capa!$A:$AE,BB$5,0))))</f>
        <v/>
      </c>
      <c r="BC367" s="118" t="str">
        <f>IF(BC$6="","",IF(BC$3="Maior",IFERROR(IF(VLOOKUP($N367,Capa!$A:$AE,BC$5,0)="",0,VLOOKUP($N367,Capa!$A:$AE,BC$5,0)),0),IF(ISERROR(1/VLOOKUP($N367,Capa!$A:$AE,BC$5,0)),0,1/VLOOKUP($N367,Capa!$A:$AE,BC$5,0))))</f>
        <v/>
      </c>
      <c r="BD367" s="118" t="str">
        <f>IF(BD$6="","",IF(BD$3="Maior",IFERROR(IF(VLOOKUP($N367,Capa!$A:$AE,BD$5,0)="",0,VLOOKUP($N367,Capa!$A:$AE,BD$5,0)),0),IF(ISERROR(1/VLOOKUP($N367,Capa!$A:$AE,BD$5,0)),0,1/VLOOKUP($N367,Capa!$A:$AE,BD$5,0))))</f>
        <v/>
      </c>
      <c r="BE367" s="118" t="str">
        <f>IF(BE$6="","",IF(BE$3="Maior",IFERROR(IF(VLOOKUP($N367,Capa!$A:$AE,BE$5,0)="",0,VLOOKUP($N367,Capa!$A:$AE,BE$5,0)),0),IF(ISERROR(1/VLOOKUP($N367,Capa!$A:$AE,BE$5,0)),0,1/VLOOKUP($N367,Capa!$A:$AE,BE$5,0))))</f>
        <v/>
      </c>
      <c r="BF367" s="118" t="str">
        <f>IF(BF$6="","",IF(BF$3="Maior",IFERROR(IF(VLOOKUP($N367,Capa!$A:$AE,BF$5,0)="",0,VLOOKUP($N367,Capa!$A:$AE,BF$5,0)),0),IF(ISERROR(1/VLOOKUP($N367,Capa!$A:$AE,BF$5,0)),0,1/VLOOKUP($N367,Capa!$A:$AE,BF$5,0))))</f>
        <v/>
      </c>
      <c r="BG367" s="118" t="str">
        <f>IF(BG$6="","",IF(BG$3="Maior",IFERROR(IF(VLOOKUP($N367,Capa!$A:$AE,BG$5,0)="",0,VLOOKUP($N367,Capa!$A:$AE,BG$5,0)),0),IF(ISERROR(1/VLOOKUP($N367,Capa!$A:$AE,BG$5,0)),0,1/VLOOKUP($N367,Capa!$A:$AE,BG$5,0))))</f>
        <v/>
      </c>
      <c r="BH367" s="118" t="str">
        <f>IF(BH$6="","",IF(BH$3="Maior",IFERROR(IF(VLOOKUP($N367,Capa!$A:$AE,BH$5,0)="",0,VLOOKUP($N367,Capa!$A:$AE,BH$5,0)),0),IF(ISERROR(1/VLOOKUP($N367,Capa!$A:$AE,BH$5,0)),0,1/VLOOKUP($N367,Capa!$A:$AE,BH$5,0))))</f>
        <v/>
      </c>
      <c r="BI367" s="118" t="str">
        <f>IF(BI$6="","",IF(BI$3="Maior",IFERROR(IF(VLOOKUP($N367,Capa!$A:$AE,BI$5,0)="",0,VLOOKUP($N367,Capa!$A:$AE,BI$5,0)),0),IF(ISERROR(1/VLOOKUP($N367,Capa!$A:$AE,BI$5,0)),0,1/VLOOKUP($N367,Capa!$A:$AE,BI$5,0))))</f>
        <v/>
      </c>
      <c r="BJ367" s="118" t="str">
        <f>IF(BJ$6="","",IF(BJ$3="Maior",IFERROR(IF(VLOOKUP($N367,Capa!$A:$AE,BJ$5,0)="",0,VLOOKUP($N367,Capa!$A:$AE,BJ$5,0)),0),IF(ISERROR(1/VLOOKUP($N367,Capa!$A:$AE,BJ$5,0)),0,1/VLOOKUP($N367,Capa!$A:$AE,BJ$5,0))))</f>
        <v/>
      </c>
      <c r="BK367" s="118" t="str">
        <f>IF(BK$6="","",IF(BK$3="Maior",IFERROR(IF(VLOOKUP($N367,Capa!$A:$AE,BK$5,0)="",0,VLOOKUP($N367,Capa!$A:$AE,BK$5,0)),0),IF(ISERROR(1/VLOOKUP($N367,Capa!$A:$AE,BK$5,0)),0,1/VLOOKUP($N367,Capa!$A:$AE,BK$5,0))))</f>
        <v/>
      </c>
      <c r="BL367" s="118" t="str">
        <f>IF(BL$6="","",IF(BL$3="Maior",IFERROR(IF(VLOOKUP($N367,Capa!$A:$AE,BL$5,0)="",0,VLOOKUP($N367,Capa!$A:$AE,BL$5,0)),0),IF(ISERROR(1/VLOOKUP($N367,Capa!$A:$AE,BL$5,0)),0,1/VLOOKUP($N367,Capa!$A:$AE,BL$5,0))))</f>
        <v/>
      </c>
      <c r="BM367" s="118" t="str">
        <f>IF(BM$6="","",IF(BM$3="Maior",IFERROR(IF(VLOOKUP($N367,Capa!$A:$AE,BM$5,0)="",0,VLOOKUP($N367,Capa!$A:$AE,BM$5,0)),0),IF(ISERROR(1/VLOOKUP($N367,Capa!$A:$AE,BM$5,0)),0,1/VLOOKUP($N367,Capa!$A:$AE,BM$5,0))))</f>
        <v/>
      </c>
      <c r="BN367" s="118" t="str">
        <f>IF(BN$6="","",IF(BN$3="Maior",IFERROR(IF(VLOOKUP($N367,Capa!$A:$AE,BN$5,0)="",0,VLOOKUP($N367,Capa!$A:$AE,BN$5,0)),0),IF(ISERROR(1/VLOOKUP($N367,Capa!$A:$AE,BN$5,0)),0,1/VLOOKUP($N367,Capa!$A:$AE,BN$5,0))))</f>
        <v/>
      </c>
      <c r="BO367" s="92"/>
    </row>
    <row r="368">
      <c r="G368" s="11"/>
      <c r="H368" s="11"/>
      <c r="I368" s="8"/>
      <c r="J368" s="132"/>
      <c r="K368" s="11"/>
      <c r="L368" s="11"/>
      <c r="M368" s="11"/>
      <c r="N368" s="10" t="s">
        <v>414</v>
      </c>
      <c r="O368" s="113">
        <f t="shared" si="8"/>
        <v>1535.0035</v>
      </c>
      <c r="P368" s="114">
        <f>VLOOKUP(N368,'Dados StatusInvest'!A:Z,26,0)</f>
        <v>75798.88</v>
      </c>
      <c r="Q368" s="115">
        <f t="shared" si="9"/>
        <v>35.0035</v>
      </c>
      <c r="R368" s="116">
        <f t="shared" ref="R368:AO368" si="371">IF(AQ368="","", RANK(AQ368,AQ$7:AQ$503,0))</f>
        <v>26</v>
      </c>
      <c r="S368" s="115">
        <f t="shared" si="371"/>
        <v>474</v>
      </c>
      <c r="T368" s="115" t="str">
        <f t="shared" si="371"/>
        <v/>
      </c>
      <c r="U368" s="115" t="str">
        <f t="shared" si="371"/>
        <v/>
      </c>
      <c r="V368" s="115" t="str">
        <f t="shared" si="371"/>
        <v/>
      </c>
      <c r="W368" s="115" t="str">
        <f t="shared" si="371"/>
        <v/>
      </c>
      <c r="X368" s="115" t="str">
        <f t="shared" si="371"/>
        <v/>
      </c>
      <c r="Y368" s="115" t="str">
        <f t="shared" si="371"/>
        <v/>
      </c>
      <c r="Z368" s="115" t="str">
        <f t="shared" si="371"/>
        <v/>
      </c>
      <c r="AA368" s="115" t="str">
        <f t="shared" si="371"/>
        <v/>
      </c>
      <c r="AB368" s="115" t="str">
        <f t="shared" si="371"/>
        <v/>
      </c>
      <c r="AC368" s="115" t="str">
        <f t="shared" si="371"/>
        <v/>
      </c>
      <c r="AD368" s="115" t="str">
        <f t="shared" si="371"/>
        <v/>
      </c>
      <c r="AE368" s="115" t="str">
        <f t="shared" si="371"/>
        <v/>
      </c>
      <c r="AF368" s="115" t="str">
        <f t="shared" si="371"/>
        <v/>
      </c>
      <c r="AG368" s="115" t="str">
        <f t="shared" si="371"/>
        <v/>
      </c>
      <c r="AH368" s="115" t="str">
        <f t="shared" si="371"/>
        <v/>
      </c>
      <c r="AI368" s="115" t="str">
        <f t="shared" si="371"/>
        <v/>
      </c>
      <c r="AJ368" s="115" t="str">
        <f t="shared" si="371"/>
        <v/>
      </c>
      <c r="AK368" s="115" t="str">
        <f t="shared" si="371"/>
        <v/>
      </c>
      <c r="AL368" s="115" t="str">
        <f t="shared" si="371"/>
        <v/>
      </c>
      <c r="AM368" s="115" t="str">
        <f t="shared" si="371"/>
        <v/>
      </c>
      <c r="AN368" s="115" t="str">
        <f t="shared" si="371"/>
        <v/>
      </c>
      <c r="AO368" s="115" t="str">
        <f t="shared" si="371"/>
        <v/>
      </c>
      <c r="AP368" s="117">
        <f>IF(AP$6="","",IF(AP$3="Maior",IFERROR(IF(VLOOKUP($N368,Capa!$A:$AE,AP$5,0)="",0,VLOOKUP($N368,Capa!$A:$AE,AP$5,0)),0),IF(ISERROR(1/VLOOKUP($N368,Capa!$A:$AE,AP$5,0)),0,1/VLOOKUP($N368,Capa!$A:$AE,AP$5,0))))</f>
        <v>0.2972050082</v>
      </c>
      <c r="AQ368" s="118">
        <f>IF(AQ$6="","",IF(AQ$3="Maior",IFERROR(IF(VLOOKUP($N368,Capa!$A:$AE,AQ$5,0)="",0,VLOOKUP($N368,Capa!$A:$AE,AQ$5,0)),0),IF(ISERROR(1/VLOOKUP($N368,Capa!$A:$AE,AQ$5,0)),0,1/VLOOKUP($N368,Capa!$A:$AE,AQ$5,0))))</f>
        <v>52.01</v>
      </c>
      <c r="AR368" s="118">
        <f>IF(AR$6="","",IF(AR$3="Maior",IFERROR(IF(VLOOKUP($N368,Capa!$A:$AE,AR$5,0)="",0,VLOOKUP($N368,Capa!$A:$AE,AR$5,0)),0),IF(ISERROR(1/VLOOKUP($N368,Capa!$A:$AE,AR$5,0)),0,1/VLOOKUP($N368,Capa!$A:$AE,AR$5,0))))</f>
        <v>-9.14</v>
      </c>
      <c r="AS368" s="118" t="str">
        <f>IF(AS$6="","",IF(AS$3="Maior",IFERROR(IF(VLOOKUP($N368,Capa!$A:$AE,AS$5,0)="",0,VLOOKUP($N368,Capa!$A:$AE,AS$5,0)),0),IF(ISERROR(1/VLOOKUP($N368,Capa!$A:$AE,AS$5,0)),0,1/VLOOKUP($N368,Capa!$A:$AE,AS$5,0))))</f>
        <v/>
      </c>
      <c r="AT368" s="118" t="str">
        <f>IF(AT$6="","",IF(AT$3="Maior",IFERROR(IF(VLOOKUP($N368,Capa!$A:$AE,AT$5,0)="",0,VLOOKUP($N368,Capa!$A:$AE,AT$5,0)),0),IF(ISERROR(1/VLOOKUP($N368,Capa!$A:$AE,AT$5,0)),0,1/VLOOKUP($N368,Capa!$A:$AE,AT$5,0))))</f>
        <v/>
      </c>
      <c r="AU368" s="118" t="str">
        <f>IF(AU$6="","",IF(AU$3="Maior",IFERROR(IF(VLOOKUP($N368,Capa!$A:$AE,AU$5,0)="",0,VLOOKUP($N368,Capa!$A:$AE,AU$5,0)),0),IF(ISERROR(1/VLOOKUP($N368,Capa!$A:$AE,AU$5,0)),0,1/VLOOKUP($N368,Capa!$A:$AE,AU$5,0))))</f>
        <v/>
      </c>
      <c r="AV368" s="118" t="str">
        <f>IF(AV$6="","",IF(AV$3="Maior",IFERROR(IF(VLOOKUP($N368,Capa!$A:$AE,AV$5,0)="",0,VLOOKUP($N368,Capa!$A:$AE,AV$5,0)),0),IF(ISERROR(1/VLOOKUP($N368,Capa!$A:$AE,AV$5,0)),0,1/VLOOKUP($N368,Capa!$A:$AE,AV$5,0))))</f>
        <v/>
      </c>
      <c r="AW368" s="118" t="str">
        <f>IF(AW$6="","",IF(AW$3="Maior",IFERROR(IF(VLOOKUP($N368,Capa!$A:$AE,AW$5,0)="",0,VLOOKUP($N368,Capa!$A:$AE,AW$5,0)),0),IF(ISERROR(1/VLOOKUP($N368,Capa!$A:$AE,AW$5,0)),0,1/VLOOKUP($N368,Capa!$A:$AE,AW$5,0))))</f>
        <v/>
      </c>
      <c r="AX368" s="118" t="str">
        <f>IF(AX$6="","",IF(AX$3="Maior",IFERROR(IF(VLOOKUP($N368,Capa!$A:$AE,AX$5,0)="",0,VLOOKUP($N368,Capa!$A:$AE,AX$5,0)),0),IF(ISERROR(1/VLOOKUP($N368,Capa!$A:$AE,AX$5,0)),0,1/VLOOKUP($N368,Capa!$A:$AE,AX$5,0))))</f>
        <v/>
      </c>
      <c r="AY368" s="118" t="str">
        <f>IF(AY$6="","",IF(AY$3="Maior",IFERROR(IF(VLOOKUP($N368,Capa!$A:$AE,AY$5,0)="",0,VLOOKUP($N368,Capa!$A:$AE,AY$5,0)),0),IF(ISERROR(1/VLOOKUP($N368,Capa!$A:$AE,AY$5,0)),0,1/VLOOKUP($N368,Capa!$A:$AE,AY$5,0))))</f>
        <v/>
      </c>
      <c r="AZ368" s="118" t="str">
        <f>IF(AZ$6="","",IF(AZ$3="Maior",IFERROR(IF(VLOOKUP($N368,Capa!$A:$AE,AZ$5,0)="",0,VLOOKUP($N368,Capa!$A:$AE,AZ$5,0)),0),IF(ISERROR(1/VLOOKUP($N368,Capa!$A:$AE,AZ$5,0)),0,1/VLOOKUP($N368,Capa!$A:$AE,AZ$5,0))))</f>
        <v/>
      </c>
      <c r="BA368" s="118" t="str">
        <f>IF(BA$6="","",IF(BA$3="Maior",IFERROR(IF(VLOOKUP($N368,Capa!$A:$AE,BA$5,0)="",0,VLOOKUP($N368,Capa!$A:$AE,BA$5,0)),0),IF(ISERROR(1/VLOOKUP($N368,Capa!$A:$AE,BA$5,0)),0,1/VLOOKUP($N368,Capa!$A:$AE,BA$5,0))))</f>
        <v/>
      </c>
      <c r="BB368" s="118" t="str">
        <f>IF(BB$6="","",IF(BB$3="Maior",IFERROR(IF(VLOOKUP($N368,Capa!$A:$AE,BB$5,0)="",0,VLOOKUP($N368,Capa!$A:$AE,BB$5,0)),0),IF(ISERROR(1/VLOOKUP($N368,Capa!$A:$AE,BB$5,0)),0,1/VLOOKUP($N368,Capa!$A:$AE,BB$5,0))))</f>
        <v/>
      </c>
      <c r="BC368" s="118" t="str">
        <f>IF(BC$6="","",IF(BC$3="Maior",IFERROR(IF(VLOOKUP($N368,Capa!$A:$AE,BC$5,0)="",0,VLOOKUP($N368,Capa!$A:$AE,BC$5,0)),0),IF(ISERROR(1/VLOOKUP($N368,Capa!$A:$AE,BC$5,0)),0,1/VLOOKUP($N368,Capa!$A:$AE,BC$5,0))))</f>
        <v/>
      </c>
      <c r="BD368" s="118" t="str">
        <f>IF(BD$6="","",IF(BD$3="Maior",IFERROR(IF(VLOOKUP($N368,Capa!$A:$AE,BD$5,0)="",0,VLOOKUP($N368,Capa!$A:$AE,BD$5,0)),0),IF(ISERROR(1/VLOOKUP($N368,Capa!$A:$AE,BD$5,0)),0,1/VLOOKUP($N368,Capa!$A:$AE,BD$5,0))))</f>
        <v/>
      </c>
      <c r="BE368" s="118" t="str">
        <f>IF(BE$6="","",IF(BE$3="Maior",IFERROR(IF(VLOOKUP($N368,Capa!$A:$AE,BE$5,0)="",0,VLOOKUP($N368,Capa!$A:$AE,BE$5,0)),0),IF(ISERROR(1/VLOOKUP($N368,Capa!$A:$AE,BE$5,0)),0,1/VLOOKUP($N368,Capa!$A:$AE,BE$5,0))))</f>
        <v/>
      </c>
      <c r="BF368" s="118" t="str">
        <f>IF(BF$6="","",IF(BF$3="Maior",IFERROR(IF(VLOOKUP($N368,Capa!$A:$AE,BF$5,0)="",0,VLOOKUP($N368,Capa!$A:$AE,BF$5,0)),0),IF(ISERROR(1/VLOOKUP($N368,Capa!$A:$AE,BF$5,0)),0,1/VLOOKUP($N368,Capa!$A:$AE,BF$5,0))))</f>
        <v/>
      </c>
      <c r="BG368" s="118" t="str">
        <f>IF(BG$6="","",IF(BG$3="Maior",IFERROR(IF(VLOOKUP($N368,Capa!$A:$AE,BG$5,0)="",0,VLOOKUP($N368,Capa!$A:$AE,BG$5,0)),0),IF(ISERROR(1/VLOOKUP($N368,Capa!$A:$AE,BG$5,0)),0,1/VLOOKUP($N368,Capa!$A:$AE,BG$5,0))))</f>
        <v/>
      </c>
      <c r="BH368" s="118" t="str">
        <f>IF(BH$6="","",IF(BH$3="Maior",IFERROR(IF(VLOOKUP($N368,Capa!$A:$AE,BH$5,0)="",0,VLOOKUP($N368,Capa!$A:$AE,BH$5,0)),0),IF(ISERROR(1/VLOOKUP($N368,Capa!$A:$AE,BH$5,0)),0,1/VLOOKUP($N368,Capa!$A:$AE,BH$5,0))))</f>
        <v/>
      </c>
      <c r="BI368" s="118" t="str">
        <f>IF(BI$6="","",IF(BI$3="Maior",IFERROR(IF(VLOOKUP($N368,Capa!$A:$AE,BI$5,0)="",0,VLOOKUP($N368,Capa!$A:$AE,BI$5,0)),0),IF(ISERROR(1/VLOOKUP($N368,Capa!$A:$AE,BI$5,0)),0,1/VLOOKUP($N368,Capa!$A:$AE,BI$5,0))))</f>
        <v/>
      </c>
      <c r="BJ368" s="118" t="str">
        <f>IF(BJ$6="","",IF(BJ$3="Maior",IFERROR(IF(VLOOKUP($N368,Capa!$A:$AE,BJ$5,0)="",0,VLOOKUP($N368,Capa!$A:$AE,BJ$5,0)),0),IF(ISERROR(1/VLOOKUP($N368,Capa!$A:$AE,BJ$5,0)),0,1/VLOOKUP($N368,Capa!$A:$AE,BJ$5,0))))</f>
        <v/>
      </c>
      <c r="BK368" s="118" t="str">
        <f>IF(BK$6="","",IF(BK$3="Maior",IFERROR(IF(VLOOKUP($N368,Capa!$A:$AE,BK$5,0)="",0,VLOOKUP($N368,Capa!$A:$AE,BK$5,0)),0),IF(ISERROR(1/VLOOKUP($N368,Capa!$A:$AE,BK$5,0)),0,1/VLOOKUP($N368,Capa!$A:$AE,BK$5,0))))</f>
        <v/>
      </c>
      <c r="BL368" s="118" t="str">
        <f>IF(BL$6="","",IF(BL$3="Maior",IFERROR(IF(VLOOKUP($N368,Capa!$A:$AE,BL$5,0)="",0,VLOOKUP($N368,Capa!$A:$AE,BL$5,0)),0),IF(ISERROR(1/VLOOKUP($N368,Capa!$A:$AE,BL$5,0)),0,1/VLOOKUP($N368,Capa!$A:$AE,BL$5,0))))</f>
        <v/>
      </c>
      <c r="BM368" s="118" t="str">
        <f>IF(BM$6="","",IF(BM$3="Maior",IFERROR(IF(VLOOKUP($N368,Capa!$A:$AE,BM$5,0)="",0,VLOOKUP($N368,Capa!$A:$AE,BM$5,0)),0),IF(ISERROR(1/VLOOKUP($N368,Capa!$A:$AE,BM$5,0)),0,1/VLOOKUP($N368,Capa!$A:$AE,BM$5,0))))</f>
        <v/>
      </c>
      <c r="BN368" s="118" t="str">
        <f>IF(BN$6="","",IF(BN$3="Maior",IFERROR(IF(VLOOKUP($N368,Capa!$A:$AE,BN$5,0)="",0,VLOOKUP($N368,Capa!$A:$AE,BN$5,0)),0),IF(ISERROR(1/VLOOKUP($N368,Capa!$A:$AE,BN$5,0)),0,1/VLOOKUP($N368,Capa!$A:$AE,BN$5,0))))</f>
        <v/>
      </c>
      <c r="BO368" s="92"/>
    </row>
    <row r="369">
      <c r="G369" s="11"/>
      <c r="H369" s="11"/>
      <c r="I369" s="8"/>
      <c r="J369" s="132"/>
      <c r="K369" s="11"/>
      <c r="L369" s="11"/>
      <c r="M369" s="11"/>
      <c r="N369" s="10" t="s">
        <v>415</v>
      </c>
      <c r="O369" s="113">
        <f t="shared" si="8"/>
        <v>1333.0205</v>
      </c>
      <c r="P369" s="114">
        <f>VLOOKUP(N369,'Dados StatusInvest'!A:Z,26,0)</f>
        <v>72783.7</v>
      </c>
      <c r="Q369" s="115">
        <f t="shared" si="9"/>
        <v>205.0205</v>
      </c>
      <c r="R369" s="116">
        <f t="shared" ref="R369:AO369" si="372">IF(AQ369="","", RANK(AQ369,AQ$7:AQ$503,0))</f>
        <v>110</v>
      </c>
      <c r="S369" s="115">
        <f t="shared" si="372"/>
        <v>18</v>
      </c>
      <c r="T369" s="115" t="str">
        <f t="shared" si="372"/>
        <v/>
      </c>
      <c r="U369" s="115" t="str">
        <f t="shared" si="372"/>
        <v/>
      </c>
      <c r="V369" s="115" t="str">
        <f t="shared" si="372"/>
        <v/>
      </c>
      <c r="W369" s="115" t="str">
        <f t="shared" si="372"/>
        <v/>
      </c>
      <c r="X369" s="115" t="str">
        <f t="shared" si="372"/>
        <v/>
      </c>
      <c r="Y369" s="115" t="str">
        <f t="shared" si="372"/>
        <v/>
      </c>
      <c r="Z369" s="115" t="str">
        <f t="shared" si="372"/>
        <v/>
      </c>
      <c r="AA369" s="115" t="str">
        <f t="shared" si="372"/>
        <v/>
      </c>
      <c r="AB369" s="115" t="str">
        <f t="shared" si="372"/>
        <v/>
      </c>
      <c r="AC369" s="115" t="str">
        <f t="shared" si="372"/>
        <v/>
      </c>
      <c r="AD369" s="115" t="str">
        <f t="shared" si="372"/>
        <v/>
      </c>
      <c r="AE369" s="115" t="str">
        <f t="shared" si="372"/>
        <v/>
      </c>
      <c r="AF369" s="115" t="str">
        <f t="shared" si="372"/>
        <v/>
      </c>
      <c r="AG369" s="115" t="str">
        <f t="shared" si="372"/>
        <v/>
      </c>
      <c r="AH369" s="115" t="str">
        <f t="shared" si="372"/>
        <v/>
      </c>
      <c r="AI369" s="115" t="str">
        <f t="shared" si="372"/>
        <v/>
      </c>
      <c r="AJ369" s="115" t="str">
        <f t="shared" si="372"/>
        <v/>
      </c>
      <c r="AK369" s="115" t="str">
        <f t="shared" si="372"/>
        <v/>
      </c>
      <c r="AL369" s="115" t="str">
        <f t="shared" si="372"/>
        <v/>
      </c>
      <c r="AM369" s="115" t="str">
        <f t="shared" si="372"/>
        <v/>
      </c>
      <c r="AN369" s="115" t="str">
        <f t="shared" si="372"/>
        <v/>
      </c>
      <c r="AO369" s="115" t="str">
        <f t="shared" si="372"/>
        <v/>
      </c>
      <c r="AP369" s="117">
        <f>IF(AP$6="","",IF(AP$3="Maior",IFERROR(IF(VLOOKUP($N369,Capa!$A:$AE,AP$5,0)="",0,VLOOKUP($N369,Capa!$A:$AE,AP$5,0)),0),IF(ISERROR(1/VLOOKUP($N369,Capa!$A:$AE,AP$5,0)),0,1/VLOOKUP($N369,Capa!$A:$AE,AP$5,0))))</f>
        <v>0.102145046</v>
      </c>
      <c r="AQ369" s="118">
        <f>IF(AQ$6="","",IF(AQ$3="Maior",IFERROR(IF(VLOOKUP($N369,Capa!$A:$AE,AQ$5,0)="",0,VLOOKUP($N369,Capa!$A:$AE,AQ$5,0)),0),IF(ISERROR(1/VLOOKUP($N369,Capa!$A:$AE,AQ$5,0)),0,1/VLOOKUP($N369,Capa!$A:$AE,AQ$5,0))))</f>
        <v>16.73</v>
      </c>
      <c r="AR369" s="118">
        <f>IF(AR$6="","",IF(AR$3="Maior",IFERROR(IF(VLOOKUP($N369,Capa!$A:$AE,AR$5,0)="",0,VLOOKUP($N369,Capa!$A:$AE,AR$5,0)),0),IF(ISERROR(1/VLOOKUP($N369,Capa!$A:$AE,AR$5,0)),0,1/VLOOKUP($N369,Capa!$A:$AE,AR$5,0))))</f>
        <v>87.64</v>
      </c>
      <c r="AS369" s="118" t="str">
        <f>IF(AS$6="","",IF(AS$3="Maior",IFERROR(IF(VLOOKUP($N369,Capa!$A:$AE,AS$5,0)="",0,VLOOKUP($N369,Capa!$A:$AE,AS$5,0)),0),IF(ISERROR(1/VLOOKUP($N369,Capa!$A:$AE,AS$5,0)),0,1/VLOOKUP($N369,Capa!$A:$AE,AS$5,0))))</f>
        <v/>
      </c>
      <c r="AT369" s="118" t="str">
        <f>IF(AT$6="","",IF(AT$3="Maior",IFERROR(IF(VLOOKUP($N369,Capa!$A:$AE,AT$5,0)="",0,VLOOKUP($N369,Capa!$A:$AE,AT$5,0)),0),IF(ISERROR(1/VLOOKUP($N369,Capa!$A:$AE,AT$5,0)),0,1/VLOOKUP($N369,Capa!$A:$AE,AT$5,0))))</f>
        <v/>
      </c>
      <c r="AU369" s="118" t="str">
        <f>IF(AU$6="","",IF(AU$3="Maior",IFERROR(IF(VLOOKUP($N369,Capa!$A:$AE,AU$5,0)="",0,VLOOKUP($N369,Capa!$A:$AE,AU$5,0)),0),IF(ISERROR(1/VLOOKUP($N369,Capa!$A:$AE,AU$5,0)),0,1/VLOOKUP($N369,Capa!$A:$AE,AU$5,0))))</f>
        <v/>
      </c>
      <c r="AV369" s="118" t="str">
        <f>IF(AV$6="","",IF(AV$3="Maior",IFERROR(IF(VLOOKUP($N369,Capa!$A:$AE,AV$5,0)="",0,VLOOKUP($N369,Capa!$A:$AE,AV$5,0)),0),IF(ISERROR(1/VLOOKUP($N369,Capa!$A:$AE,AV$5,0)),0,1/VLOOKUP($N369,Capa!$A:$AE,AV$5,0))))</f>
        <v/>
      </c>
      <c r="AW369" s="118" t="str">
        <f>IF(AW$6="","",IF(AW$3="Maior",IFERROR(IF(VLOOKUP($N369,Capa!$A:$AE,AW$5,0)="",0,VLOOKUP($N369,Capa!$A:$AE,AW$5,0)),0),IF(ISERROR(1/VLOOKUP($N369,Capa!$A:$AE,AW$5,0)),0,1/VLOOKUP($N369,Capa!$A:$AE,AW$5,0))))</f>
        <v/>
      </c>
      <c r="AX369" s="118" t="str">
        <f>IF(AX$6="","",IF(AX$3="Maior",IFERROR(IF(VLOOKUP($N369,Capa!$A:$AE,AX$5,0)="",0,VLOOKUP($N369,Capa!$A:$AE,AX$5,0)),0),IF(ISERROR(1/VLOOKUP($N369,Capa!$A:$AE,AX$5,0)),0,1/VLOOKUP($N369,Capa!$A:$AE,AX$5,0))))</f>
        <v/>
      </c>
      <c r="AY369" s="118" t="str">
        <f>IF(AY$6="","",IF(AY$3="Maior",IFERROR(IF(VLOOKUP($N369,Capa!$A:$AE,AY$5,0)="",0,VLOOKUP($N369,Capa!$A:$AE,AY$5,0)),0),IF(ISERROR(1/VLOOKUP($N369,Capa!$A:$AE,AY$5,0)),0,1/VLOOKUP($N369,Capa!$A:$AE,AY$5,0))))</f>
        <v/>
      </c>
      <c r="AZ369" s="118" t="str">
        <f>IF(AZ$6="","",IF(AZ$3="Maior",IFERROR(IF(VLOOKUP($N369,Capa!$A:$AE,AZ$5,0)="",0,VLOOKUP($N369,Capa!$A:$AE,AZ$5,0)),0),IF(ISERROR(1/VLOOKUP($N369,Capa!$A:$AE,AZ$5,0)),0,1/VLOOKUP($N369,Capa!$A:$AE,AZ$5,0))))</f>
        <v/>
      </c>
      <c r="BA369" s="118" t="str">
        <f>IF(BA$6="","",IF(BA$3="Maior",IFERROR(IF(VLOOKUP($N369,Capa!$A:$AE,BA$5,0)="",0,VLOOKUP($N369,Capa!$A:$AE,BA$5,0)),0),IF(ISERROR(1/VLOOKUP($N369,Capa!$A:$AE,BA$5,0)),0,1/VLOOKUP($N369,Capa!$A:$AE,BA$5,0))))</f>
        <v/>
      </c>
      <c r="BB369" s="118" t="str">
        <f>IF(BB$6="","",IF(BB$3="Maior",IFERROR(IF(VLOOKUP($N369,Capa!$A:$AE,BB$5,0)="",0,VLOOKUP($N369,Capa!$A:$AE,BB$5,0)),0),IF(ISERROR(1/VLOOKUP($N369,Capa!$A:$AE,BB$5,0)),0,1/VLOOKUP($N369,Capa!$A:$AE,BB$5,0))))</f>
        <v/>
      </c>
      <c r="BC369" s="118" t="str">
        <f>IF(BC$6="","",IF(BC$3="Maior",IFERROR(IF(VLOOKUP($N369,Capa!$A:$AE,BC$5,0)="",0,VLOOKUP($N369,Capa!$A:$AE,BC$5,0)),0),IF(ISERROR(1/VLOOKUP($N369,Capa!$A:$AE,BC$5,0)),0,1/VLOOKUP($N369,Capa!$A:$AE,BC$5,0))))</f>
        <v/>
      </c>
      <c r="BD369" s="118" t="str">
        <f>IF(BD$6="","",IF(BD$3="Maior",IFERROR(IF(VLOOKUP($N369,Capa!$A:$AE,BD$5,0)="",0,VLOOKUP($N369,Capa!$A:$AE,BD$5,0)),0),IF(ISERROR(1/VLOOKUP($N369,Capa!$A:$AE,BD$5,0)),0,1/VLOOKUP($N369,Capa!$A:$AE,BD$5,0))))</f>
        <v/>
      </c>
      <c r="BE369" s="118" t="str">
        <f>IF(BE$6="","",IF(BE$3="Maior",IFERROR(IF(VLOOKUP($N369,Capa!$A:$AE,BE$5,0)="",0,VLOOKUP($N369,Capa!$A:$AE,BE$5,0)),0),IF(ISERROR(1/VLOOKUP($N369,Capa!$A:$AE,BE$5,0)),0,1/VLOOKUP($N369,Capa!$A:$AE,BE$5,0))))</f>
        <v/>
      </c>
      <c r="BF369" s="118" t="str">
        <f>IF(BF$6="","",IF(BF$3="Maior",IFERROR(IF(VLOOKUP($N369,Capa!$A:$AE,BF$5,0)="",0,VLOOKUP($N369,Capa!$A:$AE,BF$5,0)),0),IF(ISERROR(1/VLOOKUP($N369,Capa!$A:$AE,BF$5,0)),0,1/VLOOKUP($N369,Capa!$A:$AE,BF$5,0))))</f>
        <v/>
      </c>
      <c r="BG369" s="118" t="str">
        <f>IF(BG$6="","",IF(BG$3="Maior",IFERROR(IF(VLOOKUP($N369,Capa!$A:$AE,BG$5,0)="",0,VLOOKUP($N369,Capa!$A:$AE,BG$5,0)),0),IF(ISERROR(1/VLOOKUP($N369,Capa!$A:$AE,BG$5,0)),0,1/VLOOKUP($N369,Capa!$A:$AE,BG$5,0))))</f>
        <v/>
      </c>
      <c r="BH369" s="118" t="str">
        <f>IF(BH$6="","",IF(BH$3="Maior",IFERROR(IF(VLOOKUP($N369,Capa!$A:$AE,BH$5,0)="",0,VLOOKUP($N369,Capa!$A:$AE,BH$5,0)),0),IF(ISERROR(1/VLOOKUP($N369,Capa!$A:$AE,BH$5,0)),0,1/VLOOKUP($N369,Capa!$A:$AE,BH$5,0))))</f>
        <v/>
      </c>
      <c r="BI369" s="118" t="str">
        <f>IF(BI$6="","",IF(BI$3="Maior",IFERROR(IF(VLOOKUP($N369,Capa!$A:$AE,BI$5,0)="",0,VLOOKUP($N369,Capa!$A:$AE,BI$5,0)),0),IF(ISERROR(1/VLOOKUP($N369,Capa!$A:$AE,BI$5,0)),0,1/VLOOKUP($N369,Capa!$A:$AE,BI$5,0))))</f>
        <v/>
      </c>
      <c r="BJ369" s="118" t="str">
        <f>IF(BJ$6="","",IF(BJ$3="Maior",IFERROR(IF(VLOOKUP($N369,Capa!$A:$AE,BJ$5,0)="",0,VLOOKUP($N369,Capa!$A:$AE,BJ$5,0)),0),IF(ISERROR(1/VLOOKUP($N369,Capa!$A:$AE,BJ$5,0)),0,1/VLOOKUP($N369,Capa!$A:$AE,BJ$5,0))))</f>
        <v/>
      </c>
      <c r="BK369" s="118" t="str">
        <f>IF(BK$6="","",IF(BK$3="Maior",IFERROR(IF(VLOOKUP($N369,Capa!$A:$AE,BK$5,0)="",0,VLOOKUP($N369,Capa!$A:$AE,BK$5,0)),0),IF(ISERROR(1/VLOOKUP($N369,Capa!$A:$AE,BK$5,0)),0,1/VLOOKUP($N369,Capa!$A:$AE,BK$5,0))))</f>
        <v/>
      </c>
      <c r="BL369" s="118" t="str">
        <f>IF(BL$6="","",IF(BL$3="Maior",IFERROR(IF(VLOOKUP($N369,Capa!$A:$AE,BL$5,0)="",0,VLOOKUP($N369,Capa!$A:$AE,BL$5,0)),0),IF(ISERROR(1/VLOOKUP($N369,Capa!$A:$AE,BL$5,0)),0,1/VLOOKUP($N369,Capa!$A:$AE,BL$5,0))))</f>
        <v/>
      </c>
      <c r="BM369" s="118" t="str">
        <f>IF(BM$6="","",IF(BM$3="Maior",IFERROR(IF(VLOOKUP($N369,Capa!$A:$AE,BM$5,0)="",0,VLOOKUP($N369,Capa!$A:$AE,BM$5,0)),0),IF(ISERROR(1/VLOOKUP($N369,Capa!$A:$AE,BM$5,0)),0,1/VLOOKUP($N369,Capa!$A:$AE,BM$5,0))))</f>
        <v/>
      </c>
      <c r="BN369" s="118" t="str">
        <f>IF(BN$6="","",IF(BN$3="Maior",IFERROR(IF(VLOOKUP($N369,Capa!$A:$AE,BN$5,0)="",0,VLOOKUP($N369,Capa!$A:$AE,BN$5,0)),0),IF(ISERROR(1/VLOOKUP($N369,Capa!$A:$AE,BN$5,0)),0,1/VLOOKUP($N369,Capa!$A:$AE,BN$5,0))))</f>
        <v/>
      </c>
      <c r="BO369" s="92"/>
    </row>
    <row r="370">
      <c r="G370" s="11"/>
      <c r="H370" s="11"/>
      <c r="I370" s="8"/>
      <c r="J370" s="132"/>
      <c r="K370" s="11"/>
      <c r="L370" s="11"/>
      <c r="M370" s="11"/>
      <c r="N370" s="10" t="s">
        <v>416</v>
      </c>
      <c r="O370" s="113">
        <f t="shared" si="8"/>
        <v>1701.0459</v>
      </c>
      <c r="P370" s="114">
        <f>VLOOKUP(N370,'Dados StatusInvest'!A:Z,26,0)</f>
        <v>62727.96</v>
      </c>
      <c r="Q370" s="115">
        <f t="shared" si="9"/>
        <v>459.0459</v>
      </c>
      <c r="R370" s="116">
        <f t="shared" ref="R370:AO370" si="373">IF(AQ370="","", RANK(AQ370,AQ$7:AQ$503,0))</f>
        <v>23</v>
      </c>
      <c r="S370" s="115">
        <f t="shared" si="373"/>
        <v>219</v>
      </c>
      <c r="T370" s="115" t="str">
        <f t="shared" si="373"/>
        <v/>
      </c>
      <c r="U370" s="115" t="str">
        <f t="shared" si="373"/>
        <v/>
      </c>
      <c r="V370" s="115" t="str">
        <f t="shared" si="373"/>
        <v/>
      </c>
      <c r="W370" s="115" t="str">
        <f t="shared" si="373"/>
        <v/>
      </c>
      <c r="X370" s="115" t="str">
        <f t="shared" si="373"/>
        <v/>
      </c>
      <c r="Y370" s="115" t="str">
        <f t="shared" si="373"/>
        <v/>
      </c>
      <c r="Z370" s="115" t="str">
        <f t="shared" si="373"/>
        <v/>
      </c>
      <c r="AA370" s="115" t="str">
        <f t="shared" si="373"/>
        <v/>
      </c>
      <c r="AB370" s="115" t="str">
        <f t="shared" si="373"/>
        <v/>
      </c>
      <c r="AC370" s="115" t="str">
        <f t="shared" si="373"/>
        <v/>
      </c>
      <c r="AD370" s="115" t="str">
        <f t="shared" si="373"/>
        <v/>
      </c>
      <c r="AE370" s="115" t="str">
        <f t="shared" si="373"/>
        <v/>
      </c>
      <c r="AF370" s="115" t="str">
        <f t="shared" si="373"/>
        <v/>
      </c>
      <c r="AG370" s="115" t="str">
        <f t="shared" si="373"/>
        <v/>
      </c>
      <c r="AH370" s="115" t="str">
        <f t="shared" si="373"/>
        <v/>
      </c>
      <c r="AI370" s="115" t="str">
        <f t="shared" si="373"/>
        <v/>
      </c>
      <c r="AJ370" s="115" t="str">
        <f t="shared" si="373"/>
        <v/>
      </c>
      <c r="AK370" s="115" t="str">
        <f t="shared" si="373"/>
        <v/>
      </c>
      <c r="AL370" s="115" t="str">
        <f t="shared" si="373"/>
        <v/>
      </c>
      <c r="AM370" s="115" t="str">
        <f t="shared" si="373"/>
        <v/>
      </c>
      <c r="AN370" s="115" t="str">
        <f t="shared" si="373"/>
        <v/>
      </c>
      <c r="AO370" s="115" t="str">
        <f t="shared" si="373"/>
        <v/>
      </c>
      <c r="AP370" s="117">
        <f>IF(AP$6="","",IF(AP$3="Maior",IFERROR(IF(VLOOKUP($N370,Capa!$A:$AE,AP$5,0)="",0,VLOOKUP($N370,Capa!$A:$AE,AP$5,0)),0),IF(ISERROR(1/VLOOKUP($N370,Capa!$A:$AE,AP$5,0)),0,1/VLOOKUP($N370,Capa!$A:$AE,AP$5,0))))</f>
        <v>-0.1377350001</v>
      </c>
      <c r="AQ370" s="118">
        <f>IF(AQ$6="","",IF(AQ$3="Maior",IFERROR(IF(VLOOKUP($N370,Capa!$A:$AE,AQ$5,0)="",0,VLOOKUP($N370,Capa!$A:$AE,AQ$5,0)),0),IF(ISERROR(1/VLOOKUP($N370,Capa!$A:$AE,AQ$5,0)),0,1/VLOOKUP($N370,Capa!$A:$AE,AQ$5,0))))</f>
        <v>59.36</v>
      </c>
      <c r="AR370" s="118">
        <f>IF(AR$6="","",IF(AR$3="Maior",IFERROR(IF(VLOOKUP($N370,Capa!$A:$AE,AR$5,0)="",0,VLOOKUP($N370,Capa!$A:$AE,AR$5,0)),0),IF(ISERROR(1/VLOOKUP($N370,Capa!$A:$AE,AR$5,0)),0,1/VLOOKUP($N370,Capa!$A:$AE,AR$5,0))))</f>
        <v>0</v>
      </c>
      <c r="AS370" s="118" t="str">
        <f>IF(AS$6="","",IF(AS$3="Maior",IFERROR(IF(VLOOKUP($N370,Capa!$A:$AE,AS$5,0)="",0,VLOOKUP($N370,Capa!$A:$AE,AS$5,0)),0),IF(ISERROR(1/VLOOKUP($N370,Capa!$A:$AE,AS$5,0)),0,1/VLOOKUP($N370,Capa!$A:$AE,AS$5,0))))</f>
        <v/>
      </c>
      <c r="AT370" s="118" t="str">
        <f>IF(AT$6="","",IF(AT$3="Maior",IFERROR(IF(VLOOKUP($N370,Capa!$A:$AE,AT$5,0)="",0,VLOOKUP($N370,Capa!$A:$AE,AT$5,0)),0),IF(ISERROR(1/VLOOKUP($N370,Capa!$A:$AE,AT$5,0)),0,1/VLOOKUP($N370,Capa!$A:$AE,AT$5,0))))</f>
        <v/>
      </c>
      <c r="AU370" s="118" t="str">
        <f>IF(AU$6="","",IF(AU$3="Maior",IFERROR(IF(VLOOKUP($N370,Capa!$A:$AE,AU$5,0)="",0,VLOOKUP($N370,Capa!$A:$AE,AU$5,0)),0),IF(ISERROR(1/VLOOKUP($N370,Capa!$A:$AE,AU$5,0)),0,1/VLOOKUP($N370,Capa!$A:$AE,AU$5,0))))</f>
        <v/>
      </c>
      <c r="AV370" s="118" t="str">
        <f>IF(AV$6="","",IF(AV$3="Maior",IFERROR(IF(VLOOKUP($N370,Capa!$A:$AE,AV$5,0)="",0,VLOOKUP($N370,Capa!$A:$AE,AV$5,0)),0),IF(ISERROR(1/VLOOKUP($N370,Capa!$A:$AE,AV$5,0)),0,1/VLOOKUP($N370,Capa!$A:$AE,AV$5,0))))</f>
        <v/>
      </c>
      <c r="AW370" s="118" t="str">
        <f>IF(AW$6="","",IF(AW$3="Maior",IFERROR(IF(VLOOKUP($N370,Capa!$A:$AE,AW$5,0)="",0,VLOOKUP($N370,Capa!$A:$AE,AW$5,0)),0),IF(ISERROR(1/VLOOKUP($N370,Capa!$A:$AE,AW$5,0)),0,1/VLOOKUP($N370,Capa!$A:$AE,AW$5,0))))</f>
        <v/>
      </c>
      <c r="AX370" s="118" t="str">
        <f>IF(AX$6="","",IF(AX$3="Maior",IFERROR(IF(VLOOKUP($N370,Capa!$A:$AE,AX$5,0)="",0,VLOOKUP($N370,Capa!$A:$AE,AX$5,0)),0),IF(ISERROR(1/VLOOKUP($N370,Capa!$A:$AE,AX$5,0)),0,1/VLOOKUP($N370,Capa!$A:$AE,AX$5,0))))</f>
        <v/>
      </c>
      <c r="AY370" s="118" t="str">
        <f>IF(AY$6="","",IF(AY$3="Maior",IFERROR(IF(VLOOKUP($N370,Capa!$A:$AE,AY$5,0)="",0,VLOOKUP($N370,Capa!$A:$AE,AY$5,0)),0),IF(ISERROR(1/VLOOKUP($N370,Capa!$A:$AE,AY$5,0)),0,1/VLOOKUP($N370,Capa!$A:$AE,AY$5,0))))</f>
        <v/>
      </c>
      <c r="AZ370" s="118" t="str">
        <f>IF(AZ$6="","",IF(AZ$3="Maior",IFERROR(IF(VLOOKUP($N370,Capa!$A:$AE,AZ$5,0)="",0,VLOOKUP($N370,Capa!$A:$AE,AZ$5,0)),0),IF(ISERROR(1/VLOOKUP($N370,Capa!$A:$AE,AZ$5,0)),0,1/VLOOKUP($N370,Capa!$A:$AE,AZ$5,0))))</f>
        <v/>
      </c>
      <c r="BA370" s="118" t="str">
        <f>IF(BA$6="","",IF(BA$3="Maior",IFERROR(IF(VLOOKUP($N370,Capa!$A:$AE,BA$5,0)="",0,VLOOKUP($N370,Capa!$A:$AE,BA$5,0)),0),IF(ISERROR(1/VLOOKUP($N370,Capa!$A:$AE,BA$5,0)),0,1/VLOOKUP($N370,Capa!$A:$AE,BA$5,0))))</f>
        <v/>
      </c>
      <c r="BB370" s="118" t="str">
        <f>IF(BB$6="","",IF(BB$3="Maior",IFERROR(IF(VLOOKUP($N370,Capa!$A:$AE,BB$5,0)="",0,VLOOKUP($N370,Capa!$A:$AE,BB$5,0)),0),IF(ISERROR(1/VLOOKUP($N370,Capa!$A:$AE,BB$5,0)),0,1/VLOOKUP($N370,Capa!$A:$AE,BB$5,0))))</f>
        <v/>
      </c>
      <c r="BC370" s="118" t="str">
        <f>IF(BC$6="","",IF(BC$3="Maior",IFERROR(IF(VLOOKUP($N370,Capa!$A:$AE,BC$5,0)="",0,VLOOKUP($N370,Capa!$A:$AE,BC$5,0)),0),IF(ISERROR(1/VLOOKUP($N370,Capa!$A:$AE,BC$5,0)),0,1/VLOOKUP($N370,Capa!$A:$AE,BC$5,0))))</f>
        <v/>
      </c>
      <c r="BD370" s="118" t="str">
        <f>IF(BD$6="","",IF(BD$3="Maior",IFERROR(IF(VLOOKUP($N370,Capa!$A:$AE,BD$5,0)="",0,VLOOKUP($N370,Capa!$A:$AE,BD$5,0)),0),IF(ISERROR(1/VLOOKUP($N370,Capa!$A:$AE,BD$5,0)),0,1/VLOOKUP($N370,Capa!$A:$AE,BD$5,0))))</f>
        <v/>
      </c>
      <c r="BE370" s="118" t="str">
        <f>IF(BE$6="","",IF(BE$3="Maior",IFERROR(IF(VLOOKUP($N370,Capa!$A:$AE,BE$5,0)="",0,VLOOKUP($N370,Capa!$A:$AE,BE$5,0)),0),IF(ISERROR(1/VLOOKUP($N370,Capa!$A:$AE,BE$5,0)),0,1/VLOOKUP($N370,Capa!$A:$AE,BE$5,0))))</f>
        <v/>
      </c>
      <c r="BF370" s="118" t="str">
        <f>IF(BF$6="","",IF(BF$3="Maior",IFERROR(IF(VLOOKUP($N370,Capa!$A:$AE,BF$5,0)="",0,VLOOKUP($N370,Capa!$A:$AE,BF$5,0)),0),IF(ISERROR(1/VLOOKUP($N370,Capa!$A:$AE,BF$5,0)),0,1/VLOOKUP($N370,Capa!$A:$AE,BF$5,0))))</f>
        <v/>
      </c>
      <c r="BG370" s="118" t="str">
        <f>IF(BG$6="","",IF(BG$3="Maior",IFERROR(IF(VLOOKUP($N370,Capa!$A:$AE,BG$5,0)="",0,VLOOKUP($N370,Capa!$A:$AE,BG$5,0)),0),IF(ISERROR(1/VLOOKUP($N370,Capa!$A:$AE,BG$5,0)),0,1/VLOOKUP($N370,Capa!$A:$AE,BG$5,0))))</f>
        <v/>
      </c>
      <c r="BH370" s="118" t="str">
        <f>IF(BH$6="","",IF(BH$3="Maior",IFERROR(IF(VLOOKUP($N370,Capa!$A:$AE,BH$5,0)="",0,VLOOKUP($N370,Capa!$A:$AE,BH$5,0)),0),IF(ISERROR(1/VLOOKUP($N370,Capa!$A:$AE,BH$5,0)),0,1/VLOOKUP($N370,Capa!$A:$AE,BH$5,0))))</f>
        <v/>
      </c>
      <c r="BI370" s="118" t="str">
        <f>IF(BI$6="","",IF(BI$3="Maior",IFERROR(IF(VLOOKUP($N370,Capa!$A:$AE,BI$5,0)="",0,VLOOKUP($N370,Capa!$A:$AE,BI$5,0)),0),IF(ISERROR(1/VLOOKUP($N370,Capa!$A:$AE,BI$5,0)),0,1/VLOOKUP($N370,Capa!$A:$AE,BI$5,0))))</f>
        <v/>
      </c>
      <c r="BJ370" s="118" t="str">
        <f>IF(BJ$6="","",IF(BJ$3="Maior",IFERROR(IF(VLOOKUP($N370,Capa!$A:$AE,BJ$5,0)="",0,VLOOKUP($N370,Capa!$A:$AE,BJ$5,0)),0),IF(ISERROR(1/VLOOKUP($N370,Capa!$A:$AE,BJ$5,0)),0,1/VLOOKUP($N370,Capa!$A:$AE,BJ$5,0))))</f>
        <v/>
      </c>
      <c r="BK370" s="118" t="str">
        <f>IF(BK$6="","",IF(BK$3="Maior",IFERROR(IF(VLOOKUP($N370,Capa!$A:$AE,BK$5,0)="",0,VLOOKUP($N370,Capa!$A:$AE,BK$5,0)),0),IF(ISERROR(1/VLOOKUP($N370,Capa!$A:$AE,BK$5,0)),0,1/VLOOKUP($N370,Capa!$A:$AE,BK$5,0))))</f>
        <v/>
      </c>
      <c r="BL370" s="118" t="str">
        <f>IF(BL$6="","",IF(BL$3="Maior",IFERROR(IF(VLOOKUP($N370,Capa!$A:$AE,BL$5,0)="",0,VLOOKUP($N370,Capa!$A:$AE,BL$5,0)),0),IF(ISERROR(1/VLOOKUP($N370,Capa!$A:$AE,BL$5,0)),0,1/VLOOKUP($N370,Capa!$A:$AE,BL$5,0))))</f>
        <v/>
      </c>
      <c r="BM370" s="118" t="str">
        <f>IF(BM$6="","",IF(BM$3="Maior",IFERROR(IF(VLOOKUP($N370,Capa!$A:$AE,BM$5,0)="",0,VLOOKUP($N370,Capa!$A:$AE,BM$5,0)),0),IF(ISERROR(1/VLOOKUP($N370,Capa!$A:$AE,BM$5,0)),0,1/VLOOKUP($N370,Capa!$A:$AE,BM$5,0))))</f>
        <v/>
      </c>
      <c r="BN370" s="118" t="str">
        <f>IF(BN$6="","",IF(BN$3="Maior",IFERROR(IF(VLOOKUP($N370,Capa!$A:$AE,BN$5,0)="",0,VLOOKUP($N370,Capa!$A:$AE,BN$5,0)),0),IF(ISERROR(1/VLOOKUP($N370,Capa!$A:$AE,BN$5,0)),0,1/VLOOKUP($N370,Capa!$A:$AE,BN$5,0))))</f>
        <v/>
      </c>
      <c r="BO370" s="92"/>
    </row>
    <row r="371">
      <c r="G371" s="11"/>
      <c r="H371" s="11"/>
      <c r="I371" s="8"/>
      <c r="J371" s="132"/>
      <c r="K371" s="11"/>
      <c r="L371" s="11"/>
      <c r="M371" s="11"/>
      <c r="N371" s="10" t="s">
        <v>417</v>
      </c>
      <c r="O371" s="113">
        <f t="shared" si="8"/>
        <v>1598.0061</v>
      </c>
      <c r="P371" s="114">
        <f>VLOOKUP(N371,'Dados StatusInvest'!A:Z,26,0)</f>
        <v>46575.29</v>
      </c>
      <c r="Q371" s="115">
        <f t="shared" si="9"/>
        <v>61.0061</v>
      </c>
      <c r="R371" s="116">
        <f t="shared" ref="R371:AO371" si="374">IF(AQ371="","", RANK(AQ371,AQ$7:AQ$503,0))</f>
        <v>375</v>
      </c>
      <c r="S371" s="115">
        <f t="shared" si="374"/>
        <v>162</v>
      </c>
      <c r="T371" s="115" t="str">
        <f t="shared" si="374"/>
        <v/>
      </c>
      <c r="U371" s="115" t="str">
        <f t="shared" si="374"/>
        <v/>
      </c>
      <c r="V371" s="115" t="str">
        <f t="shared" si="374"/>
        <v/>
      </c>
      <c r="W371" s="115" t="str">
        <f t="shared" si="374"/>
        <v/>
      </c>
      <c r="X371" s="115" t="str">
        <f t="shared" si="374"/>
        <v/>
      </c>
      <c r="Y371" s="115" t="str">
        <f t="shared" si="374"/>
        <v/>
      </c>
      <c r="Z371" s="115" t="str">
        <f t="shared" si="374"/>
        <v/>
      </c>
      <c r="AA371" s="115" t="str">
        <f t="shared" si="374"/>
        <v/>
      </c>
      <c r="AB371" s="115" t="str">
        <f t="shared" si="374"/>
        <v/>
      </c>
      <c r="AC371" s="115" t="str">
        <f t="shared" si="374"/>
        <v/>
      </c>
      <c r="AD371" s="115" t="str">
        <f t="shared" si="374"/>
        <v/>
      </c>
      <c r="AE371" s="115" t="str">
        <f t="shared" si="374"/>
        <v/>
      </c>
      <c r="AF371" s="115" t="str">
        <f t="shared" si="374"/>
        <v/>
      </c>
      <c r="AG371" s="115" t="str">
        <f t="shared" si="374"/>
        <v/>
      </c>
      <c r="AH371" s="115" t="str">
        <f t="shared" si="374"/>
        <v/>
      </c>
      <c r="AI371" s="115" t="str">
        <f t="shared" si="374"/>
        <v/>
      </c>
      <c r="AJ371" s="115" t="str">
        <f t="shared" si="374"/>
        <v/>
      </c>
      <c r="AK371" s="115" t="str">
        <f t="shared" si="374"/>
        <v/>
      </c>
      <c r="AL371" s="115" t="str">
        <f t="shared" si="374"/>
        <v/>
      </c>
      <c r="AM371" s="115" t="str">
        <f t="shared" si="374"/>
        <v/>
      </c>
      <c r="AN371" s="115" t="str">
        <f t="shared" si="374"/>
        <v/>
      </c>
      <c r="AO371" s="115" t="str">
        <f t="shared" si="374"/>
        <v/>
      </c>
      <c r="AP371" s="117">
        <f>IF(AP$6="","",IF(AP$3="Maior",IFERROR(IF(VLOOKUP($N371,Capa!$A:$AE,AP$5,0)="",0,VLOOKUP($N371,Capa!$A:$AE,AP$5,0)),0),IF(ISERROR(1/VLOOKUP($N371,Capa!$A:$AE,AP$5,0)),0,1/VLOOKUP($N371,Capa!$A:$AE,AP$5,0))))</f>
        <v>0.2327623797</v>
      </c>
      <c r="AQ371" s="118">
        <f>IF(AQ$6="","",IF(AQ$3="Maior",IFERROR(IF(VLOOKUP($N371,Capa!$A:$AE,AQ$5,0)="",0,VLOOKUP($N371,Capa!$A:$AE,AQ$5,0)),0),IF(ISERROR(1/VLOOKUP($N371,Capa!$A:$AE,AQ$5,0)),0,1/VLOOKUP($N371,Capa!$A:$AE,AQ$5,0))))</f>
        <v>0</v>
      </c>
      <c r="AR371" s="118">
        <f>IF(AR$6="","",IF(AR$3="Maior",IFERROR(IF(VLOOKUP($N371,Capa!$A:$AE,AR$5,0)="",0,VLOOKUP($N371,Capa!$A:$AE,AR$5,0)),0),IF(ISERROR(1/VLOOKUP($N371,Capa!$A:$AE,AR$5,0)),0,1/VLOOKUP($N371,Capa!$A:$AE,AR$5,0))))</f>
        <v>11.41</v>
      </c>
      <c r="AS371" s="118" t="str">
        <f>IF(AS$6="","",IF(AS$3="Maior",IFERROR(IF(VLOOKUP($N371,Capa!$A:$AE,AS$5,0)="",0,VLOOKUP($N371,Capa!$A:$AE,AS$5,0)),0),IF(ISERROR(1/VLOOKUP($N371,Capa!$A:$AE,AS$5,0)),0,1/VLOOKUP($N371,Capa!$A:$AE,AS$5,0))))</f>
        <v/>
      </c>
      <c r="AT371" s="118" t="str">
        <f>IF(AT$6="","",IF(AT$3="Maior",IFERROR(IF(VLOOKUP($N371,Capa!$A:$AE,AT$5,0)="",0,VLOOKUP($N371,Capa!$A:$AE,AT$5,0)),0),IF(ISERROR(1/VLOOKUP($N371,Capa!$A:$AE,AT$5,0)),0,1/VLOOKUP($N371,Capa!$A:$AE,AT$5,0))))</f>
        <v/>
      </c>
      <c r="AU371" s="118" t="str">
        <f>IF(AU$6="","",IF(AU$3="Maior",IFERROR(IF(VLOOKUP($N371,Capa!$A:$AE,AU$5,0)="",0,VLOOKUP($N371,Capa!$A:$AE,AU$5,0)),0),IF(ISERROR(1/VLOOKUP($N371,Capa!$A:$AE,AU$5,0)),0,1/VLOOKUP($N371,Capa!$A:$AE,AU$5,0))))</f>
        <v/>
      </c>
      <c r="AV371" s="118" t="str">
        <f>IF(AV$6="","",IF(AV$3="Maior",IFERROR(IF(VLOOKUP($N371,Capa!$A:$AE,AV$5,0)="",0,VLOOKUP($N371,Capa!$A:$AE,AV$5,0)),0),IF(ISERROR(1/VLOOKUP($N371,Capa!$A:$AE,AV$5,0)),0,1/VLOOKUP($N371,Capa!$A:$AE,AV$5,0))))</f>
        <v/>
      </c>
      <c r="AW371" s="118" t="str">
        <f>IF(AW$6="","",IF(AW$3="Maior",IFERROR(IF(VLOOKUP($N371,Capa!$A:$AE,AW$5,0)="",0,VLOOKUP($N371,Capa!$A:$AE,AW$5,0)),0),IF(ISERROR(1/VLOOKUP($N371,Capa!$A:$AE,AW$5,0)),0,1/VLOOKUP($N371,Capa!$A:$AE,AW$5,0))))</f>
        <v/>
      </c>
      <c r="AX371" s="118" t="str">
        <f>IF(AX$6="","",IF(AX$3="Maior",IFERROR(IF(VLOOKUP($N371,Capa!$A:$AE,AX$5,0)="",0,VLOOKUP($N371,Capa!$A:$AE,AX$5,0)),0),IF(ISERROR(1/VLOOKUP($N371,Capa!$A:$AE,AX$5,0)),0,1/VLOOKUP($N371,Capa!$A:$AE,AX$5,0))))</f>
        <v/>
      </c>
      <c r="AY371" s="118" t="str">
        <f>IF(AY$6="","",IF(AY$3="Maior",IFERROR(IF(VLOOKUP($N371,Capa!$A:$AE,AY$5,0)="",0,VLOOKUP($N371,Capa!$A:$AE,AY$5,0)),0),IF(ISERROR(1/VLOOKUP($N371,Capa!$A:$AE,AY$5,0)),0,1/VLOOKUP($N371,Capa!$A:$AE,AY$5,0))))</f>
        <v/>
      </c>
      <c r="AZ371" s="118" t="str">
        <f>IF(AZ$6="","",IF(AZ$3="Maior",IFERROR(IF(VLOOKUP($N371,Capa!$A:$AE,AZ$5,0)="",0,VLOOKUP($N371,Capa!$A:$AE,AZ$5,0)),0),IF(ISERROR(1/VLOOKUP($N371,Capa!$A:$AE,AZ$5,0)),0,1/VLOOKUP($N371,Capa!$A:$AE,AZ$5,0))))</f>
        <v/>
      </c>
      <c r="BA371" s="118" t="str">
        <f>IF(BA$6="","",IF(BA$3="Maior",IFERROR(IF(VLOOKUP($N371,Capa!$A:$AE,BA$5,0)="",0,VLOOKUP($N371,Capa!$A:$AE,BA$5,0)),0),IF(ISERROR(1/VLOOKUP($N371,Capa!$A:$AE,BA$5,0)),0,1/VLOOKUP($N371,Capa!$A:$AE,BA$5,0))))</f>
        <v/>
      </c>
      <c r="BB371" s="118" t="str">
        <f>IF(BB$6="","",IF(BB$3="Maior",IFERROR(IF(VLOOKUP($N371,Capa!$A:$AE,BB$5,0)="",0,VLOOKUP($N371,Capa!$A:$AE,BB$5,0)),0),IF(ISERROR(1/VLOOKUP($N371,Capa!$A:$AE,BB$5,0)),0,1/VLOOKUP($N371,Capa!$A:$AE,BB$5,0))))</f>
        <v/>
      </c>
      <c r="BC371" s="118" t="str">
        <f>IF(BC$6="","",IF(BC$3="Maior",IFERROR(IF(VLOOKUP($N371,Capa!$A:$AE,BC$5,0)="",0,VLOOKUP($N371,Capa!$A:$AE,BC$5,0)),0),IF(ISERROR(1/VLOOKUP($N371,Capa!$A:$AE,BC$5,0)),0,1/VLOOKUP($N371,Capa!$A:$AE,BC$5,0))))</f>
        <v/>
      </c>
      <c r="BD371" s="118" t="str">
        <f>IF(BD$6="","",IF(BD$3="Maior",IFERROR(IF(VLOOKUP($N371,Capa!$A:$AE,BD$5,0)="",0,VLOOKUP($N371,Capa!$A:$AE,BD$5,0)),0),IF(ISERROR(1/VLOOKUP($N371,Capa!$A:$AE,BD$5,0)),0,1/VLOOKUP($N371,Capa!$A:$AE,BD$5,0))))</f>
        <v/>
      </c>
      <c r="BE371" s="118" t="str">
        <f>IF(BE$6="","",IF(BE$3="Maior",IFERROR(IF(VLOOKUP($N371,Capa!$A:$AE,BE$5,0)="",0,VLOOKUP($N371,Capa!$A:$AE,BE$5,0)),0),IF(ISERROR(1/VLOOKUP($N371,Capa!$A:$AE,BE$5,0)),0,1/VLOOKUP($N371,Capa!$A:$AE,BE$5,0))))</f>
        <v/>
      </c>
      <c r="BF371" s="118" t="str">
        <f>IF(BF$6="","",IF(BF$3="Maior",IFERROR(IF(VLOOKUP($N371,Capa!$A:$AE,BF$5,0)="",0,VLOOKUP($N371,Capa!$A:$AE,BF$5,0)),0),IF(ISERROR(1/VLOOKUP($N371,Capa!$A:$AE,BF$5,0)),0,1/VLOOKUP($N371,Capa!$A:$AE,BF$5,0))))</f>
        <v/>
      </c>
      <c r="BG371" s="118" t="str">
        <f>IF(BG$6="","",IF(BG$3="Maior",IFERROR(IF(VLOOKUP($N371,Capa!$A:$AE,BG$5,0)="",0,VLOOKUP($N371,Capa!$A:$AE,BG$5,0)),0),IF(ISERROR(1/VLOOKUP($N371,Capa!$A:$AE,BG$5,0)),0,1/VLOOKUP($N371,Capa!$A:$AE,BG$5,0))))</f>
        <v/>
      </c>
      <c r="BH371" s="118" t="str">
        <f>IF(BH$6="","",IF(BH$3="Maior",IFERROR(IF(VLOOKUP($N371,Capa!$A:$AE,BH$5,0)="",0,VLOOKUP($N371,Capa!$A:$AE,BH$5,0)),0),IF(ISERROR(1/VLOOKUP($N371,Capa!$A:$AE,BH$5,0)),0,1/VLOOKUP($N371,Capa!$A:$AE,BH$5,0))))</f>
        <v/>
      </c>
      <c r="BI371" s="118" t="str">
        <f>IF(BI$6="","",IF(BI$3="Maior",IFERROR(IF(VLOOKUP($N371,Capa!$A:$AE,BI$5,0)="",0,VLOOKUP($N371,Capa!$A:$AE,BI$5,0)),0),IF(ISERROR(1/VLOOKUP($N371,Capa!$A:$AE,BI$5,0)),0,1/VLOOKUP($N371,Capa!$A:$AE,BI$5,0))))</f>
        <v/>
      </c>
      <c r="BJ371" s="118" t="str">
        <f>IF(BJ$6="","",IF(BJ$3="Maior",IFERROR(IF(VLOOKUP($N371,Capa!$A:$AE,BJ$5,0)="",0,VLOOKUP($N371,Capa!$A:$AE,BJ$5,0)),0),IF(ISERROR(1/VLOOKUP($N371,Capa!$A:$AE,BJ$5,0)),0,1/VLOOKUP($N371,Capa!$A:$AE,BJ$5,0))))</f>
        <v/>
      </c>
      <c r="BK371" s="118" t="str">
        <f>IF(BK$6="","",IF(BK$3="Maior",IFERROR(IF(VLOOKUP($N371,Capa!$A:$AE,BK$5,0)="",0,VLOOKUP($N371,Capa!$A:$AE,BK$5,0)),0),IF(ISERROR(1/VLOOKUP($N371,Capa!$A:$AE,BK$5,0)),0,1/VLOOKUP($N371,Capa!$A:$AE,BK$5,0))))</f>
        <v/>
      </c>
      <c r="BL371" s="118" t="str">
        <f>IF(BL$6="","",IF(BL$3="Maior",IFERROR(IF(VLOOKUP($N371,Capa!$A:$AE,BL$5,0)="",0,VLOOKUP($N371,Capa!$A:$AE,BL$5,0)),0),IF(ISERROR(1/VLOOKUP($N371,Capa!$A:$AE,BL$5,0)),0,1/VLOOKUP($N371,Capa!$A:$AE,BL$5,0))))</f>
        <v/>
      </c>
      <c r="BM371" s="118" t="str">
        <f>IF(BM$6="","",IF(BM$3="Maior",IFERROR(IF(VLOOKUP($N371,Capa!$A:$AE,BM$5,0)="",0,VLOOKUP($N371,Capa!$A:$AE,BM$5,0)),0),IF(ISERROR(1/VLOOKUP($N371,Capa!$A:$AE,BM$5,0)),0,1/VLOOKUP($N371,Capa!$A:$AE,BM$5,0))))</f>
        <v/>
      </c>
      <c r="BN371" s="118" t="str">
        <f>IF(BN$6="","",IF(BN$3="Maior",IFERROR(IF(VLOOKUP($N371,Capa!$A:$AE,BN$5,0)="",0,VLOOKUP($N371,Capa!$A:$AE,BN$5,0)),0),IF(ISERROR(1/VLOOKUP($N371,Capa!$A:$AE,BN$5,0)),0,1/VLOOKUP($N371,Capa!$A:$AE,BN$5,0))))</f>
        <v/>
      </c>
      <c r="BO371" s="92"/>
    </row>
    <row r="372">
      <c r="G372" s="11"/>
      <c r="H372" s="11"/>
      <c r="I372" s="8"/>
      <c r="J372" s="132"/>
      <c r="K372" s="11"/>
      <c r="L372" s="11"/>
      <c r="M372" s="11"/>
      <c r="N372" s="10" t="s">
        <v>418</v>
      </c>
      <c r="O372" s="113">
        <f t="shared" si="8"/>
        <v>2069.0368</v>
      </c>
      <c r="P372" s="114">
        <f>VLOOKUP(N372,'Dados StatusInvest'!A:Z,26,0)</f>
        <v>83552.29</v>
      </c>
      <c r="Q372" s="115">
        <f t="shared" si="9"/>
        <v>368.0368</v>
      </c>
      <c r="R372" s="116">
        <f t="shared" ref="R372:AO372" si="375">IF(AQ372="","", RANK(AQ372,AQ$7:AQ$503,0))</f>
        <v>482</v>
      </c>
      <c r="S372" s="115">
        <f t="shared" si="375"/>
        <v>219</v>
      </c>
      <c r="T372" s="115" t="str">
        <f t="shared" si="375"/>
        <v/>
      </c>
      <c r="U372" s="115" t="str">
        <f t="shared" si="375"/>
        <v/>
      </c>
      <c r="V372" s="115" t="str">
        <f t="shared" si="375"/>
        <v/>
      </c>
      <c r="W372" s="115" t="str">
        <f t="shared" si="375"/>
        <v/>
      </c>
      <c r="X372" s="115" t="str">
        <f t="shared" si="375"/>
        <v/>
      </c>
      <c r="Y372" s="115" t="str">
        <f t="shared" si="375"/>
        <v/>
      </c>
      <c r="Z372" s="115" t="str">
        <f t="shared" si="375"/>
        <v/>
      </c>
      <c r="AA372" s="115" t="str">
        <f t="shared" si="375"/>
        <v/>
      </c>
      <c r="AB372" s="115" t="str">
        <f t="shared" si="375"/>
        <v/>
      </c>
      <c r="AC372" s="115" t="str">
        <f t="shared" si="375"/>
        <v/>
      </c>
      <c r="AD372" s="115" t="str">
        <f t="shared" si="375"/>
        <v/>
      </c>
      <c r="AE372" s="115" t="str">
        <f t="shared" si="375"/>
        <v/>
      </c>
      <c r="AF372" s="115" t="str">
        <f t="shared" si="375"/>
        <v/>
      </c>
      <c r="AG372" s="115" t="str">
        <f t="shared" si="375"/>
        <v/>
      </c>
      <c r="AH372" s="115" t="str">
        <f t="shared" si="375"/>
        <v/>
      </c>
      <c r="AI372" s="115" t="str">
        <f t="shared" si="375"/>
        <v/>
      </c>
      <c r="AJ372" s="115" t="str">
        <f t="shared" si="375"/>
        <v/>
      </c>
      <c r="AK372" s="115" t="str">
        <f t="shared" si="375"/>
        <v/>
      </c>
      <c r="AL372" s="115" t="str">
        <f t="shared" si="375"/>
        <v/>
      </c>
      <c r="AM372" s="115" t="str">
        <f t="shared" si="375"/>
        <v/>
      </c>
      <c r="AN372" s="115" t="str">
        <f t="shared" si="375"/>
        <v/>
      </c>
      <c r="AO372" s="115" t="str">
        <f t="shared" si="375"/>
        <v/>
      </c>
      <c r="AP372" s="117">
        <f>IF(AP$6="","",IF(AP$3="Maior",IFERROR(IF(VLOOKUP($N372,Capa!$A:$AE,AP$5,0)="",0,VLOOKUP($N372,Capa!$A:$AE,AP$5,0)),0),IF(ISERROR(1/VLOOKUP($N372,Capa!$A:$AE,AP$5,0)),0,1/VLOOKUP($N372,Capa!$A:$AE,AP$5,0))))</f>
        <v>0.02105571012</v>
      </c>
      <c r="AQ372" s="118">
        <f>IF(AQ$6="","",IF(AQ$3="Maior",IFERROR(IF(VLOOKUP($N372,Capa!$A:$AE,AQ$5,0)="",0,VLOOKUP($N372,Capa!$A:$AE,AQ$5,0)),0),IF(ISERROR(1/VLOOKUP($N372,Capa!$A:$AE,AQ$5,0)),0,1/VLOOKUP($N372,Capa!$A:$AE,AQ$5,0))))</f>
        <v>-35.08</v>
      </c>
      <c r="AR372" s="118">
        <f>IF(AR$6="","",IF(AR$3="Maior",IFERROR(IF(VLOOKUP($N372,Capa!$A:$AE,AR$5,0)="",0,VLOOKUP($N372,Capa!$A:$AE,AR$5,0)),0),IF(ISERROR(1/VLOOKUP($N372,Capa!$A:$AE,AR$5,0)),0,1/VLOOKUP($N372,Capa!$A:$AE,AR$5,0))))</f>
        <v>0</v>
      </c>
      <c r="AS372" s="118" t="str">
        <f>IF(AS$6="","",IF(AS$3="Maior",IFERROR(IF(VLOOKUP($N372,Capa!$A:$AE,AS$5,0)="",0,VLOOKUP($N372,Capa!$A:$AE,AS$5,0)),0),IF(ISERROR(1/VLOOKUP($N372,Capa!$A:$AE,AS$5,0)),0,1/VLOOKUP($N372,Capa!$A:$AE,AS$5,0))))</f>
        <v/>
      </c>
      <c r="AT372" s="118" t="str">
        <f>IF(AT$6="","",IF(AT$3="Maior",IFERROR(IF(VLOOKUP($N372,Capa!$A:$AE,AT$5,0)="",0,VLOOKUP($N372,Capa!$A:$AE,AT$5,0)),0),IF(ISERROR(1/VLOOKUP($N372,Capa!$A:$AE,AT$5,0)),0,1/VLOOKUP($N372,Capa!$A:$AE,AT$5,0))))</f>
        <v/>
      </c>
      <c r="AU372" s="118" t="str">
        <f>IF(AU$6="","",IF(AU$3="Maior",IFERROR(IF(VLOOKUP($N372,Capa!$A:$AE,AU$5,0)="",0,VLOOKUP($N372,Capa!$A:$AE,AU$5,0)),0),IF(ISERROR(1/VLOOKUP($N372,Capa!$A:$AE,AU$5,0)),0,1/VLOOKUP($N372,Capa!$A:$AE,AU$5,0))))</f>
        <v/>
      </c>
      <c r="AV372" s="118" t="str">
        <f>IF(AV$6="","",IF(AV$3="Maior",IFERROR(IF(VLOOKUP($N372,Capa!$A:$AE,AV$5,0)="",0,VLOOKUP($N372,Capa!$A:$AE,AV$5,0)),0),IF(ISERROR(1/VLOOKUP($N372,Capa!$A:$AE,AV$5,0)),0,1/VLOOKUP($N372,Capa!$A:$AE,AV$5,0))))</f>
        <v/>
      </c>
      <c r="AW372" s="118" t="str">
        <f>IF(AW$6="","",IF(AW$3="Maior",IFERROR(IF(VLOOKUP($N372,Capa!$A:$AE,AW$5,0)="",0,VLOOKUP($N372,Capa!$A:$AE,AW$5,0)),0),IF(ISERROR(1/VLOOKUP($N372,Capa!$A:$AE,AW$5,0)),0,1/VLOOKUP($N372,Capa!$A:$AE,AW$5,0))))</f>
        <v/>
      </c>
      <c r="AX372" s="118" t="str">
        <f>IF(AX$6="","",IF(AX$3="Maior",IFERROR(IF(VLOOKUP($N372,Capa!$A:$AE,AX$5,0)="",0,VLOOKUP($N372,Capa!$A:$AE,AX$5,0)),0),IF(ISERROR(1/VLOOKUP($N372,Capa!$A:$AE,AX$5,0)),0,1/VLOOKUP($N372,Capa!$A:$AE,AX$5,0))))</f>
        <v/>
      </c>
      <c r="AY372" s="118" t="str">
        <f>IF(AY$6="","",IF(AY$3="Maior",IFERROR(IF(VLOOKUP($N372,Capa!$A:$AE,AY$5,0)="",0,VLOOKUP($N372,Capa!$A:$AE,AY$5,0)),0),IF(ISERROR(1/VLOOKUP($N372,Capa!$A:$AE,AY$5,0)),0,1/VLOOKUP($N372,Capa!$A:$AE,AY$5,0))))</f>
        <v/>
      </c>
      <c r="AZ372" s="118" t="str">
        <f>IF(AZ$6="","",IF(AZ$3="Maior",IFERROR(IF(VLOOKUP($N372,Capa!$A:$AE,AZ$5,0)="",0,VLOOKUP($N372,Capa!$A:$AE,AZ$5,0)),0),IF(ISERROR(1/VLOOKUP($N372,Capa!$A:$AE,AZ$5,0)),0,1/VLOOKUP($N372,Capa!$A:$AE,AZ$5,0))))</f>
        <v/>
      </c>
      <c r="BA372" s="118" t="str">
        <f>IF(BA$6="","",IF(BA$3="Maior",IFERROR(IF(VLOOKUP($N372,Capa!$A:$AE,BA$5,0)="",0,VLOOKUP($N372,Capa!$A:$AE,BA$5,0)),0),IF(ISERROR(1/VLOOKUP($N372,Capa!$A:$AE,BA$5,0)),0,1/VLOOKUP($N372,Capa!$A:$AE,BA$5,0))))</f>
        <v/>
      </c>
      <c r="BB372" s="118" t="str">
        <f>IF(BB$6="","",IF(BB$3="Maior",IFERROR(IF(VLOOKUP($N372,Capa!$A:$AE,BB$5,0)="",0,VLOOKUP($N372,Capa!$A:$AE,BB$5,0)),0),IF(ISERROR(1/VLOOKUP($N372,Capa!$A:$AE,BB$5,0)),0,1/VLOOKUP($N372,Capa!$A:$AE,BB$5,0))))</f>
        <v/>
      </c>
      <c r="BC372" s="118" t="str">
        <f>IF(BC$6="","",IF(BC$3="Maior",IFERROR(IF(VLOOKUP($N372,Capa!$A:$AE,BC$5,0)="",0,VLOOKUP($N372,Capa!$A:$AE,BC$5,0)),0),IF(ISERROR(1/VLOOKUP($N372,Capa!$A:$AE,BC$5,0)),0,1/VLOOKUP($N372,Capa!$A:$AE,BC$5,0))))</f>
        <v/>
      </c>
      <c r="BD372" s="118" t="str">
        <f>IF(BD$6="","",IF(BD$3="Maior",IFERROR(IF(VLOOKUP($N372,Capa!$A:$AE,BD$5,0)="",0,VLOOKUP($N372,Capa!$A:$AE,BD$5,0)),0),IF(ISERROR(1/VLOOKUP($N372,Capa!$A:$AE,BD$5,0)),0,1/VLOOKUP($N372,Capa!$A:$AE,BD$5,0))))</f>
        <v/>
      </c>
      <c r="BE372" s="118" t="str">
        <f>IF(BE$6="","",IF(BE$3="Maior",IFERROR(IF(VLOOKUP($N372,Capa!$A:$AE,BE$5,0)="",0,VLOOKUP($N372,Capa!$A:$AE,BE$5,0)),0),IF(ISERROR(1/VLOOKUP($N372,Capa!$A:$AE,BE$5,0)),0,1/VLOOKUP($N372,Capa!$A:$AE,BE$5,0))))</f>
        <v/>
      </c>
      <c r="BF372" s="118" t="str">
        <f>IF(BF$6="","",IF(BF$3="Maior",IFERROR(IF(VLOOKUP($N372,Capa!$A:$AE,BF$5,0)="",0,VLOOKUP($N372,Capa!$A:$AE,BF$5,0)),0),IF(ISERROR(1/VLOOKUP($N372,Capa!$A:$AE,BF$5,0)),0,1/VLOOKUP($N372,Capa!$A:$AE,BF$5,0))))</f>
        <v/>
      </c>
      <c r="BG372" s="118" t="str">
        <f>IF(BG$6="","",IF(BG$3="Maior",IFERROR(IF(VLOOKUP($N372,Capa!$A:$AE,BG$5,0)="",0,VLOOKUP($N372,Capa!$A:$AE,BG$5,0)),0),IF(ISERROR(1/VLOOKUP($N372,Capa!$A:$AE,BG$5,0)),0,1/VLOOKUP($N372,Capa!$A:$AE,BG$5,0))))</f>
        <v/>
      </c>
      <c r="BH372" s="118" t="str">
        <f>IF(BH$6="","",IF(BH$3="Maior",IFERROR(IF(VLOOKUP($N372,Capa!$A:$AE,BH$5,0)="",0,VLOOKUP($N372,Capa!$A:$AE,BH$5,0)),0),IF(ISERROR(1/VLOOKUP($N372,Capa!$A:$AE,BH$5,0)),0,1/VLOOKUP($N372,Capa!$A:$AE,BH$5,0))))</f>
        <v/>
      </c>
      <c r="BI372" s="118" t="str">
        <f>IF(BI$6="","",IF(BI$3="Maior",IFERROR(IF(VLOOKUP($N372,Capa!$A:$AE,BI$5,0)="",0,VLOOKUP($N372,Capa!$A:$AE,BI$5,0)),0),IF(ISERROR(1/VLOOKUP($N372,Capa!$A:$AE,BI$5,0)),0,1/VLOOKUP($N372,Capa!$A:$AE,BI$5,0))))</f>
        <v/>
      </c>
      <c r="BJ372" s="118" t="str">
        <f>IF(BJ$6="","",IF(BJ$3="Maior",IFERROR(IF(VLOOKUP($N372,Capa!$A:$AE,BJ$5,0)="",0,VLOOKUP($N372,Capa!$A:$AE,BJ$5,0)),0),IF(ISERROR(1/VLOOKUP($N372,Capa!$A:$AE,BJ$5,0)),0,1/VLOOKUP($N372,Capa!$A:$AE,BJ$5,0))))</f>
        <v/>
      </c>
      <c r="BK372" s="118" t="str">
        <f>IF(BK$6="","",IF(BK$3="Maior",IFERROR(IF(VLOOKUP($N372,Capa!$A:$AE,BK$5,0)="",0,VLOOKUP($N372,Capa!$A:$AE,BK$5,0)),0),IF(ISERROR(1/VLOOKUP($N372,Capa!$A:$AE,BK$5,0)),0,1/VLOOKUP($N372,Capa!$A:$AE,BK$5,0))))</f>
        <v/>
      </c>
      <c r="BL372" s="118" t="str">
        <f>IF(BL$6="","",IF(BL$3="Maior",IFERROR(IF(VLOOKUP($N372,Capa!$A:$AE,BL$5,0)="",0,VLOOKUP($N372,Capa!$A:$AE,BL$5,0)),0),IF(ISERROR(1/VLOOKUP($N372,Capa!$A:$AE,BL$5,0)),0,1/VLOOKUP($N372,Capa!$A:$AE,BL$5,0))))</f>
        <v/>
      </c>
      <c r="BM372" s="118" t="str">
        <f>IF(BM$6="","",IF(BM$3="Maior",IFERROR(IF(VLOOKUP($N372,Capa!$A:$AE,BM$5,0)="",0,VLOOKUP($N372,Capa!$A:$AE,BM$5,0)),0),IF(ISERROR(1/VLOOKUP($N372,Capa!$A:$AE,BM$5,0)),0,1/VLOOKUP($N372,Capa!$A:$AE,BM$5,0))))</f>
        <v/>
      </c>
      <c r="BN372" s="118" t="str">
        <f>IF(BN$6="","",IF(BN$3="Maior",IFERROR(IF(VLOOKUP($N372,Capa!$A:$AE,BN$5,0)="",0,VLOOKUP($N372,Capa!$A:$AE,BN$5,0)),0),IF(ISERROR(1/VLOOKUP($N372,Capa!$A:$AE,BN$5,0)),0,1/VLOOKUP($N372,Capa!$A:$AE,BN$5,0))))</f>
        <v/>
      </c>
      <c r="BO372" s="92"/>
    </row>
    <row r="373">
      <c r="G373" s="11"/>
      <c r="H373" s="11"/>
      <c r="I373" s="8"/>
      <c r="J373" s="132"/>
      <c r="K373" s="11"/>
      <c r="L373" s="11"/>
      <c r="M373" s="11"/>
      <c r="N373" s="10" t="s">
        <v>419</v>
      </c>
      <c r="O373" s="113">
        <f t="shared" si="8"/>
        <v>1377.0263</v>
      </c>
      <c r="P373" s="114">
        <f>VLOOKUP(N373,'Dados StatusInvest'!A:Z,26,0)</f>
        <v>114327.78</v>
      </c>
      <c r="Q373" s="115">
        <f t="shared" si="9"/>
        <v>263.0263</v>
      </c>
      <c r="R373" s="116">
        <f t="shared" ref="R373:AO373" si="376">IF(AQ373="","", RANK(AQ373,AQ$7:AQ$503,0))</f>
        <v>98</v>
      </c>
      <c r="S373" s="115">
        <f t="shared" si="376"/>
        <v>16</v>
      </c>
      <c r="T373" s="115" t="str">
        <f t="shared" si="376"/>
        <v/>
      </c>
      <c r="U373" s="115" t="str">
        <f t="shared" si="376"/>
        <v/>
      </c>
      <c r="V373" s="115" t="str">
        <f t="shared" si="376"/>
        <v/>
      </c>
      <c r="W373" s="115" t="str">
        <f t="shared" si="376"/>
        <v/>
      </c>
      <c r="X373" s="115" t="str">
        <f t="shared" si="376"/>
        <v/>
      </c>
      <c r="Y373" s="115" t="str">
        <f t="shared" si="376"/>
        <v/>
      </c>
      <c r="Z373" s="115" t="str">
        <f t="shared" si="376"/>
        <v/>
      </c>
      <c r="AA373" s="115" t="str">
        <f t="shared" si="376"/>
        <v/>
      </c>
      <c r="AB373" s="115" t="str">
        <f t="shared" si="376"/>
        <v/>
      </c>
      <c r="AC373" s="115" t="str">
        <f t="shared" si="376"/>
        <v/>
      </c>
      <c r="AD373" s="115" t="str">
        <f t="shared" si="376"/>
        <v/>
      </c>
      <c r="AE373" s="115" t="str">
        <f t="shared" si="376"/>
        <v/>
      </c>
      <c r="AF373" s="115" t="str">
        <f t="shared" si="376"/>
        <v/>
      </c>
      <c r="AG373" s="115" t="str">
        <f t="shared" si="376"/>
        <v/>
      </c>
      <c r="AH373" s="115" t="str">
        <f t="shared" si="376"/>
        <v/>
      </c>
      <c r="AI373" s="115" t="str">
        <f t="shared" si="376"/>
        <v/>
      </c>
      <c r="AJ373" s="115" t="str">
        <f t="shared" si="376"/>
        <v/>
      </c>
      <c r="AK373" s="115" t="str">
        <f t="shared" si="376"/>
        <v/>
      </c>
      <c r="AL373" s="115" t="str">
        <f t="shared" si="376"/>
        <v/>
      </c>
      <c r="AM373" s="115" t="str">
        <f t="shared" si="376"/>
        <v/>
      </c>
      <c r="AN373" s="115" t="str">
        <f t="shared" si="376"/>
        <v/>
      </c>
      <c r="AO373" s="115" t="str">
        <f t="shared" si="376"/>
        <v/>
      </c>
      <c r="AP373" s="117">
        <f>IF(AP$6="","",IF(AP$3="Maior",IFERROR(IF(VLOOKUP($N373,Capa!$A:$AE,AP$5,0)="",0,VLOOKUP($N373,Capa!$A:$AE,AP$5,0)),0),IF(ISERROR(1/VLOOKUP($N373,Capa!$A:$AE,AP$5,0)),0,1/VLOOKUP($N373,Capa!$A:$AE,AP$5,0))))</f>
        <v>0.07299270073</v>
      </c>
      <c r="AQ373" s="118">
        <f>IF(AQ$6="","",IF(AQ$3="Maior",IFERROR(IF(VLOOKUP($N373,Capa!$A:$AE,AQ$5,0)="",0,VLOOKUP($N373,Capa!$A:$AE,AQ$5,0)),0),IF(ISERROR(1/VLOOKUP($N373,Capa!$A:$AE,AQ$5,0)),0,1/VLOOKUP($N373,Capa!$A:$AE,AQ$5,0))))</f>
        <v>18.13</v>
      </c>
      <c r="AR373" s="118">
        <f>IF(AR$6="","",IF(AR$3="Maior",IFERROR(IF(VLOOKUP($N373,Capa!$A:$AE,AR$5,0)="",0,VLOOKUP($N373,Capa!$A:$AE,AR$5,0)),0),IF(ISERROR(1/VLOOKUP($N373,Capa!$A:$AE,AR$5,0)),0,1/VLOOKUP($N373,Capa!$A:$AE,AR$5,0))))</f>
        <v>92.28</v>
      </c>
      <c r="AS373" s="118" t="str">
        <f>IF(AS$6="","",IF(AS$3="Maior",IFERROR(IF(VLOOKUP($N373,Capa!$A:$AE,AS$5,0)="",0,VLOOKUP($N373,Capa!$A:$AE,AS$5,0)),0),IF(ISERROR(1/VLOOKUP($N373,Capa!$A:$AE,AS$5,0)),0,1/VLOOKUP($N373,Capa!$A:$AE,AS$5,0))))</f>
        <v/>
      </c>
      <c r="AT373" s="118" t="str">
        <f>IF(AT$6="","",IF(AT$3="Maior",IFERROR(IF(VLOOKUP($N373,Capa!$A:$AE,AT$5,0)="",0,VLOOKUP($N373,Capa!$A:$AE,AT$5,0)),0),IF(ISERROR(1/VLOOKUP($N373,Capa!$A:$AE,AT$5,0)),0,1/VLOOKUP($N373,Capa!$A:$AE,AT$5,0))))</f>
        <v/>
      </c>
      <c r="AU373" s="118" t="str">
        <f>IF(AU$6="","",IF(AU$3="Maior",IFERROR(IF(VLOOKUP($N373,Capa!$A:$AE,AU$5,0)="",0,VLOOKUP($N373,Capa!$A:$AE,AU$5,0)),0),IF(ISERROR(1/VLOOKUP($N373,Capa!$A:$AE,AU$5,0)),0,1/VLOOKUP($N373,Capa!$A:$AE,AU$5,0))))</f>
        <v/>
      </c>
      <c r="AV373" s="118" t="str">
        <f>IF(AV$6="","",IF(AV$3="Maior",IFERROR(IF(VLOOKUP($N373,Capa!$A:$AE,AV$5,0)="",0,VLOOKUP($N373,Capa!$A:$AE,AV$5,0)),0),IF(ISERROR(1/VLOOKUP($N373,Capa!$A:$AE,AV$5,0)),0,1/VLOOKUP($N373,Capa!$A:$AE,AV$5,0))))</f>
        <v/>
      </c>
      <c r="AW373" s="118" t="str">
        <f>IF(AW$6="","",IF(AW$3="Maior",IFERROR(IF(VLOOKUP($N373,Capa!$A:$AE,AW$5,0)="",0,VLOOKUP($N373,Capa!$A:$AE,AW$5,0)),0),IF(ISERROR(1/VLOOKUP($N373,Capa!$A:$AE,AW$5,0)),0,1/VLOOKUP($N373,Capa!$A:$AE,AW$5,0))))</f>
        <v/>
      </c>
      <c r="AX373" s="118" t="str">
        <f>IF(AX$6="","",IF(AX$3="Maior",IFERROR(IF(VLOOKUP($N373,Capa!$A:$AE,AX$5,0)="",0,VLOOKUP($N373,Capa!$A:$AE,AX$5,0)),0),IF(ISERROR(1/VLOOKUP($N373,Capa!$A:$AE,AX$5,0)),0,1/VLOOKUP($N373,Capa!$A:$AE,AX$5,0))))</f>
        <v/>
      </c>
      <c r="AY373" s="118" t="str">
        <f>IF(AY$6="","",IF(AY$3="Maior",IFERROR(IF(VLOOKUP($N373,Capa!$A:$AE,AY$5,0)="",0,VLOOKUP($N373,Capa!$A:$AE,AY$5,0)),0),IF(ISERROR(1/VLOOKUP($N373,Capa!$A:$AE,AY$5,0)),0,1/VLOOKUP($N373,Capa!$A:$AE,AY$5,0))))</f>
        <v/>
      </c>
      <c r="AZ373" s="118" t="str">
        <f>IF(AZ$6="","",IF(AZ$3="Maior",IFERROR(IF(VLOOKUP($N373,Capa!$A:$AE,AZ$5,0)="",0,VLOOKUP($N373,Capa!$A:$AE,AZ$5,0)),0),IF(ISERROR(1/VLOOKUP($N373,Capa!$A:$AE,AZ$5,0)),0,1/VLOOKUP($N373,Capa!$A:$AE,AZ$5,0))))</f>
        <v/>
      </c>
      <c r="BA373" s="118" t="str">
        <f>IF(BA$6="","",IF(BA$3="Maior",IFERROR(IF(VLOOKUP($N373,Capa!$A:$AE,BA$5,0)="",0,VLOOKUP($N373,Capa!$A:$AE,BA$5,0)),0),IF(ISERROR(1/VLOOKUP($N373,Capa!$A:$AE,BA$5,0)),0,1/VLOOKUP($N373,Capa!$A:$AE,BA$5,0))))</f>
        <v/>
      </c>
      <c r="BB373" s="118" t="str">
        <f>IF(BB$6="","",IF(BB$3="Maior",IFERROR(IF(VLOOKUP($N373,Capa!$A:$AE,BB$5,0)="",0,VLOOKUP($N373,Capa!$A:$AE,BB$5,0)),0),IF(ISERROR(1/VLOOKUP($N373,Capa!$A:$AE,BB$5,0)),0,1/VLOOKUP($N373,Capa!$A:$AE,BB$5,0))))</f>
        <v/>
      </c>
      <c r="BC373" s="118" t="str">
        <f>IF(BC$6="","",IF(BC$3="Maior",IFERROR(IF(VLOOKUP($N373,Capa!$A:$AE,BC$5,0)="",0,VLOOKUP($N373,Capa!$A:$AE,BC$5,0)),0),IF(ISERROR(1/VLOOKUP($N373,Capa!$A:$AE,BC$5,0)),0,1/VLOOKUP($N373,Capa!$A:$AE,BC$5,0))))</f>
        <v/>
      </c>
      <c r="BD373" s="118" t="str">
        <f>IF(BD$6="","",IF(BD$3="Maior",IFERROR(IF(VLOOKUP($N373,Capa!$A:$AE,BD$5,0)="",0,VLOOKUP($N373,Capa!$A:$AE,BD$5,0)),0),IF(ISERROR(1/VLOOKUP($N373,Capa!$A:$AE,BD$5,0)),0,1/VLOOKUP($N373,Capa!$A:$AE,BD$5,0))))</f>
        <v/>
      </c>
      <c r="BE373" s="118" t="str">
        <f>IF(BE$6="","",IF(BE$3="Maior",IFERROR(IF(VLOOKUP($N373,Capa!$A:$AE,BE$5,0)="",0,VLOOKUP($N373,Capa!$A:$AE,BE$5,0)),0),IF(ISERROR(1/VLOOKUP($N373,Capa!$A:$AE,BE$5,0)),0,1/VLOOKUP($N373,Capa!$A:$AE,BE$5,0))))</f>
        <v/>
      </c>
      <c r="BF373" s="118" t="str">
        <f>IF(BF$6="","",IF(BF$3="Maior",IFERROR(IF(VLOOKUP($N373,Capa!$A:$AE,BF$5,0)="",0,VLOOKUP($N373,Capa!$A:$AE,BF$5,0)),0),IF(ISERROR(1/VLOOKUP($N373,Capa!$A:$AE,BF$5,0)),0,1/VLOOKUP($N373,Capa!$A:$AE,BF$5,0))))</f>
        <v/>
      </c>
      <c r="BG373" s="118" t="str">
        <f>IF(BG$6="","",IF(BG$3="Maior",IFERROR(IF(VLOOKUP($N373,Capa!$A:$AE,BG$5,0)="",0,VLOOKUP($N373,Capa!$A:$AE,BG$5,0)),0),IF(ISERROR(1/VLOOKUP($N373,Capa!$A:$AE,BG$5,0)),0,1/VLOOKUP($N373,Capa!$A:$AE,BG$5,0))))</f>
        <v/>
      </c>
      <c r="BH373" s="118" t="str">
        <f>IF(BH$6="","",IF(BH$3="Maior",IFERROR(IF(VLOOKUP($N373,Capa!$A:$AE,BH$5,0)="",0,VLOOKUP($N373,Capa!$A:$AE,BH$5,0)),0),IF(ISERROR(1/VLOOKUP($N373,Capa!$A:$AE,BH$5,0)),0,1/VLOOKUP($N373,Capa!$A:$AE,BH$5,0))))</f>
        <v/>
      </c>
      <c r="BI373" s="118" t="str">
        <f>IF(BI$6="","",IF(BI$3="Maior",IFERROR(IF(VLOOKUP($N373,Capa!$A:$AE,BI$5,0)="",0,VLOOKUP($N373,Capa!$A:$AE,BI$5,0)),0),IF(ISERROR(1/VLOOKUP($N373,Capa!$A:$AE,BI$5,0)),0,1/VLOOKUP($N373,Capa!$A:$AE,BI$5,0))))</f>
        <v/>
      </c>
      <c r="BJ373" s="118" t="str">
        <f>IF(BJ$6="","",IF(BJ$3="Maior",IFERROR(IF(VLOOKUP($N373,Capa!$A:$AE,BJ$5,0)="",0,VLOOKUP($N373,Capa!$A:$AE,BJ$5,0)),0),IF(ISERROR(1/VLOOKUP($N373,Capa!$A:$AE,BJ$5,0)),0,1/VLOOKUP($N373,Capa!$A:$AE,BJ$5,0))))</f>
        <v/>
      </c>
      <c r="BK373" s="118" t="str">
        <f>IF(BK$6="","",IF(BK$3="Maior",IFERROR(IF(VLOOKUP($N373,Capa!$A:$AE,BK$5,0)="",0,VLOOKUP($N373,Capa!$A:$AE,BK$5,0)),0),IF(ISERROR(1/VLOOKUP($N373,Capa!$A:$AE,BK$5,0)),0,1/VLOOKUP($N373,Capa!$A:$AE,BK$5,0))))</f>
        <v/>
      </c>
      <c r="BL373" s="118" t="str">
        <f>IF(BL$6="","",IF(BL$3="Maior",IFERROR(IF(VLOOKUP($N373,Capa!$A:$AE,BL$5,0)="",0,VLOOKUP($N373,Capa!$A:$AE,BL$5,0)),0),IF(ISERROR(1/VLOOKUP($N373,Capa!$A:$AE,BL$5,0)),0,1/VLOOKUP($N373,Capa!$A:$AE,BL$5,0))))</f>
        <v/>
      </c>
      <c r="BM373" s="118" t="str">
        <f>IF(BM$6="","",IF(BM$3="Maior",IFERROR(IF(VLOOKUP($N373,Capa!$A:$AE,BM$5,0)="",0,VLOOKUP($N373,Capa!$A:$AE,BM$5,0)),0),IF(ISERROR(1/VLOOKUP($N373,Capa!$A:$AE,BM$5,0)),0,1/VLOOKUP($N373,Capa!$A:$AE,BM$5,0))))</f>
        <v/>
      </c>
      <c r="BN373" s="118" t="str">
        <f>IF(BN$6="","",IF(BN$3="Maior",IFERROR(IF(VLOOKUP($N373,Capa!$A:$AE,BN$5,0)="",0,VLOOKUP($N373,Capa!$A:$AE,BN$5,0)),0),IF(ISERROR(1/VLOOKUP($N373,Capa!$A:$AE,BN$5,0)),0,1/VLOOKUP($N373,Capa!$A:$AE,BN$5,0))))</f>
        <v/>
      </c>
      <c r="BO373" s="92"/>
    </row>
    <row r="374">
      <c r="G374" s="11"/>
      <c r="H374" s="11"/>
      <c r="I374" s="8"/>
      <c r="J374" s="132"/>
      <c r="K374" s="11"/>
      <c r="L374" s="11"/>
      <c r="M374" s="11"/>
      <c r="N374" s="10" t="s">
        <v>420</v>
      </c>
      <c r="O374" s="113">
        <f t="shared" si="8"/>
        <v>1508.0193</v>
      </c>
      <c r="P374" s="114">
        <f>VLOOKUP(N374,'Dados StatusInvest'!A:Z,26,0)</f>
        <v>5265.13</v>
      </c>
      <c r="Q374" s="115">
        <f t="shared" si="9"/>
        <v>193.0193</v>
      </c>
      <c r="R374" s="116">
        <f t="shared" ref="R374:AO374" si="377">IF(AQ374="","", RANK(AQ374,AQ$7:AQ$503,0))</f>
        <v>145</v>
      </c>
      <c r="S374" s="115">
        <f t="shared" si="377"/>
        <v>170</v>
      </c>
      <c r="T374" s="115" t="str">
        <f t="shared" si="377"/>
        <v/>
      </c>
      <c r="U374" s="115" t="str">
        <f t="shared" si="377"/>
        <v/>
      </c>
      <c r="V374" s="115" t="str">
        <f t="shared" si="377"/>
        <v/>
      </c>
      <c r="W374" s="115" t="str">
        <f t="shared" si="377"/>
        <v/>
      </c>
      <c r="X374" s="115" t="str">
        <f t="shared" si="377"/>
        <v/>
      </c>
      <c r="Y374" s="115" t="str">
        <f t="shared" si="377"/>
        <v/>
      </c>
      <c r="Z374" s="115" t="str">
        <f t="shared" si="377"/>
        <v/>
      </c>
      <c r="AA374" s="115" t="str">
        <f t="shared" si="377"/>
        <v/>
      </c>
      <c r="AB374" s="115" t="str">
        <f t="shared" si="377"/>
        <v/>
      </c>
      <c r="AC374" s="115" t="str">
        <f t="shared" si="377"/>
        <v/>
      </c>
      <c r="AD374" s="115" t="str">
        <f t="shared" si="377"/>
        <v/>
      </c>
      <c r="AE374" s="115" t="str">
        <f t="shared" si="377"/>
        <v/>
      </c>
      <c r="AF374" s="115" t="str">
        <f t="shared" si="377"/>
        <v/>
      </c>
      <c r="AG374" s="115" t="str">
        <f t="shared" si="377"/>
        <v/>
      </c>
      <c r="AH374" s="115" t="str">
        <f t="shared" si="377"/>
        <v/>
      </c>
      <c r="AI374" s="115" t="str">
        <f t="shared" si="377"/>
        <v/>
      </c>
      <c r="AJ374" s="115" t="str">
        <f t="shared" si="377"/>
        <v/>
      </c>
      <c r="AK374" s="115" t="str">
        <f t="shared" si="377"/>
        <v/>
      </c>
      <c r="AL374" s="115" t="str">
        <f t="shared" si="377"/>
        <v/>
      </c>
      <c r="AM374" s="115" t="str">
        <f t="shared" si="377"/>
        <v/>
      </c>
      <c r="AN374" s="115" t="str">
        <f t="shared" si="377"/>
        <v/>
      </c>
      <c r="AO374" s="115" t="str">
        <f t="shared" si="377"/>
        <v/>
      </c>
      <c r="AP374" s="117">
        <f>IF(AP$6="","",IF(AP$3="Maior",IFERROR(IF(VLOOKUP($N374,Capa!$A:$AE,AP$5,0)="",0,VLOOKUP($N374,Capa!$A:$AE,AP$5,0)),0),IF(ISERROR(1/VLOOKUP($N374,Capa!$A:$AE,AP$5,0)),0,1/VLOOKUP($N374,Capa!$A:$AE,AP$5,0))))</f>
        <v>0.1104180966</v>
      </c>
      <c r="AQ374" s="118">
        <f>IF(AQ$6="","",IF(AQ$3="Maior",IFERROR(IF(VLOOKUP($N374,Capa!$A:$AE,AQ$5,0)="",0,VLOOKUP($N374,Capa!$A:$AE,AQ$5,0)),0),IF(ISERROR(1/VLOOKUP($N374,Capa!$A:$AE,AQ$5,0)),0,1/VLOOKUP($N374,Capa!$A:$AE,AQ$5,0))))</f>
        <v>14.32</v>
      </c>
      <c r="AR374" s="118">
        <f>IF(AR$6="","",IF(AR$3="Maior",IFERROR(IF(VLOOKUP($N374,Capa!$A:$AE,AR$5,0)="",0,VLOOKUP($N374,Capa!$A:$AE,AR$5,0)),0),IF(ISERROR(1/VLOOKUP($N374,Capa!$A:$AE,AR$5,0)),0,1/VLOOKUP($N374,Capa!$A:$AE,AR$5,0))))</f>
        <v>10.16</v>
      </c>
      <c r="AS374" s="118" t="str">
        <f>IF(AS$6="","",IF(AS$3="Maior",IFERROR(IF(VLOOKUP($N374,Capa!$A:$AE,AS$5,0)="",0,VLOOKUP($N374,Capa!$A:$AE,AS$5,0)),0),IF(ISERROR(1/VLOOKUP($N374,Capa!$A:$AE,AS$5,0)),0,1/VLOOKUP($N374,Capa!$A:$AE,AS$5,0))))</f>
        <v/>
      </c>
      <c r="AT374" s="118" t="str">
        <f>IF(AT$6="","",IF(AT$3="Maior",IFERROR(IF(VLOOKUP($N374,Capa!$A:$AE,AT$5,0)="",0,VLOOKUP($N374,Capa!$A:$AE,AT$5,0)),0),IF(ISERROR(1/VLOOKUP($N374,Capa!$A:$AE,AT$5,0)),0,1/VLOOKUP($N374,Capa!$A:$AE,AT$5,0))))</f>
        <v/>
      </c>
      <c r="AU374" s="118" t="str">
        <f>IF(AU$6="","",IF(AU$3="Maior",IFERROR(IF(VLOOKUP($N374,Capa!$A:$AE,AU$5,0)="",0,VLOOKUP($N374,Capa!$A:$AE,AU$5,0)),0),IF(ISERROR(1/VLOOKUP($N374,Capa!$A:$AE,AU$5,0)),0,1/VLOOKUP($N374,Capa!$A:$AE,AU$5,0))))</f>
        <v/>
      </c>
      <c r="AV374" s="118" t="str">
        <f>IF(AV$6="","",IF(AV$3="Maior",IFERROR(IF(VLOOKUP($N374,Capa!$A:$AE,AV$5,0)="",0,VLOOKUP($N374,Capa!$A:$AE,AV$5,0)),0),IF(ISERROR(1/VLOOKUP($N374,Capa!$A:$AE,AV$5,0)),0,1/VLOOKUP($N374,Capa!$A:$AE,AV$5,0))))</f>
        <v/>
      </c>
      <c r="AW374" s="118" t="str">
        <f>IF(AW$6="","",IF(AW$3="Maior",IFERROR(IF(VLOOKUP($N374,Capa!$A:$AE,AW$5,0)="",0,VLOOKUP($N374,Capa!$A:$AE,AW$5,0)),0),IF(ISERROR(1/VLOOKUP($N374,Capa!$A:$AE,AW$5,0)),0,1/VLOOKUP($N374,Capa!$A:$AE,AW$5,0))))</f>
        <v/>
      </c>
      <c r="AX374" s="118" t="str">
        <f>IF(AX$6="","",IF(AX$3="Maior",IFERROR(IF(VLOOKUP($N374,Capa!$A:$AE,AX$5,0)="",0,VLOOKUP($N374,Capa!$A:$AE,AX$5,0)),0),IF(ISERROR(1/VLOOKUP($N374,Capa!$A:$AE,AX$5,0)),0,1/VLOOKUP($N374,Capa!$A:$AE,AX$5,0))))</f>
        <v/>
      </c>
      <c r="AY374" s="118" t="str">
        <f>IF(AY$6="","",IF(AY$3="Maior",IFERROR(IF(VLOOKUP($N374,Capa!$A:$AE,AY$5,0)="",0,VLOOKUP($N374,Capa!$A:$AE,AY$5,0)),0),IF(ISERROR(1/VLOOKUP($N374,Capa!$A:$AE,AY$5,0)),0,1/VLOOKUP($N374,Capa!$A:$AE,AY$5,0))))</f>
        <v/>
      </c>
      <c r="AZ374" s="118" t="str">
        <f>IF(AZ$6="","",IF(AZ$3="Maior",IFERROR(IF(VLOOKUP($N374,Capa!$A:$AE,AZ$5,0)="",0,VLOOKUP($N374,Capa!$A:$AE,AZ$5,0)),0),IF(ISERROR(1/VLOOKUP($N374,Capa!$A:$AE,AZ$5,0)),0,1/VLOOKUP($N374,Capa!$A:$AE,AZ$5,0))))</f>
        <v/>
      </c>
      <c r="BA374" s="118" t="str">
        <f>IF(BA$6="","",IF(BA$3="Maior",IFERROR(IF(VLOOKUP($N374,Capa!$A:$AE,BA$5,0)="",0,VLOOKUP($N374,Capa!$A:$AE,BA$5,0)),0),IF(ISERROR(1/VLOOKUP($N374,Capa!$A:$AE,BA$5,0)),0,1/VLOOKUP($N374,Capa!$A:$AE,BA$5,0))))</f>
        <v/>
      </c>
      <c r="BB374" s="118" t="str">
        <f>IF(BB$6="","",IF(BB$3="Maior",IFERROR(IF(VLOOKUP($N374,Capa!$A:$AE,BB$5,0)="",0,VLOOKUP($N374,Capa!$A:$AE,BB$5,0)),0),IF(ISERROR(1/VLOOKUP($N374,Capa!$A:$AE,BB$5,0)),0,1/VLOOKUP($N374,Capa!$A:$AE,BB$5,0))))</f>
        <v/>
      </c>
      <c r="BC374" s="118" t="str">
        <f>IF(BC$6="","",IF(BC$3="Maior",IFERROR(IF(VLOOKUP($N374,Capa!$A:$AE,BC$5,0)="",0,VLOOKUP($N374,Capa!$A:$AE,BC$5,0)),0),IF(ISERROR(1/VLOOKUP($N374,Capa!$A:$AE,BC$5,0)),0,1/VLOOKUP($N374,Capa!$A:$AE,BC$5,0))))</f>
        <v/>
      </c>
      <c r="BD374" s="118" t="str">
        <f>IF(BD$6="","",IF(BD$3="Maior",IFERROR(IF(VLOOKUP($N374,Capa!$A:$AE,BD$5,0)="",0,VLOOKUP($N374,Capa!$A:$AE,BD$5,0)),0),IF(ISERROR(1/VLOOKUP($N374,Capa!$A:$AE,BD$5,0)),0,1/VLOOKUP($N374,Capa!$A:$AE,BD$5,0))))</f>
        <v/>
      </c>
      <c r="BE374" s="118" t="str">
        <f>IF(BE$6="","",IF(BE$3="Maior",IFERROR(IF(VLOOKUP($N374,Capa!$A:$AE,BE$5,0)="",0,VLOOKUP($N374,Capa!$A:$AE,BE$5,0)),0),IF(ISERROR(1/VLOOKUP($N374,Capa!$A:$AE,BE$5,0)),0,1/VLOOKUP($N374,Capa!$A:$AE,BE$5,0))))</f>
        <v/>
      </c>
      <c r="BF374" s="118" t="str">
        <f>IF(BF$6="","",IF(BF$3="Maior",IFERROR(IF(VLOOKUP($N374,Capa!$A:$AE,BF$5,0)="",0,VLOOKUP($N374,Capa!$A:$AE,BF$5,0)),0),IF(ISERROR(1/VLOOKUP($N374,Capa!$A:$AE,BF$5,0)),0,1/VLOOKUP($N374,Capa!$A:$AE,BF$5,0))))</f>
        <v/>
      </c>
      <c r="BG374" s="118" t="str">
        <f>IF(BG$6="","",IF(BG$3="Maior",IFERROR(IF(VLOOKUP($N374,Capa!$A:$AE,BG$5,0)="",0,VLOOKUP($N374,Capa!$A:$AE,BG$5,0)),0),IF(ISERROR(1/VLOOKUP($N374,Capa!$A:$AE,BG$5,0)),0,1/VLOOKUP($N374,Capa!$A:$AE,BG$5,0))))</f>
        <v/>
      </c>
      <c r="BH374" s="118" t="str">
        <f>IF(BH$6="","",IF(BH$3="Maior",IFERROR(IF(VLOOKUP($N374,Capa!$A:$AE,BH$5,0)="",0,VLOOKUP($N374,Capa!$A:$AE,BH$5,0)),0),IF(ISERROR(1/VLOOKUP($N374,Capa!$A:$AE,BH$5,0)),0,1/VLOOKUP($N374,Capa!$A:$AE,BH$5,0))))</f>
        <v/>
      </c>
      <c r="BI374" s="118" t="str">
        <f>IF(BI$6="","",IF(BI$3="Maior",IFERROR(IF(VLOOKUP($N374,Capa!$A:$AE,BI$5,0)="",0,VLOOKUP($N374,Capa!$A:$AE,BI$5,0)),0),IF(ISERROR(1/VLOOKUP($N374,Capa!$A:$AE,BI$5,0)),0,1/VLOOKUP($N374,Capa!$A:$AE,BI$5,0))))</f>
        <v/>
      </c>
      <c r="BJ374" s="118" t="str">
        <f>IF(BJ$6="","",IF(BJ$3="Maior",IFERROR(IF(VLOOKUP($N374,Capa!$A:$AE,BJ$5,0)="",0,VLOOKUP($N374,Capa!$A:$AE,BJ$5,0)),0),IF(ISERROR(1/VLOOKUP($N374,Capa!$A:$AE,BJ$5,0)),0,1/VLOOKUP($N374,Capa!$A:$AE,BJ$5,0))))</f>
        <v/>
      </c>
      <c r="BK374" s="118" t="str">
        <f>IF(BK$6="","",IF(BK$3="Maior",IFERROR(IF(VLOOKUP($N374,Capa!$A:$AE,BK$5,0)="",0,VLOOKUP($N374,Capa!$A:$AE,BK$5,0)),0),IF(ISERROR(1/VLOOKUP($N374,Capa!$A:$AE,BK$5,0)),0,1/VLOOKUP($N374,Capa!$A:$AE,BK$5,0))))</f>
        <v/>
      </c>
      <c r="BL374" s="118" t="str">
        <f>IF(BL$6="","",IF(BL$3="Maior",IFERROR(IF(VLOOKUP($N374,Capa!$A:$AE,BL$5,0)="",0,VLOOKUP($N374,Capa!$A:$AE,BL$5,0)),0),IF(ISERROR(1/VLOOKUP($N374,Capa!$A:$AE,BL$5,0)),0,1/VLOOKUP($N374,Capa!$A:$AE,BL$5,0))))</f>
        <v/>
      </c>
      <c r="BM374" s="118" t="str">
        <f>IF(BM$6="","",IF(BM$3="Maior",IFERROR(IF(VLOOKUP($N374,Capa!$A:$AE,BM$5,0)="",0,VLOOKUP($N374,Capa!$A:$AE,BM$5,0)),0),IF(ISERROR(1/VLOOKUP($N374,Capa!$A:$AE,BM$5,0)),0,1/VLOOKUP($N374,Capa!$A:$AE,BM$5,0))))</f>
        <v/>
      </c>
      <c r="BN374" s="118" t="str">
        <f>IF(BN$6="","",IF(BN$3="Maior",IFERROR(IF(VLOOKUP($N374,Capa!$A:$AE,BN$5,0)="",0,VLOOKUP($N374,Capa!$A:$AE,BN$5,0)),0),IF(ISERROR(1/VLOOKUP($N374,Capa!$A:$AE,BN$5,0)),0,1/VLOOKUP($N374,Capa!$A:$AE,BN$5,0))))</f>
        <v/>
      </c>
      <c r="BO374" s="92"/>
    </row>
    <row r="375">
      <c r="G375" s="11"/>
      <c r="H375" s="11"/>
      <c r="I375" s="8"/>
      <c r="J375" s="132"/>
      <c r="K375" s="11"/>
      <c r="L375" s="11"/>
      <c r="M375" s="11"/>
      <c r="N375" s="10" t="s">
        <v>421</v>
      </c>
      <c r="O375" s="113">
        <f t="shared" si="8"/>
        <v>1504.0249</v>
      </c>
      <c r="P375" s="114">
        <f>VLOOKUP(N375,'Dados StatusInvest'!A:Z,26,0)</f>
        <v>58824.83</v>
      </c>
      <c r="Q375" s="115">
        <f t="shared" si="9"/>
        <v>249.0249</v>
      </c>
      <c r="R375" s="116">
        <f t="shared" ref="R375:AO375" si="378">IF(AQ375="","", RANK(AQ375,AQ$7:AQ$503,0))</f>
        <v>174</v>
      </c>
      <c r="S375" s="115">
        <f t="shared" si="378"/>
        <v>81</v>
      </c>
      <c r="T375" s="115" t="str">
        <f t="shared" si="378"/>
        <v/>
      </c>
      <c r="U375" s="115" t="str">
        <f t="shared" si="378"/>
        <v/>
      </c>
      <c r="V375" s="115" t="str">
        <f t="shared" si="378"/>
        <v/>
      </c>
      <c r="W375" s="115" t="str">
        <f t="shared" si="378"/>
        <v/>
      </c>
      <c r="X375" s="115" t="str">
        <f t="shared" si="378"/>
        <v/>
      </c>
      <c r="Y375" s="115" t="str">
        <f t="shared" si="378"/>
        <v/>
      </c>
      <c r="Z375" s="115" t="str">
        <f t="shared" si="378"/>
        <v/>
      </c>
      <c r="AA375" s="115" t="str">
        <f t="shared" si="378"/>
        <v/>
      </c>
      <c r="AB375" s="115" t="str">
        <f t="shared" si="378"/>
        <v/>
      </c>
      <c r="AC375" s="115" t="str">
        <f t="shared" si="378"/>
        <v/>
      </c>
      <c r="AD375" s="115" t="str">
        <f t="shared" si="378"/>
        <v/>
      </c>
      <c r="AE375" s="115" t="str">
        <f t="shared" si="378"/>
        <v/>
      </c>
      <c r="AF375" s="115" t="str">
        <f t="shared" si="378"/>
        <v/>
      </c>
      <c r="AG375" s="115" t="str">
        <f t="shared" si="378"/>
        <v/>
      </c>
      <c r="AH375" s="115" t="str">
        <f t="shared" si="378"/>
        <v/>
      </c>
      <c r="AI375" s="115" t="str">
        <f t="shared" si="378"/>
        <v/>
      </c>
      <c r="AJ375" s="115" t="str">
        <f t="shared" si="378"/>
        <v/>
      </c>
      <c r="AK375" s="115" t="str">
        <f t="shared" si="378"/>
        <v/>
      </c>
      <c r="AL375" s="115" t="str">
        <f t="shared" si="378"/>
        <v/>
      </c>
      <c r="AM375" s="115" t="str">
        <f t="shared" si="378"/>
        <v/>
      </c>
      <c r="AN375" s="115" t="str">
        <f t="shared" si="378"/>
        <v/>
      </c>
      <c r="AO375" s="115" t="str">
        <f t="shared" si="378"/>
        <v/>
      </c>
      <c r="AP375" s="117">
        <f>IF(AP$6="","",IF(AP$3="Maior",IFERROR(IF(VLOOKUP($N375,Capa!$A:$AE,AP$5,0)="",0,VLOOKUP($N375,Capa!$A:$AE,AP$5,0)),0),IF(ISERROR(1/VLOOKUP($N375,Capa!$A:$AE,AP$5,0)),0,1/VLOOKUP($N375,Capa!$A:$AE,AP$5,0))))</f>
        <v>0.08177199111</v>
      </c>
      <c r="AQ375" s="118">
        <f>IF(AQ$6="","",IF(AQ$3="Maior",IFERROR(IF(VLOOKUP($N375,Capa!$A:$AE,AQ$5,0)="",0,VLOOKUP($N375,Capa!$A:$AE,AQ$5,0)),0),IF(ISERROR(1/VLOOKUP($N375,Capa!$A:$AE,AQ$5,0)),0,1/VLOOKUP($N375,Capa!$A:$AE,AQ$5,0))))</f>
        <v>12.7</v>
      </c>
      <c r="AR375" s="118">
        <f>IF(AR$6="","",IF(AR$3="Maior",IFERROR(IF(VLOOKUP($N375,Capa!$A:$AE,AR$5,0)="",0,VLOOKUP($N375,Capa!$A:$AE,AR$5,0)),0),IF(ISERROR(1/VLOOKUP($N375,Capa!$A:$AE,AR$5,0)),0,1/VLOOKUP($N375,Capa!$A:$AE,AR$5,0))))</f>
        <v>35.18</v>
      </c>
      <c r="AS375" s="118" t="str">
        <f>IF(AS$6="","",IF(AS$3="Maior",IFERROR(IF(VLOOKUP($N375,Capa!$A:$AE,AS$5,0)="",0,VLOOKUP($N375,Capa!$A:$AE,AS$5,0)),0),IF(ISERROR(1/VLOOKUP($N375,Capa!$A:$AE,AS$5,0)),0,1/VLOOKUP($N375,Capa!$A:$AE,AS$5,0))))</f>
        <v/>
      </c>
      <c r="AT375" s="118" t="str">
        <f>IF(AT$6="","",IF(AT$3="Maior",IFERROR(IF(VLOOKUP($N375,Capa!$A:$AE,AT$5,0)="",0,VLOOKUP($N375,Capa!$A:$AE,AT$5,0)),0),IF(ISERROR(1/VLOOKUP($N375,Capa!$A:$AE,AT$5,0)),0,1/VLOOKUP($N375,Capa!$A:$AE,AT$5,0))))</f>
        <v/>
      </c>
      <c r="AU375" s="118" t="str">
        <f>IF(AU$6="","",IF(AU$3="Maior",IFERROR(IF(VLOOKUP($N375,Capa!$A:$AE,AU$5,0)="",0,VLOOKUP($N375,Capa!$A:$AE,AU$5,0)),0),IF(ISERROR(1/VLOOKUP($N375,Capa!$A:$AE,AU$5,0)),0,1/VLOOKUP($N375,Capa!$A:$AE,AU$5,0))))</f>
        <v/>
      </c>
      <c r="AV375" s="118" t="str">
        <f>IF(AV$6="","",IF(AV$3="Maior",IFERROR(IF(VLOOKUP($N375,Capa!$A:$AE,AV$5,0)="",0,VLOOKUP($N375,Capa!$A:$AE,AV$5,0)),0),IF(ISERROR(1/VLOOKUP($N375,Capa!$A:$AE,AV$5,0)),0,1/VLOOKUP($N375,Capa!$A:$AE,AV$5,0))))</f>
        <v/>
      </c>
      <c r="AW375" s="118" t="str">
        <f>IF(AW$6="","",IF(AW$3="Maior",IFERROR(IF(VLOOKUP($N375,Capa!$A:$AE,AW$5,0)="",0,VLOOKUP($N375,Capa!$A:$AE,AW$5,0)),0),IF(ISERROR(1/VLOOKUP($N375,Capa!$A:$AE,AW$5,0)),0,1/VLOOKUP($N375,Capa!$A:$AE,AW$5,0))))</f>
        <v/>
      </c>
      <c r="AX375" s="118" t="str">
        <f>IF(AX$6="","",IF(AX$3="Maior",IFERROR(IF(VLOOKUP($N375,Capa!$A:$AE,AX$5,0)="",0,VLOOKUP($N375,Capa!$A:$AE,AX$5,0)),0),IF(ISERROR(1/VLOOKUP($N375,Capa!$A:$AE,AX$5,0)),0,1/VLOOKUP($N375,Capa!$A:$AE,AX$5,0))))</f>
        <v/>
      </c>
      <c r="AY375" s="118" t="str">
        <f>IF(AY$6="","",IF(AY$3="Maior",IFERROR(IF(VLOOKUP($N375,Capa!$A:$AE,AY$5,0)="",0,VLOOKUP($N375,Capa!$A:$AE,AY$5,0)),0),IF(ISERROR(1/VLOOKUP($N375,Capa!$A:$AE,AY$5,0)),0,1/VLOOKUP($N375,Capa!$A:$AE,AY$5,0))))</f>
        <v/>
      </c>
      <c r="AZ375" s="118" t="str">
        <f>IF(AZ$6="","",IF(AZ$3="Maior",IFERROR(IF(VLOOKUP($N375,Capa!$A:$AE,AZ$5,0)="",0,VLOOKUP($N375,Capa!$A:$AE,AZ$5,0)),0),IF(ISERROR(1/VLOOKUP($N375,Capa!$A:$AE,AZ$5,0)),0,1/VLOOKUP($N375,Capa!$A:$AE,AZ$5,0))))</f>
        <v/>
      </c>
      <c r="BA375" s="118" t="str">
        <f>IF(BA$6="","",IF(BA$3="Maior",IFERROR(IF(VLOOKUP($N375,Capa!$A:$AE,BA$5,0)="",0,VLOOKUP($N375,Capa!$A:$AE,BA$5,0)),0),IF(ISERROR(1/VLOOKUP($N375,Capa!$A:$AE,BA$5,0)),0,1/VLOOKUP($N375,Capa!$A:$AE,BA$5,0))))</f>
        <v/>
      </c>
      <c r="BB375" s="118" t="str">
        <f>IF(BB$6="","",IF(BB$3="Maior",IFERROR(IF(VLOOKUP($N375,Capa!$A:$AE,BB$5,0)="",0,VLOOKUP($N375,Capa!$A:$AE,BB$5,0)),0),IF(ISERROR(1/VLOOKUP($N375,Capa!$A:$AE,BB$5,0)),0,1/VLOOKUP($N375,Capa!$A:$AE,BB$5,0))))</f>
        <v/>
      </c>
      <c r="BC375" s="118" t="str">
        <f>IF(BC$6="","",IF(BC$3="Maior",IFERROR(IF(VLOOKUP($N375,Capa!$A:$AE,BC$5,0)="",0,VLOOKUP($N375,Capa!$A:$AE,BC$5,0)),0),IF(ISERROR(1/VLOOKUP($N375,Capa!$A:$AE,BC$5,0)),0,1/VLOOKUP($N375,Capa!$A:$AE,BC$5,0))))</f>
        <v/>
      </c>
      <c r="BD375" s="118" t="str">
        <f>IF(BD$6="","",IF(BD$3="Maior",IFERROR(IF(VLOOKUP($N375,Capa!$A:$AE,BD$5,0)="",0,VLOOKUP($N375,Capa!$A:$AE,BD$5,0)),0),IF(ISERROR(1/VLOOKUP($N375,Capa!$A:$AE,BD$5,0)),0,1/VLOOKUP($N375,Capa!$A:$AE,BD$5,0))))</f>
        <v/>
      </c>
      <c r="BE375" s="118" t="str">
        <f>IF(BE$6="","",IF(BE$3="Maior",IFERROR(IF(VLOOKUP($N375,Capa!$A:$AE,BE$5,0)="",0,VLOOKUP($N375,Capa!$A:$AE,BE$5,0)),0),IF(ISERROR(1/VLOOKUP($N375,Capa!$A:$AE,BE$5,0)),0,1/VLOOKUP($N375,Capa!$A:$AE,BE$5,0))))</f>
        <v/>
      </c>
      <c r="BF375" s="118" t="str">
        <f>IF(BF$6="","",IF(BF$3="Maior",IFERROR(IF(VLOOKUP($N375,Capa!$A:$AE,BF$5,0)="",0,VLOOKUP($N375,Capa!$A:$AE,BF$5,0)),0),IF(ISERROR(1/VLOOKUP($N375,Capa!$A:$AE,BF$5,0)),0,1/VLOOKUP($N375,Capa!$A:$AE,BF$5,0))))</f>
        <v/>
      </c>
      <c r="BG375" s="118" t="str">
        <f>IF(BG$6="","",IF(BG$3="Maior",IFERROR(IF(VLOOKUP($N375,Capa!$A:$AE,BG$5,0)="",0,VLOOKUP($N375,Capa!$A:$AE,BG$5,0)),0),IF(ISERROR(1/VLOOKUP($N375,Capa!$A:$AE,BG$5,0)),0,1/VLOOKUP($N375,Capa!$A:$AE,BG$5,0))))</f>
        <v/>
      </c>
      <c r="BH375" s="118" t="str">
        <f>IF(BH$6="","",IF(BH$3="Maior",IFERROR(IF(VLOOKUP($N375,Capa!$A:$AE,BH$5,0)="",0,VLOOKUP($N375,Capa!$A:$AE,BH$5,0)),0),IF(ISERROR(1/VLOOKUP($N375,Capa!$A:$AE,BH$5,0)),0,1/VLOOKUP($N375,Capa!$A:$AE,BH$5,0))))</f>
        <v/>
      </c>
      <c r="BI375" s="118" t="str">
        <f>IF(BI$6="","",IF(BI$3="Maior",IFERROR(IF(VLOOKUP($N375,Capa!$A:$AE,BI$5,0)="",0,VLOOKUP($N375,Capa!$A:$AE,BI$5,0)),0),IF(ISERROR(1/VLOOKUP($N375,Capa!$A:$AE,BI$5,0)),0,1/VLOOKUP($N375,Capa!$A:$AE,BI$5,0))))</f>
        <v/>
      </c>
      <c r="BJ375" s="118" t="str">
        <f>IF(BJ$6="","",IF(BJ$3="Maior",IFERROR(IF(VLOOKUP($N375,Capa!$A:$AE,BJ$5,0)="",0,VLOOKUP($N375,Capa!$A:$AE,BJ$5,0)),0),IF(ISERROR(1/VLOOKUP($N375,Capa!$A:$AE,BJ$5,0)),0,1/VLOOKUP($N375,Capa!$A:$AE,BJ$5,0))))</f>
        <v/>
      </c>
      <c r="BK375" s="118" t="str">
        <f>IF(BK$6="","",IF(BK$3="Maior",IFERROR(IF(VLOOKUP($N375,Capa!$A:$AE,BK$5,0)="",0,VLOOKUP($N375,Capa!$A:$AE,BK$5,0)),0),IF(ISERROR(1/VLOOKUP($N375,Capa!$A:$AE,BK$5,0)),0,1/VLOOKUP($N375,Capa!$A:$AE,BK$5,0))))</f>
        <v/>
      </c>
      <c r="BL375" s="118" t="str">
        <f>IF(BL$6="","",IF(BL$3="Maior",IFERROR(IF(VLOOKUP($N375,Capa!$A:$AE,BL$5,0)="",0,VLOOKUP($N375,Capa!$A:$AE,BL$5,0)),0),IF(ISERROR(1/VLOOKUP($N375,Capa!$A:$AE,BL$5,0)),0,1/VLOOKUP($N375,Capa!$A:$AE,BL$5,0))))</f>
        <v/>
      </c>
      <c r="BM375" s="118" t="str">
        <f>IF(BM$6="","",IF(BM$3="Maior",IFERROR(IF(VLOOKUP($N375,Capa!$A:$AE,BM$5,0)="",0,VLOOKUP($N375,Capa!$A:$AE,BM$5,0)),0),IF(ISERROR(1/VLOOKUP($N375,Capa!$A:$AE,BM$5,0)),0,1/VLOOKUP($N375,Capa!$A:$AE,BM$5,0))))</f>
        <v/>
      </c>
      <c r="BN375" s="118" t="str">
        <f>IF(BN$6="","",IF(BN$3="Maior",IFERROR(IF(VLOOKUP($N375,Capa!$A:$AE,BN$5,0)="",0,VLOOKUP($N375,Capa!$A:$AE,BN$5,0)),0),IF(ISERROR(1/VLOOKUP($N375,Capa!$A:$AE,BN$5,0)),0,1/VLOOKUP($N375,Capa!$A:$AE,BN$5,0))))</f>
        <v/>
      </c>
      <c r="BO375" s="92"/>
    </row>
    <row r="376">
      <c r="G376" s="11"/>
      <c r="H376" s="11"/>
      <c r="I376" s="8"/>
      <c r="J376" s="132"/>
      <c r="K376" s="11"/>
      <c r="L376" s="11"/>
      <c r="M376" s="11"/>
      <c r="N376" s="10" t="s">
        <v>422</v>
      </c>
      <c r="O376" s="113">
        <f t="shared" si="8"/>
        <v>1684.0372</v>
      </c>
      <c r="P376" s="114">
        <f>VLOOKUP(N376,'Dados StatusInvest'!A:Z,26,0)</f>
        <v>62944.5</v>
      </c>
      <c r="Q376" s="115">
        <f t="shared" si="9"/>
        <v>372.0372</v>
      </c>
      <c r="R376" s="116">
        <f t="shared" ref="R376:AO376" si="379">IF(AQ376="","", RANK(AQ376,AQ$7:AQ$503,0))</f>
        <v>220</v>
      </c>
      <c r="S376" s="115">
        <f t="shared" si="379"/>
        <v>92</v>
      </c>
      <c r="T376" s="115" t="str">
        <f t="shared" si="379"/>
        <v/>
      </c>
      <c r="U376" s="115" t="str">
        <f t="shared" si="379"/>
        <v/>
      </c>
      <c r="V376" s="115" t="str">
        <f t="shared" si="379"/>
        <v/>
      </c>
      <c r="W376" s="115" t="str">
        <f t="shared" si="379"/>
        <v/>
      </c>
      <c r="X376" s="115" t="str">
        <f t="shared" si="379"/>
        <v/>
      </c>
      <c r="Y376" s="115" t="str">
        <f t="shared" si="379"/>
        <v/>
      </c>
      <c r="Z376" s="115" t="str">
        <f t="shared" si="379"/>
        <v/>
      </c>
      <c r="AA376" s="115" t="str">
        <f t="shared" si="379"/>
        <v/>
      </c>
      <c r="AB376" s="115" t="str">
        <f t="shared" si="379"/>
        <v/>
      </c>
      <c r="AC376" s="115" t="str">
        <f t="shared" si="379"/>
        <v/>
      </c>
      <c r="AD376" s="115" t="str">
        <f t="shared" si="379"/>
        <v/>
      </c>
      <c r="AE376" s="115" t="str">
        <f t="shared" si="379"/>
        <v/>
      </c>
      <c r="AF376" s="115" t="str">
        <f t="shared" si="379"/>
        <v/>
      </c>
      <c r="AG376" s="115" t="str">
        <f t="shared" si="379"/>
        <v/>
      </c>
      <c r="AH376" s="115" t="str">
        <f t="shared" si="379"/>
        <v/>
      </c>
      <c r="AI376" s="115" t="str">
        <f t="shared" si="379"/>
        <v/>
      </c>
      <c r="AJ376" s="115" t="str">
        <f t="shared" si="379"/>
        <v/>
      </c>
      <c r="AK376" s="115" t="str">
        <f t="shared" si="379"/>
        <v/>
      </c>
      <c r="AL376" s="115" t="str">
        <f t="shared" si="379"/>
        <v/>
      </c>
      <c r="AM376" s="115" t="str">
        <f t="shared" si="379"/>
        <v/>
      </c>
      <c r="AN376" s="115" t="str">
        <f t="shared" si="379"/>
        <v/>
      </c>
      <c r="AO376" s="115" t="str">
        <f t="shared" si="379"/>
        <v/>
      </c>
      <c r="AP376" s="117">
        <f>IF(AP$6="","",IF(AP$3="Maior",IFERROR(IF(VLOOKUP($N376,Capa!$A:$AE,AP$5,0)="",0,VLOOKUP($N376,Capa!$A:$AE,AP$5,0)),0),IF(ISERROR(1/VLOOKUP($N376,Capa!$A:$AE,AP$5,0)),0,1/VLOOKUP($N376,Capa!$A:$AE,AP$5,0))))</f>
        <v>0.01966456214</v>
      </c>
      <c r="AQ376" s="118">
        <f>IF(AQ$6="","",IF(AQ$3="Maior",IFERROR(IF(VLOOKUP($N376,Capa!$A:$AE,AQ$5,0)="",0,VLOOKUP($N376,Capa!$A:$AE,AQ$5,0)),0),IF(ISERROR(1/VLOOKUP($N376,Capa!$A:$AE,AQ$5,0)),0,1/VLOOKUP($N376,Capa!$A:$AE,AQ$5,0))))</f>
        <v>10.12</v>
      </c>
      <c r="AR376" s="118">
        <f>IF(AR$6="","",IF(AR$3="Maior",IFERROR(IF(VLOOKUP($N376,Capa!$A:$AE,AR$5,0)="",0,VLOOKUP($N376,Capa!$A:$AE,AR$5,0)),0),IF(ISERROR(1/VLOOKUP($N376,Capa!$A:$AE,AR$5,0)),0,1/VLOOKUP($N376,Capa!$A:$AE,AR$5,0))))</f>
        <v>29.71</v>
      </c>
      <c r="AS376" s="118" t="str">
        <f>IF(AS$6="","",IF(AS$3="Maior",IFERROR(IF(VLOOKUP($N376,Capa!$A:$AE,AS$5,0)="",0,VLOOKUP($N376,Capa!$A:$AE,AS$5,0)),0),IF(ISERROR(1/VLOOKUP($N376,Capa!$A:$AE,AS$5,0)),0,1/VLOOKUP($N376,Capa!$A:$AE,AS$5,0))))</f>
        <v/>
      </c>
      <c r="AT376" s="118" t="str">
        <f>IF(AT$6="","",IF(AT$3="Maior",IFERROR(IF(VLOOKUP($N376,Capa!$A:$AE,AT$5,0)="",0,VLOOKUP($N376,Capa!$A:$AE,AT$5,0)),0),IF(ISERROR(1/VLOOKUP($N376,Capa!$A:$AE,AT$5,0)),0,1/VLOOKUP($N376,Capa!$A:$AE,AT$5,0))))</f>
        <v/>
      </c>
      <c r="AU376" s="118" t="str">
        <f>IF(AU$6="","",IF(AU$3="Maior",IFERROR(IF(VLOOKUP($N376,Capa!$A:$AE,AU$5,0)="",0,VLOOKUP($N376,Capa!$A:$AE,AU$5,0)),0),IF(ISERROR(1/VLOOKUP($N376,Capa!$A:$AE,AU$5,0)),0,1/VLOOKUP($N376,Capa!$A:$AE,AU$5,0))))</f>
        <v/>
      </c>
      <c r="AV376" s="118" t="str">
        <f>IF(AV$6="","",IF(AV$3="Maior",IFERROR(IF(VLOOKUP($N376,Capa!$A:$AE,AV$5,0)="",0,VLOOKUP($N376,Capa!$A:$AE,AV$5,0)),0),IF(ISERROR(1/VLOOKUP($N376,Capa!$A:$AE,AV$5,0)),0,1/VLOOKUP($N376,Capa!$A:$AE,AV$5,0))))</f>
        <v/>
      </c>
      <c r="AW376" s="118" t="str">
        <f>IF(AW$6="","",IF(AW$3="Maior",IFERROR(IF(VLOOKUP($N376,Capa!$A:$AE,AW$5,0)="",0,VLOOKUP($N376,Capa!$A:$AE,AW$5,0)),0),IF(ISERROR(1/VLOOKUP($N376,Capa!$A:$AE,AW$5,0)),0,1/VLOOKUP($N376,Capa!$A:$AE,AW$5,0))))</f>
        <v/>
      </c>
      <c r="AX376" s="118" t="str">
        <f>IF(AX$6="","",IF(AX$3="Maior",IFERROR(IF(VLOOKUP($N376,Capa!$A:$AE,AX$5,0)="",0,VLOOKUP($N376,Capa!$A:$AE,AX$5,0)),0),IF(ISERROR(1/VLOOKUP($N376,Capa!$A:$AE,AX$5,0)),0,1/VLOOKUP($N376,Capa!$A:$AE,AX$5,0))))</f>
        <v/>
      </c>
      <c r="AY376" s="118" t="str">
        <f>IF(AY$6="","",IF(AY$3="Maior",IFERROR(IF(VLOOKUP($N376,Capa!$A:$AE,AY$5,0)="",0,VLOOKUP($N376,Capa!$A:$AE,AY$5,0)),0),IF(ISERROR(1/VLOOKUP($N376,Capa!$A:$AE,AY$5,0)),0,1/VLOOKUP($N376,Capa!$A:$AE,AY$5,0))))</f>
        <v/>
      </c>
      <c r="AZ376" s="118" t="str">
        <f>IF(AZ$6="","",IF(AZ$3="Maior",IFERROR(IF(VLOOKUP($N376,Capa!$A:$AE,AZ$5,0)="",0,VLOOKUP($N376,Capa!$A:$AE,AZ$5,0)),0),IF(ISERROR(1/VLOOKUP($N376,Capa!$A:$AE,AZ$5,0)),0,1/VLOOKUP($N376,Capa!$A:$AE,AZ$5,0))))</f>
        <v/>
      </c>
      <c r="BA376" s="118" t="str">
        <f>IF(BA$6="","",IF(BA$3="Maior",IFERROR(IF(VLOOKUP($N376,Capa!$A:$AE,BA$5,0)="",0,VLOOKUP($N376,Capa!$A:$AE,BA$5,0)),0),IF(ISERROR(1/VLOOKUP($N376,Capa!$A:$AE,BA$5,0)),0,1/VLOOKUP($N376,Capa!$A:$AE,BA$5,0))))</f>
        <v/>
      </c>
      <c r="BB376" s="118" t="str">
        <f>IF(BB$6="","",IF(BB$3="Maior",IFERROR(IF(VLOOKUP($N376,Capa!$A:$AE,BB$5,0)="",0,VLOOKUP($N376,Capa!$A:$AE,BB$5,0)),0),IF(ISERROR(1/VLOOKUP($N376,Capa!$A:$AE,BB$5,0)),0,1/VLOOKUP($N376,Capa!$A:$AE,BB$5,0))))</f>
        <v/>
      </c>
      <c r="BC376" s="118" t="str">
        <f>IF(BC$6="","",IF(BC$3="Maior",IFERROR(IF(VLOOKUP($N376,Capa!$A:$AE,BC$5,0)="",0,VLOOKUP($N376,Capa!$A:$AE,BC$5,0)),0),IF(ISERROR(1/VLOOKUP($N376,Capa!$A:$AE,BC$5,0)),0,1/VLOOKUP($N376,Capa!$A:$AE,BC$5,0))))</f>
        <v/>
      </c>
      <c r="BD376" s="118" t="str">
        <f>IF(BD$6="","",IF(BD$3="Maior",IFERROR(IF(VLOOKUP($N376,Capa!$A:$AE,BD$5,0)="",0,VLOOKUP($N376,Capa!$A:$AE,BD$5,0)),0),IF(ISERROR(1/VLOOKUP($N376,Capa!$A:$AE,BD$5,0)),0,1/VLOOKUP($N376,Capa!$A:$AE,BD$5,0))))</f>
        <v/>
      </c>
      <c r="BE376" s="118" t="str">
        <f>IF(BE$6="","",IF(BE$3="Maior",IFERROR(IF(VLOOKUP($N376,Capa!$A:$AE,BE$5,0)="",0,VLOOKUP($N376,Capa!$A:$AE,BE$5,0)),0),IF(ISERROR(1/VLOOKUP($N376,Capa!$A:$AE,BE$5,0)),0,1/VLOOKUP($N376,Capa!$A:$AE,BE$5,0))))</f>
        <v/>
      </c>
      <c r="BF376" s="118" t="str">
        <f>IF(BF$6="","",IF(BF$3="Maior",IFERROR(IF(VLOOKUP($N376,Capa!$A:$AE,BF$5,0)="",0,VLOOKUP($N376,Capa!$A:$AE,BF$5,0)),0),IF(ISERROR(1/VLOOKUP($N376,Capa!$A:$AE,BF$5,0)),0,1/VLOOKUP($N376,Capa!$A:$AE,BF$5,0))))</f>
        <v/>
      </c>
      <c r="BG376" s="118" t="str">
        <f>IF(BG$6="","",IF(BG$3="Maior",IFERROR(IF(VLOOKUP($N376,Capa!$A:$AE,BG$5,0)="",0,VLOOKUP($N376,Capa!$A:$AE,BG$5,0)),0),IF(ISERROR(1/VLOOKUP($N376,Capa!$A:$AE,BG$5,0)),0,1/VLOOKUP($N376,Capa!$A:$AE,BG$5,0))))</f>
        <v/>
      </c>
      <c r="BH376" s="118" t="str">
        <f>IF(BH$6="","",IF(BH$3="Maior",IFERROR(IF(VLOOKUP($N376,Capa!$A:$AE,BH$5,0)="",0,VLOOKUP($N376,Capa!$A:$AE,BH$5,0)),0),IF(ISERROR(1/VLOOKUP($N376,Capa!$A:$AE,BH$5,0)),0,1/VLOOKUP($N376,Capa!$A:$AE,BH$5,0))))</f>
        <v/>
      </c>
      <c r="BI376" s="118" t="str">
        <f>IF(BI$6="","",IF(BI$3="Maior",IFERROR(IF(VLOOKUP($N376,Capa!$A:$AE,BI$5,0)="",0,VLOOKUP($N376,Capa!$A:$AE,BI$5,0)),0),IF(ISERROR(1/VLOOKUP($N376,Capa!$A:$AE,BI$5,0)),0,1/VLOOKUP($N376,Capa!$A:$AE,BI$5,0))))</f>
        <v/>
      </c>
      <c r="BJ376" s="118" t="str">
        <f>IF(BJ$6="","",IF(BJ$3="Maior",IFERROR(IF(VLOOKUP($N376,Capa!$A:$AE,BJ$5,0)="",0,VLOOKUP($N376,Capa!$A:$AE,BJ$5,0)),0),IF(ISERROR(1/VLOOKUP($N376,Capa!$A:$AE,BJ$5,0)),0,1/VLOOKUP($N376,Capa!$A:$AE,BJ$5,0))))</f>
        <v/>
      </c>
      <c r="BK376" s="118" t="str">
        <f>IF(BK$6="","",IF(BK$3="Maior",IFERROR(IF(VLOOKUP($N376,Capa!$A:$AE,BK$5,0)="",0,VLOOKUP($N376,Capa!$A:$AE,BK$5,0)),0),IF(ISERROR(1/VLOOKUP($N376,Capa!$A:$AE,BK$5,0)),0,1/VLOOKUP($N376,Capa!$A:$AE,BK$5,0))))</f>
        <v/>
      </c>
      <c r="BL376" s="118" t="str">
        <f>IF(BL$6="","",IF(BL$3="Maior",IFERROR(IF(VLOOKUP($N376,Capa!$A:$AE,BL$5,0)="",0,VLOOKUP($N376,Capa!$A:$AE,BL$5,0)),0),IF(ISERROR(1/VLOOKUP($N376,Capa!$A:$AE,BL$5,0)),0,1/VLOOKUP($N376,Capa!$A:$AE,BL$5,0))))</f>
        <v/>
      </c>
      <c r="BM376" s="118" t="str">
        <f>IF(BM$6="","",IF(BM$3="Maior",IFERROR(IF(VLOOKUP($N376,Capa!$A:$AE,BM$5,0)="",0,VLOOKUP($N376,Capa!$A:$AE,BM$5,0)),0),IF(ISERROR(1/VLOOKUP($N376,Capa!$A:$AE,BM$5,0)),0,1/VLOOKUP($N376,Capa!$A:$AE,BM$5,0))))</f>
        <v/>
      </c>
      <c r="BN376" s="118" t="str">
        <f>IF(BN$6="","",IF(BN$3="Maior",IFERROR(IF(VLOOKUP($N376,Capa!$A:$AE,BN$5,0)="",0,VLOOKUP($N376,Capa!$A:$AE,BN$5,0)),0),IF(ISERROR(1/VLOOKUP($N376,Capa!$A:$AE,BN$5,0)),0,1/VLOOKUP($N376,Capa!$A:$AE,BN$5,0))))</f>
        <v/>
      </c>
      <c r="BO376" s="92"/>
    </row>
    <row r="377">
      <c r="G377" s="11"/>
      <c r="H377" s="11"/>
      <c r="I377" s="8"/>
      <c r="J377" s="132"/>
      <c r="K377" s="11"/>
      <c r="L377" s="11"/>
      <c r="M377" s="11"/>
      <c r="N377" s="10" t="s">
        <v>423</v>
      </c>
      <c r="O377" s="113">
        <f t="shared" si="8"/>
        <v>2016.0242</v>
      </c>
      <c r="P377" s="114">
        <f>VLOOKUP(N377,'Dados StatusInvest'!A:Z,26,0)</f>
        <v>33296.27</v>
      </c>
      <c r="Q377" s="115">
        <f t="shared" si="9"/>
        <v>242.0242</v>
      </c>
      <c r="R377" s="116">
        <f t="shared" ref="R377:AO377" si="380">IF(AQ377="","", RANK(AQ377,AQ$7:AQ$503,0))</f>
        <v>296</v>
      </c>
      <c r="S377" s="115">
        <f t="shared" si="380"/>
        <v>478</v>
      </c>
      <c r="T377" s="115" t="str">
        <f t="shared" si="380"/>
        <v/>
      </c>
      <c r="U377" s="115" t="str">
        <f t="shared" si="380"/>
        <v/>
      </c>
      <c r="V377" s="115" t="str">
        <f t="shared" si="380"/>
        <v/>
      </c>
      <c r="W377" s="115" t="str">
        <f t="shared" si="380"/>
        <v/>
      </c>
      <c r="X377" s="115" t="str">
        <f t="shared" si="380"/>
        <v/>
      </c>
      <c r="Y377" s="115" t="str">
        <f t="shared" si="380"/>
        <v/>
      </c>
      <c r="Z377" s="115" t="str">
        <f t="shared" si="380"/>
        <v/>
      </c>
      <c r="AA377" s="115" t="str">
        <f t="shared" si="380"/>
        <v/>
      </c>
      <c r="AB377" s="115" t="str">
        <f t="shared" si="380"/>
        <v/>
      </c>
      <c r="AC377" s="115" t="str">
        <f t="shared" si="380"/>
        <v/>
      </c>
      <c r="AD377" s="115" t="str">
        <f t="shared" si="380"/>
        <v/>
      </c>
      <c r="AE377" s="115" t="str">
        <f t="shared" si="380"/>
        <v/>
      </c>
      <c r="AF377" s="115" t="str">
        <f t="shared" si="380"/>
        <v/>
      </c>
      <c r="AG377" s="115" t="str">
        <f t="shared" si="380"/>
        <v/>
      </c>
      <c r="AH377" s="115" t="str">
        <f t="shared" si="380"/>
        <v/>
      </c>
      <c r="AI377" s="115" t="str">
        <f t="shared" si="380"/>
        <v/>
      </c>
      <c r="AJ377" s="115" t="str">
        <f t="shared" si="380"/>
        <v/>
      </c>
      <c r="AK377" s="115" t="str">
        <f t="shared" si="380"/>
        <v/>
      </c>
      <c r="AL377" s="115" t="str">
        <f t="shared" si="380"/>
        <v/>
      </c>
      <c r="AM377" s="115" t="str">
        <f t="shared" si="380"/>
        <v/>
      </c>
      <c r="AN377" s="115" t="str">
        <f t="shared" si="380"/>
        <v/>
      </c>
      <c r="AO377" s="115" t="str">
        <f t="shared" si="380"/>
        <v/>
      </c>
      <c r="AP377" s="117">
        <f>IF(AP$6="","",IF(AP$3="Maior",IFERROR(IF(VLOOKUP($N377,Capa!$A:$AE,AP$5,0)="",0,VLOOKUP($N377,Capa!$A:$AE,AP$5,0)),0),IF(ISERROR(1/VLOOKUP($N377,Capa!$A:$AE,AP$5,0)),0,1/VLOOKUP($N377,Capa!$A:$AE,AP$5,0))))</f>
        <v>0.08300953335</v>
      </c>
      <c r="AQ377" s="118">
        <f>IF(AQ$6="","",IF(AQ$3="Maior",IFERROR(IF(VLOOKUP($N377,Capa!$A:$AE,AQ$5,0)="",0,VLOOKUP($N377,Capa!$A:$AE,AQ$5,0)),0),IF(ISERROR(1/VLOOKUP($N377,Capa!$A:$AE,AQ$5,0)),0,1/VLOOKUP($N377,Capa!$A:$AE,AQ$5,0))))</f>
        <v>5.02</v>
      </c>
      <c r="AR377" s="118">
        <f>IF(AR$6="","",IF(AR$3="Maior",IFERROR(IF(VLOOKUP($N377,Capa!$A:$AE,AR$5,0)="",0,VLOOKUP($N377,Capa!$A:$AE,AR$5,0)),0),IF(ISERROR(1/VLOOKUP($N377,Capa!$A:$AE,AR$5,0)),0,1/VLOOKUP($N377,Capa!$A:$AE,AR$5,0))))</f>
        <v>-13.19</v>
      </c>
      <c r="AS377" s="118" t="str">
        <f>IF(AS$6="","",IF(AS$3="Maior",IFERROR(IF(VLOOKUP($N377,Capa!$A:$AE,AS$5,0)="",0,VLOOKUP($N377,Capa!$A:$AE,AS$5,0)),0),IF(ISERROR(1/VLOOKUP($N377,Capa!$A:$AE,AS$5,0)),0,1/VLOOKUP($N377,Capa!$A:$AE,AS$5,0))))</f>
        <v/>
      </c>
      <c r="AT377" s="118" t="str">
        <f>IF(AT$6="","",IF(AT$3="Maior",IFERROR(IF(VLOOKUP($N377,Capa!$A:$AE,AT$5,0)="",0,VLOOKUP($N377,Capa!$A:$AE,AT$5,0)),0),IF(ISERROR(1/VLOOKUP($N377,Capa!$A:$AE,AT$5,0)),0,1/VLOOKUP($N377,Capa!$A:$AE,AT$5,0))))</f>
        <v/>
      </c>
      <c r="AU377" s="118" t="str">
        <f>IF(AU$6="","",IF(AU$3="Maior",IFERROR(IF(VLOOKUP($N377,Capa!$A:$AE,AU$5,0)="",0,VLOOKUP($N377,Capa!$A:$AE,AU$5,0)),0),IF(ISERROR(1/VLOOKUP($N377,Capa!$A:$AE,AU$5,0)),0,1/VLOOKUP($N377,Capa!$A:$AE,AU$5,0))))</f>
        <v/>
      </c>
      <c r="AV377" s="118" t="str">
        <f>IF(AV$6="","",IF(AV$3="Maior",IFERROR(IF(VLOOKUP($N377,Capa!$A:$AE,AV$5,0)="",0,VLOOKUP($N377,Capa!$A:$AE,AV$5,0)),0),IF(ISERROR(1/VLOOKUP($N377,Capa!$A:$AE,AV$5,0)),0,1/VLOOKUP($N377,Capa!$A:$AE,AV$5,0))))</f>
        <v/>
      </c>
      <c r="AW377" s="118" t="str">
        <f>IF(AW$6="","",IF(AW$3="Maior",IFERROR(IF(VLOOKUP($N377,Capa!$A:$AE,AW$5,0)="",0,VLOOKUP($N377,Capa!$A:$AE,AW$5,0)),0),IF(ISERROR(1/VLOOKUP($N377,Capa!$A:$AE,AW$5,0)),0,1/VLOOKUP($N377,Capa!$A:$AE,AW$5,0))))</f>
        <v/>
      </c>
      <c r="AX377" s="118" t="str">
        <f>IF(AX$6="","",IF(AX$3="Maior",IFERROR(IF(VLOOKUP($N377,Capa!$A:$AE,AX$5,0)="",0,VLOOKUP($N377,Capa!$A:$AE,AX$5,0)),0),IF(ISERROR(1/VLOOKUP($N377,Capa!$A:$AE,AX$5,0)),0,1/VLOOKUP($N377,Capa!$A:$AE,AX$5,0))))</f>
        <v/>
      </c>
      <c r="AY377" s="118" t="str">
        <f>IF(AY$6="","",IF(AY$3="Maior",IFERROR(IF(VLOOKUP($N377,Capa!$A:$AE,AY$5,0)="",0,VLOOKUP($N377,Capa!$A:$AE,AY$5,0)),0),IF(ISERROR(1/VLOOKUP($N377,Capa!$A:$AE,AY$5,0)),0,1/VLOOKUP($N377,Capa!$A:$AE,AY$5,0))))</f>
        <v/>
      </c>
      <c r="AZ377" s="118" t="str">
        <f>IF(AZ$6="","",IF(AZ$3="Maior",IFERROR(IF(VLOOKUP($N377,Capa!$A:$AE,AZ$5,0)="",0,VLOOKUP($N377,Capa!$A:$AE,AZ$5,0)),0),IF(ISERROR(1/VLOOKUP($N377,Capa!$A:$AE,AZ$5,0)),0,1/VLOOKUP($N377,Capa!$A:$AE,AZ$5,0))))</f>
        <v/>
      </c>
      <c r="BA377" s="118" t="str">
        <f>IF(BA$6="","",IF(BA$3="Maior",IFERROR(IF(VLOOKUP($N377,Capa!$A:$AE,BA$5,0)="",0,VLOOKUP($N377,Capa!$A:$AE,BA$5,0)),0),IF(ISERROR(1/VLOOKUP($N377,Capa!$A:$AE,BA$5,0)),0,1/VLOOKUP($N377,Capa!$A:$AE,BA$5,0))))</f>
        <v/>
      </c>
      <c r="BB377" s="118" t="str">
        <f>IF(BB$6="","",IF(BB$3="Maior",IFERROR(IF(VLOOKUP($N377,Capa!$A:$AE,BB$5,0)="",0,VLOOKUP($N377,Capa!$A:$AE,BB$5,0)),0),IF(ISERROR(1/VLOOKUP($N377,Capa!$A:$AE,BB$5,0)),0,1/VLOOKUP($N377,Capa!$A:$AE,BB$5,0))))</f>
        <v/>
      </c>
      <c r="BC377" s="118" t="str">
        <f>IF(BC$6="","",IF(BC$3="Maior",IFERROR(IF(VLOOKUP($N377,Capa!$A:$AE,BC$5,0)="",0,VLOOKUP($N377,Capa!$A:$AE,BC$5,0)),0),IF(ISERROR(1/VLOOKUP($N377,Capa!$A:$AE,BC$5,0)),0,1/VLOOKUP($N377,Capa!$A:$AE,BC$5,0))))</f>
        <v/>
      </c>
      <c r="BD377" s="118" t="str">
        <f>IF(BD$6="","",IF(BD$3="Maior",IFERROR(IF(VLOOKUP($N377,Capa!$A:$AE,BD$5,0)="",0,VLOOKUP($N377,Capa!$A:$AE,BD$5,0)),0),IF(ISERROR(1/VLOOKUP($N377,Capa!$A:$AE,BD$5,0)),0,1/VLOOKUP($N377,Capa!$A:$AE,BD$5,0))))</f>
        <v/>
      </c>
      <c r="BE377" s="118" t="str">
        <f>IF(BE$6="","",IF(BE$3="Maior",IFERROR(IF(VLOOKUP($N377,Capa!$A:$AE,BE$5,0)="",0,VLOOKUP($N377,Capa!$A:$AE,BE$5,0)),0),IF(ISERROR(1/VLOOKUP($N377,Capa!$A:$AE,BE$5,0)),0,1/VLOOKUP($N377,Capa!$A:$AE,BE$5,0))))</f>
        <v/>
      </c>
      <c r="BF377" s="118" t="str">
        <f>IF(BF$6="","",IF(BF$3="Maior",IFERROR(IF(VLOOKUP($N377,Capa!$A:$AE,BF$5,0)="",0,VLOOKUP($N377,Capa!$A:$AE,BF$5,0)),0),IF(ISERROR(1/VLOOKUP($N377,Capa!$A:$AE,BF$5,0)),0,1/VLOOKUP($N377,Capa!$A:$AE,BF$5,0))))</f>
        <v/>
      </c>
      <c r="BG377" s="118" t="str">
        <f>IF(BG$6="","",IF(BG$3="Maior",IFERROR(IF(VLOOKUP($N377,Capa!$A:$AE,BG$5,0)="",0,VLOOKUP($N377,Capa!$A:$AE,BG$5,0)),0),IF(ISERROR(1/VLOOKUP($N377,Capa!$A:$AE,BG$5,0)),0,1/VLOOKUP($N377,Capa!$A:$AE,BG$5,0))))</f>
        <v/>
      </c>
      <c r="BH377" s="118" t="str">
        <f>IF(BH$6="","",IF(BH$3="Maior",IFERROR(IF(VLOOKUP($N377,Capa!$A:$AE,BH$5,0)="",0,VLOOKUP($N377,Capa!$A:$AE,BH$5,0)),0),IF(ISERROR(1/VLOOKUP($N377,Capa!$A:$AE,BH$5,0)),0,1/VLOOKUP($N377,Capa!$A:$AE,BH$5,0))))</f>
        <v/>
      </c>
      <c r="BI377" s="118" t="str">
        <f>IF(BI$6="","",IF(BI$3="Maior",IFERROR(IF(VLOOKUP($N377,Capa!$A:$AE,BI$5,0)="",0,VLOOKUP($N377,Capa!$A:$AE,BI$5,0)),0),IF(ISERROR(1/VLOOKUP($N377,Capa!$A:$AE,BI$5,0)),0,1/VLOOKUP($N377,Capa!$A:$AE,BI$5,0))))</f>
        <v/>
      </c>
      <c r="BJ377" s="118" t="str">
        <f>IF(BJ$6="","",IF(BJ$3="Maior",IFERROR(IF(VLOOKUP($N377,Capa!$A:$AE,BJ$5,0)="",0,VLOOKUP($N377,Capa!$A:$AE,BJ$5,0)),0),IF(ISERROR(1/VLOOKUP($N377,Capa!$A:$AE,BJ$5,0)),0,1/VLOOKUP($N377,Capa!$A:$AE,BJ$5,0))))</f>
        <v/>
      </c>
      <c r="BK377" s="118" t="str">
        <f>IF(BK$6="","",IF(BK$3="Maior",IFERROR(IF(VLOOKUP($N377,Capa!$A:$AE,BK$5,0)="",0,VLOOKUP($N377,Capa!$A:$AE,BK$5,0)),0),IF(ISERROR(1/VLOOKUP($N377,Capa!$A:$AE,BK$5,0)),0,1/VLOOKUP($N377,Capa!$A:$AE,BK$5,0))))</f>
        <v/>
      </c>
      <c r="BL377" s="118" t="str">
        <f>IF(BL$6="","",IF(BL$3="Maior",IFERROR(IF(VLOOKUP($N377,Capa!$A:$AE,BL$5,0)="",0,VLOOKUP($N377,Capa!$A:$AE,BL$5,0)),0),IF(ISERROR(1/VLOOKUP($N377,Capa!$A:$AE,BL$5,0)),0,1/VLOOKUP($N377,Capa!$A:$AE,BL$5,0))))</f>
        <v/>
      </c>
      <c r="BM377" s="118" t="str">
        <f>IF(BM$6="","",IF(BM$3="Maior",IFERROR(IF(VLOOKUP($N377,Capa!$A:$AE,BM$5,0)="",0,VLOOKUP($N377,Capa!$A:$AE,BM$5,0)),0),IF(ISERROR(1/VLOOKUP($N377,Capa!$A:$AE,BM$5,0)),0,1/VLOOKUP($N377,Capa!$A:$AE,BM$5,0))))</f>
        <v/>
      </c>
      <c r="BN377" s="118" t="str">
        <f>IF(BN$6="","",IF(BN$3="Maior",IFERROR(IF(VLOOKUP($N377,Capa!$A:$AE,BN$5,0)="",0,VLOOKUP($N377,Capa!$A:$AE,BN$5,0)),0),IF(ISERROR(1/VLOOKUP($N377,Capa!$A:$AE,BN$5,0)),0,1/VLOOKUP($N377,Capa!$A:$AE,BN$5,0))))</f>
        <v/>
      </c>
      <c r="BO377" s="92"/>
    </row>
    <row r="378">
      <c r="G378" s="11"/>
      <c r="H378" s="11"/>
      <c r="I378" s="8"/>
      <c r="J378" s="132"/>
      <c r="K378" s="11"/>
      <c r="L378" s="11"/>
      <c r="M378" s="11"/>
      <c r="N378" s="10" t="s">
        <v>424</v>
      </c>
      <c r="O378" s="113">
        <f t="shared" si="8"/>
        <v>1608.0024</v>
      </c>
      <c r="P378" s="114">
        <f>VLOOKUP(N378,'Dados StatusInvest'!A:Z,26,0)</f>
        <v>43283.58</v>
      </c>
      <c r="Q378" s="115">
        <f t="shared" si="9"/>
        <v>24.0024</v>
      </c>
      <c r="R378" s="116">
        <f t="shared" ref="R378:AO378" si="381">IF(AQ378="","", RANK(AQ378,AQ$7:AQ$503,0))</f>
        <v>480</v>
      </c>
      <c r="S378" s="115">
        <f t="shared" si="381"/>
        <v>104</v>
      </c>
      <c r="T378" s="115" t="str">
        <f t="shared" si="381"/>
        <v/>
      </c>
      <c r="U378" s="115" t="str">
        <f t="shared" si="381"/>
        <v/>
      </c>
      <c r="V378" s="115" t="str">
        <f t="shared" si="381"/>
        <v/>
      </c>
      <c r="W378" s="115" t="str">
        <f t="shared" si="381"/>
        <v/>
      </c>
      <c r="X378" s="115" t="str">
        <f t="shared" si="381"/>
        <v/>
      </c>
      <c r="Y378" s="115" t="str">
        <f t="shared" si="381"/>
        <v/>
      </c>
      <c r="Z378" s="115" t="str">
        <f t="shared" si="381"/>
        <v/>
      </c>
      <c r="AA378" s="115" t="str">
        <f t="shared" si="381"/>
        <v/>
      </c>
      <c r="AB378" s="115" t="str">
        <f t="shared" si="381"/>
        <v/>
      </c>
      <c r="AC378" s="115" t="str">
        <f t="shared" si="381"/>
        <v/>
      </c>
      <c r="AD378" s="115" t="str">
        <f t="shared" si="381"/>
        <v/>
      </c>
      <c r="AE378" s="115" t="str">
        <f t="shared" si="381"/>
        <v/>
      </c>
      <c r="AF378" s="115" t="str">
        <f t="shared" si="381"/>
        <v/>
      </c>
      <c r="AG378" s="115" t="str">
        <f t="shared" si="381"/>
        <v/>
      </c>
      <c r="AH378" s="115" t="str">
        <f t="shared" si="381"/>
        <v/>
      </c>
      <c r="AI378" s="115" t="str">
        <f t="shared" si="381"/>
        <v/>
      </c>
      <c r="AJ378" s="115" t="str">
        <f t="shared" si="381"/>
        <v/>
      </c>
      <c r="AK378" s="115" t="str">
        <f t="shared" si="381"/>
        <v/>
      </c>
      <c r="AL378" s="115" t="str">
        <f t="shared" si="381"/>
        <v/>
      </c>
      <c r="AM378" s="115" t="str">
        <f t="shared" si="381"/>
        <v/>
      </c>
      <c r="AN378" s="115" t="str">
        <f t="shared" si="381"/>
        <v/>
      </c>
      <c r="AO378" s="115" t="str">
        <f t="shared" si="381"/>
        <v/>
      </c>
      <c r="AP378" s="117">
        <f>IF(AP$6="","",IF(AP$3="Maior",IFERROR(IF(VLOOKUP($N378,Capa!$A:$AE,AP$5,0)="",0,VLOOKUP($N378,Capa!$A:$AE,AP$5,0)),0),IF(ISERROR(1/VLOOKUP($N378,Capa!$A:$AE,AP$5,0)),0,1/VLOOKUP($N378,Capa!$A:$AE,AP$5,0))))</f>
        <v>0.3745318352</v>
      </c>
      <c r="AQ378" s="118">
        <f>IF(AQ$6="","",IF(AQ$3="Maior",IFERROR(IF(VLOOKUP($N378,Capa!$A:$AE,AQ$5,0)="",0,VLOOKUP($N378,Capa!$A:$AE,AQ$5,0)),0),IF(ISERROR(1/VLOOKUP($N378,Capa!$A:$AE,AQ$5,0)),0,1/VLOOKUP($N378,Capa!$A:$AE,AQ$5,0))))</f>
        <v>-29.65</v>
      </c>
      <c r="AR378" s="118">
        <f>IF(AR$6="","",IF(AR$3="Maior",IFERROR(IF(VLOOKUP($N378,Capa!$A:$AE,AR$5,0)="",0,VLOOKUP($N378,Capa!$A:$AE,AR$5,0)),0),IF(ISERROR(1/VLOOKUP($N378,Capa!$A:$AE,AR$5,0)),0,1/VLOOKUP($N378,Capa!$A:$AE,AR$5,0))))</f>
        <v>25.47</v>
      </c>
      <c r="AS378" s="118" t="str">
        <f>IF(AS$6="","",IF(AS$3="Maior",IFERROR(IF(VLOOKUP($N378,Capa!$A:$AE,AS$5,0)="",0,VLOOKUP($N378,Capa!$A:$AE,AS$5,0)),0),IF(ISERROR(1/VLOOKUP($N378,Capa!$A:$AE,AS$5,0)),0,1/VLOOKUP($N378,Capa!$A:$AE,AS$5,0))))</f>
        <v/>
      </c>
      <c r="AT378" s="118" t="str">
        <f>IF(AT$6="","",IF(AT$3="Maior",IFERROR(IF(VLOOKUP($N378,Capa!$A:$AE,AT$5,0)="",0,VLOOKUP($N378,Capa!$A:$AE,AT$5,0)),0),IF(ISERROR(1/VLOOKUP($N378,Capa!$A:$AE,AT$5,0)),0,1/VLOOKUP($N378,Capa!$A:$AE,AT$5,0))))</f>
        <v/>
      </c>
      <c r="AU378" s="118" t="str">
        <f>IF(AU$6="","",IF(AU$3="Maior",IFERROR(IF(VLOOKUP($N378,Capa!$A:$AE,AU$5,0)="",0,VLOOKUP($N378,Capa!$A:$AE,AU$5,0)),0),IF(ISERROR(1/VLOOKUP($N378,Capa!$A:$AE,AU$5,0)),0,1/VLOOKUP($N378,Capa!$A:$AE,AU$5,0))))</f>
        <v/>
      </c>
      <c r="AV378" s="118" t="str">
        <f>IF(AV$6="","",IF(AV$3="Maior",IFERROR(IF(VLOOKUP($N378,Capa!$A:$AE,AV$5,0)="",0,VLOOKUP($N378,Capa!$A:$AE,AV$5,0)),0),IF(ISERROR(1/VLOOKUP($N378,Capa!$A:$AE,AV$5,0)),0,1/VLOOKUP($N378,Capa!$A:$AE,AV$5,0))))</f>
        <v/>
      </c>
      <c r="AW378" s="118" t="str">
        <f>IF(AW$6="","",IF(AW$3="Maior",IFERROR(IF(VLOOKUP($N378,Capa!$A:$AE,AW$5,0)="",0,VLOOKUP($N378,Capa!$A:$AE,AW$5,0)),0),IF(ISERROR(1/VLOOKUP($N378,Capa!$A:$AE,AW$5,0)),0,1/VLOOKUP($N378,Capa!$A:$AE,AW$5,0))))</f>
        <v/>
      </c>
      <c r="AX378" s="118" t="str">
        <f>IF(AX$6="","",IF(AX$3="Maior",IFERROR(IF(VLOOKUP($N378,Capa!$A:$AE,AX$5,0)="",0,VLOOKUP($N378,Capa!$A:$AE,AX$5,0)),0),IF(ISERROR(1/VLOOKUP($N378,Capa!$A:$AE,AX$5,0)),0,1/VLOOKUP($N378,Capa!$A:$AE,AX$5,0))))</f>
        <v/>
      </c>
      <c r="AY378" s="118" t="str">
        <f>IF(AY$6="","",IF(AY$3="Maior",IFERROR(IF(VLOOKUP($N378,Capa!$A:$AE,AY$5,0)="",0,VLOOKUP($N378,Capa!$A:$AE,AY$5,0)),0),IF(ISERROR(1/VLOOKUP($N378,Capa!$A:$AE,AY$5,0)),0,1/VLOOKUP($N378,Capa!$A:$AE,AY$5,0))))</f>
        <v/>
      </c>
      <c r="AZ378" s="118" t="str">
        <f>IF(AZ$6="","",IF(AZ$3="Maior",IFERROR(IF(VLOOKUP($N378,Capa!$A:$AE,AZ$5,0)="",0,VLOOKUP($N378,Capa!$A:$AE,AZ$5,0)),0),IF(ISERROR(1/VLOOKUP($N378,Capa!$A:$AE,AZ$5,0)),0,1/VLOOKUP($N378,Capa!$A:$AE,AZ$5,0))))</f>
        <v/>
      </c>
      <c r="BA378" s="118" t="str">
        <f>IF(BA$6="","",IF(BA$3="Maior",IFERROR(IF(VLOOKUP($N378,Capa!$A:$AE,BA$5,0)="",0,VLOOKUP($N378,Capa!$A:$AE,BA$5,0)),0),IF(ISERROR(1/VLOOKUP($N378,Capa!$A:$AE,BA$5,0)),0,1/VLOOKUP($N378,Capa!$A:$AE,BA$5,0))))</f>
        <v/>
      </c>
      <c r="BB378" s="118" t="str">
        <f>IF(BB$6="","",IF(BB$3="Maior",IFERROR(IF(VLOOKUP($N378,Capa!$A:$AE,BB$5,0)="",0,VLOOKUP($N378,Capa!$A:$AE,BB$5,0)),0),IF(ISERROR(1/VLOOKUP($N378,Capa!$A:$AE,BB$5,0)),0,1/VLOOKUP($N378,Capa!$A:$AE,BB$5,0))))</f>
        <v/>
      </c>
      <c r="BC378" s="118" t="str">
        <f>IF(BC$6="","",IF(BC$3="Maior",IFERROR(IF(VLOOKUP($N378,Capa!$A:$AE,BC$5,0)="",0,VLOOKUP($N378,Capa!$A:$AE,BC$5,0)),0),IF(ISERROR(1/VLOOKUP($N378,Capa!$A:$AE,BC$5,0)),0,1/VLOOKUP($N378,Capa!$A:$AE,BC$5,0))))</f>
        <v/>
      </c>
      <c r="BD378" s="118" t="str">
        <f>IF(BD$6="","",IF(BD$3="Maior",IFERROR(IF(VLOOKUP($N378,Capa!$A:$AE,BD$5,0)="",0,VLOOKUP($N378,Capa!$A:$AE,BD$5,0)),0),IF(ISERROR(1/VLOOKUP($N378,Capa!$A:$AE,BD$5,0)),0,1/VLOOKUP($N378,Capa!$A:$AE,BD$5,0))))</f>
        <v/>
      </c>
      <c r="BE378" s="118" t="str">
        <f>IF(BE$6="","",IF(BE$3="Maior",IFERROR(IF(VLOOKUP($N378,Capa!$A:$AE,BE$5,0)="",0,VLOOKUP($N378,Capa!$A:$AE,BE$5,0)),0),IF(ISERROR(1/VLOOKUP($N378,Capa!$A:$AE,BE$5,0)),0,1/VLOOKUP($N378,Capa!$A:$AE,BE$5,0))))</f>
        <v/>
      </c>
      <c r="BF378" s="118" t="str">
        <f>IF(BF$6="","",IF(BF$3="Maior",IFERROR(IF(VLOOKUP($N378,Capa!$A:$AE,BF$5,0)="",0,VLOOKUP($N378,Capa!$A:$AE,BF$5,0)),0),IF(ISERROR(1/VLOOKUP($N378,Capa!$A:$AE,BF$5,0)),0,1/VLOOKUP($N378,Capa!$A:$AE,BF$5,0))))</f>
        <v/>
      </c>
      <c r="BG378" s="118" t="str">
        <f>IF(BG$6="","",IF(BG$3="Maior",IFERROR(IF(VLOOKUP($N378,Capa!$A:$AE,BG$5,0)="",0,VLOOKUP($N378,Capa!$A:$AE,BG$5,0)),0),IF(ISERROR(1/VLOOKUP($N378,Capa!$A:$AE,BG$5,0)),0,1/VLOOKUP($N378,Capa!$A:$AE,BG$5,0))))</f>
        <v/>
      </c>
      <c r="BH378" s="118" t="str">
        <f>IF(BH$6="","",IF(BH$3="Maior",IFERROR(IF(VLOOKUP($N378,Capa!$A:$AE,BH$5,0)="",0,VLOOKUP($N378,Capa!$A:$AE,BH$5,0)),0),IF(ISERROR(1/VLOOKUP($N378,Capa!$A:$AE,BH$5,0)),0,1/VLOOKUP($N378,Capa!$A:$AE,BH$5,0))))</f>
        <v/>
      </c>
      <c r="BI378" s="118" t="str">
        <f>IF(BI$6="","",IF(BI$3="Maior",IFERROR(IF(VLOOKUP($N378,Capa!$A:$AE,BI$5,0)="",0,VLOOKUP($N378,Capa!$A:$AE,BI$5,0)),0),IF(ISERROR(1/VLOOKUP($N378,Capa!$A:$AE,BI$5,0)),0,1/VLOOKUP($N378,Capa!$A:$AE,BI$5,0))))</f>
        <v/>
      </c>
      <c r="BJ378" s="118" t="str">
        <f>IF(BJ$6="","",IF(BJ$3="Maior",IFERROR(IF(VLOOKUP($N378,Capa!$A:$AE,BJ$5,0)="",0,VLOOKUP($N378,Capa!$A:$AE,BJ$5,0)),0),IF(ISERROR(1/VLOOKUP($N378,Capa!$A:$AE,BJ$5,0)),0,1/VLOOKUP($N378,Capa!$A:$AE,BJ$5,0))))</f>
        <v/>
      </c>
      <c r="BK378" s="118" t="str">
        <f>IF(BK$6="","",IF(BK$3="Maior",IFERROR(IF(VLOOKUP($N378,Capa!$A:$AE,BK$5,0)="",0,VLOOKUP($N378,Capa!$A:$AE,BK$5,0)),0),IF(ISERROR(1/VLOOKUP($N378,Capa!$A:$AE,BK$5,0)),0,1/VLOOKUP($N378,Capa!$A:$AE,BK$5,0))))</f>
        <v/>
      </c>
      <c r="BL378" s="118" t="str">
        <f>IF(BL$6="","",IF(BL$3="Maior",IFERROR(IF(VLOOKUP($N378,Capa!$A:$AE,BL$5,0)="",0,VLOOKUP($N378,Capa!$A:$AE,BL$5,0)),0),IF(ISERROR(1/VLOOKUP($N378,Capa!$A:$AE,BL$5,0)),0,1/VLOOKUP($N378,Capa!$A:$AE,BL$5,0))))</f>
        <v/>
      </c>
      <c r="BM378" s="118" t="str">
        <f>IF(BM$6="","",IF(BM$3="Maior",IFERROR(IF(VLOOKUP($N378,Capa!$A:$AE,BM$5,0)="",0,VLOOKUP($N378,Capa!$A:$AE,BM$5,0)),0),IF(ISERROR(1/VLOOKUP($N378,Capa!$A:$AE,BM$5,0)),0,1/VLOOKUP($N378,Capa!$A:$AE,BM$5,0))))</f>
        <v/>
      </c>
      <c r="BN378" s="118" t="str">
        <f>IF(BN$6="","",IF(BN$3="Maior",IFERROR(IF(VLOOKUP($N378,Capa!$A:$AE,BN$5,0)="",0,VLOOKUP($N378,Capa!$A:$AE,BN$5,0)),0),IF(ISERROR(1/VLOOKUP($N378,Capa!$A:$AE,BN$5,0)),0,1/VLOOKUP($N378,Capa!$A:$AE,BN$5,0))))</f>
        <v/>
      </c>
      <c r="BO378" s="92"/>
    </row>
    <row r="379">
      <c r="G379" s="11"/>
      <c r="H379" s="11"/>
      <c r="I379" s="8"/>
      <c r="J379" s="132"/>
      <c r="K379" s="11"/>
      <c r="L379" s="11"/>
      <c r="M379" s="11"/>
      <c r="N379" s="10" t="s">
        <v>425</v>
      </c>
      <c r="O379" s="113">
        <f t="shared" si="8"/>
        <v>1632.0257</v>
      </c>
      <c r="P379" s="114">
        <f>VLOOKUP(N379,'Dados StatusInvest'!A:Z,26,0)</f>
        <v>67459.21</v>
      </c>
      <c r="Q379" s="115">
        <f t="shared" si="9"/>
        <v>257.0257</v>
      </c>
      <c r="R379" s="116">
        <f t="shared" ref="R379:AO379" si="382">IF(AQ379="","", RANK(AQ379,AQ$7:AQ$503,0))</f>
        <v>191</v>
      </c>
      <c r="S379" s="115">
        <f t="shared" si="382"/>
        <v>184</v>
      </c>
      <c r="T379" s="115" t="str">
        <f t="shared" si="382"/>
        <v/>
      </c>
      <c r="U379" s="115" t="str">
        <f t="shared" si="382"/>
        <v/>
      </c>
      <c r="V379" s="115" t="str">
        <f t="shared" si="382"/>
        <v/>
      </c>
      <c r="W379" s="115" t="str">
        <f t="shared" si="382"/>
        <v/>
      </c>
      <c r="X379" s="115" t="str">
        <f t="shared" si="382"/>
        <v/>
      </c>
      <c r="Y379" s="115" t="str">
        <f t="shared" si="382"/>
        <v/>
      </c>
      <c r="Z379" s="115" t="str">
        <f t="shared" si="382"/>
        <v/>
      </c>
      <c r="AA379" s="115" t="str">
        <f t="shared" si="382"/>
        <v/>
      </c>
      <c r="AB379" s="115" t="str">
        <f t="shared" si="382"/>
        <v/>
      </c>
      <c r="AC379" s="115" t="str">
        <f t="shared" si="382"/>
        <v/>
      </c>
      <c r="AD379" s="115" t="str">
        <f t="shared" si="382"/>
        <v/>
      </c>
      <c r="AE379" s="115" t="str">
        <f t="shared" si="382"/>
        <v/>
      </c>
      <c r="AF379" s="115" t="str">
        <f t="shared" si="382"/>
        <v/>
      </c>
      <c r="AG379" s="115" t="str">
        <f t="shared" si="382"/>
        <v/>
      </c>
      <c r="AH379" s="115" t="str">
        <f t="shared" si="382"/>
        <v/>
      </c>
      <c r="AI379" s="115" t="str">
        <f t="shared" si="382"/>
        <v/>
      </c>
      <c r="AJ379" s="115" t="str">
        <f t="shared" si="382"/>
        <v/>
      </c>
      <c r="AK379" s="115" t="str">
        <f t="shared" si="382"/>
        <v/>
      </c>
      <c r="AL379" s="115" t="str">
        <f t="shared" si="382"/>
        <v/>
      </c>
      <c r="AM379" s="115" t="str">
        <f t="shared" si="382"/>
        <v/>
      </c>
      <c r="AN379" s="115" t="str">
        <f t="shared" si="382"/>
        <v/>
      </c>
      <c r="AO379" s="115" t="str">
        <f t="shared" si="382"/>
        <v/>
      </c>
      <c r="AP379" s="117">
        <f>IF(AP$6="","",IF(AP$3="Maior",IFERROR(IF(VLOOKUP($N379,Capa!$A:$AE,AP$5,0)="",0,VLOOKUP($N379,Capa!$A:$AE,AP$5,0)),0),IF(ISERROR(1/VLOOKUP($N379,Capa!$A:$AE,AP$5,0)),0,1/VLOOKUP($N379,Capa!$A:$AE,AP$5,0))))</f>
        <v>0.07579128744</v>
      </c>
      <c r="AQ379" s="118">
        <f>IF(AQ$6="","",IF(AQ$3="Maior",IFERROR(IF(VLOOKUP($N379,Capa!$A:$AE,AQ$5,0)="",0,VLOOKUP($N379,Capa!$A:$AE,AQ$5,0)),0),IF(ISERROR(1/VLOOKUP($N379,Capa!$A:$AE,AQ$5,0)),0,1/VLOOKUP($N379,Capa!$A:$AE,AQ$5,0))))</f>
        <v>11.45</v>
      </c>
      <c r="AR379" s="118">
        <f>IF(AR$6="","",IF(AR$3="Maior",IFERROR(IF(VLOOKUP($N379,Capa!$A:$AE,AR$5,0)="",0,VLOOKUP($N379,Capa!$A:$AE,AR$5,0)),0),IF(ISERROR(1/VLOOKUP($N379,Capa!$A:$AE,AR$5,0)),0,1/VLOOKUP($N379,Capa!$A:$AE,AR$5,0))))</f>
        <v>6.73</v>
      </c>
      <c r="AS379" s="118" t="str">
        <f>IF(AS$6="","",IF(AS$3="Maior",IFERROR(IF(VLOOKUP($N379,Capa!$A:$AE,AS$5,0)="",0,VLOOKUP($N379,Capa!$A:$AE,AS$5,0)),0),IF(ISERROR(1/VLOOKUP($N379,Capa!$A:$AE,AS$5,0)),0,1/VLOOKUP($N379,Capa!$A:$AE,AS$5,0))))</f>
        <v/>
      </c>
      <c r="AT379" s="118" t="str">
        <f>IF(AT$6="","",IF(AT$3="Maior",IFERROR(IF(VLOOKUP($N379,Capa!$A:$AE,AT$5,0)="",0,VLOOKUP($N379,Capa!$A:$AE,AT$5,0)),0),IF(ISERROR(1/VLOOKUP($N379,Capa!$A:$AE,AT$5,0)),0,1/VLOOKUP($N379,Capa!$A:$AE,AT$5,0))))</f>
        <v/>
      </c>
      <c r="AU379" s="118" t="str">
        <f>IF(AU$6="","",IF(AU$3="Maior",IFERROR(IF(VLOOKUP($N379,Capa!$A:$AE,AU$5,0)="",0,VLOOKUP($N379,Capa!$A:$AE,AU$5,0)),0),IF(ISERROR(1/VLOOKUP($N379,Capa!$A:$AE,AU$5,0)),0,1/VLOOKUP($N379,Capa!$A:$AE,AU$5,0))))</f>
        <v/>
      </c>
      <c r="AV379" s="118" t="str">
        <f>IF(AV$6="","",IF(AV$3="Maior",IFERROR(IF(VLOOKUP($N379,Capa!$A:$AE,AV$5,0)="",0,VLOOKUP($N379,Capa!$A:$AE,AV$5,0)),0),IF(ISERROR(1/VLOOKUP($N379,Capa!$A:$AE,AV$5,0)),0,1/VLOOKUP($N379,Capa!$A:$AE,AV$5,0))))</f>
        <v/>
      </c>
      <c r="AW379" s="118" t="str">
        <f>IF(AW$6="","",IF(AW$3="Maior",IFERROR(IF(VLOOKUP($N379,Capa!$A:$AE,AW$5,0)="",0,VLOOKUP($N379,Capa!$A:$AE,AW$5,0)),0),IF(ISERROR(1/VLOOKUP($N379,Capa!$A:$AE,AW$5,0)),0,1/VLOOKUP($N379,Capa!$A:$AE,AW$5,0))))</f>
        <v/>
      </c>
      <c r="AX379" s="118" t="str">
        <f>IF(AX$6="","",IF(AX$3="Maior",IFERROR(IF(VLOOKUP($N379,Capa!$A:$AE,AX$5,0)="",0,VLOOKUP($N379,Capa!$A:$AE,AX$5,0)),0),IF(ISERROR(1/VLOOKUP($N379,Capa!$A:$AE,AX$5,0)),0,1/VLOOKUP($N379,Capa!$A:$AE,AX$5,0))))</f>
        <v/>
      </c>
      <c r="AY379" s="118" t="str">
        <f>IF(AY$6="","",IF(AY$3="Maior",IFERROR(IF(VLOOKUP($N379,Capa!$A:$AE,AY$5,0)="",0,VLOOKUP($N379,Capa!$A:$AE,AY$5,0)),0),IF(ISERROR(1/VLOOKUP($N379,Capa!$A:$AE,AY$5,0)),0,1/VLOOKUP($N379,Capa!$A:$AE,AY$5,0))))</f>
        <v/>
      </c>
      <c r="AZ379" s="118" t="str">
        <f>IF(AZ$6="","",IF(AZ$3="Maior",IFERROR(IF(VLOOKUP($N379,Capa!$A:$AE,AZ$5,0)="",0,VLOOKUP($N379,Capa!$A:$AE,AZ$5,0)),0),IF(ISERROR(1/VLOOKUP($N379,Capa!$A:$AE,AZ$5,0)),0,1/VLOOKUP($N379,Capa!$A:$AE,AZ$5,0))))</f>
        <v/>
      </c>
      <c r="BA379" s="118" t="str">
        <f>IF(BA$6="","",IF(BA$3="Maior",IFERROR(IF(VLOOKUP($N379,Capa!$A:$AE,BA$5,0)="",0,VLOOKUP($N379,Capa!$A:$AE,BA$5,0)),0),IF(ISERROR(1/VLOOKUP($N379,Capa!$A:$AE,BA$5,0)),0,1/VLOOKUP($N379,Capa!$A:$AE,BA$5,0))))</f>
        <v/>
      </c>
      <c r="BB379" s="118" t="str">
        <f>IF(BB$6="","",IF(BB$3="Maior",IFERROR(IF(VLOOKUP($N379,Capa!$A:$AE,BB$5,0)="",0,VLOOKUP($N379,Capa!$A:$AE,BB$5,0)),0),IF(ISERROR(1/VLOOKUP($N379,Capa!$A:$AE,BB$5,0)),0,1/VLOOKUP($N379,Capa!$A:$AE,BB$5,0))))</f>
        <v/>
      </c>
      <c r="BC379" s="118" t="str">
        <f>IF(BC$6="","",IF(BC$3="Maior",IFERROR(IF(VLOOKUP($N379,Capa!$A:$AE,BC$5,0)="",0,VLOOKUP($N379,Capa!$A:$AE,BC$5,0)),0),IF(ISERROR(1/VLOOKUP($N379,Capa!$A:$AE,BC$5,0)),0,1/VLOOKUP($N379,Capa!$A:$AE,BC$5,0))))</f>
        <v/>
      </c>
      <c r="BD379" s="118" t="str">
        <f>IF(BD$6="","",IF(BD$3="Maior",IFERROR(IF(VLOOKUP($N379,Capa!$A:$AE,BD$5,0)="",0,VLOOKUP($N379,Capa!$A:$AE,BD$5,0)),0),IF(ISERROR(1/VLOOKUP($N379,Capa!$A:$AE,BD$5,0)),0,1/VLOOKUP($N379,Capa!$A:$AE,BD$5,0))))</f>
        <v/>
      </c>
      <c r="BE379" s="118" t="str">
        <f>IF(BE$6="","",IF(BE$3="Maior",IFERROR(IF(VLOOKUP($N379,Capa!$A:$AE,BE$5,0)="",0,VLOOKUP($N379,Capa!$A:$AE,BE$5,0)),0),IF(ISERROR(1/VLOOKUP($N379,Capa!$A:$AE,BE$5,0)),0,1/VLOOKUP($N379,Capa!$A:$AE,BE$5,0))))</f>
        <v/>
      </c>
      <c r="BF379" s="118" t="str">
        <f>IF(BF$6="","",IF(BF$3="Maior",IFERROR(IF(VLOOKUP($N379,Capa!$A:$AE,BF$5,0)="",0,VLOOKUP($N379,Capa!$A:$AE,BF$5,0)),0),IF(ISERROR(1/VLOOKUP($N379,Capa!$A:$AE,BF$5,0)),0,1/VLOOKUP($N379,Capa!$A:$AE,BF$5,0))))</f>
        <v/>
      </c>
      <c r="BG379" s="118" t="str">
        <f>IF(BG$6="","",IF(BG$3="Maior",IFERROR(IF(VLOOKUP($N379,Capa!$A:$AE,BG$5,0)="",0,VLOOKUP($N379,Capa!$A:$AE,BG$5,0)),0),IF(ISERROR(1/VLOOKUP($N379,Capa!$A:$AE,BG$5,0)),0,1/VLOOKUP($N379,Capa!$A:$AE,BG$5,0))))</f>
        <v/>
      </c>
      <c r="BH379" s="118" t="str">
        <f>IF(BH$6="","",IF(BH$3="Maior",IFERROR(IF(VLOOKUP($N379,Capa!$A:$AE,BH$5,0)="",0,VLOOKUP($N379,Capa!$A:$AE,BH$5,0)),0),IF(ISERROR(1/VLOOKUP($N379,Capa!$A:$AE,BH$5,0)),0,1/VLOOKUP($N379,Capa!$A:$AE,BH$5,0))))</f>
        <v/>
      </c>
      <c r="BI379" s="118" t="str">
        <f>IF(BI$6="","",IF(BI$3="Maior",IFERROR(IF(VLOOKUP($N379,Capa!$A:$AE,BI$5,0)="",0,VLOOKUP($N379,Capa!$A:$AE,BI$5,0)),0),IF(ISERROR(1/VLOOKUP($N379,Capa!$A:$AE,BI$5,0)),0,1/VLOOKUP($N379,Capa!$A:$AE,BI$5,0))))</f>
        <v/>
      </c>
      <c r="BJ379" s="118" t="str">
        <f>IF(BJ$6="","",IF(BJ$3="Maior",IFERROR(IF(VLOOKUP($N379,Capa!$A:$AE,BJ$5,0)="",0,VLOOKUP($N379,Capa!$A:$AE,BJ$5,0)),0),IF(ISERROR(1/VLOOKUP($N379,Capa!$A:$AE,BJ$5,0)),0,1/VLOOKUP($N379,Capa!$A:$AE,BJ$5,0))))</f>
        <v/>
      </c>
      <c r="BK379" s="118" t="str">
        <f>IF(BK$6="","",IF(BK$3="Maior",IFERROR(IF(VLOOKUP($N379,Capa!$A:$AE,BK$5,0)="",0,VLOOKUP($N379,Capa!$A:$AE,BK$5,0)),0),IF(ISERROR(1/VLOOKUP($N379,Capa!$A:$AE,BK$5,0)),0,1/VLOOKUP($N379,Capa!$A:$AE,BK$5,0))))</f>
        <v/>
      </c>
      <c r="BL379" s="118" t="str">
        <f>IF(BL$6="","",IF(BL$3="Maior",IFERROR(IF(VLOOKUP($N379,Capa!$A:$AE,BL$5,0)="",0,VLOOKUP($N379,Capa!$A:$AE,BL$5,0)),0),IF(ISERROR(1/VLOOKUP($N379,Capa!$A:$AE,BL$5,0)),0,1/VLOOKUP($N379,Capa!$A:$AE,BL$5,0))))</f>
        <v/>
      </c>
      <c r="BM379" s="118" t="str">
        <f>IF(BM$6="","",IF(BM$3="Maior",IFERROR(IF(VLOOKUP($N379,Capa!$A:$AE,BM$5,0)="",0,VLOOKUP($N379,Capa!$A:$AE,BM$5,0)),0),IF(ISERROR(1/VLOOKUP($N379,Capa!$A:$AE,BM$5,0)),0,1/VLOOKUP($N379,Capa!$A:$AE,BM$5,0))))</f>
        <v/>
      </c>
      <c r="BN379" s="118" t="str">
        <f>IF(BN$6="","",IF(BN$3="Maior",IFERROR(IF(VLOOKUP($N379,Capa!$A:$AE,BN$5,0)="",0,VLOOKUP($N379,Capa!$A:$AE,BN$5,0)),0),IF(ISERROR(1/VLOOKUP($N379,Capa!$A:$AE,BN$5,0)),0,1/VLOOKUP($N379,Capa!$A:$AE,BN$5,0))))</f>
        <v/>
      </c>
      <c r="BO379" s="92"/>
    </row>
    <row r="380">
      <c r="G380" s="11"/>
      <c r="H380" s="11"/>
      <c r="I380" s="8"/>
      <c r="J380" s="132"/>
      <c r="K380" s="11"/>
      <c r="L380" s="11"/>
      <c r="M380" s="11"/>
      <c r="N380" s="10" t="s">
        <v>426</v>
      </c>
      <c r="O380" s="113">
        <f t="shared" si="8"/>
        <v>1232.0088</v>
      </c>
      <c r="P380" s="114">
        <f>VLOOKUP(N380,'Dados StatusInvest'!A:Z,26,0)</f>
        <v>64419.96</v>
      </c>
      <c r="Q380" s="115">
        <f t="shared" si="9"/>
        <v>88.0088</v>
      </c>
      <c r="R380" s="116">
        <f t="shared" ref="R380:AO380" si="383">IF(AQ380="","", RANK(AQ380,AQ$7:AQ$503,0))</f>
        <v>93</v>
      </c>
      <c r="S380" s="115">
        <f t="shared" si="383"/>
        <v>51</v>
      </c>
      <c r="T380" s="115" t="str">
        <f t="shared" si="383"/>
        <v/>
      </c>
      <c r="U380" s="115" t="str">
        <f t="shared" si="383"/>
        <v/>
      </c>
      <c r="V380" s="115" t="str">
        <f t="shared" si="383"/>
        <v/>
      </c>
      <c r="W380" s="115" t="str">
        <f t="shared" si="383"/>
        <v/>
      </c>
      <c r="X380" s="115" t="str">
        <f t="shared" si="383"/>
        <v/>
      </c>
      <c r="Y380" s="115" t="str">
        <f t="shared" si="383"/>
        <v/>
      </c>
      <c r="Z380" s="115" t="str">
        <f t="shared" si="383"/>
        <v/>
      </c>
      <c r="AA380" s="115" t="str">
        <f t="shared" si="383"/>
        <v/>
      </c>
      <c r="AB380" s="115" t="str">
        <f t="shared" si="383"/>
        <v/>
      </c>
      <c r="AC380" s="115" t="str">
        <f t="shared" si="383"/>
        <v/>
      </c>
      <c r="AD380" s="115" t="str">
        <f t="shared" si="383"/>
        <v/>
      </c>
      <c r="AE380" s="115" t="str">
        <f t="shared" si="383"/>
        <v/>
      </c>
      <c r="AF380" s="115" t="str">
        <f t="shared" si="383"/>
        <v/>
      </c>
      <c r="AG380" s="115" t="str">
        <f t="shared" si="383"/>
        <v/>
      </c>
      <c r="AH380" s="115" t="str">
        <f t="shared" si="383"/>
        <v/>
      </c>
      <c r="AI380" s="115" t="str">
        <f t="shared" si="383"/>
        <v/>
      </c>
      <c r="AJ380" s="115" t="str">
        <f t="shared" si="383"/>
        <v/>
      </c>
      <c r="AK380" s="115" t="str">
        <f t="shared" si="383"/>
        <v/>
      </c>
      <c r="AL380" s="115" t="str">
        <f t="shared" si="383"/>
        <v/>
      </c>
      <c r="AM380" s="115" t="str">
        <f t="shared" si="383"/>
        <v/>
      </c>
      <c r="AN380" s="115" t="str">
        <f t="shared" si="383"/>
        <v/>
      </c>
      <c r="AO380" s="115" t="str">
        <f t="shared" si="383"/>
        <v/>
      </c>
      <c r="AP380" s="117">
        <f>IF(AP$6="","",IF(AP$3="Maior",IFERROR(IF(VLOOKUP($N380,Capa!$A:$AE,AP$5,0)="",0,VLOOKUP($N380,Capa!$A:$AE,AP$5,0)),0),IF(ISERROR(1/VLOOKUP($N380,Capa!$A:$AE,AP$5,0)),0,1/VLOOKUP($N380,Capa!$A:$AE,AP$5,0))))</f>
        <v>0.2067133852</v>
      </c>
      <c r="AQ380" s="118">
        <f>IF(AQ$6="","",IF(AQ$3="Maior",IFERROR(IF(VLOOKUP($N380,Capa!$A:$AE,AQ$5,0)="",0,VLOOKUP($N380,Capa!$A:$AE,AQ$5,0)),0),IF(ISERROR(1/VLOOKUP($N380,Capa!$A:$AE,AQ$5,0)),0,1/VLOOKUP($N380,Capa!$A:$AE,AQ$5,0))))</f>
        <v>18.37</v>
      </c>
      <c r="AR380" s="118">
        <f>IF(AR$6="","",IF(AR$3="Maior",IFERROR(IF(VLOOKUP($N380,Capa!$A:$AE,AR$5,0)="",0,VLOOKUP($N380,Capa!$A:$AE,AR$5,0)),0),IF(ISERROR(1/VLOOKUP($N380,Capa!$A:$AE,AR$5,0)),0,1/VLOOKUP($N380,Capa!$A:$AE,AR$5,0))))</f>
        <v>47.51</v>
      </c>
      <c r="AS380" s="118" t="str">
        <f>IF(AS$6="","",IF(AS$3="Maior",IFERROR(IF(VLOOKUP($N380,Capa!$A:$AE,AS$5,0)="",0,VLOOKUP($N380,Capa!$A:$AE,AS$5,0)),0),IF(ISERROR(1/VLOOKUP($N380,Capa!$A:$AE,AS$5,0)),0,1/VLOOKUP($N380,Capa!$A:$AE,AS$5,0))))</f>
        <v/>
      </c>
      <c r="AT380" s="118" t="str">
        <f>IF(AT$6="","",IF(AT$3="Maior",IFERROR(IF(VLOOKUP($N380,Capa!$A:$AE,AT$5,0)="",0,VLOOKUP($N380,Capa!$A:$AE,AT$5,0)),0),IF(ISERROR(1/VLOOKUP($N380,Capa!$A:$AE,AT$5,0)),0,1/VLOOKUP($N380,Capa!$A:$AE,AT$5,0))))</f>
        <v/>
      </c>
      <c r="AU380" s="118" t="str">
        <f>IF(AU$6="","",IF(AU$3="Maior",IFERROR(IF(VLOOKUP($N380,Capa!$A:$AE,AU$5,0)="",0,VLOOKUP($N380,Capa!$A:$AE,AU$5,0)),0),IF(ISERROR(1/VLOOKUP($N380,Capa!$A:$AE,AU$5,0)),0,1/VLOOKUP($N380,Capa!$A:$AE,AU$5,0))))</f>
        <v/>
      </c>
      <c r="AV380" s="118" t="str">
        <f>IF(AV$6="","",IF(AV$3="Maior",IFERROR(IF(VLOOKUP($N380,Capa!$A:$AE,AV$5,0)="",0,VLOOKUP($N380,Capa!$A:$AE,AV$5,0)),0),IF(ISERROR(1/VLOOKUP($N380,Capa!$A:$AE,AV$5,0)),0,1/VLOOKUP($N380,Capa!$A:$AE,AV$5,0))))</f>
        <v/>
      </c>
      <c r="AW380" s="118" t="str">
        <f>IF(AW$6="","",IF(AW$3="Maior",IFERROR(IF(VLOOKUP($N380,Capa!$A:$AE,AW$5,0)="",0,VLOOKUP($N380,Capa!$A:$AE,AW$5,0)),0),IF(ISERROR(1/VLOOKUP($N380,Capa!$A:$AE,AW$5,0)),0,1/VLOOKUP($N380,Capa!$A:$AE,AW$5,0))))</f>
        <v/>
      </c>
      <c r="AX380" s="118" t="str">
        <f>IF(AX$6="","",IF(AX$3="Maior",IFERROR(IF(VLOOKUP($N380,Capa!$A:$AE,AX$5,0)="",0,VLOOKUP($N380,Capa!$A:$AE,AX$5,0)),0),IF(ISERROR(1/VLOOKUP($N380,Capa!$A:$AE,AX$5,0)),0,1/VLOOKUP($N380,Capa!$A:$AE,AX$5,0))))</f>
        <v/>
      </c>
      <c r="AY380" s="118" t="str">
        <f>IF(AY$6="","",IF(AY$3="Maior",IFERROR(IF(VLOOKUP($N380,Capa!$A:$AE,AY$5,0)="",0,VLOOKUP($N380,Capa!$A:$AE,AY$5,0)),0),IF(ISERROR(1/VLOOKUP($N380,Capa!$A:$AE,AY$5,0)),0,1/VLOOKUP($N380,Capa!$A:$AE,AY$5,0))))</f>
        <v/>
      </c>
      <c r="AZ380" s="118" t="str">
        <f>IF(AZ$6="","",IF(AZ$3="Maior",IFERROR(IF(VLOOKUP($N380,Capa!$A:$AE,AZ$5,0)="",0,VLOOKUP($N380,Capa!$A:$AE,AZ$5,0)),0),IF(ISERROR(1/VLOOKUP($N380,Capa!$A:$AE,AZ$5,0)),0,1/VLOOKUP($N380,Capa!$A:$AE,AZ$5,0))))</f>
        <v/>
      </c>
      <c r="BA380" s="118" t="str">
        <f>IF(BA$6="","",IF(BA$3="Maior",IFERROR(IF(VLOOKUP($N380,Capa!$A:$AE,BA$5,0)="",0,VLOOKUP($N380,Capa!$A:$AE,BA$5,0)),0),IF(ISERROR(1/VLOOKUP($N380,Capa!$A:$AE,BA$5,0)),0,1/VLOOKUP($N380,Capa!$A:$AE,BA$5,0))))</f>
        <v/>
      </c>
      <c r="BB380" s="118" t="str">
        <f>IF(BB$6="","",IF(BB$3="Maior",IFERROR(IF(VLOOKUP($N380,Capa!$A:$AE,BB$5,0)="",0,VLOOKUP($N380,Capa!$A:$AE,BB$5,0)),0),IF(ISERROR(1/VLOOKUP($N380,Capa!$A:$AE,BB$5,0)),0,1/VLOOKUP($N380,Capa!$A:$AE,BB$5,0))))</f>
        <v/>
      </c>
      <c r="BC380" s="118" t="str">
        <f>IF(BC$6="","",IF(BC$3="Maior",IFERROR(IF(VLOOKUP($N380,Capa!$A:$AE,BC$5,0)="",0,VLOOKUP($N380,Capa!$A:$AE,BC$5,0)),0),IF(ISERROR(1/VLOOKUP($N380,Capa!$A:$AE,BC$5,0)),0,1/VLOOKUP($N380,Capa!$A:$AE,BC$5,0))))</f>
        <v/>
      </c>
      <c r="BD380" s="118" t="str">
        <f>IF(BD$6="","",IF(BD$3="Maior",IFERROR(IF(VLOOKUP($N380,Capa!$A:$AE,BD$5,0)="",0,VLOOKUP($N380,Capa!$A:$AE,BD$5,0)),0),IF(ISERROR(1/VLOOKUP($N380,Capa!$A:$AE,BD$5,0)),0,1/VLOOKUP($N380,Capa!$A:$AE,BD$5,0))))</f>
        <v/>
      </c>
      <c r="BE380" s="118" t="str">
        <f>IF(BE$6="","",IF(BE$3="Maior",IFERROR(IF(VLOOKUP($N380,Capa!$A:$AE,BE$5,0)="",0,VLOOKUP($N380,Capa!$A:$AE,BE$5,0)),0),IF(ISERROR(1/VLOOKUP($N380,Capa!$A:$AE,BE$5,0)),0,1/VLOOKUP($N380,Capa!$A:$AE,BE$5,0))))</f>
        <v/>
      </c>
      <c r="BF380" s="118" t="str">
        <f>IF(BF$6="","",IF(BF$3="Maior",IFERROR(IF(VLOOKUP($N380,Capa!$A:$AE,BF$5,0)="",0,VLOOKUP($N380,Capa!$A:$AE,BF$5,0)),0),IF(ISERROR(1/VLOOKUP($N380,Capa!$A:$AE,BF$5,0)),0,1/VLOOKUP($N380,Capa!$A:$AE,BF$5,0))))</f>
        <v/>
      </c>
      <c r="BG380" s="118" t="str">
        <f>IF(BG$6="","",IF(BG$3="Maior",IFERROR(IF(VLOOKUP($N380,Capa!$A:$AE,BG$5,0)="",0,VLOOKUP($N380,Capa!$A:$AE,BG$5,0)),0),IF(ISERROR(1/VLOOKUP($N380,Capa!$A:$AE,BG$5,0)),0,1/VLOOKUP($N380,Capa!$A:$AE,BG$5,0))))</f>
        <v/>
      </c>
      <c r="BH380" s="118" t="str">
        <f>IF(BH$6="","",IF(BH$3="Maior",IFERROR(IF(VLOOKUP($N380,Capa!$A:$AE,BH$5,0)="",0,VLOOKUP($N380,Capa!$A:$AE,BH$5,0)),0),IF(ISERROR(1/VLOOKUP($N380,Capa!$A:$AE,BH$5,0)),0,1/VLOOKUP($N380,Capa!$A:$AE,BH$5,0))))</f>
        <v/>
      </c>
      <c r="BI380" s="118" t="str">
        <f>IF(BI$6="","",IF(BI$3="Maior",IFERROR(IF(VLOOKUP($N380,Capa!$A:$AE,BI$5,0)="",0,VLOOKUP($N380,Capa!$A:$AE,BI$5,0)),0),IF(ISERROR(1/VLOOKUP($N380,Capa!$A:$AE,BI$5,0)),0,1/VLOOKUP($N380,Capa!$A:$AE,BI$5,0))))</f>
        <v/>
      </c>
      <c r="BJ380" s="118" t="str">
        <f>IF(BJ$6="","",IF(BJ$3="Maior",IFERROR(IF(VLOOKUP($N380,Capa!$A:$AE,BJ$5,0)="",0,VLOOKUP($N380,Capa!$A:$AE,BJ$5,0)),0),IF(ISERROR(1/VLOOKUP($N380,Capa!$A:$AE,BJ$5,0)),0,1/VLOOKUP($N380,Capa!$A:$AE,BJ$5,0))))</f>
        <v/>
      </c>
      <c r="BK380" s="118" t="str">
        <f>IF(BK$6="","",IF(BK$3="Maior",IFERROR(IF(VLOOKUP($N380,Capa!$A:$AE,BK$5,0)="",0,VLOOKUP($N380,Capa!$A:$AE,BK$5,0)),0),IF(ISERROR(1/VLOOKUP($N380,Capa!$A:$AE,BK$5,0)),0,1/VLOOKUP($N380,Capa!$A:$AE,BK$5,0))))</f>
        <v/>
      </c>
      <c r="BL380" s="118" t="str">
        <f>IF(BL$6="","",IF(BL$3="Maior",IFERROR(IF(VLOOKUP($N380,Capa!$A:$AE,BL$5,0)="",0,VLOOKUP($N380,Capa!$A:$AE,BL$5,0)),0),IF(ISERROR(1/VLOOKUP($N380,Capa!$A:$AE,BL$5,0)),0,1/VLOOKUP($N380,Capa!$A:$AE,BL$5,0))))</f>
        <v/>
      </c>
      <c r="BM380" s="118" t="str">
        <f>IF(BM$6="","",IF(BM$3="Maior",IFERROR(IF(VLOOKUP($N380,Capa!$A:$AE,BM$5,0)="",0,VLOOKUP($N380,Capa!$A:$AE,BM$5,0)),0),IF(ISERROR(1/VLOOKUP($N380,Capa!$A:$AE,BM$5,0)),0,1/VLOOKUP($N380,Capa!$A:$AE,BM$5,0))))</f>
        <v/>
      </c>
      <c r="BN380" s="118" t="str">
        <f>IF(BN$6="","",IF(BN$3="Maior",IFERROR(IF(VLOOKUP($N380,Capa!$A:$AE,BN$5,0)="",0,VLOOKUP($N380,Capa!$A:$AE,BN$5,0)),0),IF(ISERROR(1/VLOOKUP($N380,Capa!$A:$AE,BN$5,0)),0,1/VLOOKUP($N380,Capa!$A:$AE,BN$5,0))))</f>
        <v/>
      </c>
      <c r="BO380" s="92"/>
    </row>
    <row r="381">
      <c r="G381" s="11"/>
      <c r="H381" s="11"/>
      <c r="I381" s="8"/>
      <c r="J381" s="132"/>
      <c r="K381" s="11"/>
      <c r="L381" s="11"/>
      <c r="M381" s="11"/>
      <c r="N381" s="10" t="s">
        <v>427</v>
      </c>
      <c r="O381" s="113">
        <f t="shared" si="8"/>
        <v>1675.02</v>
      </c>
      <c r="P381" s="114">
        <f>VLOOKUP(N381,'Dados StatusInvest'!A:Z,26,0)</f>
        <v>47294.46</v>
      </c>
      <c r="Q381" s="115">
        <f t="shared" si="9"/>
        <v>200.02</v>
      </c>
      <c r="R381" s="116">
        <f t="shared" ref="R381:AO381" si="384">IF(AQ381="","", RANK(AQ381,AQ$7:AQ$503,0))</f>
        <v>256</v>
      </c>
      <c r="S381" s="115">
        <f t="shared" si="384"/>
        <v>219</v>
      </c>
      <c r="T381" s="115" t="str">
        <f t="shared" si="384"/>
        <v/>
      </c>
      <c r="U381" s="115" t="str">
        <f t="shared" si="384"/>
        <v/>
      </c>
      <c r="V381" s="115" t="str">
        <f t="shared" si="384"/>
        <v/>
      </c>
      <c r="W381" s="115" t="str">
        <f t="shared" si="384"/>
        <v/>
      </c>
      <c r="X381" s="115" t="str">
        <f t="shared" si="384"/>
        <v/>
      </c>
      <c r="Y381" s="115" t="str">
        <f t="shared" si="384"/>
        <v/>
      </c>
      <c r="Z381" s="115" t="str">
        <f t="shared" si="384"/>
        <v/>
      </c>
      <c r="AA381" s="115" t="str">
        <f t="shared" si="384"/>
        <v/>
      </c>
      <c r="AB381" s="115" t="str">
        <f t="shared" si="384"/>
        <v/>
      </c>
      <c r="AC381" s="115" t="str">
        <f t="shared" si="384"/>
        <v/>
      </c>
      <c r="AD381" s="115" t="str">
        <f t="shared" si="384"/>
        <v/>
      </c>
      <c r="AE381" s="115" t="str">
        <f t="shared" si="384"/>
        <v/>
      </c>
      <c r="AF381" s="115" t="str">
        <f t="shared" si="384"/>
        <v/>
      </c>
      <c r="AG381" s="115" t="str">
        <f t="shared" si="384"/>
        <v/>
      </c>
      <c r="AH381" s="115" t="str">
        <f t="shared" si="384"/>
        <v/>
      </c>
      <c r="AI381" s="115" t="str">
        <f t="shared" si="384"/>
        <v/>
      </c>
      <c r="AJ381" s="115" t="str">
        <f t="shared" si="384"/>
        <v/>
      </c>
      <c r="AK381" s="115" t="str">
        <f t="shared" si="384"/>
        <v/>
      </c>
      <c r="AL381" s="115" t="str">
        <f t="shared" si="384"/>
        <v/>
      </c>
      <c r="AM381" s="115" t="str">
        <f t="shared" si="384"/>
        <v/>
      </c>
      <c r="AN381" s="115" t="str">
        <f t="shared" si="384"/>
        <v/>
      </c>
      <c r="AO381" s="115" t="str">
        <f t="shared" si="384"/>
        <v/>
      </c>
      <c r="AP381" s="117">
        <f>IF(AP$6="","",IF(AP$3="Maior",IFERROR(IF(VLOOKUP($N381,Capa!$A:$AE,AP$5,0)="",0,VLOOKUP($N381,Capa!$A:$AE,AP$5,0)),0),IF(ISERROR(1/VLOOKUP($N381,Capa!$A:$AE,AP$5,0)),0,1/VLOOKUP($N381,Capa!$A:$AE,AP$5,0))))</f>
        <v>0.1072613554</v>
      </c>
      <c r="AQ381" s="118">
        <f>IF(AQ$6="","",IF(AQ$3="Maior",IFERROR(IF(VLOOKUP($N381,Capa!$A:$AE,AQ$5,0)="",0,VLOOKUP($N381,Capa!$A:$AE,AQ$5,0)),0),IF(ISERROR(1/VLOOKUP($N381,Capa!$A:$AE,AQ$5,0)),0,1/VLOOKUP($N381,Capa!$A:$AE,AQ$5,0))))</f>
        <v>8.03</v>
      </c>
      <c r="AR381" s="118">
        <f>IF(AR$6="","",IF(AR$3="Maior",IFERROR(IF(VLOOKUP($N381,Capa!$A:$AE,AR$5,0)="",0,VLOOKUP($N381,Capa!$A:$AE,AR$5,0)),0),IF(ISERROR(1/VLOOKUP($N381,Capa!$A:$AE,AR$5,0)),0,1/VLOOKUP($N381,Capa!$A:$AE,AR$5,0))))</f>
        <v>0</v>
      </c>
      <c r="AS381" s="118" t="str">
        <f>IF(AS$6="","",IF(AS$3="Maior",IFERROR(IF(VLOOKUP($N381,Capa!$A:$AE,AS$5,0)="",0,VLOOKUP($N381,Capa!$A:$AE,AS$5,0)),0),IF(ISERROR(1/VLOOKUP($N381,Capa!$A:$AE,AS$5,0)),0,1/VLOOKUP($N381,Capa!$A:$AE,AS$5,0))))</f>
        <v/>
      </c>
      <c r="AT381" s="118" t="str">
        <f>IF(AT$6="","",IF(AT$3="Maior",IFERROR(IF(VLOOKUP($N381,Capa!$A:$AE,AT$5,0)="",0,VLOOKUP($N381,Capa!$A:$AE,AT$5,0)),0),IF(ISERROR(1/VLOOKUP($N381,Capa!$A:$AE,AT$5,0)),0,1/VLOOKUP($N381,Capa!$A:$AE,AT$5,0))))</f>
        <v/>
      </c>
      <c r="AU381" s="118" t="str">
        <f>IF(AU$6="","",IF(AU$3="Maior",IFERROR(IF(VLOOKUP($N381,Capa!$A:$AE,AU$5,0)="",0,VLOOKUP($N381,Capa!$A:$AE,AU$5,0)),0),IF(ISERROR(1/VLOOKUP($N381,Capa!$A:$AE,AU$5,0)),0,1/VLOOKUP($N381,Capa!$A:$AE,AU$5,0))))</f>
        <v/>
      </c>
      <c r="AV381" s="118" t="str">
        <f>IF(AV$6="","",IF(AV$3="Maior",IFERROR(IF(VLOOKUP($N381,Capa!$A:$AE,AV$5,0)="",0,VLOOKUP($N381,Capa!$A:$AE,AV$5,0)),0),IF(ISERROR(1/VLOOKUP($N381,Capa!$A:$AE,AV$5,0)),0,1/VLOOKUP($N381,Capa!$A:$AE,AV$5,0))))</f>
        <v/>
      </c>
      <c r="AW381" s="118" t="str">
        <f>IF(AW$6="","",IF(AW$3="Maior",IFERROR(IF(VLOOKUP($N381,Capa!$A:$AE,AW$5,0)="",0,VLOOKUP($N381,Capa!$A:$AE,AW$5,0)),0),IF(ISERROR(1/VLOOKUP($N381,Capa!$A:$AE,AW$5,0)),0,1/VLOOKUP($N381,Capa!$A:$AE,AW$5,0))))</f>
        <v/>
      </c>
      <c r="AX381" s="118" t="str">
        <f>IF(AX$6="","",IF(AX$3="Maior",IFERROR(IF(VLOOKUP($N381,Capa!$A:$AE,AX$5,0)="",0,VLOOKUP($N381,Capa!$A:$AE,AX$5,0)),0),IF(ISERROR(1/VLOOKUP($N381,Capa!$A:$AE,AX$5,0)),0,1/VLOOKUP($N381,Capa!$A:$AE,AX$5,0))))</f>
        <v/>
      </c>
      <c r="AY381" s="118" t="str">
        <f>IF(AY$6="","",IF(AY$3="Maior",IFERROR(IF(VLOOKUP($N381,Capa!$A:$AE,AY$5,0)="",0,VLOOKUP($N381,Capa!$A:$AE,AY$5,0)),0),IF(ISERROR(1/VLOOKUP($N381,Capa!$A:$AE,AY$5,0)),0,1/VLOOKUP($N381,Capa!$A:$AE,AY$5,0))))</f>
        <v/>
      </c>
      <c r="AZ381" s="118" t="str">
        <f>IF(AZ$6="","",IF(AZ$3="Maior",IFERROR(IF(VLOOKUP($N381,Capa!$A:$AE,AZ$5,0)="",0,VLOOKUP($N381,Capa!$A:$AE,AZ$5,0)),0),IF(ISERROR(1/VLOOKUP($N381,Capa!$A:$AE,AZ$5,0)),0,1/VLOOKUP($N381,Capa!$A:$AE,AZ$5,0))))</f>
        <v/>
      </c>
      <c r="BA381" s="118" t="str">
        <f>IF(BA$6="","",IF(BA$3="Maior",IFERROR(IF(VLOOKUP($N381,Capa!$A:$AE,BA$5,0)="",0,VLOOKUP($N381,Capa!$A:$AE,BA$5,0)),0),IF(ISERROR(1/VLOOKUP($N381,Capa!$A:$AE,BA$5,0)),0,1/VLOOKUP($N381,Capa!$A:$AE,BA$5,0))))</f>
        <v/>
      </c>
      <c r="BB381" s="118" t="str">
        <f>IF(BB$6="","",IF(BB$3="Maior",IFERROR(IF(VLOOKUP($N381,Capa!$A:$AE,BB$5,0)="",0,VLOOKUP($N381,Capa!$A:$AE,BB$5,0)),0),IF(ISERROR(1/VLOOKUP($N381,Capa!$A:$AE,BB$5,0)),0,1/VLOOKUP($N381,Capa!$A:$AE,BB$5,0))))</f>
        <v/>
      </c>
      <c r="BC381" s="118" t="str">
        <f>IF(BC$6="","",IF(BC$3="Maior",IFERROR(IF(VLOOKUP($N381,Capa!$A:$AE,BC$5,0)="",0,VLOOKUP($N381,Capa!$A:$AE,BC$5,0)),0),IF(ISERROR(1/VLOOKUP($N381,Capa!$A:$AE,BC$5,0)),0,1/VLOOKUP($N381,Capa!$A:$AE,BC$5,0))))</f>
        <v/>
      </c>
      <c r="BD381" s="118" t="str">
        <f>IF(BD$6="","",IF(BD$3="Maior",IFERROR(IF(VLOOKUP($N381,Capa!$A:$AE,BD$5,0)="",0,VLOOKUP($N381,Capa!$A:$AE,BD$5,0)),0),IF(ISERROR(1/VLOOKUP($N381,Capa!$A:$AE,BD$5,0)),0,1/VLOOKUP($N381,Capa!$A:$AE,BD$5,0))))</f>
        <v/>
      </c>
      <c r="BE381" s="118" t="str">
        <f>IF(BE$6="","",IF(BE$3="Maior",IFERROR(IF(VLOOKUP($N381,Capa!$A:$AE,BE$5,0)="",0,VLOOKUP($N381,Capa!$A:$AE,BE$5,0)),0),IF(ISERROR(1/VLOOKUP($N381,Capa!$A:$AE,BE$5,0)),0,1/VLOOKUP($N381,Capa!$A:$AE,BE$5,0))))</f>
        <v/>
      </c>
      <c r="BF381" s="118" t="str">
        <f>IF(BF$6="","",IF(BF$3="Maior",IFERROR(IF(VLOOKUP($N381,Capa!$A:$AE,BF$5,0)="",0,VLOOKUP($N381,Capa!$A:$AE,BF$5,0)),0),IF(ISERROR(1/VLOOKUP($N381,Capa!$A:$AE,BF$5,0)),0,1/VLOOKUP($N381,Capa!$A:$AE,BF$5,0))))</f>
        <v/>
      </c>
      <c r="BG381" s="118" t="str">
        <f>IF(BG$6="","",IF(BG$3="Maior",IFERROR(IF(VLOOKUP($N381,Capa!$A:$AE,BG$5,0)="",0,VLOOKUP($N381,Capa!$A:$AE,BG$5,0)),0),IF(ISERROR(1/VLOOKUP($N381,Capa!$A:$AE,BG$5,0)),0,1/VLOOKUP($N381,Capa!$A:$AE,BG$5,0))))</f>
        <v/>
      </c>
      <c r="BH381" s="118" t="str">
        <f>IF(BH$6="","",IF(BH$3="Maior",IFERROR(IF(VLOOKUP($N381,Capa!$A:$AE,BH$5,0)="",0,VLOOKUP($N381,Capa!$A:$AE,BH$5,0)),0),IF(ISERROR(1/VLOOKUP($N381,Capa!$A:$AE,BH$5,0)),0,1/VLOOKUP($N381,Capa!$A:$AE,BH$5,0))))</f>
        <v/>
      </c>
      <c r="BI381" s="118" t="str">
        <f>IF(BI$6="","",IF(BI$3="Maior",IFERROR(IF(VLOOKUP($N381,Capa!$A:$AE,BI$5,0)="",0,VLOOKUP($N381,Capa!$A:$AE,BI$5,0)),0),IF(ISERROR(1/VLOOKUP($N381,Capa!$A:$AE,BI$5,0)),0,1/VLOOKUP($N381,Capa!$A:$AE,BI$5,0))))</f>
        <v/>
      </c>
      <c r="BJ381" s="118" t="str">
        <f>IF(BJ$6="","",IF(BJ$3="Maior",IFERROR(IF(VLOOKUP($N381,Capa!$A:$AE,BJ$5,0)="",0,VLOOKUP($N381,Capa!$A:$AE,BJ$5,0)),0),IF(ISERROR(1/VLOOKUP($N381,Capa!$A:$AE,BJ$5,0)),0,1/VLOOKUP($N381,Capa!$A:$AE,BJ$5,0))))</f>
        <v/>
      </c>
      <c r="BK381" s="118" t="str">
        <f>IF(BK$6="","",IF(BK$3="Maior",IFERROR(IF(VLOOKUP($N381,Capa!$A:$AE,BK$5,0)="",0,VLOOKUP($N381,Capa!$A:$AE,BK$5,0)),0),IF(ISERROR(1/VLOOKUP($N381,Capa!$A:$AE,BK$5,0)),0,1/VLOOKUP($N381,Capa!$A:$AE,BK$5,0))))</f>
        <v/>
      </c>
      <c r="BL381" s="118" t="str">
        <f>IF(BL$6="","",IF(BL$3="Maior",IFERROR(IF(VLOOKUP($N381,Capa!$A:$AE,BL$5,0)="",0,VLOOKUP($N381,Capa!$A:$AE,BL$5,0)),0),IF(ISERROR(1/VLOOKUP($N381,Capa!$A:$AE,BL$5,0)),0,1/VLOOKUP($N381,Capa!$A:$AE,BL$5,0))))</f>
        <v/>
      </c>
      <c r="BM381" s="118" t="str">
        <f>IF(BM$6="","",IF(BM$3="Maior",IFERROR(IF(VLOOKUP($N381,Capa!$A:$AE,BM$5,0)="",0,VLOOKUP($N381,Capa!$A:$AE,BM$5,0)),0),IF(ISERROR(1/VLOOKUP($N381,Capa!$A:$AE,BM$5,0)),0,1/VLOOKUP($N381,Capa!$A:$AE,BM$5,0))))</f>
        <v/>
      </c>
      <c r="BN381" s="118" t="str">
        <f>IF(BN$6="","",IF(BN$3="Maior",IFERROR(IF(VLOOKUP($N381,Capa!$A:$AE,BN$5,0)="",0,VLOOKUP($N381,Capa!$A:$AE,BN$5,0)),0),IF(ISERROR(1/VLOOKUP($N381,Capa!$A:$AE,BN$5,0)),0,1/VLOOKUP($N381,Capa!$A:$AE,BN$5,0))))</f>
        <v/>
      </c>
      <c r="BO381" s="92"/>
    </row>
    <row r="382">
      <c r="G382" s="11"/>
      <c r="H382" s="11"/>
      <c r="I382" s="8"/>
      <c r="J382" s="132"/>
      <c r="K382" s="11"/>
      <c r="L382" s="11"/>
      <c r="M382" s="11"/>
      <c r="N382" s="10" t="s">
        <v>428</v>
      </c>
      <c r="O382" s="113">
        <f t="shared" si="8"/>
        <v>1602.0065</v>
      </c>
      <c r="P382" s="114">
        <f>VLOOKUP(N382,'Dados StatusInvest'!A:Z,26,0)</f>
        <v>10475.07</v>
      </c>
      <c r="Q382" s="115">
        <f t="shared" si="9"/>
        <v>65.0065</v>
      </c>
      <c r="R382" s="116">
        <f t="shared" ref="R382:AO382" si="385">IF(AQ382="","", RANK(AQ382,AQ$7:AQ$503,0))</f>
        <v>375</v>
      </c>
      <c r="S382" s="115">
        <f t="shared" si="385"/>
        <v>162</v>
      </c>
      <c r="T382" s="115" t="str">
        <f t="shared" si="385"/>
        <v/>
      </c>
      <c r="U382" s="115" t="str">
        <f t="shared" si="385"/>
        <v/>
      </c>
      <c r="V382" s="115" t="str">
        <f t="shared" si="385"/>
        <v/>
      </c>
      <c r="W382" s="115" t="str">
        <f t="shared" si="385"/>
        <v/>
      </c>
      <c r="X382" s="115" t="str">
        <f t="shared" si="385"/>
        <v/>
      </c>
      <c r="Y382" s="115" t="str">
        <f t="shared" si="385"/>
        <v/>
      </c>
      <c r="Z382" s="115" t="str">
        <f t="shared" si="385"/>
        <v/>
      </c>
      <c r="AA382" s="115" t="str">
        <f t="shared" si="385"/>
        <v/>
      </c>
      <c r="AB382" s="115" t="str">
        <f t="shared" si="385"/>
        <v/>
      </c>
      <c r="AC382" s="115" t="str">
        <f t="shared" si="385"/>
        <v/>
      </c>
      <c r="AD382" s="115" t="str">
        <f t="shared" si="385"/>
        <v/>
      </c>
      <c r="AE382" s="115" t="str">
        <f t="shared" si="385"/>
        <v/>
      </c>
      <c r="AF382" s="115" t="str">
        <f t="shared" si="385"/>
        <v/>
      </c>
      <c r="AG382" s="115" t="str">
        <f t="shared" si="385"/>
        <v/>
      </c>
      <c r="AH382" s="115" t="str">
        <f t="shared" si="385"/>
        <v/>
      </c>
      <c r="AI382" s="115" t="str">
        <f t="shared" si="385"/>
        <v/>
      </c>
      <c r="AJ382" s="115" t="str">
        <f t="shared" si="385"/>
        <v/>
      </c>
      <c r="AK382" s="115" t="str">
        <f t="shared" si="385"/>
        <v/>
      </c>
      <c r="AL382" s="115" t="str">
        <f t="shared" si="385"/>
        <v/>
      </c>
      <c r="AM382" s="115" t="str">
        <f t="shared" si="385"/>
        <v/>
      </c>
      <c r="AN382" s="115" t="str">
        <f t="shared" si="385"/>
        <v/>
      </c>
      <c r="AO382" s="115" t="str">
        <f t="shared" si="385"/>
        <v/>
      </c>
      <c r="AP382" s="117">
        <f>IF(AP$6="","",IF(AP$3="Maior",IFERROR(IF(VLOOKUP($N382,Capa!$A:$AE,AP$5,0)="",0,VLOOKUP($N382,Capa!$A:$AE,AP$5,0)),0),IF(ISERROR(1/VLOOKUP($N382,Capa!$A:$AE,AP$5,0)),0,1/VLOOKUP($N382,Capa!$A:$AE,AP$5,0))))</f>
        <v>0.2267573696</v>
      </c>
      <c r="AQ382" s="118">
        <f>IF(AQ$6="","",IF(AQ$3="Maior",IFERROR(IF(VLOOKUP($N382,Capa!$A:$AE,AQ$5,0)="",0,VLOOKUP($N382,Capa!$A:$AE,AQ$5,0)),0),IF(ISERROR(1/VLOOKUP($N382,Capa!$A:$AE,AQ$5,0)),0,1/VLOOKUP($N382,Capa!$A:$AE,AQ$5,0))))</f>
        <v>0</v>
      </c>
      <c r="AR382" s="118">
        <f>IF(AR$6="","",IF(AR$3="Maior",IFERROR(IF(VLOOKUP($N382,Capa!$A:$AE,AR$5,0)="",0,VLOOKUP($N382,Capa!$A:$AE,AR$5,0)),0),IF(ISERROR(1/VLOOKUP($N382,Capa!$A:$AE,AR$5,0)),0,1/VLOOKUP($N382,Capa!$A:$AE,AR$5,0))))</f>
        <v>11.41</v>
      </c>
      <c r="AS382" s="118" t="str">
        <f>IF(AS$6="","",IF(AS$3="Maior",IFERROR(IF(VLOOKUP($N382,Capa!$A:$AE,AS$5,0)="",0,VLOOKUP($N382,Capa!$A:$AE,AS$5,0)),0),IF(ISERROR(1/VLOOKUP($N382,Capa!$A:$AE,AS$5,0)),0,1/VLOOKUP($N382,Capa!$A:$AE,AS$5,0))))</f>
        <v/>
      </c>
      <c r="AT382" s="118" t="str">
        <f>IF(AT$6="","",IF(AT$3="Maior",IFERROR(IF(VLOOKUP($N382,Capa!$A:$AE,AT$5,0)="",0,VLOOKUP($N382,Capa!$A:$AE,AT$5,0)),0),IF(ISERROR(1/VLOOKUP($N382,Capa!$A:$AE,AT$5,0)),0,1/VLOOKUP($N382,Capa!$A:$AE,AT$5,0))))</f>
        <v/>
      </c>
      <c r="AU382" s="118" t="str">
        <f>IF(AU$6="","",IF(AU$3="Maior",IFERROR(IF(VLOOKUP($N382,Capa!$A:$AE,AU$5,0)="",0,VLOOKUP($N382,Capa!$A:$AE,AU$5,0)),0),IF(ISERROR(1/VLOOKUP($N382,Capa!$A:$AE,AU$5,0)),0,1/VLOOKUP($N382,Capa!$A:$AE,AU$5,0))))</f>
        <v/>
      </c>
      <c r="AV382" s="118" t="str">
        <f>IF(AV$6="","",IF(AV$3="Maior",IFERROR(IF(VLOOKUP($N382,Capa!$A:$AE,AV$5,0)="",0,VLOOKUP($N382,Capa!$A:$AE,AV$5,0)),0),IF(ISERROR(1/VLOOKUP($N382,Capa!$A:$AE,AV$5,0)),0,1/VLOOKUP($N382,Capa!$A:$AE,AV$5,0))))</f>
        <v/>
      </c>
      <c r="AW382" s="118" t="str">
        <f>IF(AW$6="","",IF(AW$3="Maior",IFERROR(IF(VLOOKUP($N382,Capa!$A:$AE,AW$5,0)="",0,VLOOKUP($N382,Capa!$A:$AE,AW$5,0)),0),IF(ISERROR(1/VLOOKUP($N382,Capa!$A:$AE,AW$5,0)),0,1/VLOOKUP($N382,Capa!$A:$AE,AW$5,0))))</f>
        <v/>
      </c>
      <c r="AX382" s="118" t="str">
        <f>IF(AX$6="","",IF(AX$3="Maior",IFERROR(IF(VLOOKUP($N382,Capa!$A:$AE,AX$5,0)="",0,VLOOKUP($N382,Capa!$A:$AE,AX$5,0)),0),IF(ISERROR(1/VLOOKUP($N382,Capa!$A:$AE,AX$5,0)),0,1/VLOOKUP($N382,Capa!$A:$AE,AX$5,0))))</f>
        <v/>
      </c>
      <c r="AY382" s="118" t="str">
        <f>IF(AY$6="","",IF(AY$3="Maior",IFERROR(IF(VLOOKUP($N382,Capa!$A:$AE,AY$5,0)="",0,VLOOKUP($N382,Capa!$A:$AE,AY$5,0)),0),IF(ISERROR(1/VLOOKUP($N382,Capa!$A:$AE,AY$5,0)),0,1/VLOOKUP($N382,Capa!$A:$AE,AY$5,0))))</f>
        <v/>
      </c>
      <c r="AZ382" s="118" t="str">
        <f>IF(AZ$6="","",IF(AZ$3="Maior",IFERROR(IF(VLOOKUP($N382,Capa!$A:$AE,AZ$5,0)="",0,VLOOKUP($N382,Capa!$A:$AE,AZ$5,0)),0),IF(ISERROR(1/VLOOKUP($N382,Capa!$A:$AE,AZ$5,0)),0,1/VLOOKUP($N382,Capa!$A:$AE,AZ$5,0))))</f>
        <v/>
      </c>
      <c r="BA382" s="118" t="str">
        <f>IF(BA$6="","",IF(BA$3="Maior",IFERROR(IF(VLOOKUP($N382,Capa!$A:$AE,BA$5,0)="",0,VLOOKUP($N382,Capa!$A:$AE,BA$5,0)),0),IF(ISERROR(1/VLOOKUP($N382,Capa!$A:$AE,BA$5,0)),0,1/VLOOKUP($N382,Capa!$A:$AE,BA$5,0))))</f>
        <v/>
      </c>
      <c r="BB382" s="118" t="str">
        <f>IF(BB$6="","",IF(BB$3="Maior",IFERROR(IF(VLOOKUP($N382,Capa!$A:$AE,BB$5,0)="",0,VLOOKUP($N382,Capa!$A:$AE,BB$5,0)),0),IF(ISERROR(1/VLOOKUP($N382,Capa!$A:$AE,BB$5,0)),0,1/VLOOKUP($N382,Capa!$A:$AE,BB$5,0))))</f>
        <v/>
      </c>
      <c r="BC382" s="118" t="str">
        <f>IF(BC$6="","",IF(BC$3="Maior",IFERROR(IF(VLOOKUP($N382,Capa!$A:$AE,BC$5,0)="",0,VLOOKUP($N382,Capa!$A:$AE,BC$5,0)),0),IF(ISERROR(1/VLOOKUP($N382,Capa!$A:$AE,BC$5,0)),0,1/VLOOKUP($N382,Capa!$A:$AE,BC$5,0))))</f>
        <v/>
      </c>
      <c r="BD382" s="118" t="str">
        <f>IF(BD$6="","",IF(BD$3="Maior",IFERROR(IF(VLOOKUP($N382,Capa!$A:$AE,BD$5,0)="",0,VLOOKUP($N382,Capa!$A:$AE,BD$5,0)),0),IF(ISERROR(1/VLOOKUP($N382,Capa!$A:$AE,BD$5,0)),0,1/VLOOKUP($N382,Capa!$A:$AE,BD$5,0))))</f>
        <v/>
      </c>
      <c r="BE382" s="118" t="str">
        <f>IF(BE$6="","",IF(BE$3="Maior",IFERROR(IF(VLOOKUP($N382,Capa!$A:$AE,BE$5,0)="",0,VLOOKUP($N382,Capa!$A:$AE,BE$5,0)),0),IF(ISERROR(1/VLOOKUP($N382,Capa!$A:$AE,BE$5,0)),0,1/VLOOKUP($N382,Capa!$A:$AE,BE$5,0))))</f>
        <v/>
      </c>
      <c r="BF382" s="118" t="str">
        <f>IF(BF$6="","",IF(BF$3="Maior",IFERROR(IF(VLOOKUP($N382,Capa!$A:$AE,BF$5,0)="",0,VLOOKUP($N382,Capa!$A:$AE,BF$5,0)),0),IF(ISERROR(1/VLOOKUP($N382,Capa!$A:$AE,BF$5,0)),0,1/VLOOKUP($N382,Capa!$A:$AE,BF$5,0))))</f>
        <v/>
      </c>
      <c r="BG382" s="118" t="str">
        <f>IF(BG$6="","",IF(BG$3="Maior",IFERROR(IF(VLOOKUP($N382,Capa!$A:$AE,BG$5,0)="",0,VLOOKUP($N382,Capa!$A:$AE,BG$5,0)),0),IF(ISERROR(1/VLOOKUP($N382,Capa!$A:$AE,BG$5,0)),0,1/VLOOKUP($N382,Capa!$A:$AE,BG$5,0))))</f>
        <v/>
      </c>
      <c r="BH382" s="118" t="str">
        <f>IF(BH$6="","",IF(BH$3="Maior",IFERROR(IF(VLOOKUP($N382,Capa!$A:$AE,BH$5,0)="",0,VLOOKUP($N382,Capa!$A:$AE,BH$5,0)),0),IF(ISERROR(1/VLOOKUP($N382,Capa!$A:$AE,BH$5,0)),0,1/VLOOKUP($N382,Capa!$A:$AE,BH$5,0))))</f>
        <v/>
      </c>
      <c r="BI382" s="118" t="str">
        <f>IF(BI$6="","",IF(BI$3="Maior",IFERROR(IF(VLOOKUP($N382,Capa!$A:$AE,BI$5,0)="",0,VLOOKUP($N382,Capa!$A:$AE,BI$5,0)),0),IF(ISERROR(1/VLOOKUP($N382,Capa!$A:$AE,BI$5,0)),0,1/VLOOKUP($N382,Capa!$A:$AE,BI$5,0))))</f>
        <v/>
      </c>
      <c r="BJ382" s="118" t="str">
        <f>IF(BJ$6="","",IF(BJ$3="Maior",IFERROR(IF(VLOOKUP($N382,Capa!$A:$AE,BJ$5,0)="",0,VLOOKUP($N382,Capa!$A:$AE,BJ$5,0)),0),IF(ISERROR(1/VLOOKUP($N382,Capa!$A:$AE,BJ$5,0)),0,1/VLOOKUP($N382,Capa!$A:$AE,BJ$5,0))))</f>
        <v/>
      </c>
      <c r="BK382" s="118" t="str">
        <f>IF(BK$6="","",IF(BK$3="Maior",IFERROR(IF(VLOOKUP($N382,Capa!$A:$AE,BK$5,0)="",0,VLOOKUP($N382,Capa!$A:$AE,BK$5,0)),0),IF(ISERROR(1/VLOOKUP($N382,Capa!$A:$AE,BK$5,0)),0,1/VLOOKUP($N382,Capa!$A:$AE,BK$5,0))))</f>
        <v/>
      </c>
      <c r="BL382" s="118" t="str">
        <f>IF(BL$6="","",IF(BL$3="Maior",IFERROR(IF(VLOOKUP($N382,Capa!$A:$AE,BL$5,0)="",0,VLOOKUP($N382,Capa!$A:$AE,BL$5,0)),0),IF(ISERROR(1/VLOOKUP($N382,Capa!$A:$AE,BL$5,0)),0,1/VLOOKUP($N382,Capa!$A:$AE,BL$5,0))))</f>
        <v/>
      </c>
      <c r="BM382" s="118" t="str">
        <f>IF(BM$6="","",IF(BM$3="Maior",IFERROR(IF(VLOOKUP($N382,Capa!$A:$AE,BM$5,0)="",0,VLOOKUP($N382,Capa!$A:$AE,BM$5,0)),0),IF(ISERROR(1/VLOOKUP($N382,Capa!$A:$AE,BM$5,0)),0,1/VLOOKUP($N382,Capa!$A:$AE,BM$5,0))))</f>
        <v/>
      </c>
      <c r="BN382" s="118" t="str">
        <f>IF(BN$6="","",IF(BN$3="Maior",IFERROR(IF(VLOOKUP($N382,Capa!$A:$AE,BN$5,0)="",0,VLOOKUP($N382,Capa!$A:$AE,BN$5,0)),0),IF(ISERROR(1/VLOOKUP($N382,Capa!$A:$AE,BN$5,0)),0,1/VLOOKUP($N382,Capa!$A:$AE,BN$5,0))))</f>
        <v/>
      </c>
      <c r="BO382" s="92"/>
    </row>
    <row r="383">
      <c r="G383" s="11"/>
      <c r="H383" s="11"/>
      <c r="I383" s="8"/>
      <c r="J383" s="132"/>
      <c r="K383" s="11"/>
      <c r="L383" s="11"/>
      <c r="M383" s="11"/>
      <c r="N383" s="10" t="s">
        <v>429</v>
      </c>
      <c r="O383" s="113">
        <f t="shared" si="8"/>
        <v>1428.0182</v>
      </c>
      <c r="P383" s="114">
        <f>VLOOKUP(N383,'Dados StatusInvest'!A:Z,26,0)</f>
        <v>101931.88</v>
      </c>
      <c r="Q383" s="115">
        <f t="shared" si="9"/>
        <v>182.0182</v>
      </c>
      <c r="R383" s="116">
        <f t="shared" ref="R383:AO383" si="386">IF(AQ383="","", RANK(AQ383,AQ$7:AQ$503,0))</f>
        <v>167</v>
      </c>
      <c r="S383" s="115">
        <f t="shared" si="386"/>
        <v>79</v>
      </c>
      <c r="T383" s="115" t="str">
        <f t="shared" si="386"/>
        <v/>
      </c>
      <c r="U383" s="115" t="str">
        <f t="shared" si="386"/>
        <v/>
      </c>
      <c r="V383" s="115" t="str">
        <f t="shared" si="386"/>
        <v/>
      </c>
      <c r="W383" s="115" t="str">
        <f t="shared" si="386"/>
        <v/>
      </c>
      <c r="X383" s="115" t="str">
        <f t="shared" si="386"/>
        <v/>
      </c>
      <c r="Y383" s="115" t="str">
        <f t="shared" si="386"/>
        <v/>
      </c>
      <c r="Z383" s="115" t="str">
        <f t="shared" si="386"/>
        <v/>
      </c>
      <c r="AA383" s="115" t="str">
        <f t="shared" si="386"/>
        <v/>
      </c>
      <c r="AB383" s="115" t="str">
        <f t="shared" si="386"/>
        <v/>
      </c>
      <c r="AC383" s="115" t="str">
        <f t="shared" si="386"/>
        <v/>
      </c>
      <c r="AD383" s="115" t="str">
        <f t="shared" si="386"/>
        <v/>
      </c>
      <c r="AE383" s="115" t="str">
        <f t="shared" si="386"/>
        <v/>
      </c>
      <c r="AF383" s="115" t="str">
        <f t="shared" si="386"/>
        <v/>
      </c>
      <c r="AG383" s="115" t="str">
        <f t="shared" si="386"/>
        <v/>
      </c>
      <c r="AH383" s="115" t="str">
        <f t="shared" si="386"/>
        <v/>
      </c>
      <c r="AI383" s="115" t="str">
        <f t="shared" si="386"/>
        <v/>
      </c>
      <c r="AJ383" s="115" t="str">
        <f t="shared" si="386"/>
        <v/>
      </c>
      <c r="AK383" s="115" t="str">
        <f t="shared" si="386"/>
        <v/>
      </c>
      <c r="AL383" s="115" t="str">
        <f t="shared" si="386"/>
        <v/>
      </c>
      <c r="AM383" s="115" t="str">
        <f t="shared" si="386"/>
        <v/>
      </c>
      <c r="AN383" s="115" t="str">
        <f t="shared" si="386"/>
        <v/>
      </c>
      <c r="AO383" s="115" t="str">
        <f t="shared" si="386"/>
        <v/>
      </c>
      <c r="AP383" s="117">
        <f>IF(AP$6="","",IF(AP$3="Maior",IFERROR(IF(VLOOKUP($N383,Capa!$A:$AE,AP$5,0)="",0,VLOOKUP($N383,Capa!$A:$AE,AP$5,0)),0),IF(ISERROR(1/VLOOKUP($N383,Capa!$A:$AE,AP$5,0)),0,1/VLOOKUP($N383,Capa!$A:$AE,AP$5,0))))</f>
        <v>0.114416476</v>
      </c>
      <c r="AQ383" s="118">
        <f>IF(AQ$6="","",IF(AQ$3="Maior",IFERROR(IF(VLOOKUP($N383,Capa!$A:$AE,AQ$5,0)="",0,VLOOKUP($N383,Capa!$A:$AE,AQ$5,0)),0),IF(ISERROR(1/VLOOKUP($N383,Capa!$A:$AE,AQ$5,0)),0,1/VLOOKUP($N383,Capa!$A:$AE,AQ$5,0))))</f>
        <v>13.2</v>
      </c>
      <c r="AR383" s="118">
        <f>IF(AR$6="","",IF(AR$3="Maior",IFERROR(IF(VLOOKUP($N383,Capa!$A:$AE,AR$5,0)="",0,VLOOKUP($N383,Capa!$A:$AE,AR$5,0)),0),IF(ISERROR(1/VLOOKUP($N383,Capa!$A:$AE,AR$5,0)),0,1/VLOOKUP($N383,Capa!$A:$AE,AR$5,0))))</f>
        <v>35.37</v>
      </c>
      <c r="AS383" s="118" t="str">
        <f>IF(AS$6="","",IF(AS$3="Maior",IFERROR(IF(VLOOKUP($N383,Capa!$A:$AE,AS$5,0)="",0,VLOOKUP($N383,Capa!$A:$AE,AS$5,0)),0),IF(ISERROR(1/VLOOKUP($N383,Capa!$A:$AE,AS$5,0)),0,1/VLOOKUP($N383,Capa!$A:$AE,AS$5,0))))</f>
        <v/>
      </c>
      <c r="AT383" s="118" t="str">
        <f>IF(AT$6="","",IF(AT$3="Maior",IFERROR(IF(VLOOKUP($N383,Capa!$A:$AE,AT$5,0)="",0,VLOOKUP($N383,Capa!$A:$AE,AT$5,0)),0),IF(ISERROR(1/VLOOKUP($N383,Capa!$A:$AE,AT$5,0)),0,1/VLOOKUP($N383,Capa!$A:$AE,AT$5,0))))</f>
        <v/>
      </c>
      <c r="AU383" s="118" t="str">
        <f>IF(AU$6="","",IF(AU$3="Maior",IFERROR(IF(VLOOKUP($N383,Capa!$A:$AE,AU$5,0)="",0,VLOOKUP($N383,Capa!$A:$AE,AU$5,0)),0),IF(ISERROR(1/VLOOKUP($N383,Capa!$A:$AE,AU$5,0)),0,1/VLOOKUP($N383,Capa!$A:$AE,AU$5,0))))</f>
        <v/>
      </c>
      <c r="AV383" s="118" t="str">
        <f>IF(AV$6="","",IF(AV$3="Maior",IFERROR(IF(VLOOKUP($N383,Capa!$A:$AE,AV$5,0)="",0,VLOOKUP($N383,Capa!$A:$AE,AV$5,0)),0),IF(ISERROR(1/VLOOKUP($N383,Capa!$A:$AE,AV$5,0)),0,1/VLOOKUP($N383,Capa!$A:$AE,AV$5,0))))</f>
        <v/>
      </c>
      <c r="AW383" s="118" t="str">
        <f>IF(AW$6="","",IF(AW$3="Maior",IFERROR(IF(VLOOKUP($N383,Capa!$A:$AE,AW$5,0)="",0,VLOOKUP($N383,Capa!$A:$AE,AW$5,0)),0),IF(ISERROR(1/VLOOKUP($N383,Capa!$A:$AE,AW$5,0)),0,1/VLOOKUP($N383,Capa!$A:$AE,AW$5,0))))</f>
        <v/>
      </c>
      <c r="AX383" s="118" t="str">
        <f>IF(AX$6="","",IF(AX$3="Maior",IFERROR(IF(VLOOKUP($N383,Capa!$A:$AE,AX$5,0)="",0,VLOOKUP($N383,Capa!$A:$AE,AX$5,0)),0),IF(ISERROR(1/VLOOKUP($N383,Capa!$A:$AE,AX$5,0)),0,1/VLOOKUP($N383,Capa!$A:$AE,AX$5,0))))</f>
        <v/>
      </c>
      <c r="AY383" s="118" t="str">
        <f>IF(AY$6="","",IF(AY$3="Maior",IFERROR(IF(VLOOKUP($N383,Capa!$A:$AE,AY$5,0)="",0,VLOOKUP($N383,Capa!$A:$AE,AY$5,0)),0),IF(ISERROR(1/VLOOKUP($N383,Capa!$A:$AE,AY$5,0)),0,1/VLOOKUP($N383,Capa!$A:$AE,AY$5,0))))</f>
        <v/>
      </c>
      <c r="AZ383" s="118" t="str">
        <f>IF(AZ$6="","",IF(AZ$3="Maior",IFERROR(IF(VLOOKUP($N383,Capa!$A:$AE,AZ$5,0)="",0,VLOOKUP($N383,Capa!$A:$AE,AZ$5,0)),0),IF(ISERROR(1/VLOOKUP($N383,Capa!$A:$AE,AZ$5,0)),0,1/VLOOKUP($N383,Capa!$A:$AE,AZ$5,0))))</f>
        <v/>
      </c>
      <c r="BA383" s="118" t="str">
        <f>IF(BA$6="","",IF(BA$3="Maior",IFERROR(IF(VLOOKUP($N383,Capa!$A:$AE,BA$5,0)="",0,VLOOKUP($N383,Capa!$A:$AE,BA$5,0)),0),IF(ISERROR(1/VLOOKUP($N383,Capa!$A:$AE,BA$5,0)),0,1/VLOOKUP($N383,Capa!$A:$AE,BA$5,0))))</f>
        <v/>
      </c>
      <c r="BB383" s="118" t="str">
        <f>IF(BB$6="","",IF(BB$3="Maior",IFERROR(IF(VLOOKUP($N383,Capa!$A:$AE,BB$5,0)="",0,VLOOKUP($N383,Capa!$A:$AE,BB$5,0)),0),IF(ISERROR(1/VLOOKUP($N383,Capa!$A:$AE,BB$5,0)),0,1/VLOOKUP($N383,Capa!$A:$AE,BB$5,0))))</f>
        <v/>
      </c>
      <c r="BC383" s="118" t="str">
        <f>IF(BC$6="","",IF(BC$3="Maior",IFERROR(IF(VLOOKUP($N383,Capa!$A:$AE,BC$5,0)="",0,VLOOKUP($N383,Capa!$A:$AE,BC$5,0)),0),IF(ISERROR(1/VLOOKUP($N383,Capa!$A:$AE,BC$5,0)),0,1/VLOOKUP($N383,Capa!$A:$AE,BC$5,0))))</f>
        <v/>
      </c>
      <c r="BD383" s="118" t="str">
        <f>IF(BD$6="","",IF(BD$3="Maior",IFERROR(IF(VLOOKUP($N383,Capa!$A:$AE,BD$5,0)="",0,VLOOKUP($N383,Capa!$A:$AE,BD$5,0)),0),IF(ISERROR(1/VLOOKUP($N383,Capa!$A:$AE,BD$5,0)),0,1/VLOOKUP($N383,Capa!$A:$AE,BD$5,0))))</f>
        <v/>
      </c>
      <c r="BE383" s="118" t="str">
        <f>IF(BE$6="","",IF(BE$3="Maior",IFERROR(IF(VLOOKUP($N383,Capa!$A:$AE,BE$5,0)="",0,VLOOKUP($N383,Capa!$A:$AE,BE$5,0)),0),IF(ISERROR(1/VLOOKUP($N383,Capa!$A:$AE,BE$5,0)),0,1/VLOOKUP($N383,Capa!$A:$AE,BE$5,0))))</f>
        <v/>
      </c>
      <c r="BF383" s="118" t="str">
        <f>IF(BF$6="","",IF(BF$3="Maior",IFERROR(IF(VLOOKUP($N383,Capa!$A:$AE,BF$5,0)="",0,VLOOKUP($N383,Capa!$A:$AE,BF$5,0)),0),IF(ISERROR(1/VLOOKUP($N383,Capa!$A:$AE,BF$5,0)),0,1/VLOOKUP($N383,Capa!$A:$AE,BF$5,0))))</f>
        <v/>
      </c>
      <c r="BG383" s="118" t="str">
        <f>IF(BG$6="","",IF(BG$3="Maior",IFERROR(IF(VLOOKUP($N383,Capa!$A:$AE,BG$5,0)="",0,VLOOKUP($N383,Capa!$A:$AE,BG$5,0)),0),IF(ISERROR(1/VLOOKUP($N383,Capa!$A:$AE,BG$5,0)),0,1/VLOOKUP($N383,Capa!$A:$AE,BG$5,0))))</f>
        <v/>
      </c>
      <c r="BH383" s="118" t="str">
        <f>IF(BH$6="","",IF(BH$3="Maior",IFERROR(IF(VLOOKUP($N383,Capa!$A:$AE,BH$5,0)="",0,VLOOKUP($N383,Capa!$A:$AE,BH$5,0)),0),IF(ISERROR(1/VLOOKUP($N383,Capa!$A:$AE,BH$5,0)),0,1/VLOOKUP($N383,Capa!$A:$AE,BH$5,0))))</f>
        <v/>
      </c>
      <c r="BI383" s="118" t="str">
        <f>IF(BI$6="","",IF(BI$3="Maior",IFERROR(IF(VLOOKUP($N383,Capa!$A:$AE,BI$5,0)="",0,VLOOKUP($N383,Capa!$A:$AE,BI$5,0)),0),IF(ISERROR(1/VLOOKUP($N383,Capa!$A:$AE,BI$5,0)),0,1/VLOOKUP($N383,Capa!$A:$AE,BI$5,0))))</f>
        <v/>
      </c>
      <c r="BJ383" s="118" t="str">
        <f>IF(BJ$6="","",IF(BJ$3="Maior",IFERROR(IF(VLOOKUP($N383,Capa!$A:$AE,BJ$5,0)="",0,VLOOKUP($N383,Capa!$A:$AE,BJ$5,0)),0),IF(ISERROR(1/VLOOKUP($N383,Capa!$A:$AE,BJ$5,0)),0,1/VLOOKUP($N383,Capa!$A:$AE,BJ$5,0))))</f>
        <v/>
      </c>
      <c r="BK383" s="118" t="str">
        <f>IF(BK$6="","",IF(BK$3="Maior",IFERROR(IF(VLOOKUP($N383,Capa!$A:$AE,BK$5,0)="",0,VLOOKUP($N383,Capa!$A:$AE,BK$5,0)),0),IF(ISERROR(1/VLOOKUP($N383,Capa!$A:$AE,BK$5,0)),0,1/VLOOKUP($N383,Capa!$A:$AE,BK$5,0))))</f>
        <v/>
      </c>
      <c r="BL383" s="118" t="str">
        <f>IF(BL$6="","",IF(BL$3="Maior",IFERROR(IF(VLOOKUP($N383,Capa!$A:$AE,BL$5,0)="",0,VLOOKUP($N383,Capa!$A:$AE,BL$5,0)),0),IF(ISERROR(1/VLOOKUP($N383,Capa!$A:$AE,BL$5,0)),0,1/VLOOKUP($N383,Capa!$A:$AE,BL$5,0))))</f>
        <v/>
      </c>
      <c r="BM383" s="118" t="str">
        <f>IF(BM$6="","",IF(BM$3="Maior",IFERROR(IF(VLOOKUP($N383,Capa!$A:$AE,BM$5,0)="",0,VLOOKUP($N383,Capa!$A:$AE,BM$5,0)),0),IF(ISERROR(1/VLOOKUP($N383,Capa!$A:$AE,BM$5,0)),0,1/VLOOKUP($N383,Capa!$A:$AE,BM$5,0))))</f>
        <v/>
      </c>
      <c r="BN383" s="118" t="str">
        <f>IF(BN$6="","",IF(BN$3="Maior",IFERROR(IF(VLOOKUP($N383,Capa!$A:$AE,BN$5,0)="",0,VLOOKUP($N383,Capa!$A:$AE,BN$5,0)),0),IF(ISERROR(1/VLOOKUP($N383,Capa!$A:$AE,BN$5,0)),0,1/VLOOKUP($N383,Capa!$A:$AE,BN$5,0))))</f>
        <v/>
      </c>
      <c r="BO383" s="92"/>
    </row>
    <row r="384">
      <c r="G384" s="11"/>
      <c r="H384" s="11"/>
      <c r="I384" s="8"/>
      <c r="J384" s="132"/>
      <c r="K384" s="11"/>
      <c r="L384" s="11"/>
      <c r="M384" s="11"/>
      <c r="N384" s="10" t="s">
        <v>430</v>
      </c>
      <c r="O384" s="113">
        <f t="shared" si="8"/>
        <v>1538.0009</v>
      </c>
      <c r="P384" s="114">
        <f>VLOOKUP(N384,'Dados StatusInvest'!A:Z,26,0)</f>
        <v>33252.18</v>
      </c>
      <c r="Q384" s="115">
        <f t="shared" si="9"/>
        <v>9.0009</v>
      </c>
      <c r="R384" s="116">
        <f t="shared" ref="R384:AO384" si="387">IF(AQ384="","", RANK(AQ384,AQ$7:AQ$503,0))</f>
        <v>375</v>
      </c>
      <c r="S384" s="115">
        <f t="shared" si="387"/>
        <v>154</v>
      </c>
      <c r="T384" s="115" t="str">
        <f t="shared" si="387"/>
        <v/>
      </c>
      <c r="U384" s="115" t="str">
        <f t="shared" si="387"/>
        <v/>
      </c>
      <c r="V384" s="115" t="str">
        <f t="shared" si="387"/>
        <v/>
      </c>
      <c r="W384" s="115" t="str">
        <f t="shared" si="387"/>
        <v/>
      </c>
      <c r="X384" s="115" t="str">
        <f t="shared" si="387"/>
        <v/>
      </c>
      <c r="Y384" s="115" t="str">
        <f t="shared" si="387"/>
        <v/>
      </c>
      <c r="Z384" s="115" t="str">
        <f t="shared" si="387"/>
        <v/>
      </c>
      <c r="AA384" s="115" t="str">
        <f t="shared" si="387"/>
        <v/>
      </c>
      <c r="AB384" s="115" t="str">
        <f t="shared" si="387"/>
        <v/>
      </c>
      <c r="AC384" s="115" t="str">
        <f t="shared" si="387"/>
        <v/>
      </c>
      <c r="AD384" s="115" t="str">
        <f t="shared" si="387"/>
        <v/>
      </c>
      <c r="AE384" s="115" t="str">
        <f t="shared" si="387"/>
        <v/>
      </c>
      <c r="AF384" s="115" t="str">
        <f t="shared" si="387"/>
        <v/>
      </c>
      <c r="AG384" s="115" t="str">
        <f t="shared" si="387"/>
        <v/>
      </c>
      <c r="AH384" s="115" t="str">
        <f t="shared" si="387"/>
        <v/>
      </c>
      <c r="AI384" s="115" t="str">
        <f t="shared" si="387"/>
        <v/>
      </c>
      <c r="AJ384" s="115" t="str">
        <f t="shared" si="387"/>
        <v/>
      </c>
      <c r="AK384" s="115" t="str">
        <f t="shared" si="387"/>
        <v/>
      </c>
      <c r="AL384" s="115" t="str">
        <f t="shared" si="387"/>
        <v/>
      </c>
      <c r="AM384" s="115" t="str">
        <f t="shared" si="387"/>
        <v/>
      </c>
      <c r="AN384" s="115" t="str">
        <f t="shared" si="387"/>
        <v/>
      </c>
      <c r="AO384" s="115" t="str">
        <f t="shared" si="387"/>
        <v/>
      </c>
      <c r="AP384" s="117">
        <f>IF(AP$6="","",IF(AP$3="Maior",IFERROR(IF(VLOOKUP($N384,Capa!$A:$AE,AP$5,0)="",0,VLOOKUP($N384,Capa!$A:$AE,AP$5,0)),0),IF(ISERROR(1/VLOOKUP($N384,Capa!$A:$AE,AP$5,0)),0,1/VLOOKUP($N384,Capa!$A:$AE,AP$5,0))))</f>
        <v>0.7369840637</v>
      </c>
      <c r="AQ384" s="118">
        <f>IF(AQ$6="","",IF(AQ$3="Maior",IFERROR(IF(VLOOKUP($N384,Capa!$A:$AE,AQ$5,0)="",0,VLOOKUP($N384,Capa!$A:$AE,AQ$5,0)),0),IF(ISERROR(1/VLOOKUP($N384,Capa!$A:$AE,AQ$5,0)),0,1/VLOOKUP($N384,Capa!$A:$AE,AQ$5,0))))</f>
        <v>0</v>
      </c>
      <c r="AR384" s="118">
        <f>IF(AR$6="","",IF(AR$3="Maior",IFERROR(IF(VLOOKUP($N384,Capa!$A:$AE,AR$5,0)="",0,VLOOKUP($N384,Capa!$A:$AE,AR$5,0)),0),IF(ISERROR(1/VLOOKUP($N384,Capa!$A:$AE,AR$5,0)),0,1/VLOOKUP($N384,Capa!$A:$AE,AR$5,0))))</f>
        <v>13.03</v>
      </c>
      <c r="AS384" s="118" t="str">
        <f>IF(AS$6="","",IF(AS$3="Maior",IFERROR(IF(VLOOKUP($N384,Capa!$A:$AE,AS$5,0)="",0,VLOOKUP($N384,Capa!$A:$AE,AS$5,0)),0),IF(ISERROR(1/VLOOKUP($N384,Capa!$A:$AE,AS$5,0)),0,1/VLOOKUP($N384,Capa!$A:$AE,AS$5,0))))</f>
        <v/>
      </c>
      <c r="AT384" s="118" t="str">
        <f>IF(AT$6="","",IF(AT$3="Maior",IFERROR(IF(VLOOKUP($N384,Capa!$A:$AE,AT$5,0)="",0,VLOOKUP($N384,Capa!$A:$AE,AT$5,0)),0),IF(ISERROR(1/VLOOKUP($N384,Capa!$A:$AE,AT$5,0)),0,1/VLOOKUP($N384,Capa!$A:$AE,AT$5,0))))</f>
        <v/>
      </c>
      <c r="AU384" s="118" t="str">
        <f>IF(AU$6="","",IF(AU$3="Maior",IFERROR(IF(VLOOKUP($N384,Capa!$A:$AE,AU$5,0)="",0,VLOOKUP($N384,Capa!$A:$AE,AU$5,0)),0),IF(ISERROR(1/VLOOKUP($N384,Capa!$A:$AE,AU$5,0)),0,1/VLOOKUP($N384,Capa!$A:$AE,AU$5,0))))</f>
        <v/>
      </c>
      <c r="AV384" s="118" t="str">
        <f>IF(AV$6="","",IF(AV$3="Maior",IFERROR(IF(VLOOKUP($N384,Capa!$A:$AE,AV$5,0)="",0,VLOOKUP($N384,Capa!$A:$AE,AV$5,0)),0),IF(ISERROR(1/VLOOKUP($N384,Capa!$A:$AE,AV$5,0)),0,1/VLOOKUP($N384,Capa!$A:$AE,AV$5,0))))</f>
        <v/>
      </c>
      <c r="AW384" s="118" t="str">
        <f>IF(AW$6="","",IF(AW$3="Maior",IFERROR(IF(VLOOKUP($N384,Capa!$A:$AE,AW$5,0)="",0,VLOOKUP($N384,Capa!$A:$AE,AW$5,0)),0),IF(ISERROR(1/VLOOKUP($N384,Capa!$A:$AE,AW$5,0)),0,1/VLOOKUP($N384,Capa!$A:$AE,AW$5,0))))</f>
        <v/>
      </c>
      <c r="AX384" s="118" t="str">
        <f>IF(AX$6="","",IF(AX$3="Maior",IFERROR(IF(VLOOKUP($N384,Capa!$A:$AE,AX$5,0)="",0,VLOOKUP($N384,Capa!$A:$AE,AX$5,0)),0),IF(ISERROR(1/VLOOKUP($N384,Capa!$A:$AE,AX$5,0)),0,1/VLOOKUP($N384,Capa!$A:$AE,AX$5,0))))</f>
        <v/>
      </c>
      <c r="AY384" s="118" t="str">
        <f>IF(AY$6="","",IF(AY$3="Maior",IFERROR(IF(VLOOKUP($N384,Capa!$A:$AE,AY$5,0)="",0,VLOOKUP($N384,Capa!$A:$AE,AY$5,0)),0),IF(ISERROR(1/VLOOKUP($N384,Capa!$A:$AE,AY$5,0)),0,1/VLOOKUP($N384,Capa!$A:$AE,AY$5,0))))</f>
        <v/>
      </c>
      <c r="AZ384" s="118" t="str">
        <f>IF(AZ$6="","",IF(AZ$3="Maior",IFERROR(IF(VLOOKUP($N384,Capa!$A:$AE,AZ$5,0)="",0,VLOOKUP($N384,Capa!$A:$AE,AZ$5,0)),0),IF(ISERROR(1/VLOOKUP($N384,Capa!$A:$AE,AZ$5,0)),0,1/VLOOKUP($N384,Capa!$A:$AE,AZ$5,0))))</f>
        <v/>
      </c>
      <c r="BA384" s="118" t="str">
        <f>IF(BA$6="","",IF(BA$3="Maior",IFERROR(IF(VLOOKUP($N384,Capa!$A:$AE,BA$5,0)="",0,VLOOKUP($N384,Capa!$A:$AE,BA$5,0)),0),IF(ISERROR(1/VLOOKUP($N384,Capa!$A:$AE,BA$5,0)),0,1/VLOOKUP($N384,Capa!$A:$AE,BA$5,0))))</f>
        <v/>
      </c>
      <c r="BB384" s="118" t="str">
        <f>IF(BB$6="","",IF(BB$3="Maior",IFERROR(IF(VLOOKUP($N384,Capa!$A:$AE,BB$5,0)="",0,VLOOKUP($N384,Capa!$A:$AE,BB$5,0)),0),IF(ISERROR(1/VLOOKUP($N384,Capa!$A:$AE,BB$5,0)),0,1/VLOOKUP($N384,Capa!$A:$AE,BB$5,0))))</f>
        <v/>
      </c>
      <c r="BC384" s="118" t="str">
        <f>IF(BC$6="","",IF(BC$3="Maior",IFERROR(IF(VLOOKUP($N384,Capa!$A:$AE,BC$5,0)="",0,VLOOKUP($N384,Capa!$A:$AE,BC$5,0)),0),IF(ISERROR(1/VLOOKUP($N384,Capa!$A:$AE,BC$5,0)),0,1/VLOOKUP($N384,Capa!$A:$AE,BC$5,0))))</f>
        <v/>
      </c>
      <c r="BD384" s="118" t="str">
        <f>IF(BD$6="","",IF(BD$3="Maior",IFERROR(IF(VLOOKUP($N384,Capa!$A:$AE,BD$5,0)="",0,VLOOKUP($N384,Capa!$A:$AE,BD$5,0)),0),IF(ISERROR(1/VLOOKUP($N384,Capa!$A:$AE,BD$5,0)),0,1/VLOOKUP($N384,Capa!$A:$AE,BD$5,0))))</f>
        <v/>
      </c>
      <c r="BE384" s="118" t="str">
        <f>IF(BE$6="","",IF(BE$3="Maior",IFERROR(IF(VLOOKUP($N384,Capa!$A:$AE,BE$5,0)="",0,VLOOKUP($N384,Capa!$A:$AE,BE$5,0)),0),IF(ISERROR(1/VLOOKUP($N384,Capa!$A:$AE,BE$5,0)),0,1/VLOOKUP($N384,Capa!$A:$AE,BE$5,0))))</f>
        <v/>
      </c>
      <c r="BF384" s="118" t="str">
        <f>IF(BF$6="","",IF(BF$3="Maior",IFERROR(IF(VLOOKUP($N384,Capa!$A:$AE,BF$5,0)="",0,VLOOKUP($N384,Capa!$A:$AE,BF$5,0)),0),IF(ISERROR(1/VLOOKUP($N384,Capa!$A:$AE,BF$5,0)),0,1/VLOOKUP($N384,Capa!$A:$AE,BF$5,0))))</f>
        <v/>
      </c>
      <c r="BG384" s="118" t="str">
        <f>IF(BG$6="","",IF(BG$3="Maior",IFERROR(IF(VLOOKUP($N384,Capa!$A:$AE,BG$5,0)="",0,VLOOKUP($N384,Capa!$A:$AE,BG$5,0)),0),IF(ISERROR(1/VLOOKUP($N384,Capa!$A:$AE,BG$5,0)),0,1/VLOOKUP($N384,Capa!$A:$AE,BG$5,0))))</f>
        <v/>
      </c>
      <c r="BH384" s="118" t="str">
        <f>IF(BH$6="","",IF(BH$3="Maior",IFERROR(IF(VLOOKUP($N384,Capa!$A:$AE,BH$5,0)="",0,VLOOKUP($N384,Capa!$A:$AE,BH$5,0)),0),IF(ISERROR(1/VLOOKUP($N384,Capa!$A:$AE,BH$5,0)),0,1/VLOOKUP($N384,Capa!$A:$AE,BH$5,0))))</f>
        <v/>
      </c>
      <c r="BI384" s="118" t="str">
        <f>IF(BI$6="","",IF(BI$3="Maior",IFERROR(IF(VLOOKUP($N384,Capa!$A:$AE,BI$5,0)="",0,VLOOKUP($N384,Capa!$A:$AE,BI$5,0)),0),IF(ISERROR(1/VLOOKUP($N384,Capa!$A:$AE,BI$5,0)),0,1/VLOOKUP($N384,Capa!$A:$AE,BI$5,0))))</f>
        <v/>
      </c>
      <c r="BJ384" s="118" t="str">
        <f>IF(BJ$6="","",IF(BJ$3="Maior",IFERROR(IF(VLOOKUP($N384,Capa!$A:$AE,BJ$5,0)="",0,VLOOKUP($N384,Capa!$A:$AE,BJ$5,0)),0),IF(ISERROR(1/VLOOKUP($N384,Capa!$A:$AE,BJ$5,0)),0,1/VLOOKUP($N384,Capa!$A:$AE,BJ$5,0))))</f>
        <v/>
      </c>
      <c r="BK384" s="118" t="str">
        <f>IF(BK$6="","",IF(BK$3="Maior",IFERROR(IF(VLOOKUP($N384,Capa!$A:$AE,BK$5,0)="",0,VLOOKUP($N384,Capa!$A:$AE,BK$5,0)),0),IF(ISERROR(1/VLOOKUP($N384,Capa!$A:$AE,BK$5,0)),0,1/VLOOKUP($N384,Capa!$A:$AE,BK$5,0))))</f>
        <v/>
      </c>
      <c r="BL384" s="118" t="str">
        <f>IF(BL$6="","",IF(BL$3="Maior",IFERROR(IF(VLOOKUP($N384,Capa!$A:$AE,BL$5,0)="",0,VLOOKUP($N384,Capa!$A:$AE,BL$5,0)),0),IF(ISERROR(1/VLOOKUP($N384,Capa!$A:$AE,BL$5,0)),0,1/VLOOKUP($N384,Capa!$A:$AE,BL$5,0))))</f>
        <v/>
      </c>
      <c r="BM384" s="118" t="str">
        <f>IF(BM$6="","",IF(BM$3="Maior",IFERROR(IF(VLOOKUP($N384,Capa!$A:$AE,BM$5,0)="",0,VLOOKUP($N384,Capa!$A:$AE,BM$5,0)),0),IF(ISERROR(1/VLOOKUP($N384,Capa!$A:$AE,BM$5,0)),0,1/VLOOKUP($N384,Capa!$A:$AE,BM$5,0))))</f>
        <v/>
      </c>
      <c r="BN384" s="118" t="str">
        <f>IF(BN$6="","",IF(BN$3="Maior",IFERROR(IF(VLOOKUP($N384,Capa!$A:$AE,BN$5,0)="",0,VLOOKUP($N384,Capa!$A:$AE,BN$5,0)),0),IF(ISERROR(1/VLOOKUP($N384,Capa!$A:$AE,BN$5,0)),0,1/VLOOKUP($N384,Capa!$A:$AE,BN$5,0))))</f>
        <v/>
      </c>
      <c r="BO384" s="92"/>
    </row>
    <row r="385">
      <c r="G385" s="11"/>
      <c r="H385" s="11"/>
      <c r="I385" s="8"/>
      <c r="J385" s="132"/>
      <c r="K385" s="11"/>
      <c r="L385" s="11"/>
      <c r="M385" s="11"/>
      <c r="N385" s="10" t="s">
        <v>431</v>
      </c>
      <c r="O385" s="113">
        <f t="shared" si="8"/>
        <v>1229.0092</v>
      </c>
      <c r="P385" s="114">
        <f>VLOOKUP(N385,'Dados StatusInvest'!A:Z,26,0)</f>
        <v>58125</v>
      </c>
      <c r="Q385" s="115">
        <f t="shared" si="9"/>
        <v>92.0092</v>
      </c>
      <c r="R385" s="116">
        <f t="shared" ref="R385:AO385" si="388">IF(AQ385="","", RANK(AQ385,AQ$7:AQ$503,0))</f>
        <v>77</v>
      </c>
      <c r="S385" s="115">
        <f t="shared" si="388"/>
        <v>60</v>
      </c>
      <c r="T385" s="115" t="str">
        <f t="shared" si="388"/>
        <v/>
      </c>
      <c r="U385" s="115" t="str">
        <f t="shared" si="388"/>
        <v/>
      </c>
      <c r="V385" s="115" t="str">
        <f t="shared" si="388"/>
        <v/>
      </c>
      <c r="W385" s="115" t="str">
        <f t="shared" si="388"/>
        <v/>
      </c>
      <c r="X385" s="115" t="str">
        <f t="shared" si="388"/>
        <v/>
      </c>
      <c r="Y385" s="115" t="str">
        <f t="shared" si="388"/>
        <v/>
      </c>
      <c r="Z385" s="115" t="str">
        <f t="shared" si="388"/>
        <v/>
      </c>
      <c r="AA385" s="115" t="str">
        <f t="shared" si="388"/>
        <v/>
      </c>
      <c r="AB385" s="115" t="str">
        <f t="shared" si="388"/>
        <v/>
      </c>
      <c r="AC385" s="115" t="str">
        <f t="shared" si="388"/>
        <v/>
      </c>
      <c r="AD385" s="115" t="str">
        <f t="shared" si="388"/>
        <v/>
      </c>
      <c r="AE385" s="115" t="str">
        <f t="shared" si="388"/>
        <v/>
      </c>
      <c r="AF385" s="115" t="str">
        <f t="shared" si="388"/>
        <v/>
      </c>
      <c r="AG385" s="115" t="str">
        <f t="shared" si="388"/>
        <v/>
      </c>
      <c r="AH385" s="115" t="str">
        <f t="shared" si="388"/>
        <v/>
      </c>
      <c r="AI385" s="115" t="str">
        <f t="shared" si="388"/>
        <v/>
      </c>
      <c r="AJ385" s="115" t="str">
        <f t="shared" si="388"/>
        <v/>
      </c>
      <c r="AK385" s="115" t="str">
        <f t="shared" si="388"/>
        <v/>
      </c>
      <c r="AL385" s="115" t="str">
        <f t="shared" si="388"/>
        <v/>
      </c>
      <c r="AM385" s="115" t="str">
        <f t="shared" si="388"/>
        <v/>
      </c>
      <c r="AN385" s="115" t="str">
        <f t="shared" si="388"/>
        <v/>
      </c>
      <c r="AO385" s="115" t="str">
        <f t="shared" si="388"/>
        <v/>
      </c>
      <c r="AP385" s="117">
        <f>IF(AP$6="","",IF(AP$3="Maior",IFERROR(IF(VLOOKUP($N385,Capa!$A:$AE,AP$5,0)="",0,VLOOKUP($N385,Capa!$A:$AE,AP$5,0)),0),IF(ISERROR(1/VLOOKUP($N385,Capa!$A:$AE,AP$5,0)),0,1/VLOOKUP($N385,Capa!$A:$AE,AP$5,0))))</f>
        <v>0.2021772939</v>
      </c>
      <c r="AQ385" s="118">
        <f>IF(AQ$6="","",IF(AQ$3="Maior",IFERROR(IF(VLOOKUP($N385,Capa!$A:$AE,AQ$5,0)="",0,VLOOKUP($N385,Capa!$A:$AE,AQ$5,0)),0),IF(ISERROR(1/VLOOKUP($N385,Capa!$A:$AE,AQ$5,0)),0,1/VLOOKUP($N385,Capa!$A:$AE,AQ$5,0))))</f>
        <v>20.13</v>
      </c>
      <c r="AR385" s="118">
        <f>IF(AR$6="","",IF(AR$3="Maior",IFERROR(IF(VLOOKUP($N385,Capa!$A:$AE,AR$5,0)="",0,VLOOKUP($N385,Capa!$A:$AE,AR$5,0)),0),IF(ISERROR(1/VLOOKUP($N385,Capa!$A:$AE,AR$5,0)),0,1/VLOOKUP($N385,Capa!$A:$AE,AR$5,0))))</f>
        <v>44.2</v>
      </c>
      <c r="AS385" s="118" t="str">
        <f>IF(AS$6="","",IF(AS$3="Maior",IFERROR(IF(VLOOKUP($N385,Capa!$A:$AE,AS$5,0)="",0,VLOOKUP($N385,Capa!$A:$AE,AS$5,0)),0),IF(ISERROR(1/VLOOKUP($N385,Capa!$A:$AE,AS$5,0)),0,1/VLOOKUP($N385,Capa!$A:$AE,AS$5,0))))</f>
        <v/>
      </c>
      <c r="AT385" s="118" t="str">
        <f>IF(AT$6="","",IF(AT$3="Maior",IFERROR(IF(VLOOKUP($N385,Capa!$A:$AE,AT$5,0)="",0,VLOOKUP($N385,Capa!$A:$AE,AT$5,0)),0),IF(ISERROR(1/VLOOKUP($N385,Capa!$A:$AE,AT$5,0)),0,1/VLOOKUP($N385,Capa!$A:$AE,AT$5,0))))</f>
        <v/>
      </c>
      <c r="AU385" s="118" t="str">
        <f>IF(AU$6="","",IF(AU$3="Maior",IFERROR(IF(VLOOKUP($N385,Capa!$A:$AE,AU$5,0)="",0,VLOOKUP($N385,Capa!$A:$AE,AU$5,0)),0),IF(ISERROR(1/VLOOKUP($N385,Capa!$A:$AE,AU$5,0)),0,1/VLOOKUP($N385,Capa!$A:$AE,AU$5,0))))</f>
        <v/>
      </c>
      <c r="AV385" s="118" t="str">
        <f>IF(AV$6="","",IF(AV$3="Maior",IFERROR(IF(VLOOKUP($N385,Capa!$A:$AE,AV$5,0)="",0,VLOOKUP($N385,Capa!$A:$AE,AV$5,0)),0),IF(ISERROR(1/VLOOKUP($N385,Capa!$A:$AE,AV$5,0)),0,1/VLOOKUP($N385,Capa!$A:$AE,AV$5,0))))</f>
        <v/>
      </c>
      <c r="AW385" s="118" t="str">
        <f>IF(AW$6="","",IF(AW$3="Maior",IFERROR(IF(VLOOKUP($N385,Capa!$A:$AE,AW$5,0)="",0,VLOOKUP($N385,Capa!$A:$AE,AW$5,0)),0),IF(ISERROR(1/VLOOKUP($N385,Capa!$A:$AE,AW$5,0)),0,1/VLOOKUP($N385,Capa!$A:$AE,AW$5,0))))</f>
        <v/>
      </c>
      <c r="AX385" s="118" t="str">
        <f>IF(AX$6="","",IF(AX$3="Maior",IFERROR(IF(VLOOKUP($N385,Capa!$A:$AE,AX$5,0)="",0,VLOOKUP($N385,Capa!$A:$AE,AX$5,0)),0),IF(ISERROR(1/VLOOKUP($N385,Capa!$A:$AE,AX$5,0)),0,1/VLOOKUP($N385,Capa!$A:$AE,AX$5,0))))</f>
        <v/>
      </c>
      <c r="AY385" s="118" t="str">
        <f>IF(AY$6="","",IF(AY$3="Maior",IFERROR(IF(VLOOKUP($N385,Capa!$A:$AE,AY$5,0)="",0,VLOOKUP($N385,Capa!$A:$AE,AY$5,0)),0),IF(ISERROR(1/VLOOKUP($N385,Capa!$A:$AE,AY$5,0)),0,1/VLOOKUP($N385,Capa!$A:$AE,AY$5,0))))</f>
        <v/>
      </c>
      <c r="AZ385" s="118" t="str">
        <f>IF(AZ$6="","",IF(AZ$3="Maior",IFERROR(IF(VLOOKUP($N385,Capa!$A:$AE,AZ$5,0)="",0,VLOOKUP($N385,Capa!$A:$AE,AZ$5,0)),0),IF(ISERROR(1/VLOOKUP($N385,Capa!$A:$AE,AZ$5,0)),0,1/VLOOKUP($N385,Capa!$A:$AE,AZ$5,0))))</f>
        <v/>
      </c>
      <c r="BA385" s="118" t="str">
        <f>IF(BA$6="","",IF(BA$3="Maior",IFERROR(IF(VLOOKUP($N385,Capa!$A:$AE,BA$5,0)="",0,VLOOKUP($N385,Capa!$A:$AE,BA$5,0)),0),IF(ISERROR(1/VLOOKUP($N385,Capa!$A:$AE,BA$5,0)),0,1/VLOOKUP($N385,Capa!$A:$AE,BA$5,0))))</f>
        <v/>
      </c>
      <c r="BB385" s="118" t="str">
        <f>IF(BB$6="","",IF(BB$3="Maior",IFERROR(IF(VLOOKUP($N385,Capa!$A:$AE,BB$5,0)="",0,VLOOKUP($N385,Capa!$A:$AE,BB$5,0)),0),IF(ISERROR(1/VLOOKUP($N385,Capa!$A:$AE,BB$5,0)),0,1/VLOOKUP($N385,Capa!$A:$AE,BB$5,0))))</f>
        <v/>
      </c>
      <c r="BC385" s="118" t="str">
        <f>IF(BC$6="","",IF(BC$3="Maior",IFERROR(IF(VLOOKUP($N385,Capa!$A:$AE,BC$5,0)="",0,VLOOKUP($N385,Capa!$A:$AE,BC$5,0)),0),IF(ISERROR(1/VLOOKUP($N385,Capa!$A:$AE,BC$5,0)),0,1/VLOOKUP($N385,Capa!$A:$AE,BC$5,0))))</f>
        <v/>
      </c>
      <c r="BD385" s="118" t="str">
        <f>IF(BD$6="","",IF(BD$3="Maior",IFERROR(IF(VLOOKUP($N385,Capa!$A:$AE,BD$5,0)="",0,VLOOKUP($N385,Capa!$A:$AE,BD$5,0)),0),IF(ISERROR(1/VLOOKUP($N385,Capa!$A:$AE,BD$5,0)),0,1/VLOOKUP($N385,Capa!$A:$AE,BD$5,0))))</f>
        <v/>
      </c>
      <c r="BE385" s="118" t="str">
        <f>IF(BE$6="","",IF(BE$3="Maior",IFERROR(IF(VLOOKUP($N385,Capa!$A:$AE,BE$5,0)="",0,VLOOKUP($N385,Capa!$A:$AE,BE$5,0)),0),IF(ISERROR(1/VLOOKUP($N385,Capa!$A:$AE,BE$5,0)),0,1/VLOOKUP($N385,Capa!$A:$AE,BE$5,0))))</f>
        <v/>
      </c>
      <c r="BF385" s="118" t="str">
        <f>IF(BF$6="","",IF(BF$3="Maior",IFERROR(IF(VLOOKUP($N385,Capa!$A:$AE,BF$5,0)="",0,VLOOKUP($N385,Capa!$A:$AE,BF$5,0)),0),IF(ISERROR(1/VLOOKUP($N385,Capa!$A:$AE,BF$5,0)),0,1/VLOOKUP($N385,Capa!$A:$AE,BF$5,0))))</f>
        <v/>
      </c>
      <c r="BG385" s="118" t="str">
        <f>IF(BG$6="","",IF(BG$3="Maior",IFERROR(IF(VLOOKUP($N385,Capa!$A:$AE,BG$5,0)="",0,VLOOKUP($N385,Capa!$A:$AE,BG$5,0)),0),IF(ISERROR(1/VLOOKUP($N385,Capa!$A:$AE,BG$5,0)),0,1/VLOOKUP($N385,Capa!$A:$AE,BG$5,0))))</f>
        <v/>
      </c>
      <c r="BH385" s="118" t="str">
        <f>IF(BH$6="","",IF(BH$3="Maior",IFERROR(IF(VLOOKUP($N385,Capa!$A:$AE,BH$5,0)="",0,VLOOKUP($N385,Capa!$A:$AE,BH$5,0)),0),IF(ISERROR(1/VLOOKUP($N385,Capa!$A:$AE,BH$5,0)),0,1/VLOOKUP($N385,Capa!$A:$AE,BH$5,0))))</f>
        <v/>
      </c>
      <c r="BI385" s="118" t="str">
        <f>IF(BI$6="","",IF(BI$3="Maior",IFERROR(IF(VLOOKUP($N385,Capa!$A:$AE,BI$5,0)="",0,VLOOKUP($N385,Capa!$A:$AE,BI$5,0)),0),IF(ISERROR(1/VLOOKUP($N385,Capa!$A:$AE,BI$5,0)),0,1/VLOOKUP($N385,Capa!$A:$AE,BI$5,0))))</f>
        <v/>
      </c>
      <c r="BJ385" s="118" t="str">
        <f>IF(BJ$6="","",IF(BJ$3="Maior",IFERROR(IF(VLOOKUP($N385,Capa!$A:$AE,BJ$5,0)="",0,VLOOKUP($N385,Capa!$A:$AE,BJ$5,0)),0),IF(ISERROR(1/VLOOKUP($N385,Capa!$A:$AE,BJ$5,0)),0,1/VLOOKUP($N385,Capa!$A:$AE,BJ$5,0))))</f>
        <v/>
      </c>
      <c r="BK385" s="118" t="str">
        <f>IF(BK$6="","",IF(BK$3="Maior",IFERROR(IF(VLOOKUP($N385,Capa!$A:$AE,BK$5,0)="",0,VLOOKUP($N385,Capa!$A:$AE,BK$5,0)),0),IF(ISERROR(1/VLOOKUP($N385,Capa!$A:$AE,BK$5,0)),0,1/VLOOKUP($N385,Capa!$A:$AE,BK$5,0))))</f>
        <v/>
      </c>
      <c r="BL385" s="118" t="str">
        <f>IF(BL$6="","",IF(BL$3="Maior",IFERROR(IF(VLOOKUP($N385,Capa!$A:$AE,BL$5,0)="",0,VLOOKUP($N385,Capa!$A:$AE,BL$5,0)),0),IF(ISERROR(1/VLOOKUP($N385,Capa!$A:$AE,BL$5,0)),0,1/VLOOKUP($N385,Capa!$A:$AE,BL$5,0))))</f>
        <v/>
      </c>
      <c r="BM385" s="118" t="str">
        <f>IF(BM$6="","",IF(BM$3="Maior",IFERROR(IF(VLOOKUP($N385,Capa!$A:$AE,BM$5,0)="",0,VLOOKUP($N385,Capa!$A:$AE,BM$5,0)),0),IF(ISERROR(1/VLOOKUP($N385,Capa!$A:$AE,BM$5,0)),0,1/VLOOKUP($N385,Capa!$A:$AE,BM$5,0))))</f>
        <v/>
      </c>
      <c r="BN385" s="118" t="str">
        <f>IF(BN$6="","",IF(BN$3="Maior",IFERROR(IF(VLOOKUP($N385,Capa!$A:$AE,BN$5,0)="",0,VLOOKUP($N385,Capa!$A:$AE,BN$5,0)),0),IF(ISERROR(1/VLOOKUP($N385,Capa!$A:$AE,BN$5,0)),0,1/VLOOKUP($N385,Capa!$A:$AE,BN$5,0))))</f>
        <v/>
      </c>
      <c r="BO385" s="92"/>
    </row>
    <row r="386">
      <c r="G386" s="11"/>
      <c r="H386" s="11"/>
      <c r="I386" s="8"/>
      <c r="J386" s="132"/>
      <c r="K386" s="11"/>
      <c r="L386" s="11"/>
      <c r="M386" s="11"/>
      <c r="N386" s="10" t="s">
        <v>432</v>
      </c>
      <c r="O386" s="113">
        <f t="shared" si="8"/>
        <v>2049.0395</v>
      </c>
      <c r="P386" s="114">
        <f>VLOOKUP(N386,'Dados StatusInvest'!A:Z,26,0)</f>
        <v>73987.39</v>
      </c>
      <c r="Q386" s="115">
        <f t="shared" si="9"/>
        <v>395.0395</v>
      </c>
      <c r="R386" s="116">
        <f t="shared" ref="R386:AO386" si="389">IF(AQ386="","", RANK(AQ386,AQ$7:AQ$503,0))</f>
        <v>435</v>
      </c>
      <c r="S386" s="115">
        <f t="shared" si="389"/>
        <v>219</v>
      </c>
      <c r="T386" s="115" t="str">
        <f t="shared" si="389"/>
        <v/>
      </c>
      <c r="U386" s="115" t="str">
        <f t="shared" si="389"/>
        <v/>
      </c>
      <c r="V386" s="115" t="str">
        <f t="shared" si="389"/>
        <v/>
      </c>
      <c r="W386" s="115" t="str">
        <f t="shared" si="389"/>
        <v/>
      </c>
      <c r="X386" s="115" t="str">
        <f t="shared" si="389"/>
        <v/>
      </c>
      <c r="Y386" s="115" t="str">
        <f t="shared" si="389"/>
        <v/>
      </c>
      <c r="Z386" s="115" t="str">
        <f t="shared" si="389"/>
        <v/>
      </c>
      <c r="AA386" s="115" t="str">
        <f t="shared" si="389"/>
        <v/>
      </c>
      <c r="AB386" s="115" t="str">
        <f t="shared" si="389"/>
        <v/>
      </c>
      <c r="AC386" s="115" t="str">
        <f t="shared" si="389"/>
        <v/>
      </c>
      <c r="AD386" s="115" t="str">
        <f t="shared" si="389"/>
        <v/>
      </c>
      <c r="AE386" s="115" t="str">
        <f t="shared" si="389"/>
        <v/>
      </c>
      <c r="AF386" s="115" t="str">
        <f t="shared" si="389"/>
        <v/>
      </c>
      <c r="AG386" s="115" t="str">
        <f t="shared" si="389"/>
        <v/>
      </c>
      <c r="AH386" s="115" t="str">
        <f t="shared" si="389"/>
        <v/>
      </c>
      <c r="AI386" s="115" t="str">
        <f t="shared" si="389"/>
        <v/>
      </c>
      <c r="AJ386" s="115" t="str">
        <f t="shared" si="389"/>
        <v/>
      </c>
      <c r="AK386" s="115" t="str">
        <f t="shared" si="389"/>
        <v/>
      </c>
      <c r="AL386" s="115" t="str">
        <f t="shared" si="389"/>
        <v/>
      </c>
      <c r="AM386" s="115" t="str">
        <f t="shared" si="389"/>
        <v/>
      </c>
      <c r="AN386" s="115" t="str">
        <f t="shared" si="389"/>
        <v/>
      </c>
      <c r="AO386" s="115" t="str">
        <f t="shared" si="389"/>
        <v/>
      </c>
      <c r="AP386" s="117">
        <f>IF(AP$6="","",IF(AP$3="Maior",IFERROR(IF(VLOOKUP($N386,Capa!$A:$AE,AP$5,0)="",0,VLOOKUP($N386,Capa!$A:$AE,AP$5,0)),0),IF(ISERROR(1/VLOOKUP($N386,Capa!$A:$AE,AP$5,0)),0,1/VLOOKUP($N386,Capa!$A:$AE,AP$5,0))))</f>
        <v>0.009482573264</v>
      </c>
      <c r="AQ386" s="118">
        <f>IF(AQ$6="","",IF(AQ$3="Maior",IFERROR(IF(VLOOKUP($N386,Capa!$A:$AE,AQ$5,0)="",0,VLOOKUP($N386,Capa!$A:$AE,AQ$5,0)),0),IF(ISERROR(1/VLOOKUP($N386,Capa!$A:$AE,AQ$5,0)),0,1/VLOOKUP($N386,Capa!$A:$AE,AQ$5,0))))</f>
        <v>-1.43</v>
      </c>
      <c r="AR386" s="118">
        <f>IF(AR$6="","",IF(AR$3="Maior",IFERROR(IF(VLOOKUP($N386,Capa!$A:$AE,AR$5,0)="",0,VLOOKUP($N386,Capa!$A:$AE,AR$5,0)),0),IF(ISERROR(1/VLOOKUP($N386,Capa!$A:$AE,AR$5,0)),0,1/VLOOKUP($N386,Capa!$A:$AE,AR$5,0))))</f>
        <v>0</v>
      </c>
      <c r="AS386" s="118" t="str">
        <f>IF(AS$6="","",IF(AS$3="Maior",IFERROR(IF(VLOOKUP($N386,Capa!$A:$AE,AS$5,0)="",0,VLOOKUP($N386,Capa!$A:$AE,AS$5,0)),0),IF(ISERROR(1/VLOOKUP($N386,Capa!$A:$AE,AS$5,0)),0,1/VLOOKUP($N386,Capa!$A:$AE,AS$5,0))))</f>
        <v/>
      </c>
      <c r="AT386" s="118" t="str">
        <f>IF(AT$6="","",IF(AT$3="Maior",IFERROR(IF(VLOOKUP($N386,Capa!$A:$AE,AT$5,0)="",0,VLOOKUP($N386,Capa!$A:$AE,AT$5,0)),0),IF(ISERROR(1/VLOOKUP($N386,Capa!$A:$AE,AT$5,0)),0,1/VLOOKUP($N386,Capa!$A:$AE,AT$5,0))))</f>
        <v/>
      </c>
      <c r="AU386" s="118" t="str">
        <f>IF(AU$6="","",IF(AU$3="Maior",IFERROR(IF(VLOOKUP($N386,Capa!$A:$AE,AU$5,0)="",0,VLOOKUP($N386,Capa!$A:$AE,AU$5,0)),0),IF(ISERROR(1/VLOOKUP($N386,Capa!$A:$AE,AU$5,0)),0,1/VLOOKUP($N386,Capa!$A:$AE,AU$5,0))))</f>
        <v/>
      </c>
      <c r="AV386" s="118" t="str">
        <f>IF(AV$6="","",IF(AV$3="Maior",IFERROR(IF(VLOOKUP($N386,Capa!$A:$AE,AV$5,0)="",0,VLOOKUP($N386,Capa!$A:$AE,AV$5,0)),0),IF(ISERROR(1/VLOOKUP($N386,Capa!$A:$AE,AV$5,0)),0,1/VLOOKUP($N386,Capa!$A:$AE,AV$5,0))))</f>
        <v/>
      </c>
      <c r="AW386" s="118" t="str">
        <f>IF(AW$6="","",IF(AW$3="Maior",IFERROR(IF(VLOOKUP($N386,Capa!$A:$AE,AW$5,0)="",0,VLOOKUP($N386,Capa!$A:$AE,AW$5,0)),0),IF(ISERROR(1/VLOOKUP($N386,Capa!$A:$AE,AW$5,0)),0,1/VLOOKUP($N386,Capa!$A:$AE,AW$5,0))))</f>
        <v/>
      </c>
      <c r="AX386" s="118" t="str">
        <f>IF(AX$6="","",IF(AX$3="Maior",IFERROR(IF(VLOOKUP($N386,Capa!$A:$AE,AX$5,0)="",0,VLOOKUP($N386,Capa!$A:$AE,AX$5,0)),0),IF(ISERROR(1/VLOOKUP($N386,Capa!$A:$AE,AX$5,0)),0,1/VLOOKUP($N386,Capa!$A:$AE,AX$5,0))))</f>
        <v/>
      </c>
      <c r="AY386" s="118" t="str">
        <f>IF(AY$6="","",IF(AY$3="Maior",IFERROR(IF(VLOOKUP($N386,Capa!$A:$AE,AY$5,0)="",0,VLOOKUP($N386,Capa!$A:$AE,AY$5,0)),0),IF(ISERROR(1/VLOOKUP($N386,Capa!$A:$AE,AY$5,0)),0,1/VLOOKUP($N386,Capa!$A:$AE,AY$5,0))))</f>
        <v/>
      </c>
      <c r="AZ386" s="118" t="str">
        <f>IF(AZ$6="","",IF(AZ$3="Maior",IFERROR(IF(VLOOKUP($N386,Capa!$A:$AE,AZ$5,0)="",0,VLOOKUP($N386,Capa!$A:$AE,AZ$5,0)),0),IF(ISERROR(1/VLOOKUP($N386,Capa!$A:$AE,AZ$5,0)),0,1/VLOOKUP($N386,Capa!$A:$AE,AZ$5,0))))</f>
        <v/>
      </c>
      <c r="BA386" s="118" t="str">
        <f>IF(BA$6="","",IF(BA$3="Maior",IFERROR(IF(VLOOKUP($N386,Capa!$A:$AE,BA$5,0)="",0,VLOOKUP($N386,Capa!$A:$AE,BA$5,0)),0),IF(ISERROR(1/VLOOKUP($N386,Capa!$A:$AE,BA$5,0)),0,1/VLOOKUP($N386,Capa!$A:$AE,BA$5,0))))</f>
        <v/>
      </c>
      <c r="BB386" s="118" t="str">
        <f>IF(BB$6="","",IF(BB$3="Maior",IFERROR(IF(VLOOKUP($N386,Capa!$A:$AE,BB$5,0)="",0,VLOOKUP($N386,Capa!$A:$AE,BB$5,0)),0),IF(ISERROR(1/VLOOKUP($N386,Capa!$A:$AE,BB$5,0)),0,1/VLOOKUP($N386,Capa!$A:$AE,BB$5,0))))</f>
        <v/>
      </c>
      <c r="BC386" s="118" t="str">
        <f>IF(BC$6="","",IF(BC$3="Maior",IFERROR(IF(VLOOKUP($N386,Capa!$A:$AE,BC$5,0)="",0,VLOOKUP($N386,Capa!$A:$AE,BC$5,0)),0),IF(ISERROR(1/VLOOKUP($N386,Capa!$A:$AE,BC$5,0)),0,1/VLOOKUP($N386,Capa!$A:$AE,BC$5,0))))</f>
        <v/>
      </c>
      <c r="BD386" s="118" t="str">
        <f>IF(BD$6="","",IF(BD$3="Maior",IFERROR(IF(VLOOKUP($N386,Capa!$A:$AE,BD$5,0)="",0,VLOOKUP($N386,Capa!$A:$AE,BD$5,0)),0),IF(ISERROR(1/VLOOKUP($N386,Capa!$A:$AE,BD$5,0)),0,1/VLOOKUP($N386,Capa!$A:$AE,BD$5,0))))</f>
        <v/>
      </c>
      <c r="BE386" s="118" t="str">
        <f>IF(BE$6="","",IF(BE$3="Maior",IFERROR(IF(VLOOKUP($N386,Capa!$A:$AE,BE$5,0)="",0,VLOOKUP($N386,Capa!$A:$AE,BE$5,0)),0),IF(ISERROR(1/VLOOKUP($N386,Capa!$A:$AE,BE$5,0)),0,1/VLOOKUP($N386,Capa!$A:$AE,BE$5,0))))</f>
        <v/>
      </c>
      <c r="BF386" s="118" t="str">
        <f>IF(BF$6="","",IF(BF$3="Maior",IFERROR(IF(VLOOKUP($N386,Capa!$A:$AE,BF$5,0)="",0,VLOOKUP($N386,Capa!$A:$AE,BF$5,0)),0),IF(ISERROR(1/VLOOKUP($N386,Capa!$A:$AE,BF$5,0)),0,1/VLOOKUP($N386,Capa!$A:$AE,BF$5,0))))</f>
        <v/>
      </c>
      <c r="BG386" s="118" t="str">
        <f>IF(BG$6="","",IF(BG$3="Maior",IFERROR(IF(VLOOKUP($N386,Capa!$A:$AE,BG$5,0)="",0,VLOOKUP($N386,Capa!$A:$AE,BG$5,0)),0),IF(ISERROR(1/VLOOKUP($N386,Capa!$A:$AE,BG$5,0)),0,1/VLOOKUP($N386,Capa!$A:$AE,BG$5,0))))</f>
        <v/>
      </c>
      <c r="BH386" s="118" t="str">
        <f>IF(BH$6="","",IF(BH$3="Maior",IFERROR(IF(VLOOKUP($N386,Capa!$A:$AE,BH$5,0)="",0,VLOOKUP($N386,Capa!$A:$AE,BH$5,0)),0),IF(ISERROR(1/VLOOKUP($N386,Capa!$A:$AE,BH$5,0)),0,1/VLOOKUP($N386,Capa!$A:$AE,BH$5,0))))</f>
        <v/>
      </c>
      <c r="BI386" s="118" t="str">
        <f>IF(BI$6="","",IF(BI$3="Maior",IFERROR(IF(VLOOKUP($N386,Capa!$A:$AE,BI$5,0)="",0,VLOOKUP($N386,Capa!$A:$AE,BI$5,0)),0),IF(ISERROR(1/VLOOKUP($N386,Capa!$A:$AE,BI$5,0)),0,1/VLOOKUP($N386,Capa!$A:$AE,BI$5,0))))</f>
        <v/>
      </c>
      <c r="BJ386" s="118" t="str">
        <f>IF(BJ$6="","",IF(BJ$3="Maior",IFERROR(IF(VLOOKUP($N386,Capa!$A:$AE,BJ$5,0)="",0,VLOOKUP($N386,Capa!$A:$AE,BJ$5,0)),0),IF(ISERROR(1/VLOOKUP($N386,Capa!$A:$AE,BJ$5,0)),0,1/VLOOKUP($N386,Capa!$A:$AE,BJ$5,0))))</f>
        <v/>
      </c>
      <c r="BK386" s="118" t="str">
        <f>IF(BK$6="","",IF(BK$3="Maior",IFERROR(IF(VLOOKUP($N386,Capa!$A:$AE,BK$5,0)="",0,VLOOKUP($N386,Capa!$A:$AE,BK$5,0)),0),IF(ISERROR(1/VLOOKUP($N386,Capa!$A:$AE,BK$5,0)),0,1/VLOOKUP($N386,Capa!$A:$AE,BK$5,0))))</f>
        <v/>
      </c>
      <c r="BL386" s="118" t="str">
        <f>IF(BL$6="","",IF(BL$3="Maior",IFERROR(IF(VLOOKUP($N386,Capa!$A:$AE,BL$5,0)="",0,VLOOKUP($N386,Capa!$A:$AE,BL$5,0)),0),IF(ISERROR(1/VLOOKUP($N386,Capa!$A:$AE,BL$5,0)),0,1/VLOOKUP($N386,Capa!$A:$AE,BL$5,0))))</f>
        <v/>
      </c>
      <c r="BM386" s="118" t="str">
        <f>IF(BM$6="","",IF(BM$3="Maior",IFERROR(IF(VLOOKUP($N386,Capa!$A:$AE,BM$5,0)="",0,VLOOKUP($N386,Capa!$A:$AE,BM$5,0)),0),IF(ISERROR(1/VLOOKUP($N386,Capa!$A:$AE,BM$5,0)),0,1/VLOOKUP($N386,Capa!$A:$AE,BM$5,0))))</f>
        <v/>
      </c>
      <c r="BN386" s="118" t="str">
        <f>IF(BN$6="","",IF(BN$3="Maior",IFERROR(IF(VLOOKUP($N386,Capa!$A:$AE,BN$5,0)="",0,VLOOKUP($N386,Capa!$A:$AE,BN$5,0)),0),IF(ISERROR(1/VLOOKUP($N386,Capa!$A:$AE,BN$5,0)),0,1/VLOOKUP($N386,Capa!$A:$AE,BN$5,0))))</f>
        <v/>
      </c>
      <c r="BO386" s="92"/>
    </row>
    <row r="387">
      <c r="G387" s="11"/>
      <c r="H387" s="11"/>
      <c r="I387" s="8"/>
      <c r="J387" s="132"/>
      <c r="K387" s="11"/>
      <c r="L387" s="11"/>
      <c r="M387" s="11"/>
      <c r="N387" s="10" t="s">
        <v>433</v>
      </c>
      <c r="O387" s="113">
        <f t="shared" si="8"/>
        <v>1550.0124</v>
      </c>
      <c r="P387" s="114">
        <f>VLOOKUP(N387,'Dados StatusInvest'!A:Z,26,0)</f>
        <v>28942.14</v>
      </c>
      <c r="Q387" s="115">
        <f t="shared" si="9"/>
        <v>124.0124</v>
      </c>
      <c r="R387" s="116">
        <f t="shared" ref="R387:AO387" si="390">IF(AQ387="","", RANK(AQ387,AQ$7:AQ$503,0))</f>
        <v>207</v>
      </c>
      <c r="S387" s="115">
        <f t="shared" si="390"/>
        <v>219</v>
      </c>
      <c r="T387" s="115" t="str">
        <f t="shared" si="390"/>
        <v/>
      </c>
      <c r="U387" s="115" t="str">
        <f t="shared" si="390"/>
        <v/>
      </c>
      <c r="V387" s="115" t="str">
        <f t="shared" si="390"/>
        <v/>
      </c>
      <c r="W387" s="115" t="str">
        <f t="shared" si="390"/>
        <v/>
      </c>
      <c r="X387" s="115" t="str">
        <f t="shared" si="390"/>
        <v/>
      </c>
      <c r="Y387" s="115" t="str">
        <f t="shared" si="390"/>
        <v/>
      </c>
      <c r="Z387" s="115" t="str">
        <f t="shared" si="390"/>
        <v/>
      </c>
      <c r="AA387" s="115" t="str">
        <f t="shared" si="390"/>
        <v/>
      </c>
      <c r="AB387" s="115" t="str">
        <f t="shared" si="390"/>
        <v/>
      </c>
      <c r="AC387" s="115" t="str">
        <f t="shared" si="390"/>
        <v/>
      </c>
      <c r="AD387" s="115" t="str">
        <f t="shared" si="390"/>
        <v/>
      </c>
      <c r="AE387" s="115" t="str">
        <f t="shared" si="390"/>
        <v/>
      </c>
      <c r="AF387" s="115" t="str">
        <f t="shared" si="390"/>
        <v/>
      </c>
      <c r="AG387" s="115" t="str">
        <f t="shared" si="390"/>
        <v/>
      </c>
      <c r="AH387" s="115" t="str">
        <f t="shared" si="390"/>
        <v/>
      </c>
      <c r="AI387" s="115" t="str">
        <f t="shared" si="390"/>
        <v/>
      </c>
      <c r="AJ387" s="115" t="str">
        <f t="shared" si="390"/>
        <v/>
      </c>
      <c r="AK387" s="115" t="str">
        <f t="shared" si="390"/>
        <v/>
      </c>
      <c r="AL387" s="115" t="str">
        <f t="shared" si="390"/>
        <v/>
      </c>
      <c r="AM387" s="115" t="str">
        <f t="shared" si="390"/>
        <v/>
      </c>
      <c r="AN387" s="115" t="str">
        <f t="shared" si="390"/>
        <v/>
      </c>
      <c r="AO387" s="115" t="str">
        <f t="shared" si="390"/>
        <v/>
      </c>
      <c r="AP387" s="117">
        <f>IF(AP$6="","",IF(AP$3="Maior",IFERROR(IF(VLOOKUP($N387,Capa!$A:$AE,AP$5,0)="",0,VLOOKUP($N387,Capa!$A:$AE,AP$5,0)),0),IF(ISERROR(1/VLOOKUP($N387,Capa!$A:$AE,AP$5,0)),0,1/VLOOKUP($N387,Capa!$A:$AE,AP$5,0))))</f>
        <v>0.1532551798</v>
      </c>
      <c r="AQ387" s="118">
        <f>IF(AQ$6="","",IF(AQ$3="Maior",IFERROR(IF(VLOOKUP($N387,Capa!$A:$AE,AQ$5,0)="",0,VLOOKUP($N387,Capa!$A:$AE,AQ$5,0)),0),IF(ISERROR(1/VLOOKUP($N387,Capa!$A:$AE,AQ$5,0)),0,1/VLOOKUP($N387,Capa!$A:$AE,AQ$5,0))))</f>
        <v>10.82</v>
      </c>
      <c r="AR387" s="118">
        <f>IF(AR$6="","",IF(AR$3="Maior",IFERROR(IF(VLOOKUP($N387,Capa!$A:$AE,AR$5,0)="",0,VLOOKUP($N387,Capa!$A:$AE,AR$5,0)),0),IF(ISERROR(1/VLOOKUP($N387,Capa!$A:$AE,AR$5,0)),0,1/VLOOKUP($N387,Capa!$A:$AE,AR$5,0))))</f>
        <v>0</v>
      </c>
      <c r="AS387" s="118" t="str">
        <f>IF(AS$6="","",IF(AS$3="Maior",IFERROR(IF(VLOOKUP($N387,Capa!$A:$AE,AS$5,0)="",0,VLOOKUP($N387,Capa!$A:$AE,AS$5,0)),0),IF(ISERROR(1/VLOOKUP($N387,Capa!$A:$AE,AS$5,0)),0,1/VLOOKUP($N387,Capa!$A:$AE,AS$5,0))))</f>
        <v/>
      </c>
      <c r="AT387" s="118" t="str">
        <f>IF(AT$6="","",IF(AT$3="Maior",IFERROR(IF(VLOOKUP($N387,Capa!$A:$AE,AT$5,0)="",0,VLOOKUP($N387,Capa!$A:$AE,AT$5,0)),0),IF(ISERROR(1/VLOOKUP($N387,Capa!$A:$AE,AT$5,0)),0,1/VLOOKUP($N387,Capa!$A:$AE,AT$5,0))))</f>
        <v/>
      </c>
      <c r="AU387" s="118" t="str">
        <f>IF(AU$6="","",IF(AU$3="Maior",IFERROR(IF(VLOOKUP($N387,Capa!$A:$AE,AU$5,0)="",0,VLOOKUP($N387,Capa!$A:$AE,AU$5,0)),0),IF(ISERROR(1/VLOOKUP($N387,Capa!$A:$AE,AU$5,0)),0,1/VLOOKUP($N387,Capa!$A:$AE,AU$5,0))))</f>
        <v/>
      </c>
      <c r="AV387" s="118" t="str">
        <f>IF(AV$6="","",IF(AV$3="Maior",IFERROR(IF(VLOOKUP($N387,Capa!$A:$AE,AV$5,0)="",0,VLOOKUP($N387,Capa!$A:$AE,AV$5,0)),0),IF(ISERROR(1/VLOOKUP($N387,Capa!$A:$AE,AV$5,0)),0,1/VLOOKUP($N387,Capa!$A:$AE,AV$5,0))))</f>
        <v/>
      </c>
      <c r="AW387" s="118" t="str">
        <f>IF(AW$6="","",IF(AW$3="Maior",IFERROR(IF(VLOOKUP($N387,Capa!$A:$AE,AW$5,0)="",0,VLOOKUP($N387,Capa!$A:$AE,AW$5,0)),0),IF(ISERROR(1/VLOOKUP($N387,Capa!$A:$AE,AW$5,0)),0,1/VLOOKUP($N387,Capa!$A:$AE,AW$5,0))))</f>
        <v/>
      </c>
      <c r="AX387" s="118" t="str">
        <f>IF(AX$6="","",IF(AX$3="Maior",IFERROR(IF(VLOOKUP($N387,Capa!$A:$AE,AX$5,0)="",0,VLOOKUP($N387,Capa!$A:$AE,AX$5,0)),0),IF(ISERROR(1/VLOOKUP($N387,Capa!$A:$AE,AX$5,0)),0,1/VLOOKUP($N387,Capa!$A:$AE,AX$5,0))))</f>
        <v/>
      </c>
      <c r="AY387" s="118" t="str">
        <f>IF(AY$6="","",IF(AY$3="Maior",IFERROR(IF(VLOOKUP($N387,Capa!$A:$AE,AY$5,0)="",0,VLOOKUP($N387,Capa!$A:$AE,AY$5,0)),0),IF(ISERROR(1/VLOOKUP($N387,Capa!$A:$AE,AY$5,0)),0,1/VLOOKUP($N387,Capa!$A:$AE,AY$5,0))))</f>
        <v/>
      </c>
      <c r="AZ387" s="118" t="str">
        <f>IF(AZ$6="","",IF(AZ$3="Maior",IFERROR(IF(VLOOKUP($N387,Capa!$A:$AE,AZ$5,0)="",0,VLOOKUP($N387,Capa!$A:$AE,AZ$5,0)),0),IF(ISERROR(1/VLOOKUP($N387,Capa!$A:$AE,AZ$5,0)),0,1/VLOOKUP($N387,Capa!$A:$AE,AZ$5,0))))</f>
        <v/>
      </c>
      <c r="BA387" s="118" t="str">
        <f>IF(BA$6="","",IF(BA$3="Maior",IFERROR(IF(VLOOKUP($N387,Capa!$A:$AE,BA$5,0)="",0,VLOOKUP($N387,Capa!$A:$AE,BA$5,0)),0),IF(ISERROR(1/VLOOKUP($N387,Capa!$A:$AE,BA$5,0)),0,1/VLOOKUP($N387,Capa!$A:$AE,BA$5,0))))</f>
        <v/>
      </c>
      <c r="BB387" s="118" t="str">
        <f>IF(BB$6="","",IF(BB$3="Maior",IFERROR(IF(VLOOKUP($N387,Capa!$A:$AE,BB$5,0)="",0,VLOOKUP($N387,Capa!$A:$AE,BB$5,0)),0),IF(ISERROR(1/VLOOKUP($N387,Capa!$A:$AE,BB$5,0)),0,1/VLOOKUP($N387,Capa!$A:$AE,BB$5,0))))</f>
        <v/>
      </c>
      <c r="BC387" s="118" t="str">
        <f>IF(BC$6="","",IF(BC$3="Maior",IFERROR(IF(VLOOKUP($N387,Capa!$A:$AE,BC$5,0)="",0,VLOOKUP($N387,Capa!$A:$AE,BC$5,0)),0),IF(ISERROR(1/VLOOKUP($N387,Capa!$A:$AE,BC$5,0)),0,1/VLOOKUP($N387,Capa!$A:$AE,BC$5,0))))</f>
        <v/>
      </c>
      <c r="BD387" s="118" t="str">
        <f>IF(BD$6="","",IF(BD$3="Maior",IFERROR(IF(VLOOKUP($N387,Capa!$A:$AE,BD$5,0)="",0,VLOOKUP($N387,Capa!$A:$AE,BD$5,0)),0),IF(ISERROR(1/VLOOKUP($N387,Capa!$A:$AE,BD$5,0)),0,1/VLOOKUP($N387,Capa!$A:$AE,BD$5,0))))</f>
        <v/>
      </c>
      <c r="BE387" s="118" t="str">
        <f>IF(BE$6="","",IF(BE$3="Maior",IFERROR(IF(VLOOKUP($N387,Capa!$A:$AE,BE$5,0)="",0,VLOOKUP($N387,Capa!$A:$AE,BE$5,0)),0),IF(ISERROR(1/VLOOKUP($N387,Capa!$A:$AE,BE$5,0)),0,1/VLOOKUP($N387,Capa!$A:$AE,BE$5,0))))</f>
        <v/>
      </c>
      <c r="BF387" s="118" t="str">
        <f>IF(BF$6="","",IF(BF$3="Maior",IFERROR(IF(VLOOKUP($N387,Capa!$A:$AE,BF$5,0)="",0,VLOOKUP($N387,Capa!$A:$AE,BF$5,0)),0),IF(ISERROR(1/VLOOKUP($N387,Capa!$A:$AE,BF$5,0)),0,1/VLOOKUP($N387,Capa!$A:$AE,BF$5,0))))</f>
        <v/>
      </c>
      <c r="BG387" s="118" t="str">
        <f>IF(BG$6="","",IF(BG$3="Maior",IFERROR(IF(VLOOKUP($N387,Capa!$A:$AE,BG$5,0)="",0,VLOOKUP($N387,Capa!$A:$AE,BG$5,0)),0),IF(ISERROR(1/VLOOKUP($N387,Capa!$A:$AE,BG$5,0)),0,1/VLOOKUP($N387,Capa!$A:$AE,BG$5,0))))</f>
        <v/>
      </c>
      <c r="BH387" s="118" t="str">
        <f>IF(BH$6="","",IF(BH$3="Maior",IFERROR(IF(VLOOKUP($N387,Capa!$A:$AE,BH$5,0)="",0,VLOOKUP($N387,Capa!$A:$AE,BH$5,0)),0),IF(ISERROR(1/VLOOKUP($N387,Capa!$A:$AE,BH$5,0)),0,1/VLOOKUP($N387,Capa!$A:$AE,BH$5,0))))</f>
        <v/>
      </c>
      <c r="BI387" s="118" t="str">
        <f>IF(BI$6="","",IF(BI$3="Maior",IFERROR(IF(VLOOKUP($N387,Capa!$A:$AE,BI$5,0)="",0,VLOOKUP($N387,Capa!$A:$AE,BI$5,0)),0),IF(ISERROR(1/VLOOKUP($N387,Capa!$A:$AE,BI$5,0)),0,1/VLOOKUP($N387,Capa!$A:$AE,BI$5,0))))</f>
        <v/>
      </c>
      <c r="BJ387" s="118" t="str">
        <f>IF(BJ$6="","",IF(BJ$3="Maior",IFERROR(IF(VLOOKUP($N387,Capa!$A:$AE,BJ$5,0)="",0,VLOOKUP($N387,Capa!$A:$AE,BJ$5,0)),0),IF(ISERROR(1/VLOOKUP($N387,Capa!$A:$AE,BJ$5,0)),0,1/VLOOKUP($N387,Capa!$A:$AE,BJ$5,0))))</f>
        <v/>
      </c>
      <c r="BK387" s="118" t="str">
        <f>IF(BK$6="","",IF(BK$3="Maior",IFERROR(IF(VLOOKUP($N387,Capa!$A:$AE,BK$5,0)="",0,VLOOKUP($N387,Capa!$A:$AE,BK$5,0)),0),IF(ISERROR(1/VLOOKUP($N387,Capa!$A:$AE,BK$5,0)),0,1/VLOOKUP($N387,Capa!$A:$AE,BK$5,0))))</f>
        <v/>
      </c>
      <c r="BL387" s="118" t="str">
        <f>IF(BL$6="","",IF(BL$3="Maior",IFERROR(IF(VLOOKUP($N387,Capa!$A:$AE,BL$5,0)="",0,VLOOKUP($N387,Capa!$A:$AE,BL$5,0)),0),IF(ISERROR(1/VLOOKUP($N387,Capa!$A:$AE,BL$5,0)),0,1/VLOOKUP($N387,Capa!$A:$AE,BL$5,0))))</f>
        <v/>
      </c>
      <c r="BM387" s="118" t="str">
        <f>IF(BM$6="","",IF(BM$3="Maior",IFERROR(IF(VLOOKUP($N387,Capa!$A:$AE,BM$5,0)="",0,VLOOKUP($N387,Capa!$A:$AE,BM$5,0)),0),IF(ISERROR(1/VLOOKUP($N387,Capa!$A:$AE,BM$5,0)),0,1/VLOOKUP($N387,Capa!$A:$AE,BM$5,0))))</f>
        <v/>
      </c>
      <c r="BN387" s="118" t="str">
        <f>IF(BN$6="","",IF(BN$3="Maior",IFERROR(IF(VLOOKUP($N387,Capa!$A:$AE,BN$5,0)="",0,VLOOKUP($N387,Capa!$A:$AE,BN$5,0)),0),IF(ISERROR(1/VLOOKUP($N387,Capa!$A:$AE,BN$5,0)),0,1/VLOOKUP($N387,Capa!$A:$AE,BN$5,0))))</f>
        <v/>
      </c>
      <c r="BO387" s="92"/>
    </row>
    <row r="388">
      <c r="G388" s="11"/>
      <c r="H388" s="11"/>
      <c r="I388" s="8"/>
      <c r="J388" s="132"/>
      <c r="K388" s="11"/>
      <c r="L388" s="11"/>
      <c r="M388" s="11"/>
      <c r="N388" s="10" t="s">
        <v>434</v>
      </c>
      <c r="O388" s="113">
        <f t="shared" si="8"/>
        <v>1709.0258</v>
      </c>
      <c r="P388" s="114">
        <f>VLOOKUP(N388,'Dados StatusInvest'!A:Z,26,0)</f>
        <v>34785.31</v>
      </c>
      <c r="Q388" s="115">
        <f t="shared" si="9"/>
        <v>258.0258</v>
      </c>
      <c r="R388" s="116">
        <f t="shared" ref="R388:AO388" si="391">IF(AQ388="","", RANK(AQ388,AQ$7:AQ$503,0))</f>
        <v>375</v>
      </c>
      <c r="S388" s="115">
        <f t="shared" si="391"/>
        <v>76</v>
      </c>
      <c r="T388" s="115" t="str">
        <f t="shared" si="391"/>
        <v/>
      </c>
      <c r="U388" s="115" t="str">
        <f t="shared" si="391"/>
        <v/>
      </c>
      <c r="V388" s="115" t="str">
        <f t="shared" si="391"/>
        <v/>
      </c>
      <c r="W388" s="115" t="str">
        <f t="shared" si="391"/>
        <v/>
      </c>
      <c r="X388" s="115" t="str">
        <f t="shared" si="391"/>
        <v/>
      </c>
      <c r="Y388" s="115" t="str">
        <f t="shared" si="391"/>
        <v/>
      </c>
      <c r="Z388" s="115" t="str">
        <f t="shared" si="391"/>
        <v/>
      </c>
      <c r="AA388" s="115" t="str">
        <f t="shared" si="391"/>
        <v/>
      </c>
      <c r="AB388" s="115" t="str">
        <f t="shared" si="391"/>
        <v/>
      </c>
      <c r="AC388" s="115" t="str">
        <f t="shared" si="391"/>
        <v/>
      </c>
      <c r="AD388" s="115" t="str">
        <f t="shared" si="391"/>
        <v/>
      </c>
      <c r="AE388" s="115" t="str">
        <f t="shared" si="391"/>
        <v/>
      </c>
      <c r="AF388" s="115" t="str">
        <f t="shared" si="391"/>
        <v/>
      </c>
      <c r="AG388" s="115" t="str">
        <f t="shared" si="391"/>
        <v/>
      </c>
      <c r="AH388" s="115" t="str">
        <f t="shared" si="391"/>
        <v/>
      </c>
      <c r="AI388" s="115" t="str">
        <f t="shared" si="391"/>
        <v/>
      </c>
      <c r="AJ388" s="115" t="str">
        <f t="shared" si="391"/>
        <v/>
      </c>
      <c r="AK388" s="115" t="str">
        <f t="shared" si="391"/>
        <v/>
      </c>
      <c r="AL388" s="115" t="str">
        <f t="shared" si="391"/>
        <v/>
      </c>
      <c r="AM388" s="115" t="str">
        <f t="shared" si="391"/>
        <v/>
      </c>
      <c r="AN388" s="115" t="str">
        <f t="shared" si="391"/>
        <v/>
      </c>
      <c r="AO388" s="115" t="str">
        <f t="shared" si="391"/>
        <v/>
      </c>
      <c r="AP388" s="117">
        <f>IF(AP$6="","",IF(AP$3="Maior",IFERROR(IF(VLOOKUP($N388,Capa!$A:$AE,AP$5,0)="",0,VLOOKUP($N388,Capa!$A:$AE,AP$5,0)),0),IF(ISERROR(1/VLOOKUP($N388,Capa!$A:$AE,AP$5,0)),0,1/VLOOKUP($N388,Capa!$A:$AE,AP$5,0))))</f>
        <v>0.0754147813</v>
      </c>
      <c r="AQ388" s="118">
        <f>IF(AQ$6="","",IF(AQ$3="Maior",IFERROR(IF(VLOOKUP($N388,Capa!$A:$AE,AQ$5,0)="",0,VLOOKUP($N388,Capa!$A:$AE,AQ$5,0)),0),IF(ISERROR(1/VLOOKUP($N388,Capa!$A:$AE,AQ$5,0)),0,1/VLOOKUP($N388,Capa!$A:$AE,AQ$5,0))))</f>
        <v>0</v>
      </c>
      <c r="AR388" s="118">
        <f>IF(AR$6="","",IF(AR$3="Maior",IFERROR(IF(VLOOKUP($N388,Capa!$A:$AE,AR$5,0)="",0,VLOOKUP($N388,Capa!$A:$AE,AR$5,0)),0),IF(ISERROR(1/VLOOKUP($N388,Capa!$A:$AE,AR$5,0)),0,1/VLOOKUP($N388,Capa!$A:$AE,AR$5,0))))</f>
        <v>36.13</v>
      </c>
      <c r="AS388" s="118" t="str">
        <f>IF(AS$6="","",IF(AS$3="Maior",IFERROR(IF(VLOOKUP($N388,Capa!$A:$AE,AS$5,0)="",0,VLOOKUP($N388,Capa!$A:$AE,AS$5,0)),0),IF(ISERROR(1/VLOOKUP($N388,Capa!$A:$AE,AS$5,0)),0,1/VLOOKUP($N388,Capa!$A:$AE,AS$5,0))))</f>
        <v/>
      </c>
      <c r="AT388" s="118" t="str">
        <f>IF(AT$6="","",IF(AT$3="Maior",IFERROR(IF(VLOOKUP($N388,Capa!$A:$AE,AT$5,0)="",0,VLOOKUP($N388,Capa!$A:$AE,AT$5,0)),0),IF(ISERROR(1/VLOOKUP($N388,Capa!$A:$AE,AT$5,0)),0,1/VLOOKUP($N388,Capa!$A:$AE,AT$5,0))))</f>
        <v/>
      </c>
      <c r="AU388" s="118" t="str">
        <f>IF(AU$6="","",IF(AU$3="Maior",IFERROR(IF(VLOOKUP($N388,Capa!$A:$AE,AU$5,0)="",0,VLOOKUP($N388,Capa!$A:$AE,AU$5,0)),0),IF(ISERROR(1/VLOOKUP($N388,Capa!$A:$AE,AU$5,0)),0,1/VLOOKUP($N388,Capa!$A:$AE,AU$5,0))))</f>
        <v/>
      </c>
      <c r="AV388" s="118" t="str">
        <f>IF(AV$6="","",IF(AV$3="Maior",IFERROR(IF(VLOOKUP($N388,Capa!$A:$AE,AV$5,0)="",0,VLOOKUP($N388,Capa!$A:$AE,AV$5,0)),0),IF(ISERROR(1/VLOOKUP($N388,Capa!$A:$AE,AV$5,0)),0,1/VLOOKUP($N388,Capa!$A:$AE,AV$5,0))))</f>
        <v/>
      </c>
      <c r="AW388" s="118" t="str">
        <f>IF(AW$6="","",IF(AW$3="Maior",IFERROR(IF(VLOOKUP($N388,Capa!$A:$AE,AW$5,0)="",0,VLOOKUP($N388,Capa!$A:$AE,AW$5,0)),0),IF(ISERROR(1/VLOOKUP($N388,Capa!$A:$AE,AW$5,0)),0,1/VLOOKUP($N388,Capa!$A:$AE,AW$5,0))))</f>
        <v/>
      </c>
      <c r="AX388" s="118" t="str">
        <f>IF(AX$6="","",IF(AX$3="Maior",IFERROR(IF(VLOOKUP($N388,Capa!$A:$AE,AX$5,0)="",0,VLOOKUP($N388,Capa!$A:$AE,AX$5,0)),0),IF(ISERROR(1/VLOOKUP($N388,Capa!$A:$AE,AX$5,0)),0,1/VLOOKUP($N388,Capa!$A:$AE,AX$5,0))))</f>
        <v/>
      </c>
      <c r="AY388" s="118" t="str">
        <f>IF(AY$6="","",IF(AY$3="Maior",IFERROR(IF(VLOOKUP($N388,Capa!$A:$AE,AY$5,0)="",0,VLOOKUP($N388,Capa!$A:$AE,AY$5,0)),0),IF(ISERROR(1/VLOOKUP($N388,Capa!$A:$AE,AY$5,0)),0,1/VLOOKUP($N388,Capa!$A:$AE,AY$5,0))))</f>
        <v/>
      </c>
      <c r="AZ388" s="118" t="str">
        <f>IF(AZ$6="","",IF(AZ$3="Maior",IFERROR(IF(VLOOKUP($N388,Capa!$A:$AE,AZ$5,0)="",0,VLOOKUP($N388,Capa!$A:$AE,AZ$5,0)),0),IF(ISERROR(1/VLOOKUP($N388,Capa!$A:$AE,AZ$5,0)),0,1/VLOOKUP($N388,Capa!$A:$AE,AZ$5,0))))</f>
        <v/>
      </c>
      <c r="BA388" s="118" t="str">
        <f>IF(BA$6="","",IF(BA$3="Maior",IFERROR(IF(VLOOKUP($N388,Capa!$A:$AE,BA$5,0)="",0,VLOOKUP($N388,Capa!$A:$AE,BA$5,0)),0),IF(ISERROR(1/VLOOKUP($N388,Capa!$A:$AE,BA$5,0)),0,1/VLOOKUP($N388,Capa!$A:$AE,BA$5,0))))</f>
        <v/>
      </c>
      <c r="BB388" s="118" t="str">
        <f>IF(BB$6="","",IF(BB$3="Maior",IFERROR(IF(VLOOKUP($N388,Capa!$A:$AE,BB$5,0)="",0,VLOOKUP($N388,Capa!$A:$AE,BB$5,0)),0),IF(ISERROR(1/VLOOKUP($N388,Capa!$A:$AE,BB$5,0)),0,1/VLOOKUP($N388,Capa!$A:$AE,BB$5,0))))</f>
        <v/>
      </c>
      <c r="BC388" s="118" t="str">
        <f>IF(BC$6="","",IF(BC$3="Maior",IFERROR(IF(VLOOKUP($N388,Capa!$A:$AE,BC$5,0)="",0,VLOOKUP($N388,Capa!$A:$AE,BC$5,0)),0),IF(ISERROR(1/VLOOKUP($N388,Capa!$A:$AE,BC$5,0)),0,1/VLOOKUP($N388,Capa!$A:$AE,BC$5,0))))</f>
        <v/>
      </c>
      <c r="BD388" s="118" t="str">
        <f>IF(BD$6="","",IF(BD$3="Maior",IFERROR(IF(VLOOKUP($N388,Capa!$A:$AE,BD$5,0)="",0,VLOOKUP($N388,Capa!$A:$AE,BD$5,0)),0),IF(ISERROR(1/VLOOKUP($N388,Capa!$A:$AE,BD$5,0)),0,1/VLOOKUP($N388,Capa!$A:$AE,BD$5,0))))</f>
        <v/>
      </c>
      <c r="BE388" s="118" t="str">
        <f>IF(BE$6="","",IF(BE$3="Maior",IFERROR(IF(VLOOKUP($N388,Capa!$A:$AE,BE$5,0)="",0,VLOOKUP($N388,Capa!$A:$AE,BE$5,0)),0),IF(ISERROR(1/VLOOKUP($N388,Capa!$A:$AE,BE$5,0)),0,1/VLOOKUP($N388,Capa!$A:$AE,BE$5,0))))</f>
        <v/>
      </c>
      <c r="BF388" s="118" t="str">
        <f>IF(BF$6="","",IF(BF$3="Maior",IFERROR(IF(VLOOKUP($N388,Capa!$A:$AE,BF$5,0)="",0,VLOOKUP($N388,Capa!$A:$AE,BF$5,0)),0),IF(ISERROR(1/VLOOKUP($N388,Capa!$A:$AE,BF$5,0)),0,1/VLOOKUP($N388,Capa!$A:$AE,BF$5,0))))</f>
        <v/>
      </c>
      <c r="BG388" s="118" t="str">
        <f>IF(BG$6="","",IF(BG$3="Maior",IFERROR(IF(VLOOKUP($N388,Capa!$A:$AE,BG$5,0)="",0,VLOOKUP($N388,Capa!$A:$AE,BG$5,0)),0),IF(ISERROR(1/VLOOKUP($N388,Capa!$A:$AE,BG$5,0)),0,1/VLOOKUP($N388,Capa!$A:$AE,BG$5,0))))</f>
        <v/>
      </c>
      <c r="BH388" s="118" t="str">
        <f>IF(BH$6="","",IF(BH$3="Maior",IFERROR(IF(VLOOKUP($N388,Capa!$A:$AE,BH$5,0)="",0,VLOOKUP($N388,Capa!$A:$AE,BH$5,0)),0),IF(ISERROR(1/VLOOKUP($N388,Capa!$A:$AE,BH$5,0)),0,1/VLOOKUP($N388,Capa!$A:$AE,BH$5,0))))</f>
        <v/>
      </c>
      <c r="BI388" s="118" t="str">
        <f>IF(BI$6="","",IF(BI$3="Maior",IFERROR(IF(VLOOKUP($N388,Capa!$A:$AE,BI$5,0)="",0,VLOOKUP($N388,Capa!$A:$AE,BI$5,0)),0),IF(ISERROR(1/VLOOKUP($N388,Capa!$A:$AE,BI$5,0)),0,1/VLOOKUP($N388,Capa!$A:$AE,BI$5,0))))</f>
        <v/>
      </c>
      <c r="BJ388" s="118" t="str">
        <f>IF(BJ$6="","",IF(BJ$3="Maior",IFERROR(IF(VLOOKUP($N388,Capa!$A:$AE,BJ$5,0)="",0,VLOOKUP($N388,Capa!$A:$AE,BJ$5,0)),0),IF(ISERROR(1/VLOOKUP($N388,Capa!$A:$AE,BJ$5,0)),0,1/VLOOKUP($N388,Capa!$A:$AE,BJ$5,0))))</f>
        <v/>
      </c>
      <c r="BK388" s="118" t="str">
        <f>IF(BK$6="","",IF(BK$3="Maior",IFERROR(IF(VLOOKUP($N388,Capa!$A:$AE,BK$5,0)="",0,VLOOKUP($N388,Capa!$A:$AE,BK$5,0)),0),IF(ISERROR(1/VLOOKUP($N388,Capa!$A:$AE,BK$5,0)),0,1/VLOOKUP($N388,Capa!$A:$AE,BK$5,0))))</f>
        <v/>
      </c>
      <c r="BL388" s="118" t="str">
        <f>IF(BL$6="","",IF(BL$3="Maior",IFERROR(IF(VLOOKUP($N388,Capa!$A:$AE,BL$5,0)="",0,VLOOKUP($N388,Capa!$A:$AE,BL$5,0)),0),IF(ISERROR(1/VLOOKUP($N388,Capa!$A:$AE,BL$5,0)),0,1/VLOOKUP($N388,Capa!$A:$AE,BL$5,0))))</f>
        <v/>
      </c>
      <c r="BM388" s="118" t="str">
        <f>IF(BM$6="","",IF(BM$3="Maior",IFERROR(IF(VLOOKUP($N388,Capa!$A:$AE,BM$5,0)="",0,VLOOKUP($N388,Capa!$A:$AE,BM$5,0)),0),IF(ISERROR(1/VLOOKUP($N388,Capa!$A:$AE,BM$5,0)),0,1/VLOOKUP($N388,Capa!$A:$AE,BM$5,0))))</f>
        <v/>
      </c>
      <c r="BN388" s="118" t="str">
        <f>IF(BN$6="","",IF(BN$3="Maior",IFERROR(IF(VLOOKUP($N388,Capa!$A:$AE,BN$5,0)="",0,VLOOKUP($N388,Capa!$A:$AE,BN$5,0)),0),IF(ISERROR(1/VLOOKUP($N388,Capa!$A:$AE,BN$5,0)),0,1/VLOOKUP($N388,Capa!$A:$AE,BN$5,0))))</f>
        <v/>
      </c>
      <c r="BO388" s="92"/>
    </row>
    <row r="389">
      <c r="G389" s="11"/>
      <c r="H389" s="11"/>
      <c r="I389" s="8"/>
      <c r="J389" s="132"/>
      <c r="K389" s="11"/>
      <c r="L389" s="11"/>
      <c r="M389" s="11"/>
      <c r="N389" s="10" t="s">
        <v>435</v>
      </c>
      <c r="O389" s="113">
        <f t="shared" si="8"/>
        <v>1187.0087</v>
      </c>
      <c r="P389" s="114">
        <f>VLOOKUP(N389,'Dados StatusInvest'!A:Z,26,0)</f>
        <v>37136.5</v>
      </c>
      <c r="Q389" s="115">
        <f t="shared" si="9"/>
        <v>87.0087</v>
      </c>
      <c r="R389" s="116">
        <f t="shared" ref="R389:AO389" si="392">IF(AQ389="","", RANK(AQ389,AQ$7:AQ$503,0))</f>
        <v>80</v>
      </c>
      <c r="S389" s="115">
        <f t="shared" si="392"/>
        <v>20</v>
      </c>
      <c r="T389" s="115" t="str">
        <f t="shared" si="392"/>
        <v/>
      </c>
      <c r="U389" s="115" t="str">
        <f t="shared" si="392"/>
        <v/>
      </c>
      <c r="V389" s="115" t="str">
        <f t="shared" si="392"/>
        <v/>
      </c>
      <c r="W389" s="115" t="str">
        <f t="shared" si="392"/>
        <v/>
      </c>
      <c r="X389" s="115" t="str">
        <f t="shared" si="392"/>
        <v/>
      </c>
      <c r="Y389" s="115" t="str">
        <f t="shared" si="392"/>
        <v/>
      </c>
      <c r="Z389" s="115" t="str">
        <f t="shared" si="392"/>
        <v/>
      </c>
      <c r="AA389" s="115" t="str">
        <f t="shared" si="392"/>
        <v/>
      </c>
      <c r="AB389" s="115" t="str">
        <f t="shared" si="392"/>
        <v/>
      </c>
      <c r="AC389" s="115" t="str">
        <f t="shared" si="392"/>
        <v/>
      </c>
      <c r="AD389" s="115" t="str">
        <f t="shared" si="392"/>
        <v/>
      </c>
      <c r="AE389" s="115" t="str">
        <f t="shared" si="392"/>
        <v/>
      </c>
      <c r="AF389" s="115" t="str">
        <f t="shared" si="392"/>
        <v/>
      </c>
      <c r="AG389" s="115" t="str">
        <f t="shared" si="392"/>
        <v/>
      </c>
      <c r="AH389" s="115" t="str">
        <f t="shared" si="392"/>
        <v/>
      </c>
      <c r="AI389" s="115" t="str">
        <f t="shared" si="392"/>
        <v/>
      </c>
      <c r="AJ389" s="115" t="str">
        <f t="shared" si="392"/>
        <v/>
      </c>
      <c r="AK389" s="115" t="str">
        <f t="shared" si="392"/>
        <v/>
      </c>
      <c r="AL389" s="115" t="str">
        <f t="shared" si="392"/>
        <v/>
      </c>
      <c r="AM389" s="115" t="str">
        <f t="shared" si="392"/>
        <v/>
      </c>
      <c r="AN389" s="115" t="str">
        <f t="shared" si="392"/>
        <v/>
      </c>
      <c r="AO389" s="115" t="str">
        <f t="shared" si="392"/>
        <v/>
      </c>
      <c r="AP389" s="117">
        <f>IF(AP$6="","",IF(AP$3="Maior",IFERROR(IF(VLOOKUP($N389,Capa!$A:$AE,AP$5,0)="",0,VLOOKUP($N389,Capa!$A:$AE,AP$5,0)),0),IF(ISERROR(1/VLOOKUP($N389,Capa!$A:$AE,AP$5,0)),0,1/VLOOKUP($N389,Capa!$A:$AE,AP$5,0))))</f>
        <v>0.206955322</v>
      </c>
      <c r="AQ389" s="118">
        <f>IF(AQ$6="","",IF(AQ$3="Maior",IFERROR(IF(VLOOKUP($N389,Capa!$A:$AE,AQ$5,0)="",0,VLOOKUP($N389,Capa!$A:$AE,AQ$5,0)),0),IF(ISERROR(1/VLOOKUP($N389,Capa!$A:$AE,AQ$5,0)),0,1/VLOOKUP($N389,Capa!$A:$AE,AQ$5,0))))</f>
        <v>20.08</v>
      </c>
      <c r="AR389" s="118">
        <f>IF(AR$6="","",IF(AR$3="Maior",IFERROR(IF(VLOOKUP($N389,Capa!$A:$AE,AR$5,0)="",0,VLOOKUP($N389,Capa!$A:$AE,AR$5,0)),0),IF(ISERROR(1/VLOOKUP($N389,Capa!$A:$AE,AR$5,0)),0,1/VLOOKUP($N389,Capa!$A:$AE,AR$5,0))))</f>
        <v>87.28</v>
      </c>
      <c r="AS389" s="118" t="str">
        <f>IF(AS$6="","",IF(AS$3="Maior",IFERROR(IF(VLOOKUP($N389,Capa!$A:$AE,AS$5,0)="",0,VLOOKUP($N389,Capa!$A:$AE,AS$5,0)),0),IF(ISERROR(1/VLOOKUP($N389,Capa!$A:$AE,AS$5,0)),0,1/VLOOKUP($N389,Capa!$A:$AE,AS$5,0))))</f>
        <v/>
      </c>
      <c r="AT389" s="118" t="str">
        <f>IF(AT$6="","",IF(AT$3="Maior",IFERROR(IF(VLOOKUP($N389,Capa!$A:$AE,AT$5,0)="",0,VLOOKUP($N389,Capa!$A:$AE,AT$5,0)),0),IF(ISERROR(1/VLOOKUP($N389,Capa!$A:$AE,AT$5,0)),0,1/VLOOKUP($N389,Capa!$A:$AE,AT$5,0))))</f>
        <v/>
      </c>
      <c r="AU389" s="118" t="str">
        <f>IF(AU$6="","",IF(AU$3="Maior",IFERROR(IF(VLOOKUP($N389,Capa!$A:$AE,AU$5,0)="",0,VLOOKUP($N389,Capa!$A:$AE,AU$5,0)),0),IF(ISERROR(1/VLOOKUP($N389,Capa!$A:$AE,AU$5,0)),0,1/VLOOKUP($N389,Capa!$A:$AE,AU$5,0))))</f>
        <v/>
      </c>
      <c r="AV389" s="118" t="str">
        <f>IF(AV$6="","",IF(AV$3="Maior",IFERROR(IF(VLOOKUP($N389,Capa!$A:$AE,AV$5,0)="",0,VLOOKUP($N389,Capa!$A:$AE,AV$5,0)),0),IF(ISERROR(1/VLOOKUP($N389,Capa!$A:$AE,AV$5,0)),0,1/VLOOKUP($N389,Capa!$A:$AE,AV$5,0))))</f>
        <v/>
      </c>
      <c r="AW389" s="118" t="str">
        <f>IF(AW$6="","",IF(AW$3="Maior",IFERROR(IF(VLOOKUP($N389,Capa!$A:$AE,AW$5,0)="",0,VLOOKUP($N389,Capa!$A:$AE,AW$5,0)),0),IF(ISERROR(1/VLOOKUP($N389,Capa!$A:$AE,AW$5,0)),0,1/VLOOKUP($N389,Capa!$A:$AE,AW$5,0))))</f>
        <v/>
      </c>
      <c r="AX389" s="118" t="str">
        <f>IF(AX$6="","",IF(AX$3="Maior",IFERROR(IF(VLOOKUP($N389,Capa!$A:$AE,AX$5,0)="",0,VLOOKUP($N389,Capa!$A:$AE,AX$5,0)),0),IF(ISERROR(1/VLOOKUP($N389,Capa!$A:$AE,AX$5,0)),0,1/VLOOKUP($N389,Capa!$A:$AE,AX$5,0))))</f>
        <v/>
      </c>
      <c r="AY389" s="118" t="str">
        <f>IF(AY$6="","",IF(AY$3="Maior",IFERROR(IF(VLOOKUP($N389,Capa!$A:$AE,AY$5,0)="",0,VLOOKUP($N389,Capa!$A:$AE,AY$5,0)),0),IF(ISERROR(1/VLOOKUP($N389,Capa!$A:$AE,AY$5,0)),0,1/VLOOKUP($N389,Capa!$A:$AE,AY$5,0))))</f>
        <v/>
      </c>
      <c r="AZ389" s="118" t="str">
        <f>IF(AZ$6="","",IF(AZ$3="Maior",IFERROR(IF(VLOOKUP($N389,Capa!$A:$AE,AZ$5,0)="",0,VLOOKUP($N389,Capa!$A:$AE,AZ$5,0)),0),IF(ISERROR(1/VLOOKUP($N389,Capa!$A:$AE,AZ$5,0)),0,1/VLOOKUP($N389,Capa!$A:$AE,AZ$5,0))))</f>
        <v/>
      </c>
      <c r="BA389" s="118" t="str">
        <f>IF(BA$6="","",IF(BA$3="Maior",IFERROR(IF(VLOOKUP($N389,Capa!$A:$AE,BA$5,0)="",0,VLOOKUP($N389,Capa!$A:$AE,BA$5,0)),0),IF(ISERROR(1/VLOOKUP($N389,Capa!$A:$AE,BA$5,0)),0,1/VLOOKUP($N389,Capa!$A:$AE,BA$5,0))))</f>
        <v/>
      </c>
      <c r="BB389" s="118" t="str">
        <f>IF(BB$6="","",IF(BB$3="Maior",IFERROR(IF(VLOOKUP($N389,Capa!$A:$AE,BB$5,0)="",0,VLOOKUP($N389,Capa!$A:$AE,BB$5,0)),0),IF(ISERROR(1/VLOOKUP($N389,Capa!$A:$AE,BB$5,0)),0,1/VLOOKUP($N389,Capa!$A:$AE,BB$5,0))))</f>
        <v/>
      </c>
      <c r="BC389" s="118" t="str">
        <f>IF(BC$6="","",IF(BC$3="Maior",IFERROR(IF(VLOOKUP($N389,Capa!$A:$AE,BC$5,0)="",0,VLOOKUP($N389,Capa!$A:$AE,BC$5,0)),0),IF(ISERROR(1/VLOOKUP($N389,Capa!$A:$AE,BC$5,0)),0,1/VLOOKUP($N389,Capa!$A:$AE,BC$5,0))))</f>
        <v/>
      </c>
      <c r="BD389" s="118" t="str">
        <f>IF(BD$6="","",IF(BD$3="Maior",IFERROR(IF(VLOOKUP($N389,Capa!$A:$AE,BD$5,0)="",0,VLOOKUP($N389,Capa!$A:$AE,BD$5,0)),0),IF(ISERROR(1/VLOOKUP($N389,Capa!$A:$AE,BD$5,0)),0,1/VLOOKUP($N389,Capa!$A:$AE,BD$5,0))))</f>
        <v/>
      </c>
      <c r="BE389" s="118" t="str">
        <f>IF(BE$6="","",IF(BE$3="Maior",IFERROR(IF(VLOOKUP($N389,Capa!$A:$AE,BE$5,0)="",0,VLOOKUP($N389,Capa!$A:$AE,BE$5,0)),0),IF(ISERROR(1/VLOOKUP($N389,Capa!$A:$AE,BE$5,0)),0,1/VLOOKUP($N389,Capa!$A:$AE,BE$5,0))))</f>
        <v/>
      </c>
      <c r="BF389" s="118" t="str">
        <f>IF(BF$6="","",IF(BF$3="Maior",IFERROR(IF(VLOOKUP($N389,Capa!$A:$AE,BF$5,0)="",0,VLOOKUP($N389,Capa!$A:$AE,BF$5,0)),0),IF(ISERROR(1/VLOOKUP($N389,Capa!$A:$AE,BF$5,0)),0,1/VLOOKUP($N389,Capa!$A:$AE,BF$5,0))))</f>
        <v/>
      </c>
      <c r="BG389" s="118" t="str">
        <f>IF(BG$6="","",IF(BG$3="Maior",IFERROR(IF(VLOOKUP($N389,Capa!$A:$AE,BG$5,0)="",0,VLOOKUP($N389,Capa!$A:$AE,BG$5,0)),0),IF(ISERROR(1/VLOOKUP($N389,Capa!$A:$AE,BG$5,0)),0,1/VLOOKUP($N389,Capa!$A:$AE,BG$5,0))))</f>
        <v/>
      </c>
      <c r="BH389" s="118" t="str">
        <f>IF(BH$6="","",IF(BH$3="Maior",IFERROR(IF(VLOOKUP($N389,Capa!$A:$AE,BH$5,0)="",0,VLOOKUP($N389,Capa!$A:$AE,BH$5,0)),0),IF(ISERROR(1/VLOOKUP($N389,Capa!$A:$AE,BH$5,0)),0,1/VLOOKUP($N389,Capa!$A:$AE,BH$5,0))))</f>
        <v/>
      </c>
      <c r="BI389" s="118" t="str">
        <f>IF(BI$6="","",IF(BI$3="Maior",IFERROR(IF(VLOOKUP($N389,Capa!$A:$AE,BI$5,0)="",0,VLOOKUP($N389,Capa!$A:$AE,BI$5,0)),0),IF(ISERROR(1/VLOOKUP($N389,Capa!$A:$AE,BI$5,0)),0,1/VLOOKUP($N389,Capa!$A:$AE,BI$5,0))))</f>
        <v/>
      </c>
      <c r="BJ389" s="118" t="str">
        <f>IF(BJ$6="","",IF(BJ$3="Maior",IFERROR(IF(VLOOKUP($N389,Capa!$A:$AE,BJ$5,0)="",0,VLOOKUP($N389,Capa!$A:$AE,BJ$5,0)),0),IF(ISERROR(1/VLOOKUP($N389,Capa!$A:$AE,BJ$5,0)),0,1/VLOOKUP($N389,Capa!$A:$AE,BJ$5,0))))</f>
        <v/>
      </c>
      <c r="BK389" s="118" t="str">
        <f>IF(BK$6="","",IF(BK$3="Maior",IFERROR(IF(VLOOKUP($N389,Capa!$A:$AE,BK$5,0)="",0,VLOOKUP($N389,Capa!$A:$AE,BK$5,0)),0),IF(ISERROR(1/VLOOKUP($N389,Capa!$A:$AE,BK$5,0)),0,1/VLOOKUP($N389,Capa!$A:$AE,BK$5,0))))</f>
        <v/>
      </c>
      <c r="BL389" s="118" t="str">
        <f>IF(BL$6="","",IF(BL$3="Maior",IFERROR(IF(VLOOKUP($N389,Capa!$A:$AE,BL$5,0)="",0,VLOOKUP($N389,Capa!$A:$AE,BL$5,0)),0),IF(ISERROR(1/VLOOKUP($N389,Capa!$A:$AE,BL$5,0)),0,1/VLOOKUP($N389,Capa!$A:$AE,BL$5,0))))</f>
        <v/>
      </c>
      <c r="BM389" s="118" t="str">
        <f>IF(BM$6="","",IF(BM$3="Maior",IFERROR(IF(VLOOKUP($N389,Capa!$A:$AE,BM$5,0)="",0,VLOOKUP($N389,Capa!$A:$AE,BM$5,0)),0),IF(ISERROR(1/VLOOKUP($N389,Capa!$A:$AE,BM$5,0)),0,1/VLOOKUP($N389,Capa!$A:$AE,BM$5,0))))</f>
        <v/>
      </c>
      <c r="BN389" s="118" t="str">
        <f>IF(BN$6="","",IF(BN$3="Maior",IFERROR(IF(VLOOKUP($N389,Capa!$A:$AE,BN$5,0)="",0,VLOOKUP($N389,Capa!$A:$AE,BN$5,0)),0),IF(ISERROR(1/VLOOKUP($N389,Capa!$A:$AE,BN$5,0)),0,1/VLOOKUP($N389,Capa!$A:$AE,BN$5,0))))</f>
        <v/>
      </c>
      <c r="BO389" s="92"/>
    </row>
    <row r="390">
      <c r="G390" s="11"/>
      <c r="H390" s="11"/>
      <c r="I390" s="8"/>
      <c r="J390" s="132"/>
      <c r="K390" s="11"/>
      <c r="L390" s="11"/>
      <c r="M390" s="11"/>
      <c r="N390" s="10" t="s">
        <v>436</v>
      </c>
      <c r="O390" s="113">
        <f t="shared" si="8"/>
        <v>1154.0089</v>
      </c>
      <c r="P390" s="114">
        <f>VLOOKUP(N390,'Dados StatusInvest'!A:Z,26,0)</f>
        <v>51403.92</v>
      </c>
      <c r="Q390" s="115">
        <f t="shared" si="9"/>
        <v>89.0089</v>
      </c>
      <c r="R390" s="116">
        <f t="shared" ref="R390:AO390" si="393">IF(AQ390="","", RANK(AQ390,AQ$7:AQ$503,0))</f>
        <v>31</v>
      </c>
      <c r="S390" s="115">
        <f t="shared" si="393"/>
        <v>34</v>
      </c>
      <c r="T390" s="115" t="str">
        <f t="shared" si="393"/>
        <v/>
      </c>
      <c r="U390" s="115" t="str">
        <f t="shared" si="393"/>
        <v/>
      </c>
      <c r="V390" s="115" t="str">
        <f t="shared" si="393"/>
        <v/>
      </c>
      <c r="W390" s="115" t="str">
        <f t="shared" si="393"/>
        <v/>
      </c>
      <c r="X390" s="115" t="str">
        <f t="shared" si="393"/>
        <v/>
      </c>
      <c r="Y390" s="115" t="str">
        <f t="shared" si="393"/>
        <v/>
      </c>
      <c r="Z390" s="115" t="str">
        <f t="shared" si="393"/>
        <v/>
      </c>
      <c r="AA390" s="115" t="str">
        <f t="shared" si="393"/>
        <v/>
      </c>
      <c r="AB390" s="115" t="str">
        <f t="shared" si="393"/>
        <v/>
      </c>
      <c r="AC390" s="115" t="str">
        <f t="shared" si="393"/>
        <v/>
      </c>
      <c r="AD390" s="115" t="str">
        <f t="shared" si="393"/>
        <v/>
      </c>
      <c r="AE390" s="115" t="str">
        <f t="shared" si="393"/>
        <v/>
      </c>
      <c r="AF390" s="115" t="str">
        <f t="shared" si="393"/>
        <v/>
      </c>
      <c r="AG390" s="115" t="str">
        <f t="shared" si="393"/>
        <v/>
      </c>
      <c r="AH390" s="115" t="str">
        <f t="shared" si="393"/>
        <v/>
      </c>
      <c r="AI390" s="115" t="str">
        <f t="shared" si="393"/>
        <v/>
      </c>
      <c r="AJ390" s="115" t="str">
        <f t="shared" si="393"/>
        <v/>
      </c>
      <c r="AK390" s="115" t="str">
        <f t="shared" si="393"/>
        <v/>
      </c>
      <c r="AL390" s="115" t="str">
        <f t="shared" si="393"/>
        <v/>
      </c>
      <c r="AM390" s="115" t="str">
        <f t="shared" si="393"/>
        <v/>
      </c>
      <c r="AN390" s="115" t="str">
        <f t="shared" si="393"/>
        <v/>
      </c>
      <c r="AO390" s="115" t="str">
        <f t="shared" si="393"/>
        <v/>
      </c>
      <c r="AP390" s="117">
        <f>IF(AP$6="","",IF(AP$3="Maior",IFERROR(IF(VLOOKUP($N390,Capa!$A:$AE,AP$5,0)="",0,VLOOKUP($N390,Capa!$A:$AE,AP$5,0)),0),IF(ISERROR(1/VLOOKUP($N390,Capa!$A:$AE,AP$5,0)),0,1/VLOOKUP($N390,Capa!$A:$AE,AP$5,0))))</f>
        <v>0.206185567</v>
      </c>
      <c r="AQ390" s="118">
        <f>IF(AQ$6="","",IF(AQ$3="Maior",IFERROR(IF(VLOOKUP($N390,Capa!$A:$AE,AQ$5,0)="",0,VLOOKUP($N390,Capa!$A:$AE,AQ$5,0)),0),IF(ISERROR(1/VLOOKUP($N390,Capa!$A:$AE,AQ$5,0)),0,1/VLOOKUP($N390,Capa!$A:$AE,AQ$5,0))))</f>
        <v>36.14</v>
      </c>
      <c r="AR390" s="118">
        <f>IF(AR$6="","",IF(AR$3="Maior",IFERROR(IF(VLOOKUP($N390,Capa!$A:$AE,AR$5,0)="",0,VLOOKUP($N390,Capa!$A:$AE,AR$5,0)),0),IF(ISERROR(1/VLOOKUP($N390,Capa!$A:$AE,AR$5,0)),0,1/VLOOKUP($N390,Capa!$A:$AE,AR$5,0))))</f>
        <v>61.42</v>
      </c>
      <c r="AS390" s="118" t="str">
        <f>IF(AS$6="","",IF(AS$3="Maior",IFERROR(IF(VLOOKUP($N390,Capa!$A:$AE,AS$5,0)="",0,VLOOKUP($N390,Capa!$A:$AE,AS$5,0)),0),IF(ISERROR(1/VLOOKUP($N390,Capa!$A:$AE,AS$5,0)),0,1/VLOOKUP($N390,Capa!$A:$AE,AS$5,0))))</f>
        <v/>
      </c>
      <c r="AT390" s="118" t="str">
        <f>IF(AT$6="","",IF(AT$3="Maior",IFERROR(IF(VLOOKUP($N390,Capa!$A:$AE,AT$5,0)="",0,VLOOKUP($N390,Capa!$A:$AE,AT$5,0)),0),IF(ISERROR(1/VLOOKUP($N390,Capa!$A:$AE,AT$5,0)),0,1/VLOOKUP($N390,Capa!$A:$AE,AT$5,0))))</f>
        <v/>
      </c>
      <c r="AU390" s="118" t="str">
        <f>IF(AU$6="","",IF(AU$3="Maior",IFERROR(IF(VLOOKUP($N390,Capa!$A:$AE,AU$5,0)="",0,VLOOKUP($N390,Capa!$A:$AE,AU$5,0)),0),IF(ISERROR(1/VLOOKUP($N390,Capa!$A:$AE,AU$5,0)),0,1/VLOOKUP($N390,Capa!$A:$AE,AU$5,0))))</f>
        <v/>
      </c>
      <c r="AV390" s="118" t="str">
        <f>IF(AV$6="","",IF(AV$3="Maior",IFERROR(IF(VLOOKUP($N390,Capa!$A:$AE,AV$5,0)="",0,VLOOKUP($N390,Capa!$A:$AE,AV$5,0)),0),IF(ISERROR(1/VLOOKUP($N390,Capa!$A:$AE,AV$5,0)),0,1/VLOOKUP($N390,Capa!$A:$AE,AV$5,0))))</f>
        <v/>
      </c>
      <c r="AW390" s="118" t="str">
        <f>IF(AW$6="","",IF(AW$3="Maior",IFERROR(IF(VLOOKUP($N390,Capa!$A:$AE,AW$5,0)="",0,VLOOKUP($N390,Capa!$A:$AE,AW$5,0)),0),IF(ISERROR(1/VLOOKUP($N390,Capa!$A:$AE,AW$5,0)),0,1/VLOOKUP($N390,Capa!$A:$AE,AW$5,0))))</f>
        <v/>
      </c>
      <c r="AX390" s="118" t="str">
        <f>IF(AX$6="","",IF(AX$3="Maior",IFERROR(IF(VLOOKUP($N390,Capa!$A:$AE,AX$5,0)="",0,VLOOKUP($N390,Capa!$A:$AE,AX$5,0)),0),IF(ISERROR(1/VLOOKUP($N390,Capa!$A:$AE,AX$5,0)),0,1/VLOOKUP($N390,Capa!$A:$AE,AX$5,0))))</f>
        <v/>
      </c>
      <c r="AY390" s="118" t="str">
        <f>IF(AY$6="","",IF(AY$3="Maior",IFERROR(IF(VLOOKUP($N390,Capa!$A:$AE,AY$5,0)="",0,VLOOKUP($N390,Capa!$A:$AE,AY$5,0)),0),IF(ISERROR(1/VLOOKUP($N390,Capa!$A:$AE,AY$5,0)),0,1/VLOOKUP($N390,Capa!$A:$AE,AY$5,0))))</f>
        <v/>
      </c>
      <c r="AZ390" s="118" t="str">
        <f>IF(AZ$6="","",IF(AZ$3="Maior",IFERROR(IF(VLOOKUP($N390,Capa!$A:$AE,AZ$5,0)="",0,VLOOKUP($N390,Capa!$A:$AE,AZ$5,0)),0),IF(ISERROR(1/VLOOKUP($N390,Capa!$A:$AE,AZ$5,0)),0,1/VLOOKUP($N390,Capa!$A:$AE,AZ$5,0))))</f>
        <v/>
      </c>
      <c r="BA390" s="118" t="str">
        <f>IF(BA$6="","",IF(BA$3="Maior",IFERROR(IF(VLOOKUP($N390,Capa!$A:$AE,BA$5,0)="",0,VLOOKUP($N390,Capa!$A:$AE,BA$5,0)),0),IF(ISERROR(1/VLOOKUP($N390,Capa!$A:$AE,BA$5,0)),0,1/VLOOKUP($N390,Capa!$A:$AE,BA$5,0))))</f>
        <v/>
      </c>
      <c r="BB390" s="118" t="str">
        <f>IF(BB$6="","",IF(BB$3="Maior",IFERROR(IF(VLOOKUP($N390,Capa!$A:$AE,BB$5,0)="",0,VLOOKUP($N390,Capa!$A:$AE,BB$5,0)),0),IF(ISERROR(1/VLOOKUP($N390,Capa!$A:$AE,BB$5,0)),0,1/VLOOKUP($N390,Capa!$A:$AE,BB$5,0))))</f>
        <v/>
      </c>
      <c r="BC390" s="118" t="str">
        <f>IF(BC$6="","",IF(BC$3="Maior",IFERROR(IF(VLOOKUP($N390,Capa!$A:$AE,BC$5,0)="",0,VLOOKUP($N390,Capa!$A:$AE,BC$5,0)),0),IF(ISERROR(1/VLOOKUP($N390,Capa!$A:$AE,BC$5,0)),0,1/VLOOKUP($N390,Capa!$A:$AE,BC$5,0))))</f>
        <v/>
      </c>
      <c r="BD390" s="118" t="str">
        <f>IF(BD$6="","",IF(BD$3="Maior",IFERROR(IF(VLOOKUP($N390,Capa!$A:$AE,BD$5,0)="",0,VLOOKUP($N390,Capa!$A:$AE,BD$5,0)),0),IF(ISERROR(1/VLOOKUP($N390,Capa!$A:$AE,BD$5,0)),0,1/VLOOKUP($N390,Capa!$A:$AE,BD$5,0))))</f>
        <v/>
      </c>
      <c r="BE390" s="118" t="str">
        <f>IF(BE$6="","",IF(BE$3="Maior",IFERROR(IF(VLOOKUP($N390,Capa!$A:$AE,BE$5,0)="",0,VLOOKUP($N390,Capa!$A:$AE,BE$5,0)),0),IF(ISERROR(1/VLOOKUP($N390,Capa!$A:$AE,BE$5,0)),0,1/VLOOKUP($N390,Capa!$A:$AE,BE$5,0))))</f>
        <v/>
      </c>
      <c r="BF390" s="118" t="str">
        <f>IF(BF$6="","",IF(BF$3="Maior",IFERROR(IF(VLOOKUP($N390,Capa!$A:$AE,BF$5,0)="",0,VLOOKUP($N390,Capa!$A:$AE,BF$5,0)),0),IF(ISERROR(1/VLOOKUP($N390,Capa!$A:$AE,BF$5,0)),0,1/VLOOKUP($N390,Capa!$A:$AE,BF$5,0))))</f>
        <v/>
      </c>
      <c r="BG390" s="118" t="str">
        <f>IF(BG$6="","",IF(BG$3="Maior",IFERROR(IF(VLOOKUP($N390,Capa!$A:$AE,BG$5,0)="",0,VLOOKUP($N390,Capa!$A:$AE,BG$5,0)),0),IF(ISERROR(1/VLOOKUP($N390,Capa!$A:$AE,BG$5,0)),0,1/VLOOKUP($N390,Capa!$A:$AE,BG$5,0))))</f>
        <v/>
      </c>
      <c r="BH390" s="118" t="str">
        <f>IF(BH$6="","",IF(BH$3="Maior",IFERROR(IF(VLOOKUP($N390,Capa!$A:$AE,BH$5,0)="",0,VLOOKUP($N390,Capa!$A:$AE,BH$5,0)),0),IF(ISERROR(1/VLOOKUP($N390,Capa!$A:$AE,BH$5,0)),0,1/VLOOKUP($N390,Capa!$A:$AE,BH$5,0))))</f>
        <v/>
      </c>
      <c r="BI390" s="118" t="str">
        <f>IF(BI$6="","",IF(BI$3="Maior",IFERROR(IF(VLOOKUP($N390,Capa!$A:$AE,BI$5,0)="",0,VLOOKUP($N390,Capa!$A:$AE,BI$5,0)),0),IF(ISERROR(1/VLOOKUP($N390,Capa!$A:$AE,BI$5,0)),0,1/VLOOKUP($N390,Capa!$A:$AE,BI$5,0))))</f>
        <v/>
      </c>
      <c r="BJ390" s="118" t="str">
        <f>IF(BJ$6="","",IF(BJ$3="Maior",IFERROR(IF(VLOOKUP($N390,Capa!$A:$AE,BJ$5,0)="",0,VLOOKUP($N390,Capa!$A:$AE,BJ$5,0)),0),IF(ISERROR(1/VLOOKUP($N390,Capa!$A:$AE,BJ$5,0)),0,1/VLOOKUP($N390,Capa!$A:$AE,BJ$5,0))))</f>
        <v/>
      </c>
      <c r="BK390" s="118" t="str">
        <f>IF(BK$6="","",IF(BK$3="Maior",IFERROR(IF(VLOOKUP($N390,Capa!$A:$AE,BK$5,0)="",0,VLOOKUP($N390,Capa!$A:$AE,BK$5,0)),0),IF(ISERROR(1/VLOOKUP($N390,Capa!$A:$AE,BK$5,0)),0,1/VLOOKUP($N390,Capa!$A:$AE,BK$5,0))))</f>
        <v/>
      </c>
      <c r="BL390" s="118" t="str">
        <f>IF(BL$6="","",IF(BL$3="Maior",IFERROR(IF(VLOOKUP($N390,Capa!$A:$AE,BL$5,0)="",0,VLOOKUP($N390,Capa!$A:$AE,BL$5,0)),0),IF(ISERROR(1/VLOOKUP($N390,Capa!$A:$AE,BL$5,0)),0,1/VLOOKUP($N390,Capa!$A:$AE,BL$5,0))))</f>
        <v/>
      </c>
      <c r="BM390" s="118" t="str">
        <f>IF(BM$6="","",IF(BM$3="Maior",IFERROR(IF(VLOOKUP($N390,Capa!$A:$AE,BM$5,0)="",0,VLOOKUP($N390,Capa!$A:$AE,BM$5,0)),0),IF(ISERROR(1/VLOOKUP($N390,Capa!$A:$AE,BM$5,0)),0,1/VLOOKUP($N390,Capa!$A:$AE,BM$5,0))))</f>
        <v/>
      </c>
      <c r="BN390" s="118" t="str">
        <f>IF(BN$6="","",IF(BN$3="Maior",IFERROR(IF(VLOOKUP($N390,Capa!$A:$AE,BN$5,0)="",0,VLOOKUP($N390,Capa!$A:$AE,BN$5,0)),0),IF(ISERROR(1/VLOOKUP($N390,Capa!$A:$AE,BN$5,0)),0,1/VLOOKUP($N390,Capa!$A:$AE,BN$5,0))))</f>
        <v/>
      </c>
      <c r="BO390" s="92"/>
    </row>
    <row r="391">
      <c r="G391" s="11"/>
      <c r="H391" s="11"/>
      <c r="I391" s="8"/>
      <c r="J391" s="132"/>
      <c r="K391" s="11"/>
      <c r="L391" s="11"/>
      <c r="M391" s="11"/>
      <c r="N391" s="10" t="s">
        <v>437</v>
      </c>
      <c r="O391" s="113">
        <f t="shared" si="8"/>
        <v>1690.0468</v>
      </c>
      <c r="P391" s="114">
        <f>VLOOKUP(N391,'Dados StatusInvest'!A:Z,26,0)</f>
        <v>24116.48</v>
      </c>
      <c r="Q391" s="115">
        <f t="shared" si="9"/>
        <v>468.0468</v>
      </c>
      <c r="R391" s="116">
        <f t="shared" ref="R391:AO391" si="394">IF(AQ391="","", RANK(AQ391,AQ$7:AQ$503,0))</f>
        <v>3</v>
      </c>
      <c r="S391" s="115">
        <f t="shared" si="394"/>
        <v>219</v>
      </c>
      <c r="T391" s="115" t="str">
        <f t="shared" si="394"/>
        <v/>
      </c>
      <c r="U391" s="115" t="str">
        <f t="shared" si="394"/>
        <v/>
      </c>
      <c r="V391" s="115" t="str">
        <f t="shared" si="394"/>
        <v/>
      </c>
      <c r="W391" s="115" t="str">
        <f t="shared" si="394"/>
        <v/>
      </c>
      <c r="X391" s="115" t="str">
        <f t="shared" si="394"/>
        <v/>
      </c>
      <c r="Y391" s="115" t="str">
        <f t="shared" si="394"/>
        <v/>
      </c>
      <c r="Z391" s="115" t="str">
        <f t="shared" si="394"/>
        <v/>
      </c>
      <c r="AA391" s="115" t="str">
        <f t="shared" si="394"/>
        <v/>
      </c>
      <c r="AB391" s="115" t="str">
        <f t="shared" si="394"/>
        <v/>
      </c>
      <c r="AC391" s="115" t="str">
        <f t="shared" si="394"/>
        <v/>
      </c>
      <c r="AD391" s="115" t="str">
        <f t="shared" si="394"/>
        <v/>
      </c>
      <c r="AE391" s="115" t="str">
        <f t="shared" si="394"/>
        <v/>
      </c>
      <c r="AF391" s="115" t="str">
        <f t="shared" si="394"/>
        <v/>
      </c>
      <c r="AG391" s="115" t="str">
        <f t="shared" si="394"/>
        <v/>
      </c>
      <c r="AH391" s="115" t="str">
        <f t="shared" si="394"/>
        <v/>
      </c>
      <c r="AI391" s="115" t="str">
        <f t="shared" si="394"/>
        <v/>
      </c>
      <c r="AJ391" s="115" t="str">
        <f t="shared" si="394"/>
        <v/>
      </c>
      <c r="AK391" s="115" t="str">
        <f t="shared" si="394"/>
        <v/>
      </c>
      <c r="AL391" s="115" t="str">
        <f t="shared" si="394"/>
        <v/>
      </c>
      <c r="AM391" s="115" t="str">
        <f t="shared" si="394"/>
        <v/>
      </c>
      <c r="AN391" s="115" t="str">
        <f t="shared" si="394"/>
        <v/>
      </c>
      <c r="AO391" s="115" t="str">
        <f t="shared" si="394"/>
        <v/>
      </c>
      <c r="AP391" s="117">
        <f>IF(AP$6="","",IF(AP$3="Maior",IFERROR(IF(VLOOKUP($N391,Capa!$A:$AE,AP$5,0)="",0,VLOOKUP($N391,Capa!$A:$AE,AP$5,0)),0),IF(ISERROR(1/VLOOKUP($N391,Capa!$A:$AE,AP$5,0)),0,1/VLOOKUP($N391,Capa!$A:$AE,AP$5,0))))</f>
        <v>-0.1740296019</v>
      </c>
      <c r="AQ391" s="118">
        <f>IF(AQ$6="","",IF(AQ$3="Maior",IFERROR(IF(VLOOKUP($N391,Capa!$A:$AE,AQ$5,0)="",0,VLOOKUP($N391,Capa!$A:$AE,AQ$5,0)),0),IF(ISERROR(1/VLOOKUP($N391,Capa!$A:$AE,AQ$5,0)),0,1/VLOOKUP($N391,Capa!$A:$AE,AQ$5,0))))</f>
        <v>195.55</v>
      </c>
      <c r="AR391" s="118">
        <f>IF(AR$6="","",IF(AR$3="Maior",IFERROR(IF(VLOOKUP($N391,Capa!$A:$AE,AR$5,0)="",0,VLOOKUP($N391,Capa!$A:$AE,AR$5,0)),0),IF(ISERROR(1/VLOOKUP($N391,Capa!$A:$AE,AR$5,0)),0,1/VLOOKUP($N391,Capa!$A:$AE,AR$5,0))))</f>
        <v>0</v>
      </c>
      <c r="AS391" s="118" t="str">
        <f>IF(AS$6="","",IF(AS$3="Maior",IFERROR(IF(VLOOKUP($N391,Capa!$A:$AE,AS$5,0)="",0,VLOOKUP($N391,Capa!$A:$AE,AS$5,0)),0),IF(ISERROR(1/VLOOKUP($N391,Capa!$A:$AE,AS$5,0)),0,1/VLOOKUP($N391,Capa!$A:$AE,AS$5,0))))</f>
        <v/>
      </c>
      <c r="AT391" s="118" t="str">
        <f>IF(AT$6="","",IF(AT$3="Maior",IFERROR(IF(VLOOKUP($N391,Capa!$A:$AE,AT$5,0)="",0,VLOOKUP($N391,Capa!$A:$AE,AT$5,0)),0),IF(ISERROR(1/VLOOKUP($N391,Capa!$A:$AE,AT$5,0)),0,1/VLOOKUP($N391,Capa!$A:$AE,AT$5,0))))</f>
        <v/>
      </c>
      <c r="AU391" s="118" t="str">
        <f>IF(AU$6="","",IF(AU$3="Maior",IFERROR(IF(VLOOKUP($N391,Capa!$A:$AE,AU$5,0)="",0,VLOOKUP($N391,Capa!$A:$AE,AU$5,0)),0),IF(ISERROR(1/VLOOKUP($N391,Capa!$A:$AE,AU$5,0)),0,1/VLOOKUP($N391,Capa!$A:$AE,AU$5,0))))</f>
        <v/>
      </c>
      <c r="AV391" s="118" t="str">
        <f>IF(AV$6="","",IF(AV$3="Maior",IFERROR(IF(VLOOKUP($N391,Capa!$A:$AE,AV$5,0)="",0,VLOOKUP($N391,Capa!$A:$AE,AV$5,0)),0),IF(ISERROR(1/VLOOKUP($N391,Capa!$A:$AE,AV$5,0)),0,1/VLOOKUP($N391,Capa!$A:$AE,AV$5,0))))</f>
        <v/>
      </c>
      <c r="AW391" s="118" t="str">
        <f>IF(AW$6="","",IF(AW$3="Maior",IFERROR(IF(VLOOKUP($N391,Capa!$A:$AE,AW$5,0)="",0,VLOOKUP($N391,Capa!$A:$AE,AW$5,0)),0),IF(ISERROR(1/VLOOKUP($N391,Capa!$A:$AE,AW$5,0)),0,1/VLOOKUP($N391,Capa!$A:$AE,AW$5,0))))</f>
        <v/>
      </c>
      <c r="AX391" s="118" t="str">
        <f>IF(AX$6="","",IF(AX$3="Maior",IFERROR(IF(VLOOKUP($N391,Capa!$A:$AE,AX$5,0)="",0,VLOOKUP($N391,Capa!$A:$AE,AX$5,0)),0),IF(ISERROR(1/VLOOKUP($N391,Capa!$A:$AE,AX$5,0)),0,1/VLOOKUP($N391,Capa!$A:$AE,AX$5,0))))</f>
        <v/>
      </c>
      <c r="AY391" s="118" t="str">
        <f>IF(AY$6="","",IF(AY$3="Maior",IFERROR(IF(VLOOKUP($N391,Capa!$A:$AE,AY$5,0)="",0,VLOOKUP($N391,Capa!$A:$AE,AY$5,0)),0),IF(ISERROR(1/VLOOKUP($N391,Capa!$A:$AE,AY$5,0)),0,1/VLOOKUP($N391,Capa!$A:$AE,AY$5,0))))</f>
        <v/>
      </c>
      <c r="AZ391" s="118" t="str">
        <f>IF(AZ$6="","",IF(AZ$3="Maior",IFERROR(IF(VLOOKUP($N391,Capa!$A:$AE,AZ$5,0)="",0,VLOOKUP($N391,Capa!$A:$AE,AZ$5,0)),0),IF(ISERROR(1/VLOOKUP($N391,Capa!$A:$AE,AZ$5,0)),0,1/VLOOKUP($N391,Capa!$A:$AE,AZ$5,0))))</f>
        <v/>
      </c>
      <c r="BA391" s="118" t="str">
        <f>IF(BA$6="","",IF(BA$3="Maior",IFERROR(IF(VLOOKUP($N391,Capa!$A:$AE,BA$5,0)="",0,VLOOKUP($N391,Capa!$A:$AE,BA$5,0)),0),IF(ISERROR(1/VLOOKUP($N391,Capa!$A:$AE,BA$5,0)),0,1/VLOOKUP($N391,Capa!$A:$AE,BA$5,0))))</f>
        <v/>
      </c>
      <c r="BB391" s="118" t="str">
        <f>IF(BB$6="","",IF(BB$3="Maior",IFERROR(IF(VLOOKUP($N391,Capa!$A:$AE,BB$5,0)="",0,VLOOKUP($N391,Capa!$A:$AE,BB$5,0)),0),IF(ISERROR(1/VLOOKUP($N391,Capa!$A:$AE,BB$5,0)),0,1/VLOOKUP($N391,Capa!$A:$AE,BB$5,0))))</f>
        <v/>
      </c>
      <c r="BC391" s="118" t="str">
        <f>IF(BC$6="","",IF(BC$3="Maior",IFERROR(IF(VLOOKUP($N391,Capa!$A:$AE,BC$5,0)="",0,VLOOKUP($N391,Capa!$A:$AE,BC$5,0)),0),IF(ISERROR(1/VLOOKUP($N391,Capa!$A:$AE,BC$5,0)),0,1/VLOOKUP($N391,Capa!$A:$AE,BC$5,0))))</f>
        <v/>
      </c>
      <c r="BD391" s="118" t="str">
        <f>IF(BD$6="","",IF(BD$3="Maior",IFERROR(IF(VLOOKUP($N391,Capa!$A:$AE,BD$5,0)="",0,VLOOKUP($N391,Capa!$A:$AE,BD$5,0)),0),IF(ISERROR(1/VLOOKUP($N391,Capa!$A:$AE,BD$5,0)),0,1/VLOOKUP($N391,Capa!$A:$AE,BD$5,0))))</f>
        <v/>
      </c>
      <c r="BE391" s="118" t="str">
        <f>IF(BE$6="","",IF(BE$3="Maior",IFERROR(IF(VLOOKUP($N391,Capa!$A:$AE,BE$5,0)="",0,VLOOKUP($N391,Capa!$A:$AE,BE$5,0)),0),IF(ISERROR(1/VLOOKUP($N391,Capa!$A:$AE,BE$5,0)),0,1/VLOOKUP($N391,Capa!$A:$AE,BE$5,0))))</f>
        <v/>
      </c>
      <c r="BF391" s="118" t="str">
        <f>IF(BF$6="","",IF(BF$3="Maior",IFERROR(IF(VLOOKUP($N391,Capa!$A:$AE,BF$5,0)="",0,VLOOKUP($N391,Capa!$A:$AE,BF$5,0)),0),IF(ISERROR(1/VLOOKUP($N391,Capa!$A:$AE,BF$5,0)),0,1/VLOOKUP($N391,Capa!$A:$AE,BF$5,0))))</f>
        <v/>
      </c>
      <c r="BG391" s="118" t="str">
        <f>IF(BG$6="","",IF(BG$3="Maior",IFERROR(IF(VLOOKUP($N391,Capa!$A:$AE,BG$5,0)="",0,VLOOKUP($N391,Capa!$A:$AE,BG$5,0)),0),IF(ISERROR(1/VLOOKUP($N391,Capa!$A:$AE,BG$5,0)),0,1/VLOOKUP($N391,Capa!$A:$AE,BG$5,0))))</f>
        <v/>
      </c>
      <c r="BH391" s="118" t="str">
        <f>IF(BH$6="","",IF(BH$3="Maior",IFERROR(IF(VLOOKUP($N391,Capa!$A:$AE,BH$5,0)="",0,VLOOKUP($N391,Capa!$A:$AE,BH$5,0)),0),IF(ISERROR(1/VLOOKUP($N391,Capa!$A:$AE,BH$5,0)),0,1/VLOOKUP($N391,Capa!$A:$AE,BH$5,0))))</f>
        <v/>
      </c>
      <c r="BI391" s="118" t="str">
        <f>IF(BI$6="","",IF(BI$3="Maior",IFERROR(IF(VLOOKUP($N391,Capa!$A:$AE,BI$5,0)="",0,VLOOKUP($N391,Capa!$A:$AE,BI$5,0)),0),IF(ISERROR(1/VLOOKUP($N391,Capa!$A:$AE,BI$5,0)),0,1/VLOOKUP($N391,Capa!$A:$AE,BI$5,0))))</f>
        <v/>
      </c>
      <c r="BJ391" s="118" t="str">
        <f>IF(BJ$6="","",IF(BJ$3="Maior",IFERROR(IF(VLOOKUP($N391,Capa!$A:$AE,BJ$5,0)="",0,VLOOKUP($N391,Capa!$A:$AE,BJ$5,0)),0),IF(ISERROR(1/VLOOKUP($N391,Capa!$A:$AE,BJ$5,0)),0,1/VLOOKUP($N391,Capa!$A:$AE,BJ$5,0))))</f>
        <v/>
      </c>
      <c r="BK391" s="118" t="str">
        <f>IF(BK$6="","",IF(BK$3="Maior",IFERROR(IF(VLOOKUP($N391,Capa!$A:$AE,BK$5,0)="",0,VLOOKUP($N391,Capa!$A:$AE,BK$5,0)),0),IF(ISERROR(1/VLOOKUP($N391,Capa!$A:$AE,BK$5,0)),0,1/VLOOKUP($N391,Capa!$A:$AE,BK$5,0))))</f>
        <v/>
      </c>
      <c r="BL391" s="118" t="str">
        <f>IF(BL$6="","",IF(BL$3="Maior",IFERROR(IF(VLOOKUP($N391,Capa!$A:$AE,BL$5,0)="",0,VLOOKUP($N391,Capa!$A:$AE,BL$5,0)),0),IF(ISERROR(1/VLOOKUP($N391,Capa!$A:$AE,BL$5,0)),0,1/VLOOKUP($N391,Capa!$A:$AE,BL$5,0))))</f>
        <v/>
      </c>
      <c r="BM391" s="118" t="str">
        <f>IF(BM$6="","",IF(BM$3="Maior",IFERROR(IF(VLOOKUP($N391,Capa!$A:$AE,BM$5,0)="",0,VLOOKUP($N391,Capa!$A:$AE,BM$5,0)),0),IF(ISERROR(1/VLOOKUP($N391,Capa!$A:$AE,BM$5,0)),0,1/VLOOKUP($N391,Capa!$A:$AE,BM$5,0))))</f>
        <v/>
      </c>
      <c r="BN391" s="118" t="str">
        <f>IF(BN$6="","",IF(BN$3="Maior",IFERROR(IF(VLOOKUP($N391,Capa!$A:$AE,BN$5,0)="",0,VLOOKUP($N391,Capa!$A:$AE,BN$5,0)),0),IF(ISERROR(1/VLOOKUP($N391,Capa!$A:$AE,BN$5,0)),0,1/VLOOKUP($N391,Capa!$A:$AE,BN$5,0))))</f>
        <v/>
      </c>
      <c r="BO391" s="92"/>
    </row>
    <row r="392">
      <c r="G392" s="11"/>
      <c r="H392" s="11"/>
      <c r="I392" s="8"/>
      <c r="J392" s="132"/>
      <c r="K392" s="11"/>
      <c r="L392" s="11"/>
      <c r="M392" s="11"/>
      <c r="N392" s="10" t="s">
        <v>438</v>
      </c>
      <c r="O392" s="113">
        <f t="shared" si="8"/>
        <v>2114.043</v>
      </c>
      <c r="P392" s="114">
        <f>VLOOKUP(N392,'Dados StatusInvest'!A:Z,26,0)</f>
        <v>53912.17</v>
      </c>
      <c r="Q392" s="115">
        <f t="shared" si="9"/>
        <v>430.043</v>
      </c>
      <c r="R392" s="116">
        <f t="shared" ref="R392:AO392" si="395">IF(AQ392="","", RANK(AQ392,AQ$7:AQ$503,0))</f>
        <v>465</v>
      </c>
      <c r="S392" s="115">
        <f t="shared" si="395"/>
        <v>219</v>
      </c>
      <c r="T392" s="115" t="str">
        <f t="shared" si="395"/>
        <v/>
      </c>
      <c r="U392" s="115" t="str">
        <f t="shared" si="395"/>
        <v/>
      </c>
      <c r="V392" s="115" t="str">
        <f t="shared" si="395"/>
        <v/>
      </c>
      <c r="W392" s="115" t="str">
        <f t="shared" si="395"/>
        <v/>
      </c>
      <c r="X392" s="115" t="str">
        <f t="shared" si="395"/>
        <v/>
      </c>
      <c r="Y392" s="115" t="str">
        <f t="shared" si="395"/>
        <v/>
      </c>
      <c r="Z392" s="115" t="str">
        <f t="shared" si="395"/>
        <v/>
      </c>
      <c r="AA392" s="115" t="str">
        <f t="shared" si="395"/>
        <v/>
      </c>
      <c r="AB392" s="115" t="str">
        <f t="shared" si="395"/>
        <v/>
      </c>
      <c r="AC392" s="115" t="str">
        <f t="shared" si="395"/>
        <v/>
      </c>
      <c r="AD392" s="115" t="str">
        <f t="shared" si="395"/>
        <v/>
      </c>
      <c r="AE392" s="115" t="str">
        <f t="shared" si="395"/>
        <v/>
      </c>
      <c r="AF392" s="115" t="str">
        <f t="shared" si="395"/>
        <v/>
      </c>
      <c r="AG392" s="115" t="str">
        <f t="shared" si="395"/>
        <v/>
      </c>
      <c r="AH392" s="115" t="str">
        <f t="shared" si="395"/>
        <v/>
      </c>
      <c r="AI392" s="115" t="str">
        <f t="shared" si="395"/>
        <v/>
      </c>
      <c r="AJ392" s="115" t="str">
        <f t="shared" si="395"/>
        <v/>
      </c>
      <c r="AK392" s="115" t="str">
        <f t="shared" si="395"/>
        <v/>
      </c>
      <c r="AL392" s="115" t="str">
        <f t="shared" si="395"/>
        <v/>
      </c>
      <c r="AM392" s="115" t="str">
        <f t="shared" si="395"/>
        <v/>
      </c>
      <c r="AN392" s="115" t="str">
        <f t="shared" si="395"/>
        <v/>
      </c>
      <c r="AO392" s="115" t="str">
        <f t="shared" si="395"/>
        <v/>
      </c>
      <c r="AP392" s="117">
        <f>IF(AP$6="","",IF(AP$3="Maior",IFERROR(IF(VLOOKUP($N392,Capa!$A:$AE,AP$5,0)="",0,VLOOKUP($N392,Capa!$A:$AE,AP$5,0)),0),IF(ISERROR(1/VLOOKUP($N392,Capa!$A:$AE,AP$5,0)),0,1/VLOOKUP($N392,Capa!$A:$AE,AP$5,0))))</f>
        <v>-0.04556379003</v>
      </c>
      <c r="AQ392" s="118">
        <f>IF(AQ$6="","",IF(AQ$3="Maior",IFERROR(IF(VLOOKUP($N392,Capa!$A:$AE,AQ$5,0)="",0,VLOOKUP($N392,Capa!$A:$AE,AQ$5,0)),0),IF(ISERROR(1/VLOOKUP($N392,Capa!$A:$AE,AQ$5,0)),0,1/VLOOKUP($N392,Capa!$A:$AE,AQ$5,0))))</f>
        <v>-10.93</v>
      </c>
      <c r="AR392" s="118">
        <f>IF(AR$6="","",IF(AR$3="Maior",IFERROR(IF(VLOOKUP($N392,Capa!$A:$AE,AR$5,0)="",0,VLOOKUP($N392,Capa!$A:$AE,AR$5,0)),0),IF(ISERROR(1/VLOOKUP($N392,Capa!$A:$AE,AR$5,0)),0,1/VLOOKUP($N392,Capa!$A:$AE,AR$5,0))))</f>
        <v>0</v>
      </c>
      <c r="AS392" s="118" t="str">
        <f>IF(AS$6="","",IF(AS$3="Maior",IFERROR(IF(VLOOKUP($N392,Capa!$A:$AE,AS$5,0)="",0,VLOOKUP($N392,Capa!$A:$AE,AS$5,0)),0),IF(ISERROR(1/VLOOKUP($N392,Capa!$A:$AE,AS$5,0)),0,1/VLOOKUP($N392,Capa!$A:$AE,AS$5,0))))</f>
        <v/>
      </c>
      <c r="AT392" s="118" t="str">
        <f>IF(AT$6="","",IF(AT$3="Maior",IFERROR(IF(VLOOKUP($N392,Capa!$A:$AE,AT$5,0)="",0,VLOOKUP($N392,Capa!$A:$AE,AT$5,0)),0),IF(ISERROR(1/VLOOKUP($N392,Capa!$A:$AE,AT$5,0)),0,1/VLOOKUP($N392,Capa!$A:$AE,AT$5,0))))</f>
        <v/>
      </c>
      <c r="AU392" s="118" t="str">
        <f>IF(AU$6="","",IF(AU$3="Maior",IFERROR(IF(VLOOKUP($N392,Capa!$A:$AE,AU$5,0)="",0,VLOOKUP($N392,Capa!$A:$AE,AU$5,0)),0),IF(ISERROR(1/VLOOKUP($N392,Capa!$A:$AE,AU$5,0)),0,1/VLOOKUP($N392,Capa!$A:$AE,AU$5,0))))</f>
        <v/>
      </c>
      <c r="AV392" s="118" t="str">
        <f>IF(AV$6="","",IF(AV$3="Maior",IFERROR(IF(VLOOKUP($N392,Capa!$A:$AE,AV$5,0)="",0,VLOOKUP($N392,Capa!$A:$AE,AV$5,0)),0),IF(ISERROR(1/VLOOKUP($N392,Capa!$A:$AE,AV$5,0)),0,1/VLOOKUP($N392,Capa!$A:$AE,AV$5,0))))</f>
        <v/>
      </c>
      <c r="AW392" s="118" t="str">
        <f>IF(AW$6="","",IF(AW$3="Maior",IFERROR(IF(VLOOKUP($N392,Capa!$A:$AE,AW$5,0)="",0,VLOOKUP($N392,Capa!$A:$AE,AW$5,0)),0),IF(ISERROR(1/VLOOKUP($N392,Capa!$A:$AE,AW$5,0)),0,1/VLOOKUP($N392,Capa!$A:$AE,AW$5,0))))</f>
        <v/>
      </c>
      <c r="AX392" s="118" t="str">
        <f>IF(AX$6="","",IF(AX$3="Maior",IFERROR(IF(VLOOKUP($N392,Capa!$A:$AE,AX$5,0)="",0,VLOOKUP($N392,Capa!$A:$AE,AX$5,0)),0),IF(ISERROR(1/VLOOKUP($N392,Capa!$A:$AE,AX$5,0)),0,1/VLOOKUP($N392,Capa!$A:$AE,AX$5,0))))</f>
        <v/>
      </c>
      <c r="AY392" s="118" t="str">
        <f>IF(AY$6="","",IF(AY$3="Maior",IFERROR(IF(VLOOKUP($N392,Capa!$A:$AE,AY$5,0)="",0,VLOOKUP($N392,Capa!$A:$AE,AY$5,0)),0),IF(ISERROR(1/VLOOKUP($N392,Capa!$A:$AE,AY$5,0)),0,1/VLOOKUP($N392,Capa!$A:$AE,AY$5,0))))</f>
        <v/>
      </c>
      <c r="AZ392" s="118" t="str">
        <f>IF(AZ$6="","",IF(AZ$3="Maior",IFERROR(IF(VLOOKUP($N392,Capa!$A:$AE,AZ$5,0)="",0,VLOOKUP($N392,Capa!$A:$AE,AZ$5,0)),0),IF(ISERROR(1/VLOOKUP($N392,Capa!$A:$AE,AZ$5,0)),0,1/VLOOKUP($N392,Capa!$A:$AE,AZ$5,0))))</f>
        <v/>
      </c>
      <c r="BA392" s="118" t="str">
        <f>IF(BA$6="","",IF(BA$3="Maior",IFERROR(IF(VLOOKUP($N392,Capa!$A:$AE,BA$5,0)="",0,VLOOKUP($N392,Capa!$A:$AE,BA$5,0)),0),IF(ISERROR(1/VLOOKUP($N392,Capa!$A:$AE,BA$5,0)),0,1/VLOOKUP($N392,Capa!$A:$AE,BA$5,0))))</f>
        <v/>
      </c>
      <c r="BB392" s="118" t="str">
        <f>IF(BB$6="","",IF(BB$3="Maior",IFERROR(IF(VLOOKUP($N392,Capa!$A:$AE,BB$5,0)="",0,VLOOKUP($N392,Capa!$A:$AE,BB$5,0)),0),IF(ISERROR(1/VLOOKUP($N392,Capa!$A:$AE,BB$5,0)),0,1/VLOOKUP($N392,Capa!$A:$AE,BB$5,0))))</f>
        <v/>
      </c>
      <c r="BC392" s="118" t="str">
        <f>IF(BC$6="","",IF(BC$3="Maior",IFERROR(IF(VLOOKUP($N392,Capa!$A:$AE,BC$5,0)="",0,VLOOKUP($N392,Capa!$A:$AE,BC$5,0)),0),IF(ISERROR(1/VLOOKUP($N392,Capa!$A:$AE,BC$5,0)),0,1/VLOOKUP($N392,Capa!$A:$AE,BC$5,0))))</f>
        <v/>
      </c>
      <c r="BD392" s="118" t="str">
        <f>IF(BD$6="","",IF(BD$3="Maior",IFERROR(IF(VLOOKUP($N392,Capa!$A:$AE,BD$5,0)="",0,VLOOKUP($N392,Capa!$A:$AE,BD$5,0)),0),IF(ISERROR(1/VLOOKUP($N392,Capa!$A:$AE,BD$5,0)),0,1/VLOOKUP($N392,Capa!$A:$AE,BD$5,0))))</f>
        <v/>
      </c>
      <c r="BE392" s="118" t="str">
        <f>IF(BE$6="","",IF(BE$3="Maior",IFERROR(IF(VLOOKUP($N392,Capa!$A:$AE,BE$5,0)="",0,VLOOKUP($N392,Capa!$A:$AE,BE$5,0)),0),IF(ISERROR(1/VLOOKUP($N392,Capa!$A:$AE,BE$5,0)),0,1/VLOOKUP($N392,Capa!$A:$AE,BE$5,0))))</f>
        <v/>
      </c>
      <c r="BF392" s="118" t="str">
        <f>IF(BF$6="","",IF(BF$3="Maior",IFERROR(IF(VLOOKUP($N392,Capa!$A:$AE,BF$5,0)="",0,VLOOKUP($N392,Capa!$A:$AE,BF$5,0)),0),IF(ISERROR(1/VLOOKUP($N392,Capa!$A:$AE,BF$5,0)),0,1/VLOOKUP($N392,Capa!$A:$AE,BF$5,0))))</f>
        <v/>
      </c>
      <c r="BG392" s="118" t="str">
        <f>IF(BG$6="","",IF(BG$3="Maior",IFERROR(IF(VLOOKUP($N392,Capa!$A:$AE,BG$5,0)="",0,VLOOKUP($N392,Capa!$A:$AE,BG$5,0)),0),IF(ISERROR(1/VLOOKUP($N392,Capa!$A:$AE,BG$5,0)),0,1/VLOOKUP($N392,Capa!$A:$AE,BG$5,0))))</f>
        <v/>
      </c>
      <c r="BH392" s="118" t="str">
        <f>IF(BH$6="","",IF(BH$3="Maior",IFERROR(IF(VLOOKUP($N392,Capa!$A:$AE,BH$5,0)="",0,VLOOKUP($N392,Capa!$A:$AE,BH$5,0)),0),IF(ISERROR(1/VLOOKUP($N392,Capa!$A:$AE,BH$5,0)),0,1/VLOOKUP($N392,Capa!$A:$AE,BH$5,0))))</f>
        <v/>
      </c>
      <c r="BI392" s="118" t="str">
        <f>IF(BI$6="","",IF(BI$3="Maior",IFERROR(IF(VLOOKUP($N392,Capa!$A:$AE,BI$5,0)="",0,VLOOKUP($N392,Capa!$A:$AE,BI$5,0)),0),IF(ISERROR(1/VLOOKUP($N392,Capa!$A:$AE,BI$5,0)),0,1/VLOOKUP($N392,Capa!$A:$AE,BI$5,0))))</f>
        <v/>
      </c>
      <c r="BJ392" s="118" t="str">
        <f>IF(BJ$6="","",IF(BJ$3="Maior",IFERROR(IF(VLOOKUP($N392,Capa!$A:$AE,BJ$5,0)="",0,VLOOKUP($N392,Capa!$A:$AE,BJ$5,0)),0),IF(ISERROR(1/VLOOKUP($N392,Capa!$A:$AE,BJ$5,0)),0,1/VLOOKUP($N392,Capa!$A:$AE,BJ$5,0))))</f>
        <v/>
      </c>
      <c r="BK392" s="118" t="str">
        <f>IF(BK$6="","",IF(BK$3="Maior",IFERROR(IF(VLOOKUP($N392,Capa!$A:$AE,BK$5,0)="",0,VLOOKUP($N392,Capa!$A:$AE,BK$5,0)),0),IF(ISERROR(1/VLOOKUP($N392,Capa!$A:$AE,BK$5,0)),0,1/VLOOKUP($N392,Capa!$A:$AE,BK$5,0))))</f>
        <v/>
      </c>
      <c r="BL392" s="118" t="str">
        <f>IF(BL$6="","",IF(BL$3="Maior",IFERROR(IF(VLOOKUP($N392,Capa!$A:$AE,BL$5,0)="",0,VLOOKUP($N392,Capa!$A:$AE,BL$5,0)),0),IF(ISERROR(1/VLOOKUP($N392,Capa!$A:$AE,BL$5,0)),0,1/VLOOKUP($N392,Capa!$A:$AE,BL$5,0))))</f>
        <v/>
      </c>
      <c r="BM392" s="118" t="str">
        <f>IF(BM$6="","",IF(BM$3="Maior",IFERROR(IF(VLOOKUP($N392,Capa!$A:$AE,BM$5,0)="",0,VLOOKUP($N392,Capa!$A:$AE,BM$5,0)),0),IF(ISERROR(1/VLOOKUP($N392,Capa!$A:$AE,BM$5,0)),0,1/VLOOKUP($N392,Capa!$A:$AE,BM$5,0))))</f>
        <v/>
      </c>
      <c r="BN392" s="118" t="str">
        <f>IF(BN$6="","",IF(BN$3="Maior",IFERROR(IF(VLOOKUP($N392,Capa!$A:$AE,BN$5,0)="",0,VLOOKUP($N392,Capa!$A:$AE,BN$5,0)),0),IF(ISERROR(1/VLOOKUP($N392,Capa!$A:$AE,BN$5,0)),0,1/VLOOKUP($N392,Capa!$A:$AE,BN$5,0))))</f>
        <v/>
      </c>
      <c r="BO392" s="92"/>
    </row>
    <row r="393">
      <c r="G393" s="11"/>
      <c r="H393" s="11"/>
      <c r="I393" s="8"/>
      <c r="J393" s="132"/>
      <c r="K393" s="11"/>
      <c r="L393" s="11"/>
      <c r="M393" s="11"/>
      <c r="N393" s="10" t="s">
        <v>439</v>
      </c>
      <c r="O393" s="113">
        <f t="shared" si="8"/>
        <v>2138.0451</v>
      </c>
      <c r="P393" s="114">
        <f>VLOOKUP(N393,'Dados StatusInvest'!A:Z,26,0)</f>
        <v>43866.67</v>
      </c>
      <c r="Q393" s="115">
        <f t="shared" si="9"/>
        <v>451.0451</v>
      </c>
      <c r="R393" s="116">
        <f t="shared" ref="R393:AO393" si="396">IF(AQ393="","", RANK(AQ393,AQ$7:AQ$503,0))</f>
        <v>468</v>
      </c>
      <c r="S393" s="115">
        <f t="shared" si="396"/>
        <v>219</v>
      </c>
      <c r="T393" s="115" t="str">
        <f t="shared" si="396"/>
        <v/>
      </c>
      <c r="U393" s="115" t="str">
        <f t="shared" si="396"/>
        <v/>
      </c>
      <c r="V393" s="115" t="str">
        <f t="shared" si="396"/>
        <v/>
      </c>
      <c r="W393" s="115" t="str">
        <f t="shared" si="396"/>
        <v/>
      </c>
      <c r="X393" s="115" t="str">
        <f t="shared" si="396"/>
        <v/>
      </c>
      <c r="Y393" s="115" t="str">
        <f t="shared" si="396"/>
        <v/>
      </c>
      <c r="Z393" s="115" t="str">
        <f t="shared" si="396"/>
        <v/>
      </c>
      <c r="AA393" s="115" t="str">
        <f t="shared" si="396"/>
        <v/>
      </c>
      <c r="AB393" s="115" t="str">
        <f t="shared" si="396"/>
        <v/>
      </c>
      <c r="AC393" s="115" t="str">
        <f t="shared" si="396"/>
        <v/>
      </c>
      <c r="AD393" s="115" t="str">
        <f t="shared" si="396"/>
        <v/>
      </c>
      <c r="AE393" s="115" t="str">
        <f t="shared" si="396"/>
        <v/>
      </c>
      <c r="AF393" s="115" t="str">
        <f t="shared" si="396"/>
        <v/>
      </c>
      <c r="AG393" s="115" t="str">
        <f t="shared" si="396"/>
        <v/>
      </c>
      <c r="AH393" s="115" t="str">
        <f t="shared" si="396"/>
        <v/>
      </c>
      <c r="AI393" s="115" t="str">
        <f t="shared" si="396"/>
        <v/>
      </c>
      <c r="AJ393" s="115" t="str">
        <f t="shared" si="396"/>
        <v/>
      </c>
      <c r="AK393" s="115" t="str">
        <f t="shared" si="396"/>
        <v/>
      </c>
      <c r="AL393" s="115" t="str">
        <f t="shared" si="396"/>
        <v/>
      </c>
      <c r="AM393" s="115" t="str">
        <f t="shared" si="396"/>
        <v/>
      </c>
      <c r="AN393" s="115" t="str">
        <f t="shared" si="396"/>
        <v/>
      </c>
      <c r="AO393" s="115" t="str">
        <f t="shared" si="396"/>
        <v/>
      </c>
      <c r="AP393" s="117">
        <f>IF(AP$6="","",IF(AP$3="Maior",IFERROR(IF(VLOOKUP($N393,Capa!$A:$AE,AP$5,0)="",0,VLOOKUP($N393,Capa!$A:$AE,AP$5,0)),0),IF(ISERROR(1/VLOOKUP($N393,Capa!$A:$AE,AP$5,0)),0,1/VLOOKUP($N393,Capa!$A:$AE,AP$5,0))))</f>
        <v>-0.1209189843</v>
      </c>
      <c r="AQ393" s="118">
        <f>IF(AQ$6="","",IF(AQ$3="Maior",IFERROR(IF(VLOOKUP($N393,Capa!$A:$AE,AQ$5,0)="",0,VLOOKUP($N393,Capa!$A:$AE,AQ$5,0)),0),IF(ISERROR(1/VLOOKUP($N393,Capa!$A:$AE,AQ$5,0)),0,1/VLOOKUP($N393,Capa!$A:$AE,AQ$5,0))))</f>
        <v>-13.38</v>
      </c>
      <c r="AR393" s="118">
        <f>IF(AR$6="","",IF(AR$3="Maior",IFERROR(IF(VLOOKUP($N393,Capa!$A:$AE,AR$5,0)="",0,VLOOKUP($N393,Capa!$A:$AE,AR$5,0)),0),IF(ISERROR(1/VLOOKUP($N393,Capa!$A:$AE,AR$5,0)),0,1/VLOOKUP($N393,Capa!$A:$AE,AR$5,0))))</f>
        <v>0</v>
      </c>
      <c r="AS393" s="118" t="str">
        <f>IF(AS$6="","",IF(AS$3="Maior",IFERROR(IF(VLOOKUP($N393,Capa!$A:$AE,AS$5,0)="",0,VLOOKUP($N393,Capa!$A:$AE,AS$5,0)),0),IF(ISERROR(1/VLOOKUP($N393,Capa!$A:$AE,AS$5,0)),0,1/VLOOKUP($N393,Capa!$A:$AE,AS$5,0))))</f>
        <v/>
      </c>
      <c r="AT393" s="118" t="str">
        <f>IF(AT$6="","",IF(AT$3="Maior",IFERROR(IF(VLOOKUP($N393,Capa!$A:$AE,AT$5,0)="",0,VLOOKUP($N393,Capa!$A:$AE,AT$5,0)),0),IF(ISERROR(1/VLOOKUP($N393,Capa!$A:$AE,AT$5,0)),0,1/VLOOKUP($N393,Capa!$A:$AE,AT$5,0))))</f>
        <v/>
      </c>
      <c r="AU393" s="118" t="str">
        <f>IF(AU$6="","",IF(AU$3="Maior",IFERROR(IF(VLOOKUP($N393,Capa!$A:$AE,AU$5,0)="",0,VLOOKUP($N393,Capa!$A:$AE,AU$5,0)),0),IF(ISERROR(1/VLOOKUP($N393,Capa!$A:$AE,AU$5,0)),0,1/VLOOKUP($N393,Capa!$A:$AE,AU$5,0))))</f>
        <v/>
      </c>
      <c r="AV393" s="118" t="str">
        <f>IF(AV$6="","",IF(AV$3="Maior",IFERROR(IF(VLOOKUP($N393,Capa!$A:$AE,AV$5,0)="",0,VLOOKUP($N393,Capa!$A:$AE,AV$5,0)),0),IF(ISERROR(1/VLOOKUP($N393,Capa!$A:$AE,AV$5,0)),0,1/VLOOKUP($N393,Capa!$A:$AE,AV$5,0))))</f>
        <v/>
      </c>
      <c r="AW393" s="118" t="str">
        <f>IF(AW$6="","",IF(AW$3="Maior",IFERROR(IF(VLOOKUP($N393,Capa!$A:$AE,AW$5,0)="",0,VLOOKUP($N393,Capa!$A:$AE,AW$5,0)),0),IF(ISERROR(1/VLOOKUP($N393,Capa!$A:$AE,AW$5,0)),0,1/VLOOKUP($N393,Capa!$A:$AE,AW$5,0))))</f>
        <v/>
      </c>
      <c r="AX393" s="118" t="str">
        <f>IF(AX$6="","",IF(AX$3="Maior",IFERROR(IF(VLOOKUP($N393,Capa!$A:$AE,AX$5,0)="",0,VLOOKUP($N393,Capa!$A:$AE,AX$5,0)),0),IF(ISERROR(1/VLOOKUP($N393,Capa!$A:$AE,AX$5,0)),0,1/VLOOKUP($N393,Capa!$A:$AE,AX$5,0))))</f>
        <v/>
      </c>
      <c r="AY393" s="118" t="str">
        <f>IF(AY$6="","",IF(AY$3="Maior",IFERROR(IF(VLOOKUP($N393,Capa!$A:$AE,AY$5,0)="",0,VLOOKUP($N393,Capa!$A:$AE,AY$5,0)),0),IF(ISERROR(1/VLOOKUP($N393,Capa!$A:$AE,AY$5,0)),0,1/VLOOKUP($N393,Capa!$A:$AE,AY$5,0))))</f>
        <v/>
      </c>
      <c r="AZ393" s="118" t="str">
        <f>IF(AZ$6="","",IF(AZ$3="Maior",IFERROR(IF(VLOOKUP($N393,Capa!$A:$AE,AZ$5,0)="",0,VLOOKUP($N393,Capa!$A:$AE,AZ$5,0)),0),IF(ISERROR(1/VLOOKUP($N393,Capa!$A:$AE,AZ$5,0)),0,1/VLOOKUP($N393,Capa!$A:$AE,AZ$5,0))))</f>
        <v/>
      </c>
      <c r="BA393" s="118" t="str">
        <f>IF(BA$6="","",IF(BA$3="Maior",IFERROR(IF(VLOOKUP($N393,Capa!$A:$AE,BA$5,0)="",0,VLOOKUP($N393,Capa!$A:$AE,BA$5,0)),0),IF(ISERROR(1/VLOOKUP($N393,Capa!$A:$AE,BA$5,0)),0,1/VLOOKUP($N393,Capa!$A:$AE,BA$5,0))))</f>
        <v/>
      </c>
      <c r="BB393" s="118" t="str">
        <f>IF(BB$6="","",IF(BB$3="Maior",IFERROR(IF(VLOOKUP($N393,Capa!$A:$AE,BB$5,0)="",0,VLOOKUP($N393,Capa!$A:$AE,BB$5,0)),0),IF(ISERROR(1/VLOOKUP($N393,Capa!$A:$AE,BB$5,0)),0,1/VLOOKUP($N393,Capa!$A:$AE,BB$5,0))))</f>
        <v/>
      </c>
      <c r="BC393" s="118" t="str">
        <f>IF(BC$6="","",IF(BC$3="Maior",IFERROR(IF(VLOOKUP($N393,Capa!$A:$AE,BC$5,0)="",0,VLOOKUP($N393,Capa!$A:$AE,BC$5,0)),0),IF(ISERROR(1/VLOOKUP($N393,Capa!$A:$AE,BC$5,0)),0,1/VLOOKUP($N393,Capa!$A:$AE,BC$5,0))))</f>
        <v/>
      </c>
      <c r="BD393" s="118" t="str">
        <f>IF(BD$6="","",IF(BD$3="Maior",IFERROR(IF(VLOOKUP($N393,Capa!$A:$AE,BD$5,0)="",0,VLOOKUP($N393,Capa!$A:$AE,BD$5,0)),0),IF(ISERROR(1/VLOOKUP($N393,Capa!$A:$AE,BD$5,0)),0,1/VLOOKUP($N393,Capa!$A:$AE,BD$5,0))))</f>
        <v/>
      </c>
      <c r="BE393" s="118" t="str">
        <f>IF(BE$6="","",IF(BE$3="Maior",IFERROR(IF(VLOOKUP($N393,Capa!$A:$AE,BE$5,0)="",0,VLOOKUP($N393,Capa!$A:$AE,BE$5,0)),0),IF(ISERROR(1/VLOOKUP($N393,Capa!$A:$AE,BE$5,0)),0,1/VLOOKUP($N393,Capa!$A:$AE,BE$5,0))))</f>
        <v/>
      </c>
      <c r="BF393" s="118" t="str">
        <f>IF(BF$6="","",IF(BF$3="Maior",IFERROR(IF(VLOOKUP($N393,Capa!$A:$AE,BF$5,0)="",0,VLOOKUP($N393,Capa!$A:$AE,BF$5,0)),0),IF(ISERROR(1/VLOOKUP($N393,Capa!$A:$AE,BF$5,0)),0,1/VLOOKUP($N393,Capa!$A:$AE,BF$5,0))))</f>
        <v/>
      </c>
      <c r="BG393" s="118" t="str">
        <f>IF(BG$6="","",IF(BG$3="Maior",IFERROR(IF(VLOOKUP($N393,Capa!$A:$AE,BG$5,0)="",0,VLOOKUP($N393,Capa!$A:$AE,BG$5,0)),0),IF(ISERROR(1/VLOOKUP($N393,Capa!$A:$AE,BG$5,0)),0,1/VLOOKUP($N393,Capa!$A:$AE,BG$5,0))))</f>
        <v/>
      </c>
      <c r="BH393" s="118" t="str">
        <f>IF(BH$6="","",IF(BH$3="Maior",IFERROR(IF(VLOOKUP($N393,Capa!$A:$AE,BH$5,0)="",0,VLOOKUP($N393,Capa!$A:$AE,BH$5,0)),0),IF(ISERROR(1/VLOOKUP($N393,Capa!$A:$AE,BH$5,0)),0,1/VLOOKUP($N393,Capa!$A:$AE,BH$5,0))))</f>
        <v/>
      </c>
      <c r="BI393" s="118" t="str">
        <f>IF(BI$6="","",IF(BI$3="Maior",IFERROR(IF(VLOOKUP($N393,Capa!$A:$AE,BI$5,0)="",0,VLOOKUP($N393,Capa!$A:$AE,BI$5,0)),0),IF(ISERROR(1/VLOOKUP($N393,Capa!$A:$AE,BI$5,0)),0,1/VLOOKUP($N393,Capa!$A:$AE,BI$5,0))))</f>
        <v/>
      </c>
      <c r="BJ393" s="118" t="str">
        <f>IF(BJ$6="","",IF(BJ$3="Maior",IFERROR(IF(VLOOKUP($N393,Capa!$A:$AE,BJ$5,0)="",0,VLOOKUP($N393,Capa!$A:$AE,BJ$5,0)),0),IF(ISERROR(1/VLOOKUP($N393,Capa!$A:$AE,BJ$5,0)),0,1/VLOOKUP($N393,Capa!$A:$AE,BJ$5,0))))</f>
        <v/>
      </c>
      <c r="BK393" s="118" t="str">
        <f>IF(BK$6="","",IF(BK$3="Maior",IFERROR(IF(VLOOKUP($N393,Capa!$A:$AE,BK$5,0)="",0,VLOOKUP($N393,Capa!$A:$AE,BK$5,0)),0),IF(ISERROR(1/VLOOKUP($N393,Capa!$A:$AE,BK$5,0)),0,1/VLOOKUP($N393,Capa!$A:$AE,BK$5,0))))</f>
        <v/>
      </c>
      <c r="BL393" s="118" t="str">
        <f>IF(BL$6="","",IF(BL$3="Maior",IFERROR(IF(VLOOKUP($N393,Capa!$A:$AE,BL$5,0)="",0,VLOOKUP($N393,Capa!$A:$AE,BL$5,0)),0),IF(ISERROR(1/VLOOKUP($N393,Capa!$A:$AE,BL$5,0)),0,1/VLOOKUP($N393,Capa!$A:$AE,BL$5,0))))</f>
        <v/>
      </c>
      <c r="BM393" s="118" t="str">
        <f>IF(BM$6="","",IF(BM$3="Maior",IFERROR(IF(VLOOKUP($N393,Capa!$A:$AE,BM$5,0)="",0,VLOOKUP($N393,Capa!$A:$AE,BM$5,0)),0),IF(ISERROR(1/VLOOKUP($N393,Capa!$A:$AE,BM$5,0)),0,1/VLOOKUP($N393,Capa!$A:$AE,BM$5,0))))</f>
        <v/>
      </c>
      <c r="BN393" s="118" t="str">
        <f>IF(BN$6="","",IF(BN$3="Maior",IFERROR(IF(VLOOKUP($N393,Capa!$A:$AE,BN$5,0)="",0,VLOOKUP($N393,Capa!$A:$AE,BN$5,0)),0),IF(ISERROR(1/VLOOKUP($N393,Capa!$A:$AE,BN$5,0)),0,1/VLOOKUP($N393,Capa!$A:$AE,BN$5,0))))</f>
        <v/>
      </c>
      <c r="BO393" s="92"/>
    </row>
    <row r="394">
      <c r="G394" s="11"/>
      <c r="H394" s="11"/>
      <c r="I394" s="8"/>
      <c r="J394" s="132"/>
      <c r="K394" s="11"/>
      <c r="L394" s="11"/>
      <c r="M394" s="11"/>
      <c r="N394" s="10" t="s">
        <v>440</v>
      </c>
      <c r="O394" s="113">
        <f t="shared" si="8"/>
        <v>1718.0489</v>
      </c>
      <c r="P394" s="114">
        <f>VLOOKUP(N394,'Dados StatusInvest'!A:Z,26,0)</f>
        <v>42600</v>
      </c>
      <c r="Q394" s="115">
        <f t="shared" si="9"/>
        <v>489.0489</v>
      </c>
      <c r="R394" s="116">
        <f t="shared" ref="R394:AO394" si="397">IF(AQ394="","", RANK(AQ394,AQ$7:AQ$503,0))</f>
        <v>10</v>
      </c>
      <c r="S394" s="115">
        <f t="shared" si="397"/>
        <v>219</v>
      </c>
      <c r="T394" s="115" t="str">
        <f t="shared" si="397"/>
        <v/>
      </c>
      <c r="U394" s="115" t="str">
        <f t="shared" si="397"/>
        <v/>
      </c>
      <c r="V394" s="115" t="str">
        <f t="shared" si="397"/>
        <v/>
      </c>
      <c r="W394" s="115" t="str">
        <f t="shared" si="397"/>
        <v/>
      </c>
      <c r="X394" s="115" t="str">
        <f t="shared" si="397"/>
        <v/>
      </c>
      <c r="Y394" s="115" t="str">
        <f t="shared" si="397"/>
        <v/>
      </c>
      <c r="Z394" s="115" t="str">
        <f t="shared" si="397"/>
        <v/>
      </c>
      <c r="AA394" s="115" t="str">
        <f t="shared" si="397"/>
        <v/>
      </c>
      <c r="AB394" s="115" t="str">
        <f t="shared" si="397"/>
        <v/>
      </c>
      <c r="AC394" s="115" t="str">
        <f t="shared" si="397"/>
        <v/>
      </c>
      <c r="AD394" s="115" t="str">
        <f t="shared" si="397"/>
        <v/>
      </c>
      <c r="AE394" s="115" t="str">
        <f t="shared" si="397"/>
        <v/>
      </c>
      <c r="AF394" s="115" t="str">
        <f t="shared" si="397"/>
        <v/>
      </c>
      <c r="AG394" s="115" t="str">
        <f t="shared" si="397"/>
        <v/>
      </c>
      <c r="AH394" s="115" t="str">
        <f t="shared" si="397"/>
        <v/>
      </c>
      <c r="AI394" s="115" t="str">
        <f t="shared" si="397"/>
        <v/>
      </c>
      <c r="AJ394" s="115" t="str">
        <f t="shared" si="397"/>
        <v/>
      </c>
      <c r="AK394" s="115" t="str">
        <f t="shared" si="397"/>
        <v/>
      </c>
      <c r="AL394" s="115" t="str">
        <f t="shared" si="397"/>
        <v/>
      </c>
      <c r="AM394" s="115" t="str">
        <f t="shared" si="397"/>
        <v/>
      </c>
      <c r="AN394" s="115" t="str">
        <f t="shared" si="397"/>
        <v/>
      </c>
      <c r="AO394" s="115" t="str">
        <f t="shared" si="397"/>
        <v/>
      </c>
      <c r="AP394" s="117">
        <f>IF(AP$6="","",IF(AP$3="Maior",IFERROR(IF(VLOOKUP($N394,Capa!$A:$AE,AP$5,0)="",0,VLOOKUP($N394,Capa!$A:$AE,AP$5,0)),0),IF(ISERROR(1/VLOOKUP($N394,Capa!$A:$AE,AP$5,0)),0,1/VLOOKUP($N394,Capa!$A:$AE,AP$5,0))))</f>
        <v>-0.4975124378</v>
      </c>
      <c r="AQ394" s="118">
        <f>IF(AQ$6="","",IF(AQ$3="Maior",IFERROR(IF(VLOOKUP($N394,Capa!$A:$AE,AQ$5,0)="",0,VLOOKUP($N394,Capa!$A:$AE,AQ$5,0)),0),IF(ISERROR(1/VLOOKUP($N394,Capa!$A:$AE,AQ$5,0)),0,1/VLOOKUP($N394,Capa!$A:$AE,AQ$5,0))))</f>
        <v>73.88</v>
      </c>
      <c r="AR394" s="118">
        <f>IF(AR$6="","",IF(AR$3="Maior",IFERROR(IF(VLOOKUP($N394,Capa!$A:$AE,AR$5,0)="",0,VLOOKUP($N394,Capa!$A:$AE,AR$5,0)),0),IF(ISERROR(1/VLOOKUP($N394,Capa!$A:$AE,AR$5,0)),0,1/VLOOKUP($N394,Capa!$A:$AE,AR$5,0))))</f>
        <v>0</v>
      </c>
      <c r="AS394" s="118" t="str">
        <f>IF(AS$6="","",IF(AS$3="Maior",IFERROR(IF(VLOOKUP($N394,Capa!$A:$AE,AS$5,0)="",0,VLOOKUP($N394,Capa!$A:$AE,AS$5,0)),0),IF(ISERROR(1/VLOOKUP($N394,Capa!$A:$AE,AS$5,0)),0,1/VLOOKUP($N394,Capa!$A:$AE,AS$5,0))))</f>
        <v/>
      </c>
      <c r="AT394" s="118" t="str">
        <f>IF(AT$6="","",IF(AT$3="Maior",IFERROR(IF(VLOOKUP($N394,Capa!$A:$AE,AT$5,0)="",0,VLOOKUP($N394,Capa!$A:$AE,AT$5,0)),0),IF(ISERROR(1/VLOOKUP($N394,Capa!$A:$AE,AT$5,0)),0,1/VLOOKUP($N394,Capa!$A:$AE,AT$5,0))))</f>
        <v/>
      </c>
      <c r="AU394" s="118" t="str">
        <f>IF(AU$6="","",IF(AU$3="Maior",IFERROR(IF(VLOOKUP($N394,Capa!$A:$AE,AU$5,0)="",0,VLOOKUP($N394,Capa!$A:$AE,AU$5,0)),0),IF(ISERROR(1/VLOOKUP($N394,Capa!$A:$AE,AU$5,0)),0,1/VLOOKUP($N394,Capa!$A:$AE,AU$5,0))))</f>
        <v/>
      </c>
      <c r="AV394" s="118" t="str">
        <f>IF(AV$6="","",IF(AV$3="Maior",IFERROR(IF(VLOOKUP($N394,Capa!$A:$AE,AV$5,0)="",0,VLOOKUP($N394,Capa!$A:$AE,AV$5,0)),0),IF(ISERROR(1/VLOOKUP($N394,Capa!$A:$AE,AV$5,0)),0,1/VLOOKUP($N394,Capa!$A:$AE,AV$5,0))))</f>
        <v/>
      </c>
      <c r="AW394" s="118" t="str">
        <f>IF(AW$6="","",IF(AW$3="Maior",IFERROR(IF(VLOOKUP($N394,Capa!$A:$AE,AW$5,0)="",0,VLOOKUP($N394,Capa!$A:$AE,AW$5,0)),0),IF(ISERROR(1/VLOOKUP($N394,Capa!$A:$AE,AW$5,0)),0,1/VLOOKUP($N394,Capa!$A:$AE,AW$5,0))))</f>
        <v/>
      </c>
      <c r="AX394" s="118" t="str">
        <f>IF(AX$6="","",IF(AX$3="Maior",IFERROR(IF(VLOOKUP($N394,Capa!$A:$AE,AX$5,0)="",0,VLOOKUP($N394,Capa!$A:$AE,AX$5,0)),0),IF(ISERROR(1/VLOOKUP($N394,Capa!$A:$AE,AX$5,0)),0,1/VLOOKUP($N394,Capa!$A:$AE,AX$5,0))))</f>
        <v/>
      </c>
      <c r="AY394" s="118" t="str">
        <f>IF(AY$6="","",IF(AY$3="Maior",IFERROR(IF(VLOOKUP($N394,Capa!$A:$AE,AY$5,0)="",0,VLOOKUP($N394,Capa!$A:$AE,AY$5,0)),0),IF(ISERROR(1/VLOOKUP($N394,Capa!$A:$AE,AY$5,0)),0,1/VLOOKUP($N394,Capa!$A:$AE,AY$5,0))))</f>
        <v/>
      </c>
      <c r="AZ394" s="118" t="str">
        <f>IF(AZ$6="","",IF(AZ$3="Maior",IFERROR(IF(VLOOKUP($N394,Capa!$A:$AE,AZ$5,0)="",0,VLOOKUP($N394,Capa!$A:$AE,AZ$5,0)),0),IF(ISERROR(1/VLOOKUP($N394,Capa!$A:$AE,AZ$5,0)),0,1/VLOOKUP($N394,Capa!$A:$AE,AZ$5,0))))</f>
        <v/>
      </c>
      <c r="BA394" s="118" t="str">
        <f>IF(BA$6="","",IF(BA$3="Maior",IFERROR(IF(VLOOKUP($N394,Capa!$A:$AE,BA$5,0)="",0,VLOOKUP($N394,Capa!$A:$AE,BA$5,0)),0),IF(ISERROR(1/VLOOKUP($N394,Capa!$A:$AE,BA$5,0)),0,1/VLOOKUP($N394,Capa!$A:$AE,BA$5,0))))</f>
        <v/>
      </c>
      <c r="BB394" s="118" t="str">
        <f>IF(BB$6="","",IF(BB$3="Maior",IFERROR(IF(VLOOKUP($N394,Capa!$A:$AE,BB$5,0)="",0,VLOOKUP($N394,Capa!$A:$AE,BB$5,0)),0),IF(ISERROR(1/VLOOKUP($N394,Capa!$A:$AE,BB$5,0)),0,1/VLOOKUP($N394,Capa!$A:$AE,BB$5,0))))</f>
        <v/>
      </c>
      <c r="BC394" s="118" t="str">
        <f>IF(BC$6="","",IF(BC$3="Maior",IFERROR(IF(VLOOKUP($N394,Capa!$A:$AE,BC$5,0)="",0,VLOOKUP($N394,Capa!$A:$AE,BC$5,0)),0),IF(ISERROR(1/VLOOKUP($N394,Capa!$A:$AE,BC$5,0)),0,1/VLOOKUP($N394,Capa!$A:$AE,BC$5,0))))</f>
        <v/>
      </c>
      <c r="BD394" s="118" t="str">
        <f>IF(BD$6="","",IF(BD$3="Maior",IFERROR(IF(VLOOKUP($N394,Capa!$A:$AE,BD$5,0)="",0,VLOOKUP($N394,Capa!$A:$AE,BD$5,0)),0),IF(ISERROR(1/VLOOKUP($N394,Capa!$A:$AE,BD$5,0)),0,1/VLOOKUP($N394,Capa!$A:$AE,BD$5,0))))</f>
        <v/>
      </c>
      <c r="BE394" s="118" t="str">
        <f>IF(BE$6="","",IF(BE$3="Maior",IFERROR(IF(VLOOKUP($N394,Capa!$A:$AE,BE$5,0)="",0,VLOOKUP($N394,Capa!$A:$AE,BE$5,0)),0),IF(ISERROR(1/VLOOKUP($N394,Capa!$A:$AE,BE$5,0)),0,1/VLOOKUP($N394,Capa!$A:$AE,BE$5,0))))</f>
        <v/>
      </c>
      <c r="BF394" s="118" t="str">
        <f>IF(BF$6="","",IF(BF$3="Maior",IFERROR(IF(VLOOKUP($N394,Capa!$A:$AE,BF$5,0)="",0,VLOOKUP($N394,Capa!$A:$AE,BF$5,0)),0),IF(ISERROR(1/VLOOKUP($N394,Capa!$A:$AE,BF$5,0)),0,1/VLOOKUP($N394,Capa!$A:$AE,BF$5,0))))</f>
        <v/>
      </c>
      <c r="BG394" s="118" t="str">
        <f>IF(BG$6="","",IF(BG$3="Maior",IFERROR(IF(VLOOKUP($N394,Capa!$A:$AE,BG$5,0)="",0,VLOOKUP($N394,Capa!$A:$AE,BG$5,0)),0),IF(ISERROR(1/VLOOKUP($N394,Capa!$A:$AE,BG$5,0)),0,1/VLOOKUP($N394,Capa!$A:$AE,BG$5,0))))</f>
        <v/>
      </c>
      <c r="BH394" s="118" t="str">
        <f>IF(BH$6="","",IF(BH$3="Maior",IFERROR(IF(VLOOKUP($N394,Capa!$A:$AE,BH$5,0)="",0,VLOOKUP($N394,Capa!$A:$AE,BH$5,0)),0),IF(ISERROR(1/VLOOKUP($N394,Capa!$A:$AE,BH$5,0)),0,1/VLOOKUP($N394,Capa!$A:$AE,BH$5,0))))</f>
        <v/>
      </c>
      <c r="BI394" s="118" t="str">
        <f>IF(BI$6="","",IF(BI$3="Maior",IFERROR(IF(VLOOKUP($N394,Capa!$A:$AE,BI$5,0)="",0,VLOOKUP($N394,Capa!$A:$AE,BI$5,0)),0),IF(ISERROR(1/VLOOKUP($N394,Capa!$A:$AE,BI$5,0)),0,1/VLOOKUP($N394,Capa!$A:$AE,BI$5,0))))</f>
        <v/>
      </c>
      <c r="BJ394" s="118" t="str">
        <f>IF(BJ$6="","",IF(BJ$3="Maior",IFERROR(IF(VLOOKUP($N394,Capa!$A:$AE,BJ$5,0)="",0,VLOOKUP($N394,Capa!$A:$AE,BJ$5,0)),0),IF(ISERROR(1/VLOOKUP($N394,Capa!$A:$AE,BJ$5,0)),0,1/VLOOKUP($N394,Capa!$A:$AE,BJ$5,0))))</f>
        <v/>
      </c>
      <c r="BK394" s="118" t="str">
        <f>IF(BK$6="","",IF(BK$3="Maior",IFERROR(IF(VLOOKUP($N394,Capa!$A:$AE,BK$5,0)="",0,VLOOKUP($N394,Capa!$A:$AE,BK$5,0)),0),IF(ISERROR(1/VLOOKUP($N394,Capa!$A:$AE,BK$5,0)),0,1/VLOOKUP($N394,Capa!$A:$AE,BK$5,0))))</f>
        <v/>
      </c>
      <c r="BL394" s="118" t="str">
        <f>IF(BL$6="","",IF(BL$3="Maior",IFERROR(IF(VLOOKUP($N394,Capa!$A:$AE,BL$5,0)="",0,VLOOKUP($N394,Capa!$A:$AE,BL$5,0)),0),IF(ISERROR(1/VLOOKUP($N394,Capa!$A:$AE,BL$5,0)),0,1/VLOOKUP($N394,Capa!$A:$AE,BL$5,0))))</f>
        <v/>
      </c>
      <c r="BM394" s="118" t="str">
        <f>IF(BM$6="","",IF(BM$3="Maior",IFERROR(IF(VLOOKUP($N394,Capa!$A:$AE,BM$5,0)="",0,VLOOKUP($N394,Capa!$A:$AE,BM$5,0)),0),IF(ISERROR(1/VLOOKUP($N394,Capa!$A:$AE,BM$5,0)),0,1/VLOOKUP($N394,Capa!$A:$AE,BM$5,0))))</f>
        <v/>
      </c>
      <c r="BN394" s="118" t="str">
        <f>IF(BN$6="","",IF(BN$3="Maior",IFERROR(IF(VLOOKUP($N394,Capa!$A:$AE,BN$5,0)="",0,VLOOKUP($N394,Capa!$A:$AE,BN$5,0)),0),IF(ISERROR(1/VLOOKUP($N394,Capa!$A:$AE,BN$5,0)),0,1/VLOOKUP($N394,Capa!$A:$AE,BN$5,0))))</f>
        <v/>
      </c>
      <c r="BO394" s="92"/>
    </row>
    <row r="395">
      <c r="G395" s="11"/>
      <c r="H395" s="11"/>
      <c r="I395" s="8"/>
      <c r="J395" s="132"/>
      <c r="K395" s="11"/>
      <c r="L395" s="11"/>
      <c r="M395" s="11"/>
      <c r="N395" s="10" t="s">
        <v>441</v>
      </c>
      <c r="O395" s="113">
        <f t="shared" si="8"/>
        <v>1528.0315</v>
      </c>
      <c r="P395" s="114">
        <f>VLOOKUP(N395,'Dados StatusInvest'!A:Z,26,0)</f>
        <v>33506.33</v>
      </c>
      <c r="Q395" s="115">
        <f t="shared" si="9"/>
        <v>315.0315</v>
      </c>
      <c r="R395" s="116">
        <f t="shared" ref="R395:AO395" si="398">IF(AQ395="","", RANK(AQ395,AQ$7:AQ$503,0))</f>
        <v>123</v>
      </c>
      <c r="S395" s="115">
        <f t="shared" si="398"/>
        <v>90</v>
      </c>
      <c r="T395" s="115" t="str">
        <f t="shared" si="398"/>
        <v/>
      </c>
      <c r="U395" s="115" t="str">
        <f t="shared" si="398"/>
        <v/>
      </c>
      <c r="V395" s="115" t="str">
        <f t="shared" si="398"/>
        <v/>
      </c>
      <c r="W395" s="115" t="str">
        <f t="shared" si="398"/>
        <v/>
      </c>
      <c r="X395" s="115" t="str">
        <f t="shared" si="398"/>
        <v/>
      </c>
      <c r="Y395" s="115" t="str">
        <f t="shared" si="398"/>
        <v/>
      </c>
      <c r="Z395" s="115" t="str">
        <f t="shared" si="398"/>
        <v/>
      </c>
      <c r="AA395" s="115" t="str">
        <f t="shared" si="398"/>
        <v/>
      </c>
      <c r="AB395" s="115" t="str">
        <f t="shared" si="398"/>
        <v/>
      </c>
      <c r="AC395" s="115" t="str">
        <f t="shared" si="398"/>
        <v/>
      </c>
      <c r="AD395" s="115" t="str">
        <f t="shared" si="398"/>
        <v/>
      </c>
      <c r="AE395" s="115" t="str">
        <f t="shared" si="398"/>
        <v/>
      </c>
      <c r="AF395" s="115" t="str">
        <f t="shared" si="398"/>
        <v/>
      </c>
      <c r="AG395" s="115" t="str">
        <f t="shared" si="398"/>
        <v/>
      </c>
      <c r="AH395" s="115" t="str">
        <f t="shared" si="398"/>
        <v/>
      </c>
      <c r="AI395" s="115" t="str">
        <f t="shared" si="398"/>
        <v/>
      </c>
      <c r="AJ395" s="115" t="str">
        <f t="shared" si="398"/>
        <v/>
      </c>
      <c r="AK395" s="115" t="str">
        <f t="shared" si="398"/>
        <v/>
      </c>
      <c r="AL395" s="115" t="str">
        <f t="shared" si="398"/>
        <v/>
      </c>
      <c r="AM395" s="115" t="str">
        <f t="shared" si="398"/>
        <v/>
      </c>
      <c r="AN395" s="115" t="str">
        <f t="shared" si="398"/>
        <v/>
      </c>
      <c r="AO395" s="115" t="str">
        <f t="shared" si="398"/>
        <v/>
      </c>
      <c r="AP395" s="117">
        <f>IF(AP$6="","",IF(AP$3="Maior",IFERROR(IF(VLOOKUP($N395,Capa!$A:$AE,AP$5,0)="",0,VLOOKUP($N395,Capa!$A:$AE,AP$5,0)),0),IF(ISERROR(1/VLOOKUP($N395,Capa!$A:$AE,AP$5,0)),0,1/VLOOKUP($N395,Capa!$A:$AE,AP$5,0))))</f>
        <v>0.04731403041</v>
      </c>
      <c r="AQ395" s="118">
        <f>IF(AQ$6="","",IF(AQ$3="Maior",IFERROR(IF(VLOOKUP($N395,Capa!$A:$AE,AQ$5,0)="",0,VLOOKUP($N395,Capa!$A:$AE,AQ$5,0)),0),IF(ISERROR(1/VLOOKUP($N395,Capa!$A:$AE,AQ$5,0)),0,1/VLOOKUP($N395,Capa!$A:$AE,AQ$5,0))))</f>
        <v>15.49</v>
      </c>
      <c r="AR395" s="118">
        <f>IF(AR$6="","",IF(AR$3="Maior",IFERROR(IF(VLOOKUP($N395,Capa!$A:$AE,AR$5,0)="",0,VLOOKUP($N395,Capa!$A:$AE,AR$5,0)),0),IF(ISERROR(1/VLOOKUP($N395,Capa!$A:$AE,AR$5,0)),0,1/VLOOKUP($N395,Capa!$A:$AE,AR$5,0))))</f>
        <v>32.17</v>
      </c>
      <c r="AS395" s="118" t="str">
        <f>IF(AS$6="","",IF(AS$3="Maior",IFERROR(IF(VLOOKUP($N395,Capa!$A:$AE,AS$5,0)="",0,VLOOKUP($N395,Capa!$A:$AE,AS$5,0)),0),IF(ISERROR(1/VLOOKUP($N395,Capa!$A:$AE,AS$5,0)),0,1/VLOOKUP($N395,Capa!$A:$AE,AS$5,0))))</f>
        <v/>
      </c>
      <c r="AT395" s="118" t="str">
        <f>IF(AT$6="","",IF(AT$3="Maior",IFERROR(IF(VLOOKUP($N395,Capa!$A:$AE,AT$5,0)="",0,VLOOKUP($N395,Capa!$A:$AE,AT$5,0)),0),IF(ISERROR(1/VLOOKUP($N395,Capa!$A:$AE,AT$5,0)),0,1/VLOOKUP($N395,Capa!$A:$AE,AT$5,0))))</f>
        <v/>
      </c>
      <c r="AU395" s="118" t="str">
        <f>IF(AU$6="","",IF(AU$3="Maior",IFERROR(IF(VLOOKUP($N395,Capa!$A:$AE,AU$5,0)="",0,VLOOKUP($N395,Capa!$A:$AE,AU$5,0)),0),IF(ISERROR(1/VLOOKUP($N395,Capa!$A:$AE,AU$5,0)),0,1/VLOOKUP($N395,Capa!$A:$AE,AU$5,0))))</f>
        <v/>
      </c>
      <c r="AV395" s="118" t="str">
        <f>IF(AV$6="","",IF(AV$3="Maior",IFERROR(IF(VLOOKUP($N395,Capa!$A:$AE,AV$5,0)="",0,VLOOKUP($N395,Capa!$A:$AE,AV$5,0)),0),IF(ISERROR(1/VLOOKUP($N395,Capa!$A:$AE,AV$5,0)),0,1/VLOOKUP($N395,Capa!$A:$AE,AV$5,0))))</f>
        <v/>
      </c>
      <c r="AW395" s="118" t="str">
        <f>IF(AW$6="","",IF(AW$3="Maior",IFERROR(IF(VLOOKUP($N395,Capa!$A:$AE,AW$5,0)="",0,VLOOKUP($N395,Capa!$A:$AE,AW$5,0)),0),IF(ISERROR(1/VLOOKUP($N395,Capa!$A:$AE,AW$5,0)),0,1/VLOOKUP($N395,Capa!$A:$AE,AW$5,0))))</f>
        <v/>
      </c>
      <c r="AX395" s="118" t="str">
        <f>IF(AX$6="","",IF(AX$3="Maior",IFERROR(IF(VLOOKUP($N395,Capa!$A:$AE,AX$5,0)="",0,VLOOKUP($N395,Capa!$A:$AE,AX$5,0)),0),IF(ISERROR(1/VLOOKUP($N395,Capa!$A:$AE,AX$5,0)),0,1/VLOOKUP($N395,Capa!$A:$AE,AX$5,0))))</f>
        <v/>
      </c>
      <c r="AY395" s="118" t="str">
        <f>IF(AY$6="","",IF(AY$3="Maior",IFERROR(IF(VLOOKUP($N395,Capa!$A:$AE,AY$5,0)="",0,VLOOKUP($N395,Capa!$A:$AE,AY$5,0)),0),IF(ISERROR(1/VLOOKUP($N395,Capa!$A:$AE,AY$5,0)),0,1/VLOOKUP($N395,Capa!$A:$AE,AY$5,0))))</f>
        <v/>
      </c>
      <c r="AZ395" s="118" t="str">
        <f>IF(AZ$6="","",IF(AZ$3="Maior",IFERROR(IF(VLOOKUP($N395,Capa!$A:$AE,AZ$5,0)="",0,VLOOKUP($N395,Capa!$A:$AE,AZ$5,0)),0),IF(ISERROR(1/VLOOKUP($N395,Capa!$A:$AE,AZ$5,0)),0,1/VLOOKUP($N395,Capa!$A:$AE,AZ$5,0))))</f>
        <v/>
      </c>
      <c r="BA395" s="118" t="str">
        <f>IF(BA$6="","",IF(BA$3="Maior",IFERROR(IF(VLOOKUP($N395,Capa!$A:$AE,BA$5,0)="",0,VLOOKUP($N395,Capa!$A:$AE,BA$5,0)),0),IF(ISERROR(1/VLOOKUP($N395,Capa!$A:$AE,BA$5,0)),0,1/VLOOKUP($N395,Capa!$A:$AE,BA$5,0))))</f>
        <v/>
      </c>
      <c r="BB395" s="118" t="str">
        <f>IF(BB$6="","",IF(BB$3="Maior",IFERROR(IF(VLOOKUP($N395,Capa!$A:$AE,BB$5,0)="",0,VLOOKUP($N395,Capa!$A:$AE,BB$5,0)),0),IF(ISERROR(1/VLOOKUP($N395,Capa!$A:$AE,BB$5,0)),0,1/VLOOKUP($N395,Capa!$A:$AE,BB$5,0))))</f>
        <v/>
      </c>
      <c r="BC395" s="118" t="str">
        <f>IF(BC$6="","",IF(BC$3="Maior",IFERROR(IF(VLOOKUP($N395,Capa!$A:$AE,BC$5,0)="",0,VLOOKUP($N395,Capa!$A:$AE,BC$5,0)),0),IF(ISERROR(1/VLOOKUP($N395,Capa!$A:$AE,BC$5,0)),0,1/VLOOKUP($N395,Capa!$A:$AE,BC$5,0))))</f>
        <v/>
      </c>
      <c r="BD395" s="118" t="str">
        <f>IF(BD$6="","",IF(BD$3="Maior",IFERROR(IF(VLOOKUP($N395,Capa!$A:$AE,BD$5,0)="",0,VLOOKUP($N395,Capa!$A:$AE,BD$5,0)),0),IF(ISERROR(1/VLOOKUP($N395,Capa!$A:$AE,BD$5,0)),0,1/VLOOKUP($N395,Capa!$A:$AE,BD$5,0))))</f>
        <v/>
      </c>
      <c r="BE395" s="118" t="str">
        <f>IF(BE$6="","",IF(BE$3="Maior",IFERROR(IF(VLOOKUP($N395,Capa!$A:$AE,BE$5,0)="",0,VLOOKUP($N395,Capa!$A:$AE,BE$5,0)),0),IF(ISERROR(1/VLOOKUP($N395,Capa!$A:$AE,BE$5,0)),0,1/VLOOKUP($N395,Capa!$A:$AE,BE$5,0))))</f>
        <v/>
      </c>
      <c r="BF395" s="118" t="str">
        <f>IF(BF$6="","",IF(BF$3="Maior",IFERROR(IF(VLOOKUP($N395,Capa!$A:$AE,BF$5,0)="",0,VLOOKUP($N395,Capa!$A:$AE,BF$5,0)),0),IF(ISERROR(1/VLOOKUP($N395,Capa!$A:$AE,BF$5,0)),0,1/VLOOKUP($N395,Capa!$A:$AE,BF$5,0))))</f>
        <v/>
      </c>
      <c r="BG395" s="118" t="str">
        <f>IF(BG$6="","",IF(BG$3="Maior",IFERROR(IF(VLOOKUP($N395,Capa!$A:$AE,BG$5,0)="",0,VLOOKUP($N395,Capa!$A:$AE,BG$5,0)),0),IF(ISERROR(1/VLOOKUP($N395,Capa!$A:$AE,BG$5,0)),0,1/VLOOKUP($N395,Capa!$A:$AE,BG$5,0))))</f>
        <v/>
      </c>
      <c r="BH395" s="118" t="str">
        <f>IF(BH$6="","",IF(BH$3="Maior",IFERROR(IF(VLOOKUP($N395,Capa!$A:$AE,BH$5,0)="",0,VLOOKUP($N395,Capa!$A:$AE,BH$5,0)),0),IF(ISERROR(1/VLOOKUP($N395,Capa!$A:$AE,BH$5,0)),0,1/VLOOKUP($N395,Capa!$A:$AE,BH$5,0))))</f>
        <v/>
      </c>
      <c r="BI395" s="118" t="str">
        <f>IF(BI$6="","",IF(BI$3="Maior",IFERROR(IF(VLOOKUP($N395,Capa!$A:$AE,BI$5,0)="",0,VLOOKUP($N395,Capa!$A:$AE,BI$5,0)),0),IF(ISERROR(1/VLOOKUP($N395,Capa!$A:$AE,BI$5,0)),0,1/VLOOKUP($N395,Capa!$A:$AE,BI$5,0))))</f>
        <v/>
      </c>
      <c r="BJ395" s="118" t="str">
        <f>IF(BJ$6="","",IF(BJ$3="Maior",IFERROR(IF(VLOOKUP($N395,Capa!$A:$AE,BJ$5,0)="",0,VLOOKUP($N395,Capa!$A:$AE,BJ$5,0)),0),IF(ISERROR(1/VLOOKUP($N395,Capa!$A:$AE,BJ$5,0)),0,1/VLOOKUP($N395,Capa!$A:$AE,BJ$5,0))))</f>
        <v/>
      </c>
      <c r="BK395" s="118" t="str">
        <f>IF(BK$6="","",IF(BK$3="Maior",IFERROR(IF(VLOOKUP($N395,Capa!$A:$AE,BK$5,0)="",0,VLOOKUP($N395,Capa!$A:$AE,BK$5,0)),0),IF(ISERROR(1/VLOOKUP($N395,Capa!$A:$AE,BK$5,0)),0,1/VLOOKUP($N395,Capa!$A:$AE,BK$5,0))))</f>
        <v/>
      </c>
      <c r="BL395" s="118" t="str">
        <f>IF(BL$6="","",IF(BL$3="Maior",IFERROR(IF(VLOOKUP($N395,Capa!$A:$AE,BL$5,0)="",0,VLOOKUP($N395,Capa!$A:$AE,BL$5,0)),0),IF(ISERROR(1/VLOOKUP($N395,Capa!$A:$AE,BL$5,0)),0,1/VLOOKUP($N395,Capa!$A:$AE,BL$5,0))))</f>
        <v/>
      </c>
      <c r="BM395" s="118" t="str">
        <f>IF(BM$6="","",IF(BM$3="Maior",IFERROR(IF(VLOOKUP($N395,Capa!$A:$AE,BM$5,0)="",0,VLOOKUP($N395,Capa!$A:$AE,BM$5,0)),0),IF(ISERROR(1/VLOOKUP($N395,Capa!$A:$AE,BM$5,0)),0,1/VLOOKUP($N395,Capa!$A:$AE,BM$5,0))))</f>
        <v/>
      </c>
      <c r="BN395" s="118" t="str">
        <f>IF(BN$6="","",IF(BN$3="Maior",IFERROR(IF(VLOOKUP($N395,Capa!$A:$AE,BN$5,0)="",0,VLOOKUP($N395,Capa!$A:$AE,BN$5,0)),0),IF(ISERROR(1/VLOOKUP($N395,Capa!$A:$AE,BN$5,0)),0,1/VLOOKUP($N395,Capa!$A:$AE,BN$5,0))))</f>
        <v/>
      </c>
      <c r="BO395" s="92"/>
    </row>
    <row r="396">
      <c r="G396" s="11"/>
      <c r="H396" s="11"/>
      <c r="I396" s="8"/>
      <c r="J396" s="132"/>
      <c r="K396" s="11"/>
      <c r="L396" s="11"/>
      <c r="M396" s="11"/>
      <c r="N396" s="10" t="s">
        <v>442</v>
      </c>
      <c r="O396" s="113">
        <f t="shared" si="8"/>
        <v>1734.0282</v>
      </c>
      <c r="P396" s="114">
        <f>VLOOKUP(N396,'Dados StatusInvest'!A:Z,26,0)</f>
        <v>25340.67</v>
      </c>
      <c r="Q396" s="115">
        <f t="shared" si="9"/>
        <v>282.0282</v>
      </c>
      <c r="R396" s="116">
        <f t="shared" ref="R396:AO396" si="399">IF(AQ396="","", RANK(AQ396,AQ$7:AQ$503,0))</f>
        <v>233</v>
      </c>
      <c r="S396" s="115">
        <f t="shared" si="399"/>
        <v>219</v>
      </c>
      <c r="T396" s="115" t="str">
        <f t="shared" si="399"/>
        <v/>
      </c>
      <c r="U396" s="115" t="str">
        <f t="shared" si="399"/>
        <v/>
      </c>
      <c r="V396" s="115" t="str">
        <f t="shared" si="399"/>
        <v/>
      </c>
      <c r="W396" s="115" t="str">
        <f t="shared" si="399"/>
        <v/>
      </c>
      <c r="X396" s="115" t="str">
        <f t="shared" si="399"/>
        <v/>
      </c>
      <c r="Y396" s="115" t="str">
        <f t="shared" si="399"/>
        <v/>
      </c>
      <c r="Z396" s="115" t="str">
        <f t="shared" si="399"/>
        <v/>
      </c>
      <c r="AA396" s="115" t="str">
        <f t="shared" si="399"/>
        <v/>
      </c>
      <c r="AB396" s="115" t="str">
        <f t="shared" si="399"/>
        <v/>
      </c>
      <c r="AC396" s="115" t="str">
        <f t="shared" si="399"/>
        <v/>
      </c>
      <c r="AD396" s="115" t="str">
        <f t="shared" si="399"/>
        <v/>
      </c>
      <c r="AE396" s="115" t="str">
        <f t="shared" si="399"/>
        <v/>
      </c>
      <c r="AF396" s="115" t="str">
        <f t="shared" si="399"/>
        <v/>
      </c>
      <c r="AG396" s="115" t="str">
        <f t="shared" si="399"/>
        <v/>
      </c>
      <c r="AH396" s="115" t="str">
        <f t="shared" si="399"/>
        <v/>
      </c>
      <c r="AI396" s="115" t="str">
        <f t="shared" si="399"/>
        <v/>
      </c>
      <c r="AJ396" s="115" t="str">
        <f t="shared" si="399"/>
        <v/>
      </c>
      <c r="AK396" s="115" t="str">
        <f t="shared" si="399"/>
        <v/>
      </c>
      <c r="AL396" s="115" t="str">
        <f t="shared" si="399"/>
        <v/>
      </c>
      <c r="AM396" s="115" t="str">
        <f t="shared" si="399"/>
        <v/>
      </c>
      <c r="AN396" s="115" t="str">
        <f t="shared" si="399"/>
        <v/>
      </c>
      <c r="AO396" s="115" t="str">
        <f t="shared" si="399"/>
        <v/>
      </c>
      <c r="AP396" s="117">
        <f>IF(AP$6="","",IF(AP$3="Maior",IFERROR(IF(VLOOKUP($N396,Capa!$A:$AE,AP$5,0)="",0,VLOOKUP($N396,Capa!$A:$AE,AP$5,0)),0),IF(ISERROR(1/VLOOKUP($N396,Capa!$A:$AE,AP$5,0)),0,1/VLOOKUP($N396,Capa!$A:$AE,AP$5,0))))</f>
        <v>0.0635827856</v>
      </c>
      <c r="AQ396" s="118">
        <f>IF(AQ$6="","",IF(AQ$3="Maior",IFERROR(IF(VLOOKUP($N396,Capa!$A:$AE,AQ$5,0)="",0,VLOOKUP($N396,Capa!$A:$AE,AQ$5,0)),0),IF(ISERROR(1/VLOOKUP($N396,Capa!$A:$AE,AQ$5,0)),0,1/VLOOKUP($N396,Capa!$A:$AE,AQ$5,0))))</f>
        <v>9.46</v>
      </c>
      <c r="AR396" s="118">
        <f>IF(AR$6="","",IF(AR$3="Maior",IFERROR(IF(VLOOKUP($N396,Capa!$A:$AE,AR$5,0)="",0,VLOOKUP($N396,Capa!$A:$AE,AR$5,0)),0),IF(ISERROR(1/VLOOKUP($N396,Capa!$A:$AE,AR$5,0)),0,1/VLOOKUP($N396,Capa!$A:$AE,AR$5,0))))</f>
        <v>0</v>
      </c>
      <c r="AS396" s="118" t="str">
        <f>IF(AS$6="","",IF(AS$3="Maior",IFERROR(IF(VLOOKUP($N396,Capa!$A:$AE,AS$5,0)="",0,VLOOKUP($N396,Capa!$A:$AE,AS$5,0)),0),IF(ISERROR(1/VLOOKUP($N396,Capa!$A:$AE,AS$5,0)),0,1/VLOOKUP($N396,Capa!$A:$AE,AS$5,0))))</f>
        <v/>
      </c>
      <c r="AT396" s="118" t="str">
        <f>IF(AT$6="","",IF(AT$3="Maior",IFERROR(IF(VLOOKUP($N396,Capa!$A:$AE,AT$5,0)="",0,VLOOKUP($N396,Capa!$A:$AE,AT$5,0)),0),IF(ISERROR(1/VLOOKUP($N396,Capa!$A:$AE,AT$5,0)),0,1/VLOOKUP($N396,Capa!$A:$AE,AT$5,0))))</f>
        <v/>
      </c>
      <c r="AU396" s="118" t="str">
        <f>IF(AU$6="","",IF(AU$3="Maior",IFERROR(IF(VLOOKUP($N396,Capa!$A:$AE,AU$5,0)="",0,VLOOKUP($N396,Capa!$A:$AE,AU$5,0)),0),IF(ISERROR(1/VLOOKUP($N396,Capa!$A:$AE,AU$5,0)),0,1/VLOOKUP($N396,Capa!$A:$AE,AU$5,0))))</f>
        <v/>
      </c>
      <c r="AV396" s="118" t="str">
        <f>IF(AV$6="","",IF(AV$3="Maior",IFERROR(IF(VLOOKUP($N396,Capa!$A:$AE,AV$5,0)="",0,VLOOKUP($N396,Capa!$A:$AE,AV$5,0)),0),IF(ISERROR(1/VLOOKUP($N396,Capa!$A:$AE,AV$5,0)),0,1/VLOOKUP($N396,Capa!$A:$AE,AV$5,0))))</f>
        <v/>
      </c>
      <c r="AW396" s="118" t="str">
        <f>IF(AW$6="","",IF(AW$3="Maior",IFERROR(IF(VLOOKUP($N396,Capa!$A:$AE,AW$5,0)="",0,VLOOKUP($N396,Capa!$A:$AE,AW$5,0)),0),IF(ISERROR(1/VLOOKUP($N396,Capa!$A:$AE,AW$5,0)),0,1/VLOOKUP($N396,Capa!$A:$AE,AW$5,0))))</f>
        <v/>
      </c>
      <c r="AX396" s="118" t="str">
        <f>IF(AX$6="","",IF(AX$3="Maior",IFERROR(IF(VLOOKUP($N396,Capa!$A:$AE,AX$5,0)="",0,VLOOKUP($N396,Capa!$A:$AE,AX$5,0)),0),IF(ISERROR(1/VLOOKUP($N396,Capa!$A:$AE,AX$5,0)),0,1/VLOOKUP($N396,Capa!$A:$AE,AX$5,0))))</f>
        <v/>
      </c>
      <c r="AY396" s="118" t="str">
        <f>IF(AY$6="","",IF(AY$3="Maior",IFERROR(IF(VLOOKUP($N396,Capa!$A:$AE,AY$5,0)="",0,VLOOKUP($N396,Capa!$A:$AE,AY$5,0)),0),IF(ISERROR(1/VLOOKUP($N396,Capa!$A:$AE,AY$5,0)),0,1/VLOOKUP($N396,Capa!$A:$AE,AY$5,0))))</f>
        <v/>
      </c>
      <c r="AZ396" s="118" t="str">
        <f>IF(AZ$6="","",IF(AZ$3="Maior",IFERROR(IF(VLOOKUP($N396,Capa!$A:$AE,AZ$5,0)="",0,VLOOKUP($N396,Capa!$A:$AE,AZ$5,0)),0),IF(ISERROR(1/VLOOKUP($N396,Capa!$A:$AE,AZ$5,0)),0,1/VLOOKUP($N396,Capa!$A:$AE,AZ$5,0))))</f>
        <v/>
      </c>
      <c r="BA396" s="118" t="str">
        <f>IF(BA$6="","",IF(BA$3="Maior",IFERROR(IF(VLOOKUP($N396,Capa!$A:$AE,BA$5,0)="",0,VLOOKUP($N396,Capa!$A:$AE,BA$5,0)),0),IF(ISERROR(1/VLOOKUP($N396,Capa!$A:$AE,BA$5,0)),0,1/VLOOKUP($N396,Capa!$A:$AE,BA$5,0))))</f>
        <v/>
      </c>
      <c r="BB396" s="118" t="str">
        <f>IF(BB$6="","",IF(BB$3="Maior",IFERROR(IF(VLOOKUP($N396,Capa!$A:$AE,BB$5,0)="",0,VLOOKUP($N396,Capa!$A:$AE,BB$5,0)),0),IF(ISERROR(1/VLOOKUP($N396,Capa!$A:$AE,BB$5,0)),0,1/VLOOKUP($N396,Capa!$A:$AE,BB$5,0))))</f>
        <v/>
      </c>
      <c r="BC396" s="118" t="str">
        <f>IF(BC$6="","",IF(BC$3="Maior",IFERROR(IF(VLOOKUP($N396,Capa!$A:$AE,BC$5,0)="",0,VLOOKUP($N396,Capa!$A:$AE,BC$5,0)),0),IF(ISERROR(1/VLOOKUP($N396,Capa!$A:$AE,BC$5,0)),0,1/VLOOKUP($N396,Capa!$A:$AE,BC$5,0))))</f>
        <v/>
      </c>
      <c r="BD396" s="118" t="str">
        <f>IF(BD$6="","",IF(BD$3="Maior",IFERROR(IF(VLOOKUP($N396,Capa!$A:$AE,BD$5,0)="",0,VLOOKUP($N396,Capa!$A:$AE,BD$5,0)),0),IF(ISERROR(1/VLOOKUP($N396,Capa!$A:$AE,BD$5,0)),0,1/VLOOKUP($N396,Capa!$A:$AE,BD$5,0))))</f>
        <v/>
      </c>
      <c r="BE396" s="118" t="str">
        <f>IF(BE$6="","",IF(BE$3="Maior",IFERROR(IF(VLOOKUP($N396,Capa!$A:$AE,BE$5,0)="",0,VLOOKUP($N396,Capa!$A:$AE,BE$5,0)),0),IF(ISERROR(1/VLOOKUP($N396,Capa!$A:$AE,BE$5,0)),0,1/VLOOKUP($N396,Capa!$A:$AE,BE$5,0))))</f>
        <v/>
      </c>
      <c r="BF396" s="118" t="str">
        <f>IF(BF$6="","",IF(BF$3="Maior",IFERROR(IF(VLOOKUP($N396,Capa!$A:$AE,BF$5,0)="",0,VLOOKUP($N396,Capa!$A:$AE,BF$5,0)),0),IF(ISERROR(1/VLOOKUP($N396,Capa!$A:$AE,BF$5,0)),0,1/VLOOKUP($N396,Capa!$A:$AE,BF$5,0))))</f>
        <v/>
      </c>
      <c r="BG396" s="118" t="str">
        <f>IF(BG$6="","",IF(BG$3="Maior",IFERROR(IF(VLOOKUP($N396,Capa!$A:$AE,BG$5,0)="",0,VLOOKUP($N396,Capa!$A:$AE,BG$5,0)),0),IF(ISERROR(1/VLOOKUP($N396,Capa!$A:$AE,BG$5,0)),0,1/VLOOKUP($N396,Capa!$A:$AE,BG$5,0))))</f>
        <v/>
      </c>
      <c r="BH396" s="118" t="str">
        <f>IF(BH$6="","",IF(BH$3="Maior",IFERROR(IF(VLOOKUP($N396,Capa!$A:$AE,BH$5,0)="",0,VLOOKUP($N396,Capa!$A:$AE,BH$5,0)),0),IF(ISERROR(1/VLOOKUP($N396,Capa!$A:$AE,BH$5,0)),0,1/VLOOKUP($N396,Capa!$A:$AE,BH$5,0))))</f>
        <v/>
      </c>
      <c r="BI396" s="118" t="str">
        <f>IF(BI$6="","",IF(BI$3="Maior",IFERROR(IF(VLOOKUP($N396,Capa!$A:$AE,BI$5,0)="",0,VLOOKUP($N396,Capa!$A:$AE,BI$5,0)),0),IF(ISERROR(1/VLOOKUP($N396,Capa!$A:$AE,BI$5,0)),0,1/VLOOKUP($N396,Capa!$A:$AE,BI$5,0))))</f>
        <v/>
      </c>
      <c r="BJ396" s="118" t="str">
        <f>IF(BJ$6="","",IF(BJ$3="Maior",IFERROR(IF(VLOOKUP($N396,Capa!$A:$AE,BJ$5,0)="",0,VLOOKUP($N396,Capa!$A:$AE,BJ$5,0)),0),IF(ISERROR(1/VLOOKUP($N396,Capa!$A:$AE,BJ$5,0)),0,1/VLOOKUP($N396,Capa!$A:$AE,BJ$5,0))))</f>
        <v/>
      </c>
      <c r="BK396" s="118" t="str">
        <f>IF(BK$6="","",IF(BK$3="Maior",IFERROR(IF(VLOOKUP($N396,Capa!$A:$AE,BK$5,0)="",0,VLOOKUP($N396,Capa!$A:$AE,BK$5,0)),0),IF(ISERROR(1/VLOOKUP($N396,Capa!$A:$AE,BK$5,0)),0,1/VLOOKUP($N396,Capa!$A:$AE,BK$5,0))))</f>
        <v/>
      </c>
      <c r="BL396" s="118" t="str">
        <f>IF(BL$6="","",IF(BL$3="Maior",IFERROR(IF(VLOOKUP($N396,Capa!$A:$AE,BL$5,0)="",0,VLOOKUP($N396,Capa!$A:$AE,BL$5,0)),0),IF(ISERROR(1/VLOOKUP($N396,Capa!$A:$AE,BL$5,0)),0,1/VLOOKUP($N396,Capa!$A:$AE,BL$5,0))))</f>
        <v/>
      </c>
      <c r="BM396" s="118" t="str">
        <f>IF(BM$6="","",IF(BM$3="Maior",IFERROR(IF(VLOOKUP($N396,Capa!$A:$AE,BM$5,0)="",0,VLOOKUP($N396,Capa!$A:$AE,BM$5,0)),0),IF(ISERROR(1/VLOOKUP($N396,Capa!$A:$AE,BM$5,0)),0,1/VLOOKUP($N396,Capa!$A:$AE,BM$5,0))))</f>
        <v/>
      </c>
      <c r="BN396" s="118" t="str">
        <f>IF(BN$6="","",IF(BN$3="Maior",IFERROR(IF(VLOOKUP($N396,Capa!$A:$AE,BN$5,0)="",0,VLOOKUP($N396,Capa!$A:$AE,BN$5,0)),0),IF(ISERROR(1/VLOOKUP($N396,Capa!$A:$AE,BN$5,0)),0,1/VLOOKUP($N396,Capa!$A:$AE,BN$5,0))))</f>
        <v/>
      </c>
      <c r="BO396" s="92"/>
    </row>
    <row r="397">
      <c r="G397" s="11"/>
      <c r="H397" s="11"/>
      <c r="I397" s="8"/>
      <c r="J397" s="132"/>
      <c r="K397" s="11"/>
      <c r="L397" s="11"/>
      <c r="M397" s="11"/>
      <c r="N397" s="10" t="s">
        <v>443</v>
      </c>
      <c r="O397" s="113">
        <f t="shared" si="8"/>
        <v>1564.0279</v>
      </c>
      <c r="P397" s="114">
        <f>VLOOKUP(N397,'Dados StatusInvest'!A:Z,26,0)</f>
        <v>37500</v>
      </c>
      <c r="Q397" s="115">
        <f t="shared" si="9"/>
        <v>279.0279</v>
      </c>
      <c r="R397" s="116">
        <f t="shared" ref="R397:AO397" si="400">IF(AQ397="","", RANK(AQ397,AQ$7:AQ$503,0))</f>
        <v>66</v>
      </c>
      <c r="S397" s="115">
        <f t="shared" si="400"/>
        <v>219</v>
      </c>
      <c r="T397" s="115" t="str">
        <f t="shared" si="400"/>
        <v/>
      </c>
      <c r="U397" s="115" t="str">
        <f t="shared" si="400"/>
        <v/>
      </c>
      <c r="V397" s="115" t="str">
        <f t="shared" si="400"/>
        <v/>
      </c>
      <c r="W397" s="115" t="str">
        <f t="shared" si="400"/>
        <v/>
      </c>
      <c r="X397" s="115" t="str">
        <f t="shared" si="400"/>
        <v/>
      </c>
      <c r="Y397" s="115" t="str">
        <f t="shared" si="400"/>
        <v/>
      </c>
      <c r="Z397" s="115" t="str">
        <f t="shared" si="400"/>
        <v/>
      </c>
      <c r="AA397" s="115" t="str">
        <f t="shared" si="400"/>
        <v/>
      </c>
      <c r="AB397" s="115" t="str">
        <f t="shared" si="400"/>
        <v/>
      </c>
      <c r="AC397" s="115" t="str">
        <f t="shared" si="400"/>
        <v/>
      </c>
      <c r="AD397" s="115" t="str">
        <f t="shared" si="400"/>
        <v/>
      </c>
      <c r="AE397" s="115" t="str">
        <f t="shared" si="400"/>
        <v/>
      </c>
      <c r="AF397" s="115" t="str">
        <f t="shared" si="400"/>
        <v/>
      </c>
      <c r="AG397" s="115" t="str">
        <f t="shared" si="400"/>
        <v/>
      </c>
      <c r="AH397" s="115" t="str">
        <f t="shared" si="400"/>
        <v/>
      </c>
      <c r="AI397" s="115" t="str">
        <f t="shared" si="400"/>
        <v/>
      </c>
      <c r="AJ397" s="115" t="str">
        <f t="shared" si="400"/>
        <v/>
      </c>
      <c r="AK397" s="115" t="str">
        <f t="shared" si="400"/>
        <v/>
      </c>
      <c r="AL397" s="115" t="str">
        <f t="shared" si="400"/>
        <v/>
      </c>
      <c r="AM397" s="115" t="str">
        <f t="shared" si="400"/>
        <v/>
      </c>
      <c r="AN397" s="115" t="str">
        <f t="shared" si="400"/>
        <v/>
      </c>
      <c r="AO397" s="115" t="str">
        <f t="shared" si="400"/>
        <v/>
      </c>
      <c r="AP397" s="117">
        <f>IF(AP$6="","",IF(AP$3="Maior",IFERROR(IF(VLOOKUP($N397,Capa!$A:$AE,AP$5,0)="",0,VLOOKUP($N397,Capa!$A:$AE,AP$5,0)),0),IF(ISERROR(1/VLOOKUP($N397,Capa!$A:$AE,AP$5,0)),0,1/VLOOKUP($N397,Capa!$A:$AE,AP$5,0))))</f>
        <v>0.06600869495</v>
      </c>
      <c r="AQ397" s="118">
        <f>IF(AQ$6="","",IF(AQ$3="Maior",IFERROR(IF(VLOOKUP($N397,Capa!$A:$AE,AQ$5,0)="",0,VLOOKUP($N397,Capa!$A:$AE,AQ$5,0)),0),IF(ISERROR(1/VLOOKUP($N397,Capa!$A:$AE,AQ$5,0)),0,1/VLOOKUP($N397,Capa!$A:$AE,AQ$5,0))))</f>
        <v>22.96</v>
      </c>
      <c r="AR397" s="118">
        <f>IF(AR$6="","",IF(AR$3="Maior",IFERROR(IF(VLOOKUP($N397,Capa!$A:$AE,AR$5,0)="",0,VLOOKUP($N397,Capa!$A:$AE,AR$5,0)),0),IF(ISERROR(1/VLOOKUP($N397,Capa!$A:$AE,AR$5,0)),0,1/VLOOKUP($N397,Capa!$A:$AE,AR$5,0))))</f>
        <v>0</v>
      </c>
      <c r="AS397" s="118" t="str">
        <f>IF(AS$6="","",IF(AS$3="Maior",IFERROR(IF(VLOOKUP($N397,Capa!$A:$AE,AS$5,0)="",0,VLOOKUP($N397,Capa!$A:$AE,AS$5,0)),0),IF(ISERROR(1/VLOOKUP($N397,Capa!$A:$AE,AS$5,0)),0,1/VLOOKUP($N397,Capa!$A:$AE,AS$5,0))))</f>
        <v/>
      </c>
      <c r="AT397" s="118" t="str">
        <f>IF(AT$6="","",IF(AT$3="Maior",IFERROR(IF(VLOOKUP($N397,Capa!$A:$AE,AT$5,0)="",0,VLOOKUP($N397,Capa!$A:$AE,AT$5,0)),0),IF(ISERROR(1/VLOOKUP($N397,Capa!$A:$AE,AT$5,0)),0,1/VLOOKUP($N397,Capa!$A:$AE,AT$5,0))))</f>
        <v/>
      </c>
      <c r="AU397" s="118" t="str">
        <f>IF(AU$6="","",IF(AU$3="Maior",IFERROR(IF(VLOOKUP($N397,Capa!$A:$AE,AU$5,0)="",0,VLOOKUP($N397,Capa!$A:$AE,AU$5,0)),0),IF(ISERROR(1/VLOOKUP($N397,Capa!$A:$AE,AU$5,0)),0,1/VLOOKUP($N397,Capa!$A:$AE,AU$5,0))))</f>
        <v/>
      </c>
      <c r="AV397" s="118" t="str">
        <f>IF(AV$6="","",IF(AV$3="Maior",IFERROR(IF(VLOOKUP($N397,Capa!$A:$AE,AV$5,0)="",0,VLOOKUP($N397,Capa!$A:$AE,AV$5,0)),0),IF(ISERROR(1/VLOOKUP($N397,Capa!$A:$AE,AV$5,0)),0,1/VLOOKUP($N397,Capa!$A:$AE,AV$5,0))))</f>
        <v/>
      </c>
      <c r="AW397" s="118" t="str">
        <f>IF(AW$6="","",IF(AW$3="Maior",IFERROR(IF(VLOOKUP($N397,Capa!$A:$AE,AW$5,0)="",0,VLOOKUP($N397,Capa!$A:$AE,AW$5,0)),0),IF(ISERROR(1/VLOOKUP($N397,Capa!$A:$AE,AW$5,0)),0,1/VLOOKUP($N397,Capa!$A:$AE,AW$5,0))))</f>
        <v/>
      </c>
      <c r="AX397" s="118" t="str">
        <f>IF(AX$6="","",IF(AX$3="Maior",IFERROR(IF(VLOOKUP($N397,Capa!$A:$AE,AX$5,0)="",0,VLOOKUP($N397,Capa!$A:$AE,AX$5,0)),0),IF(ISERROR(1/VLOOKUP($N397,Capa!$A:$AE,AX$5,0)),0,1/VLOOKUP($N397,Capa!$A:$AE,AX$5,0))))</f>
        <v/>
      </c>
      <c r="AY397" s="118" t="str">
        <f>IF(AY$6="","",IF(AY$3="Maior",IFERROR(IF(VLOOKUP($N397,Capa!$A:$AE,AY$5,0)="",0,VLOOKUP($N397,Capa!$A:$AE,AY$5,0)),0),IF(ISERROR(1/VLOOKUP($N397,Capa!$A:$AE,AY$5,0)),0,1/VLOOKUP($N397,Capa!$A:$AE,AY$5,0))))</f>
        <v/>
      </c>
      <c r="AZ397" s="118" t="str">
        <f>IF(AZ$6="","",IF(AZ$3="Maior",IFERROR(IF(VLOOKUP($N397,Capa!$A:$AE,AZ$5,0)="",0,VLOOKUP($N397,Capa!$A:$AE,AZ$5,0)),0),IF(ISERROR(1/VLOOKUP($N397,Capa!$A:$AE,AZ$5,0)),0,1/VLOOKUP($N397,Capa!$A:$AE,AZ$5,0))))</f>
        <v/>
      </c>
      <c r="BA397" s="118" t="str">
        <f>IF(BA$6="","",IF(BA$3="Maior",IFERROR(IF(VLOOKUP($N397,Capa!$A:$AE,BA$5,0)="",0,VLOOKUP($N397,Capa!$A:$AE,BA$5,0)),0),IF(ISERROR(1/VLOOKUP($N397,Capa!$A:$AE,BA$5,0)),0,1/VLOOKUP($N397,Capa!$A:$AE,BA$5,0))))</f>
        <v/>
      </c>
      <c r="BB397" s="118" t="str">
        <f>IF(BB$6="","",IF(BB$3="Maior",IFERROR(IF(VLOOKUP($N397,Capa!$A:$AE,BB$5,0)="",0,VLOOKUP($N397,Capa!$A:$AE,BB$5,0)),0),IF(ISERROR(1/VLOOKUP($N397,Capa!$A:$AE,BB$5,0)),0,1/VLOOKUP($N397,Capa!$A:$AE,BB$5,0))))</f>
        <v/>
      </c>
      <c r="BC397" s="118" t="str">
        <f>IF(BC$6="","",IF(BC$3="Maior",IFERROR(IF(VLOOKUP($N397,Capa!$A:$AE,BC$5,0)="",0,VLOOKUP($N397,Capa!$A:$AE,BC$5,0)),0),IF(ISERROR(1/VLOOKUP($N397,Capa!$A:$AE,BC$5,0)),0,1/VLOOKUP($N397,Capa!$A:$AE,BC$5,0))))</f>
        <v/>
      </c>
      <c r="BD397" s="118" t="str">
        <f>IF(BD$6="","",IF(BD$3="Maior",IFERROR(IF(VLOOKUP($N397,Capa!$A:$AE,BD$5,0)="",0,VLOOKUP($N397,Capa!$A:$AE,BD$5,0)),0),IF(ISERROR(1/VLOOKUP($N397,Capa!$A:$AE,BD$5,0)),0,1/VLOOKUP($N397,Capa!$A:$AE,BD$5,0))))</f>
        <v/>
      </c>
      <c r="BE397" s="118" t="str">
        <f>IF(BE$6="","",IF(BE$3="Maior",IFERROR(IF(VLOOKUP($N397,Capa!$A:$AE,BE$5,0)="",0,VLOOKUP($N397,Capa!$A:$AE,BE$5,0)),0),IF(ISERROR(1/VLOOKUP($N397,Capa!$A:$AE,BE$5,0)),0,1/VLOOKUP($N397,Capa!$A:$AE,BE$5,0))))</f>
        <v/>
      </c>
      <c r="BF397" s="118" t="str">
        <f>IF(BF$6="","",IF(BF$3="Maior",IFERROR(IF(VLOOKUP($N397,Capa!$A:$AE,BF$5,0)="",0,VLOOKUP($N397,Capa!$A:$AE,BF$5,0)),0),IF(ISERROR(1/VLOOKUP($N397,Capa!$A:$AE,BF$5,0)),0,1/VLOOKUP($N397,Capa!$A:$AE,BF$5,0))))</f>
        <v/>
      </c>
      <c r="BG397" s="118" t="str">
        <f>IF(BG$6="","",IF(BG$3="Maior",IFERROR(IF(VLOOKUP($N397,Capa!$A:$AE,BG$5,0)="",0,VLOOKUP($N397,Capa!$A:$AE,BG$5,0)),0),IF(ISERROR(1/VLOOKUP($N397,Capa!$A:$AE,BG$5,0)),0,1/VLOOKUP($N397,Capa!$A:$AE,BG$5,0))))</f>
        <v/>
      </c>
      <c r="BH397" s="118" t="str">
        <f>IF(BH$6="","",IF(BH$3="Maior",IFERROR(IF(VLOOKUP($N397,Capa!$A:$AE,BH$5,0)="",0,VLOOKUP($N397,Capa!$A:$AE,BH$5,0)),0),IF(ISERROR(1/VLOOKUP($N397,Capa!$A:$AE,BH$5,0)),0,1/VLOOKUP($N397,Capa!$A:$AE,BH$5,0))))</f>
        <v/>
      </c>
      <c r="BI397" s="118" t="str">
        <f>IF(BI$6="","",IF(BI$3="Maior",IFERROR(IF(VLOOKUP($N397,Capa!$A:$AE,BI$5,0)="",0,VLOOKUP($N397,Capa!$A:$AE,BI$5,0)),0),IF(ISERROR(1/VLOOKUP($N397,Capa!$A:$AE,BI$5,0)),0,1/VLOOKUP($N397,Capa!$A:$AE,BI$5,0))))</f>
        <v/>
      </c>
      <c r="BJ397" s="118" t="str">
        <f>IF(BJ$6="","",IF(BJ$3="Maior",IFERROR(IF(VLOOKUP($N397,Capa!$A:$AE,BJ$5,0)="",0,VLOOKUP($N397,Capa!$A:$AE,BJ$5,0)),0),IF(ISERROR(1/VLOOKUP($N397,Capa!$A:$AE,BJ$5,0)),0,1/VLOOKUP($N397,Capa!$A:$AE,BJ$5,0))))</f>
        <v/>
      </c>
      <c r="BK397" s="118" t="str">
        <f>IF(BK$6="","",IF(BK$3="Maior",IFERROR(IF(VLOOKUP($N397,Capa!$A:$AE,BK$5,0)="",0,VLOOKUP($N397,Capa!$A:$AE,BK$5,0)),0),IF(ISERROR(1/VLOOKUP($N397,Capa!$A:$AE,BK$5,0)),0,1/VLOOKUP($N397,Capa!$A:$AE,BK$5,0))))</f>
        <v/>
      </c>
      <c r="BL397" s="118" t="str">
        <f>IF(BL$6="","",IF(BL$3="Maior",IFERROR(IF(VLOOKUP($N397,Capa!$A:$AE,BL$5,0)="",0,VLOOKUP($N397,Capa!$A:$AE,BL$5,0)),0),IF(ISERROR(1/VLOOKUP($N397,Capa!$A:$AE,BL$5,0)),0,1/VLOOKUP($N397,Capa!$A:$AE,BL$5,0))))</f>
        <v/>
      </c>
      <c r="BM397" s="118" t="str">
        <f>IF(BM$6="","",IF(BM$3="Maior",IFERROR(IF(VLOOKUP($N397,Capa!$A:$AE,BM$5,0)="",0,VLOOKUP($N397,Capa!$A:$AE,BM$5,0)),0),IF(ISERROR(1/VLOOKUP($N397,Capa!$A:$AE,BM$5,0)),0,1/VLOOKUP($N397,Capa!$A:$AE,BM$5,0))))</f>
        <v/>
      </c>
      <c r="BN397" s="118" t="str">
        <f>IF(BN$6="","",IF(BN$3="Maior",IFERROR(IF(VLOOKUP($N397,Capa!$A:$AE,BN$5,0)="",0,VLOOKUP($N397,Capa!$A:$AE,BN$5,0)),0),IF(ISERROR(1/VLOOKUP($N397,Capa!$A:$AE,BN$5,0)),0,1/VLOOKUP($N397,Capa!$A:$AE,BN$5,0))))</f>
        <v/>
      </c>
      <c r="BO397" s="92"/>
    </row>
    <row r="398">
      <c r="G398" s="11"/>
      <c r="H398" s="11"/>
      <c r="I398" s="8"/>
      <c r="J398" s="132"/>
      <c r="K398" s="11"/>
      <c r="L398" s="11"/>
      <c r="M398" s="11"/>
      <c r="N398" s="10" t="s">
        <v>444</v>
      </c>
      <c r="O398" s="113">
        <f t="shared" si="8"/>
        <v>1490.017</v>
      </c>
      <c r="P398" s="114">
        <f>VLOOKUP(N398,'Dados StatusInvest'!A:Z,26,0)</f>
        <v>17269.8</v>
      </c>
      <c r="Q398" s="115">
        <f t="shared" si="9"/>
        <v>170.017</v>
      </c>
      <c r="R398" s="116">
        <f t="shared" ref="R398:AO398" si="401">IF(AQ398="","", RANK(AQ398,AQ$7:AQ$503,0))</f>
        <v>170</v>
      </c>
      <c r="S398" s="115">
        <f t="shared" si="401"/>
        <v>150</v>
      </c>
      <c r="T398" s="115" t="str">
        <f t="shared" si="401"/>
        <v/>
      </c>
      <c r="U398" s="115" t="str">
        <f t="shared" si="401"/>
        <v/>
      </c>
      <c r="V398" s="115" t="str">
        <f t="shared" si="401"/>
        <v/>
      </c>
      <c r="W398" s="115" t="str">
        <f t="shared" si="401"/>
        <v/>
      </c>
      <c r="X398" s="115" t="str">
        <f t="shared" si="401"/>
        <v/>
      </c>
      <c r="Y398" s="115" t="str">
        <f t="shared" si="401"/>
        <v/>
      </c>
      <c r="Z398" s="115" t="str">
        <f t="shared" si="401"/>
        <v/>
      </c>
      <c r="AA398" s="115" t="str">
        <f t="shared" si="401"/>
        <v/>
      </c>
      <c r="AB398" s="115" t="str">
        <f t="shared" si="401"/>
        <v/>
      </c>
      <c r="AC398" s="115" t="str">
        <f t="shared" si="401"/>
        <v/>
      </c>
      <c r="AD398" s="115" t="str">
        <f t="shared" si="401"/>
        <v/>
      </c>
      <c r="AE398" s="115" t="str">
        <f t="shared" si="401"/>
        <v/>
      </c>
      <c r="AF398" s="115" t="str">
        <f t="shared" si="401"/>
        <v/>
      </c>
      <c r="AG398" s="115" t="str">
        <f t="shared" si="401"/>
        <v/>
      </c>
      <c r="AH398" s="115" t="str">
        <f t="shared" si="401"/>
        <v/>
      </c>
      <c r="AI398" s="115" t="str">
        <f t="shared" si="401"/>
        <v/>
      </c>
      <c r="AJ398" s="115" t="str">
        <f t="shared" si="401"/>
        <v/>
      </c>
      <c r="AK398" s="115" t="str">
        <f t="shared" si="401"/>
        <v/>
      </c>
      <c r="AL398" s="115" t="str">
        <f t="shared" si="401"/>
        <v/>
      </c>
      <c r="AM398" s="115" t="str">
        <f t="shared" si="401"/>
        <v/>
      </c>
      <c r="AN398" s="115" t="str">
        <f t="shared" si="401"/>
        <v/>
      </c>
      <c r="AO398" s="115" t="str">
        <f t="shared" si="401"/>
        <v/>
      </c>
      <c r="AP398" s="117">
        <f>IF(AP$6="","",IF(AP$3="Maior",IFERROR(IF(VLOOKUP($N398,Capa!$A:$AE,AP$5,0)="",0,VLOOKUP($N398,Capa!$A:$AE,AP$5,0)),0),IF(ISERROR(1/VLOOKUP($N398,Capa!$A:$AE,AP$5,0)),0,1/VLOOKUP($N398,Capa!$A:$AE,AP$5,0))))</f>
        <v>0.1233588862</v>
      </c>
      <c r="AQ398" s="118">
        <f>IF(AQ$6="","",IF(AQ$3="Maior",IFERROR(IF(VLOOKUP($N398,Capa!$A:$AE,AQ$5,0)="",0,VLOOKUP($N398,Capa!$A:$AE,AQ$5,0)),0),IF(ISERROR(1/VLOOKUP($N398,Capa!$A:$AE,AQ$5,0)),0,1/VLOOKUP($N398,Capa!$A:$AE,AQ$5,0))))</f>
        <v>13.07</v>
      </c>
      <c r="AR398" s="118">
        <f>IF(AR$6="","",IF(AR$3="Maior",IFERROR(IF(VLOOKUP($N398,Capa!$A:$AE,AR$5,0)="",0,VLOOKUP($N398,Capa!$A:$AE,AR$5,0)),0),IF(ISERROR(1/VLOOKUP($N398,Capa!$A:$AE,AR$5,0)),0,1/VLOOKUP($N398,Capa!$A:$AE,AR$5,0))))</f>
        <v>15.18</v>
      </c>
      <c r="AS398" s="118" t="str">
        <f>IF(AS$6="","",IF(AS$3="Maior",IFERROR(IF(VLOOKUP($N398,Capa!$A:$AE,AS$5,0)="",0,VLOOKUP($N398,Capa!$A:$AE,AS$5,0)),0),IF(ISERROR(1/VLOOKUP($N398,Capa!$A:$AE,AS$5,0)),0,1/VLOOKUP($N398,Capa!$A:$AE,AS$5,0))))</f>
        <v/>
      </c>
      <c r="AT398" s="118" t="str">
        <f>IF(AT$6="","",IF(AT$3="Maior",IFERROR(IF(VLOOKUP($N398,Capa!$A:$AE,AT$5,0)="",0,VLOOKUP($N398,Capa!$A:$AE,AT$5,0)),0),IF(ISERROR(1/VLOOKUP($N398,Capa!$A:$AE,AT$5,0)),0,1/VLOOKUP($N398,Capa!$A:$AE,AT$5,0))))</f>
        <v/>
      </c>
      <c r="AU398" s="118" t="str">
        <f>IF(AU$6="","",IF(AU$3="Maior",IFERROR(IF(VLOOKUP($N398,Capa!$A:$AE,AU$5,0)="",0,VLOOKUP($N398,Capa!$A:$AE,AU$5,0)),0),IF(ISERROR(1/VLOOKUP($N398,Capa!$A:$AE,AU$5,0)),0,1/VLOOKUP($N398,Capa!$A:$AE,AU$5,0))))</f>
        <v/>
      </c>
      <c r="AV398" s="118" t="str">
        <f>IF(AV$6="","",IF(AV$3="Maior",IFERROR(IF(VLOOKUP($N398,Capa!$A:$AE,AV$5,0)="",0,VLOOKUP($N398,Capa!$A:$AE,AV$5,0)),0),IF(ISERROR(1/VLOOKUP($N398,Capa!$A:$AE,AV$5,0)),0,1/VLOOKUP($N398,Capa!$A:$AE,AV$5,0))))</f>
        <v/>
      </c>
      <c r="AW398" s="118" t="str">
        <f>IF(AW$6="","",IF(AW$3="Maior",IFERROR(IF(VLOOKUP($N398,Capa!$A:$AE,AW$5,0)="",0,VLOOKUP($N398,Capa!$A:$AE,AW$5,0)),0),IF(ISERROR(1/VLOOKUP($N398,Capa!$A:$AE,AW$5,0)),0,1/VLOOKUP($N398,Capa!$A:$AE,AW$5,0))))</f>
        <v/>
      </c>
      <c r="AX398" s="118" t="str">
        <f>IF(AX$6="","",IF(AX$3="Maior",IFERROR(IF(VLOOKUP($N398,Capa!$A:$AE,AX$5,0)="",0,VLOOKUP($N398,Capa!$A:$AE,AX$5,0)),0),IF(ISERROR(1/VLOOKUP($N398,Capa!$A:$AE,AX$5,0)),0,1/VLOOKUP($N398,Capa!$A:$AE,AX$5,0))))</f>
        <v/>
      </c>
      <c r="AY398" s="118" t="str">
        <f>IF(AY$6="","",IF(AY$3="Maior",IFERROR(IF(VLOOKUP($N398,Capa!$A:$AE,AY$5,0)="",0,VLOOKUP($N398,Capa!$A:$AE,AY$5,0)),0),IF(ISERROR(1/VLOOKUP($N398,Capa!$A:$AE,AY$5,0)),0,1/VLOOKUP($N398,Capa!$A:$AE,AY$5,0))))</f>
        <v/>
      </c>
      <c r="AZ398" s="118" t="str">
        <f>IF(AZ$6="","",IF(AZ$3="Maior",IFERROR(IF(VLOOKUP($N398,Capa!$A:$AE,AZ$5,0)="",0,VLOOKUP($N398,Capa!$A:$AE,AZ$5,0)),0),IF(ISERROR(1/VLOOKUP($N398,Capa!$A:$AE,AZ$5,0)),0,1/VLOOKUP($N398,Capa!$A:$AE,AZ$5,0))))</f>
        <v/>
      </c>
      <c r="BA398" s="118" t="str">
        <f>IF(BA$6="","",IF(BA$3="Maior",IFERROR(IF(VLOOKUP($N398,Capa!$A:$AE,BA$5,0)="",0,VLOOKUP($N398,Capa!$A:$AE,BA$5,0)),0),IF(ISERROR(1/VLOOKUP($N398,Capa!$A:$AE,BA$5,0)),0,1/VLOOKUP($N398,Capa!$A:$AE,BA$5,0))))</f>
        <v/>
      </c>
      <c r="BB398" s="118" t="str">
        <f>IF(BB$6="","",IF(BB$3="Maior",IFERROR(IF(VLOOKUP($N398,Capa!$A:$AE,BB$5,0)="",0,VLOOKUP($N398,Capa!$A:$AE,BB$5,0)),0),IF(ISERROR(1/VLOOKUP($N398,Capa!$A:$AE,BB$5,0)),0,1/VLOOKUP($N398,Capa!$A:$AE,BB$5,0))))</f>
        <v/>
      </c>
      <c r="BC398" s="118" t="str">
        <f>IF(BC$6="","",IF(BC$3="Maior",IFERROR(IF(VLOOKUP($N398,Capa!$A:$AE,BC$5,0)="",0,VLOOKUP($N398,Capa!$A:$AE,BC$5,0)),0),IF(ISERROR(1/VLOOKUP($N398,Capa!$A:$AE,BC$5,0)),0,1/VLOOKUP($N398,Capa!$A:$AE,BC$5,0))))</f>
        <v/>
      </c>
      <c r="BD398" s="118" t="str">
        <f>IF(BD$6="","",IF(BD$3="Maior",IFERROR(IF(VLOOKUP($N398,Capa!$A:$AE,BD$5,0)="",0,VLOOKUP($N398,Capa!$A:$AE,BD$5,0)),0),IF(ISERROR(1/VLOOKUP($N398,Capa!$A:$AE,BD$5,0)),0,1/VLOOKUP($N398,Capa!$A:$AE,BD$5,0))))</f>
        <v/>
      </c>
      <c r="BE398" s="118" t="str">
        <f>IF(BE$6="","",IF(BE$3="Maior",IFERROR(IF(VLOOKUP($N398,Capa!$A:$AE,BE$5,0)="",0,VLOOKUP($N398,Capa!$A:$AE,BE$5,0)),0),IF(ISERROR(1/VLOOKUP($N398,Capa!$A:$AE,BE$5,0)),0,1/VLOOKUP($N398,Capa!$A:$AE,BE$5,0))))</f>
        <v/>
      </c>
      <c r="BF398" s="118" t="str">
        <f>IF(BF$6="","",IF(BF$3="Maior",IFERROR(IF(VLOOKUP($N398,Capa!$A:$AE,BF$5,0)="",0,VLOOKUP($N398,Capa!$A:$AE,BF$5,0)),0),IF(ISERROR(1/VLOOKUP($N398,Capa!$A:$AE,BF$5,0)),0,1/VLOOKUP($N398,Capa!$A:$AE,BF$5,0))))</f>
        <v/>
      </c>
      <c r="BG398" s="118" t="str">
        <f>IF(BG$6="","",IF(BG$3="Maior",IFERROR(IF(VLOOKUP($N398,Capa!$A:$AE,BG$5,0)="",0,VLOOKUP($N398,Capa!$A:$AE,BG$5,0)),0),IF(ISERROR(1/VLOOKUP($N398,Capa!$A:$AE,BG$5,0)),0,1/VLOOKUP($N398,Capa!$A:$AE,BG$5,0))))</f>
        <v/>
      </c>
      <c r="BH398" s="118" t="str">
        <f>IF(BH$6="","",IF(BH$3="Maior",IFERROR(IF(VLOOKUP($N398,Capa!$A:$AE,BH$5,0)="",0,VLOOKUP($N398,Capa!$A:$AE,BH$5,0)),0),IF(ISERROR(1/VLOOKUP($N398,Capa!$A:$AE,BH$5,0)),0,1/VLOOKUP($N398,Capa!$A:$AE,BH$5,0))))</f>
        <v/>
      </c>
      <c r="BI398" s="118" t="str">
        <f>IF(BI$6="","",IF(BI$3="Maior",IFERROR(IF(VLOOKUP($N398,Capa!$A:$AE,BI$5,0)="",0,VLOOKUP($N398,Capa!$A:$AE,BI$5,0)),0),IF(ISERROR(1/VLOOKUP($N398,Capa!$A:$AE,BI$5,0)),0,1/VLOOKUP($N398,Capa!$A:$AE,BI$5,0))))</f>
        <v/>
      </c>
      <c r="BJ398" s="118" t="str">
        <f>IF(BJ$6="","",IF(BJ$3="Maior",IFERROR(IF(VLOOKUP($N398,Capa!$A:$AE,BJ$5,0)="",0,VLOOKUP($N398,Capa!$A:$AE,BJ$5,0)),0),IF(ISERROR(1/VLOOKUP($N398,Capa!$A:$AE,BJ$5,0)),0,1/VLOOKUP($N398,Capa!$A:$AE,BJ$5,0))))</f>
        <v/>
      </c>
      <c r="BK398" s="118" t="str">
        <f>IF(BK$6="","",IF(BK$3="Maior",IFERROR(IF(VLOOKUP($N398,Capa!$A:$AE,BK$5,0)="",0,VLOOKUP($N398,Capa!$A:$AE,BK$5,0)),0),IF(ISERROR(1/VLOOKUP($N398,Capa!$A:$AE,BK$5,0)),0,1/VLOOKUP($N398,Capa!$A:$AE,BK$5,0))))</f>
        <v/>
      </c>
      <c r="BL398" s="118" t="str">
        <f>IF(BL$6="","",IF(BL$3="Maior",IFERROR(IF(VLOOKUP($N398,Capa!$A:$AE,BL$5,0)="",0,VLOOKUP($N398,Capa!$A:$AE,BL$5,0)),0),IF(ISERROR(1/VLOOKUP($N398,Capa!$A:$AE,BL$5,0)),0,1/VLOOKUP($N398,Capa!$A:$AE,BL$5,0))))</f>
        <v/>
      </c>
      <c r="BM398" s="118" t="str">
        <f>IF(BM$6="","",IF(BM$3="Maior",IFERROR(IF(VLOOKUP($N398,Capa!$A:$AE,BM$5,0)="",0,VLOOKUP($N398,Capa!$A:$AE,BM$5,0)),0),IF(ISERROR(1/VLOOKUP($N398,Capa!$A:$AE,BM$5,0)),0,1/VLOOKUP($N398,Capa!$A:$AE,BM$5,0))))</f>
        <v/>
      </c>
      <c r="BN398" s="118" t="str">
        <f>IF(BN$6="","",IF(BN$3="Maior",IFERROR(IF(VLOOKUP($N398,Capa!$A:$AE,BN$5,0)="",0,VLOOKUP($N398,Capa!$A:$AE,BN$5,0)),0),IF(ISERROR(1/VLOOKUP($N398,Capa!$A:$AE,BN$5,0)),0,1/VLOOKUP($N398,Capa!$A:$AE,BN$5,0))))</f>
        <v/>
      </c>
      <c r="BO398" s="92"/>
    </row>
    <row r="399">
      <c r="G399" s="11"/>
      <c r="H399" s="11"/>
      <c r="I399" s="8"/>
      <c r="J399" s="132"/>
      <c r="K399" s="11"/>
      <c r="L399" s="11"/>
      <c r="M399" s="11"/>
      <c r="N399" s="10" t="s">
        <v>445</v>
      </c>
      <c r="O399" s="113">
        <f t="shared" si="8"/>
        <v>2032.0388</v>
      </c>
      <c r="P399" s="114">
        <f>VLOOKUP(N399,'Dados StatusInvest'!A:Z,26,0)</f>
        <v>41068.52</v>
      </c>
      <c r="Q399" s="115">
        <f t="shared" si="9"/>
        <v>388.0388</v>
      </c>
      <c r="R399" s="116">
        <f t="shared" ref="R399:AO399" si="402">IF(AQ399="","", RANK(AQ399,AQ$7:AQ$503,0))</f>
        <v>425</v>
      </c>
      <c r="S399" s="115">
        <f t="shared" si="402"/>
        <v>219</v>
      </c>
      <c r="T399" s="115" t="str">
        <f t="shared" si="402"/>
        <v/>
      </c>
      <c r="U399" s="115" t="str">
        <f t="shared" si="402"/>
        <v/>
      </c>
      <c r="V399" s="115" t="str">
        <f t="shared" si="402"/>
        <v/>
      </c>
      <c r="W399" s="115" t="str">
        <f t="shared" si="402"/>
        <v/>
      </c>
      <c r="X399" s="115" t="str">
        <f t="shared" si="402"/>
        <v/>
      </c>
      <c r="Y399" s="115" t="str">
        <f t="shared" si="402"/>
        <v/>
      </c>
      <c r="Z399" s="115" t="str">
        <f t="shared" si="402"/>
        <v/>
      </c>
      <c r="AA399" s="115" t="str">
        <f t="shared" si="402"/>
        <v/>
      </c>
      <c r="AB399" s="115" t="str">
        <f t="shared" si="402"/>
        <v/>
      </c>
      <c r="AC399" s="115" t="str">
        <f t="shared" si="402"/>
        <v/>
      </c>
      <c r="AD399" s="115" t="str">
        <f t="shared" si="402"/>
        <v/>
      </c>
      <c r="AE399" s="115" t="str">
        <f t="shared" si="402"/>
        <v/>
      </c>
      <c r="AF399" s="115" t="str">
        <f t="shared" si="402"/>
        <v/>
      </c>
      <c r="AG399" s="115" t="str">
        <f t="shared" si="402"/>
        <v/>
      </c>
      <c r="AH399" s="115" t="str">
        <f t="shared" si="402"/>
        <v/>
      </c>
      <c r="AI399" s="115" t="str">
        <f t="shared" si="402"/>
        <v/>
      </c>
      <c r="AJ399" s="115" t="str">
        <f t="shared" si="402"/>
        <v/>
      </c>
      <c r="AK399" s="115" t="str">
        <f t="shared" si="402"/>
        <v/>
      </c>
      <c r="AL399" s="115" t="str">
        <f t="shared" si="402"/>
        <v/>
      </c>
      <c r="AM399" s="115" t="str">
        <f t="shared" si="402"/>
        <v/>
      </c>
      <c r="AN399" s="115" t="str">
        <f t="shared" si="402"/>
        <v/>
      </c>
      <c r="AO399" s="115" t="str">
        <f t="shared" si="402"/>
        <v/>
      </c>
      <c r="AP399" s="117">
        <f>IF(AP$6="","",IF(AP$3="Maior",IFERROR(IF(VLOOKUP($N399,Capa!$A:$AE,AP$5,0)="",0,VLOOKUP($N399,Capa!$A:$AE,AP$5,0)),0),IF(ISERROR(1/VLOOKUP($N399,Capa!$A:$AE,AP$5,0)),0,1/VLOOKUP($N399,Capa!$A:$AE,AP$5,0))))</f>
        <v>0.01100545282</v>
      </c>
      <c r="AQ399" s="118">
        <f>IF(AQ$6="","",IF(AQ$3="Maior",IFERROR(IF(VLOOKUP($N399,Capa!$A:$AE,AQ$5,0)="",0,VLOOKUP($N399,Capa!$A:$AE,AQ$5,0)),0),IF(ISERROR(1/VLOOKUP($N399,Capa!$A:$AE,AQ$5,0)),0,1/VLOOKUP($N399,Capa!$A:$AE,AQ$5,0))))</f>
        <v>-0.08</v>
      </c>
      <c r="AR399" s="118">
        <f>IF(AR$6="","",IF(AR$3="Maior",IFERROR(IF(VLOOKUP($N399,Capa!$A:$AE,AR$5,0)="",0,VLOOKUP($N399,Capa!$A:$AE,AR$5,0)),0),IF(ISERROR(1/VLOOKUP($N399,Capa!$A:$AE,AR$5,0)),0,1/VLOOKUP($N399,Capa!$A:$AE,AR$5,0))))</f>
        <v>0</v>
      </c>
      <c r="AS399" s="118" t="str">
        <f>IF(AS$6="","",IF(AS$3="Maior",IFERROR(IF(VLOOKUP($N399,Capa!$A:$AE,AS$5,0)="",0,VLOOKUP($N399,Capa!$A:$AE,AS$5,0)),0),IF(ISERROR(1/VLOOKUP($N399,Capa!$A:$AE,AS$5,0)),0,1/VLOOKUP($N399,Capa!$A:$AE,AS$5,0))))</f>
        <v/>
      </c>
      <c r="AT399" s="118" t="str">
        <f>IF(AT$6="","",IF(AT$3="Maior",IFERROR(IF(VLOOKUP($N399,Capa!$A:$AE,AT$5,0)="",0,VLOOKUP($N399,Capa!$A:$AE,AT$5,0)),0),IF(ISERROR(1/VLOOKUP($N399,Capa!$A:$AE,AT$5,0)),0,1/VLOOKUP($N399,Capa!$A:$AE,AT$5,0))))</f>
        <v/>
      </c>
      <c r="AU399" s="118" t="str">
        <f>IF(AU$6="","",IF(AU$3="Maior",IFERROR(IF(VLOOKUP($N399,Capa!$A:$AE,AU$5,0)="",0,VLOOKUP($N399,Capa!$A:$AE,AU$5,0)),0),IF(ISERROR(1/VLOOKUP($N399,Capa!$A:$AE,AU$5,0)),0,1/VLOOKUP($N399,Capa!$A:$AE,AU$5,0))))</f>
        <v/>
      </c>
      <c r="AV399" s="118" t="str">
        <f>IF(AV$6="","",IF(AV$3="Maior",IFERROR(IF(VLOOKUP($N399,Capa!$A:$AE,AV$5,0)="",0,VLOOKUP($N399,Capa!$A:$AE,AV$5,0)),0),IF(ISERROR(1/VLOOKUP($N399,Capa!$A:$AE,AV$5,0)),0,1/VLOOKUP($N399,Capa!$A:$AE,AV$5,0))))</f>
        <v/>
      </c>
      <c r="AW399" s="118" t="str">
        <f>IF(AW$6="","",IF(AW$3="Maior",IFERROR(IF(VLOOKUP($N399,Capa!$A:$AE,AW$5,0)="",0,VLOOKUP($N399,Capa!$A:$AE,AW$5,0)),0),IF(ISERROR(1/VLOOKUP($N399,Capa!$A:$AE,AW$5,0)),0,1/VLOOKUP($N399,Capa!$A:$AE,AW$5,0))))</f>
        <v/>
      </c>
      <c r="AX399" s="118" t="str">
        <f>IF(AX$6="","",IF(AX$3="Maior",IFERROR(IF(VLOOKUP($N399,Capa!$A:$AE,AX$5,0)="",0,VLOOKUP($N399,Capa!$A:$AE,AX$5,0)),0),IF(ISERROR(1/VLOOKUP($N399,Capa!$A:$AE,AX$5,0)),0,1/VLOOKUP($N399,Capa!$A:$AE,AX$5,0))))</f>
        <v/>
      </c>
      <c r="AY399" s="118" t="str">
        <f>IF(AY$6="","",IF(AY$3="Maior",IFERROR(IF(VLOOKUP($N399,Capa!$A:$AE,AY$5,0)="",0,VLOOKUP($N399,Capa!$A:$AE,AY$5,0)),0),IF(ISERROR(1/VLOOKUP($N399,Capa!$A:$AE,AY$5,0)),0,1/VLOOKUP($N399,Capa!$A:$AE,AY$5,0))))</f>
        <v/>
      </c>
      <c r="AZ399" s="118" t="str">
        <f>IF(AZ$6="","",IF(AZ$3="Maior",IFERROR(IF(VLOOKUP($N399,Capa!$A:$AE,AZ$5,0)="",0,VLOOKUP($N399,Capa!$A:$AE,AZ$5,0)),0),IF(ISERROR(1/VLOOKUP($N399,Capa!$A:$AE,AZ$5,0)),0,1/VLOOKUP($N399,Capa!$A:$AE,AZ$5,0))))</f>
        <v/>
      </c>
      <c r="BA399" s="118" t="str">
        <f>IF(BA$6="","",IF(BA$3="Maior",IFERROR(IF(VLOOKUP($N399,Capa!$A:$AE,BA$5,0)="",0,VLOOKUP($N399,Capa!$A:$AE,BA$5,0)),0),IF(ISERROR(1/VLOOKUP($N399,Capa!$A:$AE,BA$5,0)),0,1/VLOOKUP($N399,Capa!$A:$AE,BA$5,0))))</f>
        <v/>
      </c>
      <c r="BB399" s="118" t="str">
        <f>IF(BB$6="","",IF(BB$3="Maior",IFERROR(IF(VLOOKUP($N399,Capa!$A:$AE,BB$5,0)="",0,VLOOKUP($N399,Capa!$A:$AE,BB$5,0)),0),IF(ISERROR(1/VLOOKUP($N399,Capa!$A:$AE,BB$5,0)),0,1/VLOOKUP($N399,Capa!$A:$AE,BB$5,0))))</f>
        <v/>
      </c>
      <c r="BC399" s="118" t="str">
        <f>IF(BC$6="","",IF(BC$3="Maior",IFERROR(IF(VLOOKUP($N399,Capa!$A:$AE,BC$5,0)="",0,VLOOKUP($N399,Capa!$A:$AE,BC$5,0)),0),IF(ISERROR(1/VLOOKUP($N399,Capa!$A:$AE,BC$5,0)),0,1/VLOOKUP($N399,Capa!$A:$AE,BC$5,0))))</f>
        <v/>
      </c>
      <c r="BD399" s="118" t="str">
        <f>IF(BD$6="","",IF(BD$3="Maior",IFERROR(IF(VLOOKUP($N399,Capa!$A:$AE,BD$5,0)="",0,VLOOKUP($N399,Capa!$A:$AE,BD$5,0)),0),IF(ISERROR(1/VLOOKUP($N399,Capa!$A:$AE,BD$5,0)),0,1/VLOOKUP($N399,Capa!$A:$AE,BD$5,0))))</f>
        <v/>
      </c>
      <c r="BE399" s="118" t="str">
        <f>IF(BE$6="","",IF(BE$3="Maior",IFERROR(IF(VLOOKUP($N399,Capa!$A:$AE,BE$5,0)="",0,VLOOKUP($N399,Capa!$A:$AE,BE$5,0)),0),IF(ISERROR(1/VLOOKUP($N399,Capa!$A:$AE,BE$5,0)),0,1/VLOOKUP($N399,Capa!$A:$AE,BE$5,0))))</f>
        <v/>
      </c>
      <c r="BF399" s="118" t="str">
        <f>IF(BF$6="","",IF(BF$3="Maior",IFERROR(IF(VLOOKUP($N399,Capa!$A:$AE,BF$5,0)="",0,VLOOKUP($N399,Capa!$A:$AE,BF$5,0)),0),IF(ISERROR(1/VLOOKUP($N399,Capa!$A:$AE,BF$5,0)),0,1/VLOOKUP($N399,Capa!$A:$AE,BF$5,0))))</f>
        <v/>
      </c>
      <c r="BG399" s="118" t="str">
        <f>IF(BG$6="","",IF(BG$3="Maior",IFERROR(IF(VLOOKUP($N399,Capa!$A:$AE,BG$5,0)="",0,VLOOKUP($N399,Capa!$A:$AE,BG$5,0)),0),IF(ISERROR(1/VLOOKUP($N399,Capa!$A:$AE,BG$5,0)),0,1/VLOOKUP($N399,Capa!$A:$AE,BG$5,0))))</f>
        <v/>
      </c>
      <c r="BH399" s="118" t="str">
        <f>IF(BH$6="","",IF(BH$3="Maior",IFERROR(IF(VLOOKUP($N399,Capa!$A:$AE,BH$5,0)="",0,VLOOKUP($N399,Capa!$A:$AE,BH$5,0)),0),IF(ISERROR(1/VLOOKUP($N399,Capa!$A:$AE,BH$5,0)),0,1/VLOOKUP($N399,Capa!$A:$AE,BH$5,0))))</f>
        <v/>
      </c>
      <c r="BI399" s="118" t="str">
        <f>IF(BI$6="","",IF(BI$3="Maior",IFERROR(IF(VLOOKUP($N399,Capa!$A:$AE,BI$5,0)="",0,VLOOKUP($N399,Capa!$A:$AE,BI$5,0)),0),IF(ISERROR(1/VLOOKUP($N399,Capa!$A:$AE,BI$5,0)),0,1/VLOOKUP($N399,Capa!$A:$AE,BI$5,0))))</f>
        <v/>
      </c>
      <c r="BJ399" s="118" t="str">
        <f>IF(BJ$6="","",IF(BJ$3="Maior",IFERROR(IF(VLOOKUP($N399,Capa!$A:$AE,BJ$5,0)="",0,VLOOKUP($N399,Capa!$A:$AE,BJ$5,0)),0),IF(ISERROR(1/VLOOKUP($N399,Capa!$A:$AE,BJ$5,0)),0,1/VLOOKUP($N399,Capa!$A:$AE,BJ$5,0))))</f>
        <v/>
      </c>
      <c r="BK399" s="118" t="str">
        <f>IF(BK$6="","",IF(BK$3="Maior",IFERROR(IF(VLOOKUP($N399,Capa!$A:$AE,BK$5,0)="",0,VLOOKUP($N399,Capa!$A:$AE,BK$5,0)),0),IF(ISERROR(1/VLOOKUP($N399,Capa!$A:$AE,BK$5,0)),0,1/VLOOKUP($N399,Capa!$A:$AE,BK$5,0))))</f>
        <v/>
      </c>
      <c r="BL399" s="118" t="str">
        <f>IF(BL$6="","",IF(BL$3="Maior",IFERROR(IF(VLOOKUP($N399,Capa!$A:$AE,BL$5,0)="",0,VLOOKUP($N399,Capa!$A:$AE,BL$5,0)),0),IF(ISERROR(1/VLOOKUP($N399,Capa!$A:$AE,BL$5,0)),0,1/VLOOKUP($N399,Capa!$A:$AE,BL$5,0))))</f>
        <v/>
      </c>
      <c r="BM399" s="118" t="str">
        <f>IF(BM$6="","",IF(BM$3="Maior",IFERROR(IF(VLOOKUP($N399,Capa!$A:$AE,BM$5,0)="",0,VLOOKUP($N399,Capa!$A:$AE,BM$5,0)),0),IF(ISERROR(1/VLOOKUP($N399,Capa!$A:$AE,BM$5,0)),0,1/VLOOKUP($N399,Capa!$A:$AE,BM$5,0))))</f>
        <v/>
      </c>
      <c r="BN399" s="118" t="str">
        <f>IF(BN$6="","",IF(BN$3="Maior",IFERROR(IF(VLOOKUP($N399,Capa!$A:$AE,BN$5,0)="",0,VLOOKUP($N399,Capa!$A:$AE,BN$5,0)),0),IF(ISERROR(1/VLOOKUP($N399,Capa!$A:$AE,BN$5,0)),0,1/VLOOKUP($N399,Capa!$A:$AE,BN$5,0))))</f>
        <v/>
      </c>
      <c r="BO399" s="92"/>
    </row>
    <row r="400">
      <c r="G400" s="11"/>
      <c r="H400" s="11"/>
      <c r="I400" s="8"/>
      <c r="J400" s="132"/>
      <c r="K400" s="11"/>
      <c r="L400" s="11"/>
      <c r="M400" s="11"/>
      <c r="N400" s="10" t="s">
        <v>446</v>
      </c>
      <c r="O400" s="113">
        <f t="shared" si="8"/>
        <v>2344.0421</v>
      </c>
      <c r="P400" s="114">
        <f>VLOOKUP(N400,'Dados StatusInvest'!A:Z,26,0)</f>
        <v>80067.19</v>
      </c>
      <c r="Q400" s="115">
        <f t="shared" si="9"/>
        <v>421.0421</v>
      </c>
      <c r="R400" s="116">
        <f t="shared" ref="R400:AO400" si="403">IF(AQ400="","", RANK(AQ400,AQ$7:AQ$503,0))</f>
        <v>427</v>
      </c>
      <c r="S400" s="115">
        <f t="shared" si="403"/>
        <v>496</v>
      </c>
      <c r="T400" s="115" t="str">
        <f t="shared" si="403"/>
        <v/>
      </c>
      <c r="U400" s="115" t="str">
        <f t="shared" si="403"/>
        <v/>
      </c>
      <c r="V400" s="115" t="str">
        <f t="shared" si="403"/>
        <v/>
      </c>
      <c r="W400" s="115" t="str">
        <f t="shared" si="403"/>
        <v/>
      </c>
      <c r="X400" s="115" t="str">
        <f t="shared" si="403"/>
        <v/>
      </c>
      <c r="Y400" s="115" t="str">
        <f t="shared" si="403"/>
        <v/>
      </c>
      <c r="Z400" s="115" t="str">
        <f t="shared" si="403"/>
        <v/>
      </c>
      <c r="AA400" s="115" t="str">
        <f t="shared" si="403"/>
        <v/>
      </c>
      <c r="AB400" s="115" t="str">
        <f t="shared" si="403"/>
        <v/>
      </c>
      <c r="AC400" s="115" t="str">
        <f t="shared" si="403"/>
        <v/>
      </c>
      <c r="AD400" s="115" t="str">
        <f t="shared" si="403"/>
        <v/>
      </c>
      <c r="AE400" s="115" t="str">
        <f t="shared" si="403"/>
        <v/>
      </c>
      <c r="AF400" s="115" t="str">
        <f t="shared" si="403"/>
        <v/>
      </c>
      <c r="AG400" s="115" t="str">
        <f t="shared" si="403"/>
        <v/>
      </c>
      <c r="AH400" s="115" t="str">
        <f t="shared" si="403"/>
        <v/>
      </c>
      <c r="AI400" s="115" t="str">
        <f t="shared" si="403"/>
        <v/>
      </c>
      <c r="AJ400" s="115" t="str">
        <f t="shared" si="403"/>
        <v/>
      </c>
      <c r="AK400" s="115" t="str">
        <f t="shared" si="403"/>
        <v/>
      </c>
      <c r="AL400" s="115" t="str">
        <f t="shared" si="403"/>
        <v/>
      </c>
      <c r="AM400" s="115" t="str">
        <f t="shared" si="403"/>
        <v/>
      </c>
      <c r="AN400" s="115" t="str">
        <f t="shared" si="403"/>
        <v/>
      </c>
      <c r="AO400" s="115" t="str">
        <f t="shared" si="403"/>
        <v/>
      </c>
      <c r="AP400" s="117">
        <f>IF(AP$6="","",IF(AP$3="Maior",IFERROR(IF(VLOOKUP($N400,Capa!$A:$AE,AP$5,0)="",0,VLOOKUP($N400,Capa!$A:$AE,AP$5,0)),0),IF(ISERROR(1/VLOOKUP($N400,Capa!$A:$AE,AP$5,0)),0,1/VLOOKUP($N400,Capa!$A:$AE,AP$5,0))))</f>
        <v>-0.02782515716</v>
      </c>
      <c r="AQ400" s="118">
        <f>IF(AQ$6="","",IF(AQ$3="Maior",IFERROR(IF(VLOOKUP($N400,Capa!$A:$AE,AQ$5,0)="",0,VLOOKUP($N400,Capa!$A:$AE,AQ$5,0)),0),IF(ISERROR(1/VLOOKUP($N400,Capa!$A:$AE,AQ$5,0)),0,1/VLOOKUP($N400,Capa!$A:$AE,AQ$5,0))))</f>
        <v>-0.11</v>
      </c>
      <c r="AR400" s="118">
        <f>IF(AR$6="","",IF(AR$3="Maior",IFERROR(IF(VLOOKUP($N400,Capa!$A:$AE,AR$5,0)="",0,VLOOKUP($N400,Capa!$A:$AE,AR$5,0)),0),IF(ISERROR(1/VLOOKUP($N400,Capa!$A:$AE,AR$5,0)),0,1/VLOOKUP($N400,Capa!$A:$AE,AR$5,0))))</f>
        <v>-22.91</v>
      </c>
      <c r="AS400" s="118" t="str">
        <f>IF(AS$6="","",IF(AS$3="Maior",IFERROR(IF(VLOOKUP($N400,Capa!$A:$AE,AS$5,0)="",0,VLOOKUP($N400,Capa!$A:$AE,AS$5,0)),0),IF(ISERROR(1/VLOOKUP($N400,Capa!$A:$AE,AS$5,0)),0,1/VLOOKUP($N400,Capa!$A:$AE,AS$5,0))))</f>
        <v/>
      </c>
      <c r="AT400" s="118" t="str">
        <f>IF(AT$6="","",IF(AT$3="Maior",IFERROR(IF(VLOOKUP($N400,Capa!$A:$AE,AT$5,0)="",0,VLOOKUP($N400,Capa!$A:$AE,AT$5,0)),0),IF(ISERROR(1/VLOOKUP($N400,Capa!$A:$AE,AT$5,0)),0,1/VLOOKUP($N400,Capa!$A:$AE,AT$5,0))))</f>
        <v/>
      </c>
      <c r="AU400" s="118" t="str">
        <f>IF(AU$6="","",IF(AU$3="Maior",IFERROR(IF(VLOOKUP($N400,Capa!$A:$AE,AU$5,0)="",0,VLOOKUP($N400,Capa!$A:$AE,AU$5,0)),0),IF(ISERROR(1/VLOOKUP($N400,Capa!$A:$AE,AU$5,0)),0,1/VLOOKUP($N400,Capa!$A:$AE,AU$5,0))))</f>
        <v/>
      </c>
      <c r="AV400" s="118" t="str">
        <f>IF(AV$6="","",IF(AV$3="Maior",IFERROR(IF(VLOOKUP($N400,Capa!$A:$AE,AV$5,0)="",0,VLOOKUP($N400,Capa!$A:$AE,AV$5,0)),0),IF(ISERROR(1/VLOOKUP($N400,Capa!$A:$AE,AV$5,0)),0,1/VLOOKUP($N400,Capa!$A:$AE,AV$5,0))))</f>
        <v/>
      </c>
      <c r="AW400" s="118" t="str">
        <f>IF(AW$6="","",IF(AW$3="Maior",IFERROR(IF(VLOOKUP($N400,Capa!$A:$AE,AW$5,0)="",0,VLOOKUP($N400,Capa!$A:$AE,AW$5,0)),0),IF(ISERROR(1/VLOOKUP($N400,Capa!$A:$AE,AW$5,0)),0,1/VLOOKUP($N400,Capa!$A:$AE,AW$5,0))))</f>
        <v/>
      </c>
      <c r="AX400" s="118" t="str">
        <f>IF(AX$6="","",IF(AX$3="Maior",IFERROR(IF(VLOOKUP($N400,Capa!$A:$AE,AX$5,0)="",0,VLOOKUP($N400,Capa!$A:$AE,AX$5,0)),0),IF(ISERROR(1/VLOOKUP($N400,Capa!$A:$AE,AX$5,0)),0,1/VLOOKUP($N400,Capa!$A:$AE,AX$5,0))))</f>
        <v/>
      </c>
      <c r="AY400" s="118" t="str">
        <f>IF(AY$6="","",IF(AY$3="Maior",IFERROR(IF(VLOOKUP($N400,Capa!$A:$AE,AY$5,0)="",0,VLOOKUP($N400,Capa!$A:$AE,AY$5,0)),0),IF(ISERROR(1/VLOOKUP($N400,Capa!$A:$AE,AY$5,0)),0,1/VLOOKUP($N400,Capa!$A:$AE,AY$5,0))))</f>
        <v/>
      </c>
      <c r="AZ400" s="118" t="str">
        <f>IF(AZ$6="","",IF(AZ$3="Maior",IFERROR(IF(VLOOKUP($N400,Capa!$A:$AE,AZ$5,0)="",0,VLOOKUP($N400,Capa!$A:$AE,AZ$5,0)),0),IF(ISERROR(1/VLOOKUP($N400,Capa!$A:$AE,AZ$5,0)),0,1/VLOOKUP($N400,Capa!$A:$AE,AZ$5,0))))</f>
        <v/>
      </c>
      <c r="BA400" s="118" t="str">
        <f>IF(BA$6="","",IF(BA$3="Maior",IFERROR(IF(VLOOKUP($N400,Capa!$A:$AE,BA$5,0)="",0,VLOOKUP($N400,Capa!$A:$AE,BA$5,0)),0),IF(ISERROR(1/VLOOKUP($N400,Capa!$A:$AE,BA$5,0)),0,1/VLOOKUP($N400,Capa!$A:$AE,BA$5,0))))</f>
        <v/>
      </c>
      <c r="BB400" s="118" t="str">
        <f>IF(BB$6="","",IF(BB$3="Maior",IFERROR(IF(VLOOKUP($N400,Capa!$A:$AE,BB$5,0)="",0,VLOOKUP($N400,Capa!$A:$AE,BB$5,0)),0),IF(ISERROR(1/VLOOKUP($N400,Capa!$A:$AE,BB$5,0)),0,1/VLOOKUP($N400,Capa!$A:$AE,BB$5,0))))</f>
        <v/>
      </c>
      <c r="BC400" s="118" t="str">
        <f>IF(BC$6="","",IF(BC$3="Maior",IFERROR(IF(VLOOKUP($N400,Capa!$A:$AE,BC$5,0)="",0,VLOOKUP($N400,Capa!$A:$AE,BC$5,0)),0),IF(ISERROR(1/VLOOKUP($N400,Capa!$A:$AE,BC$5,0)),0,1/VLOOKUP($N400,Capa!$A:$AE,BC$5,0))))</f>
        <v/>
      </c>
      <c r="BD400" s="118" t="str">
        <f>IF(BD$6="","",IF(BD$3="Maior",IFERROR(IF(VLOOKUP($N400,Capa!$A:$AE,BD$5,0)="",0,VLOOKUP($N400,Capa!$A:$AE,BD$5,0)),0),IF(ISERROR(1/VLOOKUP($N400,Capa!$A:$AE,BD$5,0)),0,1/VLOOKUP($N400,Capa!$A:$AE,BD$5,0))))</f>
        <v/>
      </c>
      <c r="BE400" s="118" t="str">
        <f>IF(BE$6="","",IF(BE$3="Maior",IFERROR(IF(VLOOKUP($N400,Capa!$A:$AE,BE$5,0)="",0,VLOOKUP($N400,Capa!$A:$AE,BE$5,0)),0),IF(ISERROR(1/VLOOKUP($N400,Capa!$A:$AE,BE$5,0)),0,1/VLOOKUP($N400,Capa!$A:$AE,BE$5,0))))</f>
        <v/>
      </c>
      <c r="BF400" s="118" t="str">
        <f>IF(BF$6="","",IF(BF$3="Maior",IFERROR(IF(VLOOKUP($N400,Capa!$A:$AE,BF$5,0)="",0,VLOOKUP($N400,Capa!$A:$AE,BF$5,0)),0),IF(ISERROR(1/VLOOKUP($N400,Capa!$A:$AE,BF$5,0)),0,1/VLOOKUP($N400,Capa!$A:$AE,BF$5,0))))</f>
        <v/>
      </c>
      <c r="BG400" s="118" t="str">
        <f>IF(BG$6="","",IF(BG$3="Maior",IFERROR(IF(VLOOKUP($N400,Capa!$A:$AE,BG$5,0)="",0,VLOOKUP($N400,Capa!$A:$AE,BG$5,0)),0),IF(ISERROR(1/VLOOKUP($N400,Capa!$A:$AE,BG$5,0)),0,1/VLOOKUP($N400,Capa!$A:$AE,BG$5,0))))</f>
        <v/>
      </c>
      <c r="BH400" s="118" t="str">
        <f>IF(BH$6="","",IF(BH$3="Maior",IFERROR(IF(VLOOKUP($N400,Capa!$A:$AE,BH$5,0)="",0,VLOOKUP($N400,Capa!$A:$AE,BH$5,0)),0),IF(ISERROR(1/VLOOKUP($N400,Capa!$A:$AE,BH$5,0)),0,1/VLOOKUP($N400,Capa!$A:$AE,BH$5,0))))</f>
        <v/>
      </c>
      <c r="BI400" s="118" t="str">
        <f>IF(BI$6="","",IF(BI$3="Maior",IFERROR(IF(VLOOKUP($N400,Capa!$A:$AE,BI$5,0)="",0,VLOOKUP($N400,Capa!$A:$AE,BI$5,0)),0),IF(ISERROR(1/VLOOKUP($N400,Capa!$A:$AE,BI$5,0)),0,1/VLOOKUP($N400,Capa!$A:$AE,BI$5,0))))</f>
        <v/>
      </c>
      <c r="BJ400" s="118" t="str">
        <f>IF(BJ$6="","",IF(BJ$3="Maior",IFERROR(IF(VLOOKUP($N400,Capa!$A:$AE,BJ$5,0)="",0,VLOOKUP($N400,Capa!$A:$AE,BJ$5,0)),0),IF(ISERROR(1/VLOOKUP($N400,Capa!$A:$AE,BJ$5,0)),0,1/VLOOKUP($N400,Capa!$A:$AE,BJ$5,0))))</f>
        <v/>
      </c>
      <c r="BK400" s="118" t="str">
        <f>IF(BK$6="","",IF(BK$3="Maior",IFERROR(IF(VLOOKUP($N400,Capa!$A:$AE,BK$5,0)="",0,VLOOKUP($N400,Capa!$A:$AE,BK$5,0)),0),IF(ISERROR(1/VLOOKUP($N400,Capa!$A:$AE,BK$5,0)),0,1/VLOOKUP($N400,Capa!$A:$AE,BK$5,0))))</f>
        <v/>
      </c>
      <c r="BL400" s="118" t="str">
        <f>IF(BL$6="","",IF(BL$3="Maior",IFERROR(IF(VLOOKUP($N400,Capa!$A:$AE,BL$5,0)="",0,VLOOKUP($N400,Capa!$A:$AE,BL$5,0)),0),IF(ISERROR(1/VLOOKUP($N400,Capa!$A:$AE,BL$5,0)),0,1/VLOOKUP($N400,Capa!$A:$AE,BL$5,0))))</f>
        <v/>
      </c>
      <c r="BM400" s="118" t="str">
        <f>IF(BM$6="","",IF(BM$3="Maior",IFERROR(IF(VLOOKUP($N400,Capa!$A:$AE,BM$5,0)="",0,VLOOKUP($N400,Capa!$A:$AE,BM$5,0)),0),IF(ISERROR(1/VLOOKUP($N400,Capa!$A:$AE,BM$5,0)),0,1/VLOOKUP($N400,Capa!$A:$AE,BM$5,0))))</f>
        <v/>
      </c>
      <c r="BN400" s="118" t="str">
        <f>IF(BN$6="","",IF(BN$3="Maior",IFERROR(IF(VLOOKUP($N400,Capa!$A:$AE,BN$5,0)="",0,VLOOKUP($N400,Capa!$A:$AE,BN$5,0)),0),IF(ISERROR(1/VLOOKUP($N400,Capa!$A:$AE,BN$5,0)),0,1/VLOOKUP($N400,Capa!$A:$AE,BN$5,0))))</f>
        <v/>
      </c>
      <c r="BO400" s="92"/>
    </row>
    <row r="401">
      <c r="G401" s="11"/>
      <c r="H401" s="11"/>
      <c r="I401" s="8"/>
      <c r="J401" s="132"/>
      <c r="K401" s="11"/>
      <c r="L401" s="11"/>
      <c r="M401" s="11"/>
      <c r="N401" s="10" t="s">
        <v>447</v>
      </c>
      <c r="O401" s="113">
        <f t="shared" si="8"/>
        <v>1180.0083</v>
      </c>
      <c r="P401" s="114">
        <f>VLOOKUP(N401,'Dados StatusInvest'!A:Z,26,0)</f>
        <v>11258.13</v>
      </c>
      <c r="Q401" s="115">
        <f t="shared" si="9"/>
        <v>83.0083</v>
      </c>
      <c r="R401" s="116">
        <f t="shared" ref="R401:AO401" si="404">IF(AQ401="","", RANK(AQ401,AQ$7:AQ$503,0))</f>
        <v>69</v>
      </c>
      <c r="S401" s="115">
        <f t="shared" si="404"/>
        <v>28</v>
      </c>
      <c r="T401" s="115" t="str">
        <f t="shared" si="404"/>
        <v/>
      </c>
      <c r="U401" s="115" t="str">
        <f t="shared" si="404"/>
        <v/>
      </c>
      <c r="V401" s="115" t="str">
        <f t="shared" si="404"/>
        <v/>
      </c>
      <c r="W401" s="115" t="str">
        <f t="shared" si="404"/>
        <v/>
      </c>
      <c r="X401" s="115" t="str">
        <f t="shared" si="404"/>
        <v/>
      </c>
      <c r="Y401" s="115" t="str">
        <f t="shared" si="404"/>
        <v/>
      </c>
      <c r="Z401" s="115" t="str">
        <f t="shared" si="404"/>
        <v/>
      </c>
      <c r="AA401" s="115" t="str">
        <f t="shared" si="404"/>
        <v/>
      </c>
      <c r="AB401" s="115" t="str">
        <f t="shared" si="404"/>
        <v/>
      </c>
      <c r="AC401" s="115" t="str">
        <f t="shared" si="404"/>
        <v/>
      </c>
      <c r="AD401" s="115" t="str">
        <f t="shared" si="404"/>
        <v/>
      </c>
      <c r="AE401" s="115" t="str">
        <f t="shared" si="404"/>
        <v/>
      </c>
      <c r="AF401" s="115" t="str">
        <f t="shared" si="404"/>
        <v/>
      </c>
      <c r="AG401" s="115" t="str">
        <f t="shared" si="404"/>
        <v/>
      </c>
      <c r="AH401" s="115" t="str">
        <f t="shared" si="404"/>
        <v/>
      </c>
      <c r="AI401" s="115" t="str">
        <f t="shared" si="404"/>
        <v/>
      </c>
      <c r="AJ401" s="115" t="str">
        <f t="shared" si="404"/>
        <v/>
      </c>
      <c r="AK401" s="115" t="str">
        <f t="shared" si="404"/>
        <v/>
      </c>
      <c r="AL401" s="115" t="str">
        <f t="shared" si="404"/>
        <v/>
      </c>
      <c r="AM401" s="115" t="str">
        <f t="shared" si="404"/>
        <v/>
      </c>
      <c r="AN401" s="115" t="str">
        <f t="shared" si="404"/>
        <v/>
      </c>
      <c r="AO401" s="115" t="str">
        <f t="shared" si="404"/>
        <v/>
      </c>
      <c r="AP401" s="117">
        <f>IF(AP$6="","",IF(AP$3="Maior",IFERROR(IF(VLOOKUP($N401,Capa!$A:$AE,AP$5,0)="",0,VLOOKUP($N401,Capa!$A:$AE,AP$5,0)),0),IF(ISERROR(1/VLOOKUP($N401,Capa!$A:$AE,AP$5,0)),0,1/VLOOKUP($N401,Capa!$A:$AE,AP$5,0))))</f>
        <v>0.209537543</v>
      </c>
      <c r="AQ401" s="118">
        <f>IF(AQ$6="","",IF(AQ$3="Maior",IFERROR(IF(VLOOKUP($N401,Capa!$A:$AE,AQ$5,0)="",0,VLOOKUP($N401,Capa!$A:$AE,AQ$5,0)),0),IF(ISERROR(1/VLOOKUP($N401,Capa!$A:$AE,AQ$5,0)),0,1/VLOOKUP($N401,Capa!$A:$AE,AQ$5,0))))</f>
        <v>21.5</v>
      </c>
      <c r="AR401" s="118">
        <f>IF(AR$6="","",IF(AR$3="Maior",IFERROR(IF(VLOOKUP($N401,Capa!$A:$AE,AR$5,0)="",0,VLOOKUP($N401,Capa!$A:$AE,AR$5,0)),0),IF(ISERROR(1/VLOOKUP($N401,Capa!$A:$AE,AR$5,0)),0,1/VLOOKUP($N401,Capa!$A:$AE,AR$5,0))))</f>
        <v>71.82</v>
      </c>
      <c r="AS401" s="118" t="str">
        <f>IF(AS$6="","",IF(AS$3="Maior",IFERROR(IF(VLOOKUP($N401,Capa!$A:$AE,AS$5,0)="",0,VLOOKUP($N401,Capa!$A:$AE,AS$5,0)),0),IF(ISERROR(1/VLOOKUP($N401,Capa!$A:$AE,AS$5,0)),0,1/VLOOKUP($N401,Capa!$A:$AE,AS$5,0))))</f>
        <v/>
      </c>
      <c r="AT401" s="118" t="str">
        <f>IF(AT$6="","",IF(AT$3="Maior",IFERROR(IF(VLOOKUP($N401,Capa!$A:$AE,AT$5,0)="",0,VLOOKUP($N401,Capa!$A:$AE,AT$5,0)),0),IF(ISERROR(1/VLOOKUP($N401,Capa!$A:$AE,AT$5,0)),0,1/VLOOKUP($N401,Capa!$A:$AE,AT$5,0))))</f>
        <v/>
      </c>
      <c r="AU401" s="118" t="str">
        <f>IF(AU$6="","",IF(AU$3="Maior",IFERROR(IF(VLOOKUP($N401,Capa!$A:$AE,AU$5,0)="",0,VLOOKUP($N401,Capa!$A:$AE,AU$5,0)),0),IF(ISERROR(1/VLOOKUP($N401,Capa!$A:$AE,AU$5,0)),0,1/VLOOKUP($N401,Capa!$A:$AE,AU$5,0))))</f>
        <v/>
      </c>
      <c r="AV401" s="118" t="str">
        <f>IF(AV$6="","",IF(AV$3="Maior",IFERROR(IF(VLOOKUP($N401,Capa!$A:$AE,AV$5,0)="",0,VLOOKUP($N401,Capa!$A:$AE,AV$5,0)),0),IF(ISERROR(1/VLOOKUP($N401,Capa!$A:$AE,AV$5,0)),0,1/VLOOKUP($N401,Capa!$A:$AE,AV$5,0))))</f>
        <v/>
      </c>
      <c r="AW401" s="118" t="str">
        <f>IF(AW$6="","",IF(AW$3="Maior",IFERROR(IF(VLOOKUP($N401,Capa!$A:$AE,AW$5,0)="",0,VLOOKUP($N401,Capa!$A:$AE,AW$5,0)),0),IF(ISERROR(1/VLOOKUP($N401,Capa!$A:$AE,AW$5,0)),0,1/VLOOKUP($N401,Capa!$A:$AE,AW$5,0))))</f>
        <v/>
      </c>
      <c r="AX401" s="118" t="str">
        <f>IF(AX$6="","",IF(AX$3="Maior",IFERROR(IF(VLOOKUP($N401,Capa!$A:$AE,AX$5,0)="",0,VLOOKUP($N401,Capa!$A:$AE,AX$5,0)),0),IF(ISERROR(1/VLOOKUP($N401,Capa!$A:$AE,AX$5,0)),0,1/VLOOKUP($N401,Capa!$A:$AE,AX$5,0))))</f>
        <v/>
      </c>
      <c r="AY401" s="118" t="str">
        <f>IF(AY$6="","",IF(AY$3="Maior",IFERROR(IF(VLOOKUP($N401,Capa!$A:$AE,AY$5,0)="",0,VLOOKUP($N401,Capa!$A:$AE,AY$5,0)),0),IF(ISERROR(1/VLOOKUP($N401,Capa!$A:$AE,AY$5,0)),0,1/VLOOKUP($N401,Capa!$A:$AE,AY$5,0))))</f>
        <v/>
      </c>
      <c r="AZ401" s="118" t="str">
        <f>IF(AZ$6="","",IF(AZ$3="Maior",IFERROR(IF(VLOOKUP($N401,Capa!$A:$AE,AZ$5,0)="",0,VLOOKUP($N401,Capa!$A:$AE,AZ$5,0)),0),IF(ISERROR(1/VLOOKUP($N401,Capa!$A:$AE,AZ$5,0)),0,1/VLOOKUP($N401,Capa!$A:$AE,AZ$5,0))))</f>
        <v/>
      </c>
      <c r="BA401" s="118" t="str">
        <f>IF(BA$6="","",IF(BA$3="Maior",IFERROR(IF(VLOOKUP($N401,Capa!$A:$AE,BA$5,0)="",0,VLOOKUP($N401,Capa!$A:$AE,BA$5,0)),0),IF(ISERROR(1/VLOOKUP($N401,Capa!$A:$AE,BA$5,0)),0,1/VLOOKUP($N401,Capa!$A:$AE,BA$5,0))))</f>
        <v/>
      </c>
      <c r="BB401" s="118" t="str">
        <f>IF(BB$6="","",IF(BB$3="Maior",IFERROR(IF(VLOOKUP($N401,Capa!$A:$AE,BB$5,0)="",0,VLOOKUP($N401,Capa!$A:$AE,BB$5,0)),0),IF(ISERROR(1/VLOOKUP($N401,Capa!$A:$AE,BB$5,0)),0,1/VLOOKUP($N401,Capa!$A:$AE,BB$5,0))))</f>
        <v/>
      </c>
      <c r="BC401" s="118" t="str">
        <f>IF(BC$6="","",IF(BC$3="Maior",IFERROR(IF(VLOOKUP($N401,Capa!$A:$AE,BC$5,0)="",0,VLOOKUP($N401,Capa!$A:$AE,BC$5,0)),0),IF(ISERROR(1/VLOOKUP($N401,Capa!$A:$AE,BC$5,0)),0,1/VLOOKUP($N401,Capa!$A:$AE,BC$5,0))))</f>
        <v/>
      </c>
      <c r="BD401" s="118" t="str">
        <f>IF(BD$6="","",IF(BD$3="Maior",IFERROR(IF(VLOOKUP($N401,Capa!$A:$AE,BD$5,0)="",0,VLOOKUP($N401,Capa!$A:$AE,BD$5,0)),0),IF(ISERROR(1/VLOOKUP($N401,Capa!$A:$AE,BD$5,0)),0,1/VLOOKUP($N401,Capa!$A:$AE,BD$5,0))))</f>
        <v/>
      </c>
      <c r="BE401" s="118" t="str">
        <f>IF(BE$6="","",IF(BE$3="Maior",IFERROR(IF(VLOOKUP($N401,Capa!$A:$AE,BE$5,0)="",0,VLOOKUP($N401,Capa!$A:$AE,BE$5,0)),0),IF(ISERROR(1/VLOOKUP($N401,Capa!$A:$AE,BE$5,0)),0,1/VLOOKUP($N401,Capa!$A:$AE,BE$5,0))))</f>
        <v/>
      </c>
      <c r="BF401" s="118" t="str">
        <f>IF(BF$6="","",IF(BF$3="Maior",IFERROR(IF(VLOOKUP($N401,Capa!$A:$AE,BF$5,0)="",0,VLOOKUP($N401,Capa!$A:$AE,BF$5,0)),0),IF(ISERROR(1/VLOOKUP($N401,Capa!$A:$AE,BF$5,0)),0,1/VLOOKUP($N401,Capa!$A:$AE,BF$5,0))))</f>
        <v/>
      </c>
      <c r="BG401" s="118" t="str">
        <f>IF(BG$6="","",IF(BG$3="Maior",IFERROR(IF(VLOOKUP($N401,Capa!$A:$AE,BG$5,0)="",0,VLOOKUP($N401,Capa!$A:$AE,BG$5,0)),0),IF(ISERROR(1/VLOOKUP($N401,Capa!$A:$AE,BG$5,0)),0,1/VLOOKUP($N401,Capa!$A:$AE,BG$5,0))))</f>
        <v/>
      </c>
      <c r="BH401" s="118" t="str">
        <f>IF(BH$6="","",IF(BH$3="Maior",IFERROR(IF(VLOOKUP($N401,Capa!$A:$AE,BH$5,0)="",0,VLOOKUP($N401,Capa!$A:$AE,BH$5,0)),0),IF(ISERROR(1/VLOOKUP($N401,Capa!$A:$AE,BH$5,0)),0,1/VLOOKUP($N401,Capa!$A:$AE,BH$5,0))))</f>
        <v/>
      </c>
      <c r="BI401" s="118" t="str">
        <f>IF(BI$6="","",IF(BI$3="Maior",IFERROR(IF(VLOOKUP($N401,Capa!$A:$AE,BI$5,0)="",0,VLOOKUP($N401,Capa!$A:$AE,BI$5,0)),0),IF(ISERROR(1/VLOOKUP($N401,Capa!$A:$AE,BI$5,0)),0,1/VLOOKUP($N401,Capa!$A:$AE,BI$5,0))))</f>
        <v/>
      </c>
      <c r="BJ401" s="118" t="str">
        <f>IF(BJ$6="","",IF(BJ$3="Maior",IFERROR(IF(VLOOKUP($N401,Capa!$A:$AE,BJ$5,0)="",0,VLOOKUP($N401,Capa!$A:$AE,BJ$5,0)),0),IF(ISERROR(1/VLOOKUP($N401,Capa!$A:$AE,BJ$5,0)),0,1/VLOOKUP($N401,Capa!$A:$AE,BJ$5,0))))</f>
        <v/>
      </c>
      <c r="BK401" s="118" t="str">
        <f>IF(BK$6="","",IF(BK$3="Maior",IFERROR(IF(VLOOKUP($N401,Capa!$A:$AE,BK$5,0)="",0,VLOOKUP($N401,Capa!$A:$AE,BK$5,0)),0),IF(ISERROR(1/VLOOKUP($N401,Capa!$A:$AE,BK$5,0)),0,1/VLOOKUP($N401,Capa!$A:$AE,BK$5,0))))</f>
        <v/>
      </c>
      <c r="BL401" s="118" t="str">
        <f>IF(BL$6="","",IF(BL$3="Maior",IFERROR(IF(VLOOKUP($N401,Capa!$A:$AE,BL$5,0)="",0,VLOOKUP($N401,Capa!$A:$AE,BL$5,0)),0),IF(ISERROR(1/VLOOKUP($N401,Capa!$A:$AE,BL$5,0)),0,1/VLOOKUP($N401,Capa!$A:$AE,BL$5,0))))</f>
        <v/>
      </c>
      <c r="BM401" s="118" t="str">
        <f>IF(BM$6="","",IF(BM$3="Maior",IFERROR(IF(VLOOKUP($N401,Capa!$A:$AE,BM$5,0)="",0,VLOOKUP($N401,Capa!$A:$AE,BM$5,0)),0),IF(ISERROR(1/VLOOKUP($N401,Capa!$A:$AE,BM$5,0)),0,1/VLOOKUP($N401,Capa!$A:$AE,BM$5,0))))</f>
        <v/>
      </c>
      <c r="BN401" s="118" t="str">
        <f>IF(BN$6="","",IF(BN$3="Maior",IFERROR(IF(VLOOKUP($N401,Capa!$A:$AE,BN$5,0)="",0,VLOOKUP($N401,Capa!$A:$AE,BN$5,0)),0),IF(ISERROR(1/VLOOKUP($N401,Capa!$A:$AE,BN$5,0)),0,1/VLOOKUP($N401,Capa!$A:$AE,BN$5,0))))</f>
        <v/>
      </c>
      <c r="BO401" s="92"/>
    </row>
    <row r="402">
      <c r="G402" s="11"/>
      <c r="H402" s="11"/>
      <c r="I402" s="8"/>
      <c r="J402" s="132"/>
      <c r="K402" s="11"/>
      <c r="L402" s="11"/>
      <c r="M402" s="11"/>
      <c r="N402" s="10" t="s">
        <v>448</v>
      </c>
      <c r="O402" s="113">
        <f t="shared" si="8"/>
        <v>1360.0147</v>
      </c>
      <c r="P402" s="114">
        <f>VLOOKUP(N402,'Dados StatusInvest'!A:Z,26,0)</f>
        <v>14297.86</v>
      </c>
      <c r="Q402" s="115">
        <f t="shared" si="9"/>
        <v>147.0147</v>
      </c>
      <c r="R402" s="116">
        <f t="shared" ref="R402:AO402" si="405">IF(AQ402="","", RANK(AQ402,AQ$7:AQ$503,0))</f>
        <v>119</v>
      </c>
      <c r="S402" s="115">
        <f t="shared" si="405"/>
        <v>94</v>
      </c>
      <c r="T402" s="115" t="str">
        <f t="shared" si="405"/>
        <v/>
      </c>
      <c r="U402" s="115" t="str">
        <f t="shared" si="405"/>
        <v/>
      </c>
      <c r="V402" s="115" t="str">
        <f t="shared" si="405"/>
        <v/>
      </c>
      <c r="W402" s="115" t="str">
        <f t="shared" si="405"/>
        <v/>
      </c>
      <c r="X402" s="115" t="str">
        <f t="shared" si="405"/>
        <v/>
      </c>
      <c r="Y402" s="115" t="str">
        <f t="shared" si="405"/>
        <v/>
      </c>
      <c r="Z402" s="115" t="str">
        <f t="shared" si="405"/>
        <v/>
      </c>
      <c r="AA402" s="115" t="str">
        <f t="shared" si="405"/>
        <v/>
      </c>
      <c r="AB402" s="115" t="str">
        <f t="shared" si="405"/>
        <v/>
      </c>
      <c r="AC402" s="115" t="str">
        <f t="shared" si="405"/>
        <v/>
      </c>
      <c r="AD402" s="115" t="str">
        <f t="shared" si="405"/>
        <v/>
      </c>
      <c r="AE402" s="115" t="str">
        <f t="shared" si="405"/>
        <v/>
      </c>
      <c r="AF402" s="115" t="str">
        <f t="shared" si="405"/>
        <v/>
      </c>
      <c r="AG402" s="115" t="str">
        <f t="shared" si="405"/>
        <v/>
      </c>
      <c r="AH402" s="115" t="str">
        <f t="shared" si="405"/>
        <v/>
      </c>
      <c r="AI402" s="115" t="str">
        <f t="shared" si="405"/>
        <v/>
      </c>
      <c r="AJ402" s="115" t="str">
        <f t="shared" si="405"/>
        <v/>
      </c>
      <c r="AK402" s="115" t="str">
        <f t="shared" si="405"/>
        <v/>
      </c>
      <c r="AL402" s="115" t="str">
        <f t="shared" si="405"/>
        <v/>
      </c>
      <c r="AM402" s="115" t="str">
        <f t="shared" si="405"/>
        <v/>
      </c>
      <c r="AN402" s="115" t="str">
        <f t="shared" si="405"/>
        <v/>
      </c>
      <c r="AO402" s="115" t="str">
        <f t="shared" si="405"/>
        <v/>
      </c>
      <c r="AP402" s="117">
        <f>IF(AP$6="","",IF(AP$3="Maior",IFERROR(IF(VLOOKUP($N402,Capa!$A:$AE,AP$5,0)="",0,VLOOKUP($N402,Capa!$A:$AE,AP$5,0)),0),IF(ISERROR(1/VLOOKUP($N402,Capa!$A:$AE,AP$5,0)),0,1/VLOOKUP($N402,Capa!$A:$AE,AP$5,0))))</f>
        <v>0.1335248378</v>
      </c>
      <c r="AQ402" s="118">
        <f>IF(AQ$6="","",IF(AQ$3="Maior",IFERROR(IF(VLOOKUP($N402,Capa!$A:$AE,AQ$5,0)="",0,VLOOKUP($N402,Capa!$A:$AE,AQ$5,0)),0),IF(ISERROR(1/VLOOKUP($N402,Capa!$A:$AE,AQ$5,0)),0,1/VLOOKUP($N402,Capa!$A:$AE,AQ$5,0))))</f>
        <v>15.84</v>
      </c>
      <c r="AR402" s="118">
        <f>IF(AR$6="","",IF(AR$3="Maior",IFERROR(IF(VLOOKUP($N402,Capa!$A:$AE,AR$5,0)="",0,VLOOKUP($N402,Capa!$A:$AE,AR$5,0)),0),IF(ISERROR(1/VLOOKUP($N402,Capa!$A:$AE,AR$5,0)),0,1/VLOOKUP($N402,Capa!$A:$AE,AR$5,0))))</f>
        <v>28.9</v>
      </c>
      <c r="AS402" s="118" t="str">
        <f>IF(AS$6="","",IF(AS$3="Maior",IFERROR(IF(VLOOKUP($N402,Capa!$A:$AE,AS$5,0)="",0,VLOOKUP($N402,Capa!$A:$AE,AS$5,0)),0),IF(ISERROR(1/VLOOKUP($N402,Capa!$A:$AE,AS$5,0)),0,1/VLOOKUP($N402,Capa!$A:$AE,AS$5,0))))</f>
        <v/>
      </c>
      <c r="AT402" s="118" t="str">
        <f>IF(AT$6="","",IF(AT$3="Maior",IFERROR(IF(VLOOKUP($N402,Capa!$A:$AE,AT$5,0)="",0,VLOOKUP($N402,Capa!$A:$AE,AT$5,0)),0),IF(ISERROR(1/VLOOKUP($N402,Capa!$A:$AE,AT$5,0)),0,1/VLOOKUP($N402,Capa!$A:$AE,AT$5,0))))</f>
        <v/>
      </c>
      <c r="AU402" s="118" t="str">
        <f>IF(AU$6="","",IF(AU$3="Maior",IFERROR(IF(VLOOKUP($N402,Capa!$A:$AE,AU$5,0)="",0,VLOOKUP($N402,Capa!$A:$AE,AU$5,0)),0),IF(ISERROR(1/VLOOKUP($N402,Capa!$A:$AE,AU$5,0)),0,1/VLOOKUP($N402,Capa!$A:$AE,AU$5,0))))</f>
        <v/>
      </c>
      <c r="AV402" s="118" t="str">
        <f>IF(AV$6="","",IF(AV$3="Maior",IFERROR(IF(VLOOKUP($N402,Capa!$A:$AE,AV$5,0)="",0,VLOOKUP($N402,Capa!$A:$AE,AV$5,0)),0),IF(ISERROR(1/VLOOKUP($N402,Capa!$A:$AE,AV$5,0)),0,1/VLOOKUP($N402,Capa!$A:$AE,AV$5,0))))</f>
        <v/>
      </c>
      <c r="AW402" s="118" t="str">
        <f>IF(AW$6="","",IF(AW$3="Maior",IFERROR(IF(VLOOKUP($N402,Capa!$A:$AE,AW$5,0)="",0,VLOOKUP($N402,Capa!$A:$AE,AW$5,0)),0),IF(ISERROR(1/VLOOKUP($N402,Capa!$A:$AE,AW$5,0)),0,1/VLOOKUP($N402,Capa!$A:$AE,AW$5,0))))</f>
        <v/>
      </c>
      <c r="AX402" s="118" t="str">
        <f>IF(AX$6="","",IF(AX$3="Maior",IFERROR(IF(VLOOKUP($N402,Capa!$A:$AE,AX$5,0)="",0,VLOOKUP($N402,Capa!$A:$AE,AX$5,0)),0),IF(ISERROR(1/VLOOKUP($N402,Capa!$A:$AE,AX$5,0)),0,1/VLOOKUP($N402,Capa!$A:$AE,AX$5,0))))</f>
        <v/>
      </c>
      <c r="AY402" s="118" t="str">
        <f>IF(AY$6="","",IF(AY$3="Maior",IFERROR(IF(VLOOKUP($N402,Capa!$A:$AE,AY$5,0)="",0,VLOOKUP($N402,Capa!$A:$AE,AY$5,0)),0),IF(ISERROR(1/VLOOKUP($N402,Capa!$A:$AE,AY$5,0)),0,1/VLOOKUP($N402,Capa!$A:$AE,AY$5,0))))</f>
        <v/>
      </c>
      <c r="AZ402" s="118" t="str">
        <f>IF(AZ$6="","",IF(AZ$3="Maior",IFERROR(IF(VLOOKUP($N402,Capa!$A:$AE,AZ$5,0)="",0,VLOOKUP($N402,Capa!$A:$AE,AZ$5,0)),0),IF(ISERROR(1/VLOOKUP($N402,Capa!$A:$AE,AZ$5,0)),0,1/VLOOKUP($N402,Capa!$A:$AE,AZ$5,0))))</f>
        <v/>
      </c>
      <c r="BA402" s="118" t="str">
        <f>IF(BA$6="","",IF(BA$3="Maior",IFERROR(IF(VLOOKUP($N402,Capa!$A:$AE,BA$5,0)="",0,VLOOKUP($N402,Capa!$A:$AE,BA$5,0)),0),IF(ISERROR(1/VLOOKUP($N402,Capa!$A:$AE,BA$5,0)),0,1/VLOOKUP($N402,Capa!$A:$AE,BA$5,0))))</f>
        <v/>
      </c>
      <c r="BB402" s="118" t="str">
        <f>IF(BB$6="","",IF(BB$3="Maior",IFERROR(IF(VLOOKUP($N402,Capa!$A:$AE,BB$5,0)="",0,VLOOKUP($N402,Capa!$A:$AE,BB$5,0)),0),IF(ISERROR(1/VLOOKUP($N402,Capa!$A:$AE,BB$5,0)),0,1/VLOOKUP($N402,Capa!$A:$AE,BB$5,0))))</f>
        <v/>
      </c>
      <c r="BC402" s="118" t="str">
        <f>IF(BC$6="","",IF(BC$3="Maior",IFERROR(IF(VLOOKUP($N402,Capa!$A:$AE,BC$5,0)="",0,VLOOKUP($N402,Capa!$A:$AE,BC$5,0)),0),IF(ISERROR(1/VLOOKUP($N402,Capa!$A:$AE,BC$5,0)),0,1/VLOOKUP($N402,Capa!$A:$AE,BC$5,0))))</f>
        <v/>
      </c>
      <c r="BD402" s="118" t="str">
        <f>IF(BD$6="","",IF(BD$3="Maior",IFERROR(IF(VLOOKUP($N402,Capa!$A:$AE,BD$5,0)="",0,VLOOKUP($N402,Capa!$A:$AE,BD$5,0)),0),IF(ISERROR(1/VLOOKUP($N402,Capa!$A:$AE,BD$5,0)),0,1/VLOOKUP($N402,Capa!$A:$AE,BD$5,0))))</f>
        <v/>
      </c>
      <c r="BE402" s="118" t="str">
        <f>IF(BE$6="","",IF(BE$3="Maior",IFERROR(IF(VLOOKUP($N402,Capa!$A:$AE,BE$5,0)="",0,VLOOKUP($N402,Capa!$A:$AE,BE$5,0)),0),IF(ISERROR(1/VLOOKUP($N402,Capa!$A:$AE,BE$5,0)),0,1/VLOOKUP($N402,Capa!$A:$AE,BE$5,0))))</f>
        <v/>
      </c>
      <c r="BF402" s="118" t="str">
        <f>IF(BF$6="","",IF(BF$3="Maior",IFERROR(IF(VLOOKUP($N402,Capa!$A:$AE,BF$5,0)="",0,VLOOKUP($N402,Capa!$A:$AE,BF$5,0)),0),IF(ISERROR(1/VLOOKUP($N402,Capa!$A:$AE,BF$5,0)),0,1/VLOOKUP($N402,Capa!$A:$AE,BF$5,0))))</f>
        <v/>
      </c>
      <c r="BG402" s="118" t="str">
        <f>IF(BG$6="","",IF(BG$3="Maior",IFERROR(IF(VLOOKUP($N402,Capa!$A:$AE,BG$5,0)="",0,VLOOKUP($N402,Capa!$A:$AE,BG$5,0)),0),IF(ISERROR(1/VLOOKUP($N402,Capa!$A:$AE,BG$5,0)),0,1/VLOOKUP($N402,Capa!$A:$AE,BG$5,0))))</f>
        <v/>
      </c>
      <c r="BH402" s="118" t="str">
        <f>IF(BH$6="","",IF(BH$3="Maior",IFERROR(IF(VLOOKUP($N402,Capa!$A:$AE,BH$5,0)="",0,VLOOKUP($N402,Capa!$A:$AE,BH$5,0)),0),IF(ISERROR(1/VLOOKUP($N402,Capa!$A:$AE,BH$5,0)),0,1/VLOOKUP($N402,Capa!$A:$AE,BH$5,0))))</f>
        <v/>
      </c>
      <c r="BI402" s="118" t="str">
        <f>IF(BI$6="","",IF(BI$3="Maior",IFERROR(IF(VLOOKUP($N402,Capa!$A:$AE,BI$5,0)="",0,VLOOKUP($N402,Capa!$A:$AE,BI$5,0)),0),IF(ISERROR(1/VLOOKUP($N402,Capa!$A:$AE,BI$5,0)),0,1/VLOOKUP($N402,Capa!$A:$AE,BI$5,0))))</f>
        <v/>
      </c>
      <c r="BJ402" s="118" t="str">
        <f>IF(BJ$6="","",IF(BJ$3="Maior",IFERROR(IF(VLOOKUP($N402,Capa!$A:$AE,BJ$5,0)="",0,VLOOKUP($N402,Capa!$A:$AE,BJ$5,0)),0),IF(ISERROR(1/VLOOKUP($N402,Capa!$A:$AE,BJ$5,0)),0,1/VLOOKUP($N402,Capa!$A:$AE,BJ$5,0))))</f>
        <v/>
      </c>
      <c r="BK402" s="118" t="str">
        <f>IF(BK$6="","",IF(BK$3="Maior",IFERROR(IF(VLOOKUP($N402,Capa!$A:$AE,BK$5,0)="",0,VLOOKUP($N402,Capa!$A:$AE,BK$5,0)),0),IF(ISERROR(1/VLOOKUP($N402,Capa!$A:$AE,BK$5,0)),0,1/VLOOKUP($N402,Capa!$A:$AE,BK$5,0))))</f>
        <v/>
      </c>
      <c r="BL402" s="118" t="str">
        <f>IF(BL$6="","",IF(BL$3="Maior",IFERROR(IF(VLOOKUP($N402,Capa!$A:$AE,BL$5,0)="",0,VLOOKUP($N402,Capa!$A:$AE,BL$5,0)),0),IF(ISERROR(1/VLOOKUP($N402,Capa!$A:$AE,BL$5,0)),0,1/VLOOKUP($N402,Capa!$A:$AE,BL$5,0))))</f>
        <v/>
      </c>
      <c r="BM402" s="118" t="str">
        <f>IF(BM$6="","",IF(BM$3="Maior",IFERROR(IF(VLOOKUP($N402,Capa!$A:$AE,BM$5,0)="",0,VLOOKUP($N402,Capa!$A:$AE,BM$5,0)),0),IF(ISERROR(1/VLOOKUP($N402,Capa!$A:$AE,BM$5,0)),0,1/VLOOKUP($N402,Capa!$A:$AE,BM$5,0))))</f>
        <v/>
      </c>
      <c r="BN402" s="118" t="str">
        <f>IF(BN$6="","",IF(BN$3="Maior",IFERROR(IF(VLOOKUP($N402,Capa!$A:$AE,BN$5,0)="",0,VLOOKUP($N402,Capa!$A:$AE,BN$5,0)),0),IF(ISERROR(1/VLOOKUP($N402,Capa!$A:$AE,BN$5,0)),0,1/VLOOKUP($N402,Capa!$A:$AE,BN$5,0))))</f>
        <v/>
      </c>
      <c r="BO402" s="92"/>
    </row>
    <row r="403">
      <c r="G403" s="11"/>
      <c r="H403" s="11"/>
      <c r="I403" s="8"/>
      <c r="J403" s="132"/>
      <c r="K403" s="11"/>
      <c r="L403" s="11"/>
      <c r="M403" s="11"/>
      <c r="N403" s="10" t="s">
        <v>449</v>
      </c>
      <c r="O403" s="113">
        <f t="shared" si="8"/>
        <v>1511.0219</v>
      </c>
      <c r="P403" s="114">
        <f>VLOOKUP(N403,'Dados StatusInvest'!A:Z,26,0)</f>
        <v>35902.42</v>
      </c>
      <c r="Q403" s="115">
        <f t="shared" si="9"/>
        <v>219.0219</v>
      </c>
      <c r="R403" s="116">
        <f t="shared" ref="R403:AO403" si="406">IF(AQ403="","", RANK(AQ403,AQ$7:AQ$503,0))</f>
        <v>103</v>
      </c>
      <c r="S403" s="115">
        <f t="shared" si="406"/>
        <v>189</v>
      </c>
      <c r="T403" s="115" t="str">
        <f t="shared" si="406"/>
        <v/>
      </c>
      <c r="U403" s="115" t="str">
        <f t="shared" si="406"/>
        <v/>
      </c>
      <c r="V403" s="115" t="str">
        <f t="shared" si="406"/>
        <v/>
      </c>
      <c r="W403" s="115" t="str">
        <f t="shared" si="406"/>
        <v/>
      </c>
      <c r="X403" s="115" t="str">
        <f t="shared" si="406"/>
        <v/>
      </c>
      <c r="Y403" s="115" t="str">
        <f t="shared" si="406"/>
        <v/>
      </c>
      <c r="Z403" s="115" t="str">
        <f t="shared" si="406"/>
        <v/>
      </c>
      <c r="AA403" s="115" t="str">
        <f t="shared" si="406"/>
        <v/>
      </c>
      <c r="AB403" s="115" t="str">
        <f t="shared" si="406"/>
        <v/>
      </c>
      <c r="AC403" s="115" t="str">
        <f t="shared" si="406"/>
        <v/>
      </c>
      <c r="AD403" s="115" t="str">
        <f t="shared" si="406"/>
        <v/>
      </c>
      <c r="AE403" s="115" t="str">
        <f t="shared" si="406"/>
        <v/>
      </c>
      <c r="AF403" s="115" t="str">
        <f t="shared" si="406"/>
        <v/>
      </c>
      <c r="AG403" s="115" t="str">
        <f t="shared" si="406"/>
        <v/>
      </c>
      <c r="AH403" s="115" t="str">
        <f t="shared" si="406"/>
        <v/>
      </c>
      <c r="AI403" s="115" t="str">
        <f t="shared" si="406"/>
        <v/>
      </c>
      <c r="AJ403" s="115" t="str">
        <f t="shared" si="406"/>
        <v/>
      </c>
      <c r="AK403" s="115" t="str">
        <f t="shared" si="406"/>
        <v/>
      </c>
      <c r="AL403" s="115" t="str">
        <f t="shared" si="406"/>
        <v/>
      </c>
      <c r="AM403" s="115" t="str">
        <f t="shared" si="406"/>
        <v/>
      </c>
      <c r="AN403" s="115" t="str">
        <f t="shared" si="406"/>
        <v/>
      </c>
      <c r="AO403" s="115" t="str">
        <f t="shared" si="406"/>
        <v/>
      </c>
      <c r="AP403" s="117">
        <f>IF(AP$6="","",IF(AP$3="Maior",IFERROR(IF(VLOOKUP($N403,Capa!$A:$AE,AP$5,0)="",0,VLOOKUP($N403,Capa!$A:$AE,AP$5,0)),0),IF(ISERROR(1/VLOOKUP($N403,Capa!$A:$AE,AP$5,0)),0,1/VLOOKUP($N403,Capa!$A:$AE,AP$5,0))))</f>
        <v>0.09596928983</v>
      </c>
      <c r="AQ403" s="118">
        <f>IF(AQ$6="","",IF(AQ$3="Maior",IFERROR(IF(VLOOKUP($N403,Capa!$A:$AE,AQ$5,0)="",0,VLOOKUP($N403,Capa!$A:$AE,AQ$5,0)),0),IF(ISERROR(1/VLOOKUP($N403,Capa!$A:$AE,AQ$5,0)),0,1/VLOOKUP($N403,Capa!$A:$AE,AQ$5,0))))</f>
        <v>17.63</v>
      </c>
      <c r="AR403" s="118">
        <f>IF(AR$6="","",IF(AR$3="Maior",IFERROR(IF(VLOOKUP($N403,Capa!$A:$AE,AR$5,0)="",0,VLOOKUP($N403,Capa!$A:$AE,AR$5,0)),0),IF(ISERROR(1/VLOOKUP($N403,Capa!$A:$AE,AR$5,0)),0,1/VLOOKUP($N403,Capa!$A:$AE,AR$5,0))))</f>
        <v>5.12</v>
      </c>
      <c r="AS403" s="118" t="str">
        <f>IF(AS$6="","",IF(AS$3="Maior",IFERROR(IF(VLOOKUP($N403,Capa!$A:$AE,AS$5,0)="",0,VLOOKUP($N403,Capa!$A:$AE,AS$5,0)),0),IF(ISERROR(1/VLOOKUP($N403,Capa!$A:$AE,AS$5,0)),0,1/VLOOKUP($N403,Capa!$A:$AE,AS$5,0))))</f>
        <v/>
      </c>
      <c r="AT403" s="118" t="str">
        <f>IF(AT$6="","",IF(AT$3="Maior",IFERROR(IF(VLOOKUP($N403,Capa!$A:$AE,AT$5,0)="",0,VLOOKUP($N403,Capa!$A:$AE,AT$5,0)),0),IF(ISERROR(1/VLOOKUP($N403,Capa!$A:$AE,AT$5,0)),0,1/VLOOKUP($N403,Capa!$A:$AE,AT$5,0))))</f>
        <v/>
      </c>
      <c r="AU403" s="118" t="str">
        <f>IF(AU$6="","",IF(AU$3="Maior",IFERROR(IF(VLOOKUP($N403,Capa!$A:$AE,AU$5,0)="",0,VLOOKUP($N403,Capa!$A:$AE,AU$5,0)),0),IF(ISERROR(1/VLOOKUP($N403,Capa!$A:$AE,AU$5,0)),0,1/VLOOKUP($N403,Capa!$A:$AE,AU$5,0))))</f>
        <v/>
      </c>
      <c r="AV403" s="118" t="str">
        <f>IF(AV$6="","",IF(AV$3="Maior",IFERROR(IF(VLOOKUP($N403,Capa!$A:$AE,AV$5,0)="",0,VLOOKUP($N403,Capa!$A:$AE,AV$5,0)),0),IF(ISERROR(1/VLOOKUP($N403,Capa!$A:$AE,AV$5,0)),0,1/VLOOKUP($N403,Capa!$A:$AE,AV$5,0))))</f>
        <v/>
      </c>
      <c r="AW403" s="118" t="str">
        <f>IF(AW$6="","",IF(AW$3="Maior",IFERROR(IF(VLOOKUP($N403,Capa!$A:$AE,AW$5,0)="",0,VLOOKUP($N403,Capa!$A:$AE,AW$5,0)),0),IF(ISERROR(1/VLOOKUP($N403,Capa!$A:$AE,AW$5,0)),0,1/VLOOKUP($N403,Capa!$A:$AE,AW$5,0))))</f>
        <v/>
      </c>
      <c r="AX403" s="118" t="str">
        <f>IF(AX$6="","",IF(AX$3="Maior",IFERROR(IF(VLOOKUP($N403,Capa!$A:$AE,AX$5,0)="",0,VLOOKUP($N403,Capa!$A:$AE,AX$5,0)),0),IF(ISERROR(1/VLOOKUP($N403,Capa!$A:$AE,AX$5,0)),0,1/VLOOKUP($N403,Capa!$A:$AE,AX$5,0))))</f>
        <v/>
      </c>
      <c r="AY403" s="118" t="str">
        <f>IF(AY$6="","",IF(AY$3="Maior",IFERROR(IF(VLOOKUP($N403,Capa!$A:$AE,AY$5,0)="",0,VLOOKUP($N403,Capa!$A:$AE,AY$5,0)),0),IF(ISERROR(1/VLOOKUP($N403,Capa!$A:$AE,AY$5,0)),0,1/VLOOKUP($N403,Capa!$A:$AE,AY$5,0))))</f>
        <v/>
      </c>
      <c r="AZ403" s="118" t="str">
        <f>IF(AZ$6="","",IF(AZ$3="Maior",IFERROR(IF(VLOOKUP($N403,Capa!$A:$AE,AZ$5,0)="",0,VLOOKUP($N403,Capa!$A:$AE,AZ$5,0)),0),IF(ISERROR(1/VLOOKUP($N403,Capa!$A:$AE,AZ$5,0)),0,1/VLOOKUP($N403,Capa!$A:$AE,AZ$5,0))))</f>
        <v/>
      </c>
      <c r="BA403" s="118" t="str">
        <f>IF(BA$6="","",IF(BA$3="Maior",IFERROR(IF(VLOOKUP($N403,Capa!$A:$AE,BA$5,0)="",0,VLOOKUP($N403,Capa!$A:$AE,BA$5,0)),0),IF(ISERROR(1/VLOOKUP($N403,Capa!$A:$AE,BA$5,0)),0,1/VLOOKUP($N403,Capa!$A:$AE,BA$5,0))))</f>
        <v/>
      </c>
      <c r="BB403" s="118" t="str">
        <f>IF(BB$6="","",IF(BB$3="Maior",IFERROR(IF(VLOOKUP($N403,Capa!$A:$AE,BB$5,0)="",0,VLOOKUP($N403,Capa!$A:$AE,BB$5,0)),0),IF(ISERROR(1/VLOOKUP($N403,Capa!$A:$AE,BB$5,0)),0,1/VLOOKUP($N403,Capa!$A:$AE,BB$5,0))))</f>
        <v/>
      </c>
      <c r="BC403" s="118" t="str">
        <f>IF(BC$6="","",IF(BC$3="Maior",IFERROR(IF(VLOOKUP($N403,Capa!$A:$AE,BC$5,0)="",0,VLOOKUP($N403,Capa!$A:$AE,BC$5,0)),0),IF(ISERROR(1/VLOOKUP($N403,Capa!$A:$AE,BC$5,0)),0,1/VLOOKUP($N403,Capa!$A:$AE,BC$5,0))))</f>
        <v/>
      </c>
      <c r="BD403" s="118" t="str">
        <f>IF(BD$6="","",IF(BD$3="Maior",IFERROR(IF(VLOOKUP($N403,Capa!$A:$AE,BD$5,0)="",0,VLOOKUP($N403,Capa!$A:$AE,BD$5,0)),0),IF(ISERROR(1/VLOOKUP($N403,Capa!$A:$AE,BD$5,0)),0,1/VLOOKUP($N403,Capa!$A:$AE,BD$5,0))))</f>
        <v/>
      </c>
      <c r="BE403" s="118" t="str">
        <f>IF(BE$6="","",IF(BE$3="Maior",IFERROR(IF(VLOOKUP($N403,Capa!$A:$AE,BE$5,0)="",0,VLOOKUP($N403,Capa!$A:$AE,BE$5,0)),0),IF(ISERROR(1/VLOOKUP($N403,Capa!$A:$AE,BE$5,0)),0,1/VLOOKUP($N403,Capa!$A:$AE,BE$5,0))))</f>
        <v/>
      </c>
      <c r="BF403" s="118" t="str">
        <f>IF(BF$6="","",IF(BF$3="Maior",IFERROR(IF(VLOOKUP($N403,Capa!$A:$AE,BF$5,0)="",0,VLOOKUP($N403,Capa!$A:$AE,BF$5,0)),0),IF(ISERROR(1/VLOOKUP($N403,Capa!$A:$AE,BF$5,0)),0,1/VLOOKUP($N403,Capa!$A:$AE,BF$5,0))))</f>
        <v/>
      </c>
      <c r="BG403" s="118" t="str">
        <f>IF(BG$6="","",IF(BG$3="Maior",IFERROR(IF(VLOOKUP($N403,Capa!$A:$AE,BG$5,0)="",0,VLOOKUP($N403,Capa!$A:$AE,BG$5,0)),0),IF(ISERROR(1/VLOOKUP($N403,Capa!$A:$AE,BG$5,0)),0,1/VLOOKUP($N403,Capa!$A:$AE,BG$5,0))))</f>
        <v/>
      </c>
      <c r="BH403" s="118" t="str">
        <f>IF(BH$6="","",IF(BH$3="Maior",IFERROR(IF(VLOOKUP($N403,Capa!$A:$AE,BH$5,0)="",0,VLOOKUP($N403,Capa!$A:$AE,BH$5,0)),0),IF(ISERROR(1/VLOOKUP($N403,Capa!$A:$AE,BH$5,0)),0,1/VLOOKUP($N403,Capa!$A:$AE,BH$5,0))))</f>
        <v/>
      </c>
      <c r="BI403" s="118" t="str">
        <f>IF(BI$6="","",IF(BI$3="Maior",IFERROR(IF(VLOOKUP($N403,Capa!$A:$AE,BI$5,0)="",0,VLOOKUP($N403,Capa!$A:$AE,BI$5,0)),0),IF(ISERROR(1/VLOOKUP($N403,Capa!$A:$AE,BI$5,0)),0,1/VLOOKUP($N403,Capa!$A:$AE,BI$5,0))))</f>
        <v/>
      </c>
      <c r="BJ403" s="118" t="str">
        <f>IF(BJ$6="","",IF(BJ$3="Maior",IFERROR(IF(VLOOKUP($N403,Capa!$A:$AE,BJ$5,0)="",0,VLOOKUP($N403,Capa!$A:$AE,BJ$5,0)),0),IF(ISERROR(1/VLOOKUP($N403,Capa!$A:$AE,BJ$5,0)),0,1/VLOOKUP($N403,Capa!$A:$AE,BJ$5,0))))</f>
        <v/>
      </c>
      <c r="BK403" s="118" t="str">
        <f>IF(BK$6="","",IF(BK$3="Maior",IFERROR(IF(VLOOKUP($N403,Capa!$A:$AE,BK$5,0)="",0,VLOOKUP($N403,Capa!$A:$AE,BK$5,0)),0),IF(ISERROR(1/VLOOKUP($N403,Capa!$A:$AE,BK$5,0)),0,1/VLOOKUP($N403,Capa!$A:$AE,BK$5,0))))</f>
        <v/>
      </c>
      <c r="BL403" s="118" t="str">
        <f>IF(BL$6="","",IF(BL$3="Maior",IFERROR(IF(VLOOKUP($N403,Capa!$A:$AE,BL$5,0)="",0,VLOOKUP($N403,Capa!$A:$AE,BL$5,0)),0),IF(ISERROR(1/VLOOKUP($N403,Capa!$A:$AE,BL$5,0)),0,1/VLOOKUP($N403,Capa!$A:$AE,BL$5,0))))</f>
        <v/>
      </c>
      <c r="BM403" s="118" t="str">
        <f>IF(BM$6="","",IF(BM$3="Maior",IFERROR(IF(VLOOKUP($N403,Capa!$A:$AE,BM$5,0)="",0,VLOOKUP($N403,Capa!$A:$AE,BM$5,0)),0),IF(ISERROR(1/VLOOKUP($N403,Capa!$A:$AE,BM$5,0)),0,1/VLOOKUP($N403,Capa!$A:$AE,BM$5,0))))</f>
        <v/>
      </c>
      <c r="BN403" s="118" t="str">
        <f>IF(BN$6="","",IF(BN$3="Maior",IFERROR(IF(VLOOKUP($N403,Capa!$A:$AE,BN$5,0)="",0,VLOOKUP($N403,Capa!$A:$AE,BN$5,0)),0),IF(ISERROR(1/VLOOKUP($N403,Capa!$A:$AE,BN$5,0)),0,1/VLOOKUP($N403,Capa!$A:$AE,BN$5,0))))</f>
        <v/>
      </c>
      <c r="BO403" s="92"/>
    </row>
    <row r="404">
      <c r="G404" s="11"/>
      <c r="H404" s="11"/>
      <c r="I404" s="8"/>
      <c r="J404" s="132"/>
      <c r="K404" s="11"/>
      <c r="L404" s="11"/>
      <c r="M404" s="11"/>
      <c r="N404" s="10" t="s">
        <v>450</v>
      </c>
      <c r="O404" s="113">
        <f t="shared" si="8"/>
        <v>1625.0071</v>
      </c>
      <c r="P404" s="114">
        <f>VLOOKUP(N404,'Dados StatusInvest'!A:Z,26,0)</f>
        <v>51948.54</v>
      </c>
      <c r="Q404" s="115">
        <f t="shared" si="9"/>
        <v>71.0071</v>
      </c>
      <c r="R404" s="116">
        <f t="shared" ref="R404:AO404" si="407">IF(AQ404="","", RANK(AQ404,AQ$7:AQ$503,0))</f>
        <v>375</v>
      </c>
      <c r="S404" s="115">
        <f t="shared" si="407"/>
        <v>179</v>
      </c>
      <c r="T404" s="115" t="str">
        <f t="shared" si="407"/>
        <v/>
      </c>
      <c r="U404" s="115" t="str">
        <f t="shared" si="407"/>
        <v/>
      </c>
      <c r="V404" s="115" t="str">
        <f t="shared" si="407"/>
        <v/>
      </c>
      <c r="W404" s="115" t="str">
        <f t="shared" si="407"/>
        <v/>
      </c>
      <c r="X404" s="115" t="str">
        <f t="shared" si="407"/>
        <v/>
      </c>
      <c r="Y404" s="115" t="str">
        <f t="shared" si="407"/>
        <v/>
      </c>
      <c r="Z404" s="115" t="str">
        <f t="shared" si="407"/>
        <v/>
      </c>
      <c r="AA404" s="115" t="str">
        <f t="shared" si="407"/>
        <v/>
      </c>
      <c r="AB404" s="115" t="str">
        <f t="shared" si="407"/>
        <v/>
      </c>
      <c r="AC404" s="115" t="str">
        <f t="shared" si="407"/>
        <v/>
      </c>
      <c r="AD404" s="115" t="str">
        <f t="shared" si="407"/>
        <v/>
      </c>
      <c r="AE404" s="115" t="str">
        <f t="shared" si="407"/>
        <v/>
      </c>
      <c r="AF404" s="115" t="str">
        <f t="shared" si="407"/>
        <v/>
      </c>
      <c r="AG404" s="115" t="str">
        <f t="shared" si="407"/>
        <v/>
      </c>
      <c r="AH404" s="115" t="str">
        <f t="shared" si="407"/>
        <v/>
      </c>
      <c r="AI404" s="115" t="str">
        <f t="shared" si="407"/>
        <v/>
      </c>
      <c r="AJ404" s="115" t="str">
        <f t="shared" si="407"/>
        <v/>
      </c>
      <c r="AK404" s="115" t="str">
        <f t="shared" si="407"/>
        <v/>
      </c>
      <c r="AL404" s="115" t="str">
        <f t="shared" si="407"/>
        <v/>
      </c>
      <c r="AM404" s="115" t="str">
        <f t="shared" si="407"/>
        <v/>
      </c>
      <c r="AN404" s="115" t="str">
        <f t="shared" si="407"/>
        <v/>
      </c>
      <c r="AO404" s="115" t="str">
        <f t="shared" si="407"/>
        <v/>
      </c>
      <c r="AP404" s="117">
        <f>IF(AP$6="","",IF(AP$3="Maior",IFERROR(IF(VLOOKUP($N404,Capa!$A:$AE,AP$5,0)="",0,VLOOKUP($N404,Capa!$A:$AE,AP$5,0)),0),IF(ISERROR(1/VLOOKUP($N404,Capa!$A:$AE,AP$5,0)),0,1/VLOOKUP($N404,Capa!$A:$AE,AP$5,0))))</f>
        <v>0.2155172414</v>
      </c>
      <c r="AQ404" s="118">
        <f>IF(AQ$6="","",IF(AQ$3="Maior",IFERROR(IF(VLOOKUP($N404,Capa!$A:$AE,AQ$5,0)="",0,VLOOKUP($N404,Capa!$A:$AE,AQ$5,0)),0),IF(ISERROR(1/VLOOKUP($N404,Capa!$A:$AE,AQ$5,0)),0,1/VLOOKUP($N404,Capa!$A:$AE,AQ$5,0))))</f>
        <v>0</v>
      </c>
      <c r="AR404" s="118">
        <f>IF(AR$6="","",IF(AR$3="Maior",IFERROR(IF(VLOOKUP($N404,Capa!$A:$AE,AR$5,0)="",0,VLOOKUP($N404,Capa!$A:$AE,AR$5,0)),0),IF(ISERROR(1/VLOOKUP($N404,Capa!$A:$AE,AR$5,0)),0,1/VLOOKUP($N404,Capa!$A:$AE,AR$5,0))))</f>
        <v>7.19</v>
      </c>
      <c r="AS404" s="118" t="str">
        <f>IF(AS$6="","",IF(AS$3="Maior",IFERROR(IF(VLOOKUP($N404,Capa!$A:$AE,AS$5,0)="",0,VLOOKUP($N404,Capa!$A:$AE,AS$5,0)),0),IF(ISERROR(1/VLOOKUP($N404,Capa!$A:$AE,AS$5,0)),0,1/VLOOKUP($N404,Capa!$A:$AE,AS$5,0))))</f>
        <v/>
      </c>
      <c r="AT404" s="118" t="str">
        <f>IF(AT$6="","",IF(AT$3="Maior",IFERROR(IF(VLOOKUP($N404,Capa!$A:$AE,AT$5,0)="",0,VLOOKUP($N404,Capa!$A:$AE,AT$5,0)),0),IF(ISERROR(1/VLOOKUP($N404,Capa!$A:$AE,AT$5,0)),0,1/VLOOKUP($N404,Capa!$A:$AE,AT$5,0))))</f>
        <v/>
      </c>
      <c r="AU404" s="118" t="str">
        <f>IF(AU$6="","",IF(AU$3="Maior",IFERROR(IF(VLOOKUP($N404,Capa!$A:$AE,AU$5,0)="",0,VLOOKUP($N404,Capa!$A:$AE,AU$5,0)),0),IF(ISERROR(1/VLOOKUP($N404,Capa!$A:$AE,AU$5,0)),0,1/VLOOKUP($N404,Capa!$A:$AE,AU$5,0))))</f>
        <v/>
      </c>
      <c r="AV404" s="118" t="str">
        <f>IF(AV$6="","",IF(AV$3="Maior",IFERROR(IF(VLOOKUP($N404,Capa!$A:$AE,AV$5,0)="",0,VLOOKUP($N404,Capa!$A:$AE,AV$5,0)),0),IF(ISERROR(1/VLOOKUP($N404,Capa!$A:$AE,AV$5,0)),0,1/VLOOKUP($N404,Capa!$A:$AE,AV$5,0))))</f>
        <v/>
      </c>
      <c r="AW404" s="118" t="str">
        <f>IF(AW$6="","",IF(AW$3="Maior",IFERROR(IF(VLOOKUP($N404,Capa!$A:$AE,AW$5,0)="",0,VLOOKUP($N404,Capa!$A:$AE,AW$5,0)),0),IF(ISERROR(1/VLOOKUP($N404,Capa!$A:$AE,AW$5,0)),0,1/VLOOKUP($N404,Capa!$A:$AE,AW$5,0))))</f>
        <v/>
      </c>
      <c r="AX404" s="118" t="str">
        <f>IF(AX$6="","",IF(AX$3="Maior",IFERROR(IF(VLOOKUP($N404,Capa!$A:$AE,AX$5,0)="",0,VLOOKUP($N404,Capa!$A:$AE,AX$5,0)),0),IF(ISERROR(1/VLOOKUP($N404,Capa!$A:$AE,AX$5,0)),0,1/VLOOKUP($N404,Capa!$A:$AE,AX$5,0))))</f>
        <v/>
      </c>
      <c r="AY404" s="118" t="str">
        <f>IF(AY$6="","",IF(AY$3="Maior",IFERROR(IF(VLOOKUP($N404,Capa!$A:$AE,AY$5,0)="",0,VLOOKUP($N404,Capa!$A:$AE,AY$5,0)),0),IF(ISERROR(1/VLOOKUP($N404,Capa!$A:$AE,AY$5,0)),0,1/VLOOKUP($N404,Capa!$A:$AE,AY$5,0))))</f>
        <v/>
      </c>
      <c r="AZ404" s="118" t="str">
        <f>IF(AZ$6="","",IF(AZ$3="Maior",IFERROR(IF(VLOOKUP($N404,Capa!$A:$AE,AZ$5,0)="",0,VLOOKUP($N404,Capa!$A:$AE,AZ$5,0)),0),IF(ISERROR(1/VLOOKUP($N404,Capa!$A:$AE,AZ$5,0)),0,1/VLOOKUP($N404,Capa!$A:$AE,AZ$5,0))))</f>
        <v/>
      </c>
      <c r="BA404" s="118" t="str">
        <f>IF(BA$6="","",IF(BA$3="Maior",IFERROR(IF(VLOOKUP($N404,Capa!$A:$AE,BA$5,0)="",0,VLOOKUP($N404,Capa!$A:$AE,BA$5,0)),0),IF(ISERROR(1/VLOOKUP($N404,Capa!$A:$AE,BA$5,0)),0,1/VLOOKUP($N404,Capa!$A:$AE,BA$5,0))))</f>
        <v/>
      </c>
      <c r="BB404" s="118" t="str">
        <f>IF(BB$6="","",IF(BB$3="Maior",IFERROR(IF(VLOOKUP($N404,Capa!$A:$AE,BB$5,0)="",0,VLOOKUP($N404,Capa!$A:$AE,BB$5,0)),0),IF(ISERROR(1/VLOOKUP($N404,Capa!$A:$AE,BB$5,0)),0,1/VLOOKUP($N404,Capa!$A:$AE,BB$5,0))))</f>
        <v/>
      </c>
      <c r="BC404" s="118" t="str">
        <f>IF(BC$6="","",IF(BC$3="Maior",IFERROR(IF(VLOOKUP($N404,Capa!$A:$AE,BC$5,0)="",0,VLOOKUP($N404,Capa!$A:$AE,BC$5,0)),0),IF(ISERROR(1/VLOOKUP($N404,Capa!$A:$AE,BC$5,0)),0,1/VLOOKUP($N404,Capa!$A:$AE,BC$5,0))))</f>
        <v/>
      </c>
      <c r="BD404" s="118" t="str">
        <f>IF(BD$6="","",IF(BD$3="Maior",IFERROR(IF(VLOOKUP($N404,Capa!$A:$AE,BD$5,0)="",0,VLOOKUP($N404,Capa!$A:$AE,BD$5,0)),0),IF(ISERROR(1/VLOOKUP($N404,Capa!$A:$AE,BD$5,0)),0,1/VLOOKUP($N404,Capa!$A:$AE,BD$5,0))))</f>
        <v/>
      </c>
      <c r="BE404" s="118" t="str">
        <f>IF(BE$6="","",IF(BE$3="Maior",IFERROR(IF(VLOOKUP($N404,Capa!$A:$AE,BE$5,0)="",0,VLOOKUP($N404,Capa!$A:$AE,BE$5,0)),0),IF(ISERROR(1/VLOOKUP($N404,Capa!$A:$AE,BE$5,0)),0,1/VLOOKUP($N404,Capa!$A:$AE,BE$5,0))))</f>
        <v/>
      </c>
      <c r="BF404" s="118" t="str">
        <f>IF(BF$6="","",IF(BF$3="Maior",IFERROR(IF(VLOOKUP($N404,Capa!$A:$AE,BF$5,0)="",0,VLOOKUP($N404,Capa!$A:$AE,BF$5,0)),0),IF(ISERROR(1/VLOOKUP($N404,Capa!$A:$AE,BF$5,0)),0,1/VLOOKUP($N404,Capa!$A:$AE,BF$5,0))))</f>
        <v/>
      </c>
      <c r="BG404" s="118" t="str">
        <f>IF(BG$6="","",IF(BG$3="Maior",IFERROR(IF(VLOOKUP($N404,Capa!$A:$AE,BG$5,0)="",0,VLOOKUP($N404,Capa!$A:$AE,BG$5,0)),0),IF(ISERROR(1/VLOOKUP($N404,Capa!$A:$AE,BG$5,0)),0,1/VLOOKUP($N404,Capa!$A:$AE,BG$5,0))))</f>
        <v/>
      </c>
      <c r="BH404" s="118" t="str">
        <f>IF(BH$6="","",IF(BH$3="Maior",IFERROR(IF(VLOOKUP($N404,Capa!$A:$AE,BH$5,0)="",0,VLOOKUP($N404,Capa!$A:$AE,BH$5,0)),0),IF(ISERROR(1/VLOOKUP($N404,Capa!$A:$AE,BH$5,0)),0,1/VLOOKUP($N404,Capa!$A:$AE,BH$5,0))))</f>
        <v/>
      </c>
      <c r="BI404" s="118" t="str">
        <f>IF(BI$6="","",IF(BI$3="Maior",IFERROR(IF(VLOOKUP($N404,Capa!$A:$AE,BI$5,0)="",0,VLOOKUP($N404,Capa!$A:$AE,BI$5,0)),0),IF(ISERROR(1/VLOOKUP($N404,Capa!$A:$AE,BI$5,0)),0,1/VLOOKUP($N404,Capa!$A:$AE,BI$5,0))))</f>
        <v/>
      </c>
      <c r="BJ404" s="118" t="str">
        <f>IF(BJ$6="","",IF(BJ$3="Maior",IFERROR(IF(VLOOKUP($N404,Capa!$A:$AE,BJ$5,0)="",0,VLOOKUP($N404,Capa!$A:$AE,BJ$5,0)),0),IF(ISERROR(1/VLOOKUP($N404,Capa!$A:$AE,BJ$5,0)),0,1/VLOOKUP($N404,Capa!$A:$AE,BJ$5,0))))</f>
        <v/>
      </c>
      <c r="BK404" s="118" t="str">
        <f>IF(BK$6="","",IF(BK$3="Maior",IFERROR(IF(VLOOKUP($N404,Capa!$A:$AE,BK$5,0)="",0,VLOOKUP($N404,Capa!$A:$AE,BK$5,0)),0),IF(ISERROR(1/VLOOKUP($N404,Capa!$A:$AE,BK$5,0)),0,1/VLOOKUP($N404,Capa!$A:$AE,BK$5,0))))</f>
        <v/>
      </c>
      <c r="BL404" s="118" t="str">
        <f>IF(BL$6="","",IF(BL$3="Maior",IFERROR(IF(VLOOKUP($N404,Capa!$A:$AE,BL$5,0)="",0,VLOOKUP($N404,Capa!$A:$AE,BL$5,0)),0),IF(ISERROR(1/VLOOKUP($N404,Capa!$A:$AE,BL$5,0)),0,1/VLOOKUP($N404,Capa!$A:$AE,BL$5,0))))</f>
        <v/>
      </c>
      <c r="BM404" s="118" t="str">
        <f>IF(BM$6="","",IF(BM$3="Maior",IFERROR(IF(VLOOKUP($N404,Capa!$A:$AE,BM$5,0)="",0,VLOOKUP($N404,Capa!$A:$AE,BM$5,0)),0),IF(ISERROR(1/VLOOKUP($N404,Capa!$A:$AE,BM$5,0)),0,1/VLOOKUP($N404,Capa!$A:$AE,BM$5,0))))</f>
        <v/>
      </c>
      <c r="BN404" s="118" t="str">
        <f>IF(BN$6="","",IF(BN$3="Maior",IFERROR(IF(VLOOKUP($N404,Capa!$A:$AE,BN$5,0)="",0,VLOOKUP($N404,Capa!$A:$AE,BN$5,0)),0),IF(ISERROR(1/VLOOKUP($N404,Capa!$A:$AE,BN$5,0)),0,1/VLOOKUP($N404,Capa!$A:$AE,BN$5,0))))</f>
        <v/>
      </c>
      <c r="BO404" s="92"/>
    </row>
    <row r="405">
      <c r="G405" s="11"/>
      <c r="H405" s="11"/>
      <c r="I405" s="8"/>
      <c r="J405" s="132"/>
      <c r="K405" s="11"/>
      <c r="L405" s="11"/>
      <c r="M405" s="11"/>
      <c r="N405" s="10" t="s">
        <v>451</v>
      </c>
      <c r="O405" s="113">
        <f t="shared" si="8"/>
        <v>1618.0343</v>
      </c>
      <c r="P405" s="114">
        <f>VLOOKUP(N405,'Dados StatusInvest'!A:Z,26,0)</f>
        <v>23300</v>
      </c>
      <c r="Q405" s="115">
        <f t="shared" si="9"/>
        <v>343.0343</v>
      </c>
      <c r="R405" s="116">
        <f t="shared" ref="R405:AO405" si="408">IF(AQ405="","", RANK(AQ405,AQ$7:AQ$503,0))</f>
        <v>206</v>
      </c>
      <c r="S405" s="115">
        <f t="shared" si="408"/>
        <v>69</v>
      </c>
      <c r="T405" s="115" t="str">
        <f t="shared" si="408"/>
        <v/>
      </c>
      <c r="U405" s="115" t="str">
        <f t="shared" si="408"/>
        <v/>
      </c>
      <c r="V405" s="115" t="str">
        <f t="shared" si="408"/>
        <v/>
      </c>
      <c r="W405" s="115" t="str">
        <f t="shared" si="408"/>
        <v/>
      </c>
      <c r="X405" s="115" t="str">
        <f t="shared" si="408"/>
        <v/>
      </c>
      <c r="Y405" s="115" t="str">
        <f t="shared" si="408"/>
        <v/>
      </c>
      <c r="Z405" s="115" t="str">
        <f t="shared" si="408"/>
        <v/>
      </c>
      <c r="AA405" s="115" t="str">
        <f t="shared" si="408"/>
        <v/>
      </c>
      <c r="AB405" s="115" t="str">
        <f t="shared" si="408"/>
        <v/>
      </c>
      <c r="AC405" s="115" t="str">
        <f t="shared" si="408"/>
        <v/>
      </c>
      <c r="AD405" s="115" t="str">
        <f t="shared" si="408"/>
        <v/>
      </c>
      <c r="AE405" s="115" t="str">
        <f t="shared" si="408"/>
        <v/>
      </c>
      <c r="AF405" s="115" t="str">
        <f t="shared" si="408"/>
        <v/>
      </c>
      <c r="AG405" s="115" t="str">
        <f t="shared" si="408"/>
        <v/>
      </c>
      <c r="AH405" s="115" t="str">
        <f t="shared" si="408"/>
        <v/>
      </c>
      <c r="AI405" s="115" t="str">
        <f t="shared" si="408"/>
        <v/>
      </c>
      <c r="AJ405" s="115" t="str">
        <f t="shared" si="408"/>
        <v/>
      </c>
      <c r="AK405" s="115" t="str">
        <f t="shared" si="408"/>
        <v/>
      </c>
      <c r="AL405" s="115" t="str">
        <f t="shared" si="408"/>
        <v/>
      </c>
      <c r="AM405" s="115" t="str">
        <f t="shared" si="408"/>
        <v/>
      </c>
      <c r="AN405" s="115" t="str">
        <f t="shared" si="408"/>
        <v/>
      </c>
      <c r="AO405" s="115" t="str">
        <f t="shared" si="408"/>
        <v/>
      </c>
      <c r="AP405" s="117">
        <f>IF(AP$6="","",IF(AP$3="Maior",IFERROR(IF(VLOOKUP($N405,Capa!$A:$AE,AP$5,0)="",0,VLOOKUP($N405,Capa!$A:$AE,AP$5,0)),0),IF(ISERROR(1/VLOOKUP($N405,Capa!$A:$AE,AP$5,0)),0,1/VLOOKUP($N405,Capa!$A:$AE,AP$5,0))))</f>
        <v>0.03236245955</v>
      </c>
      <c r="AQ405" s="118">
        <f>IF(AQ$6="","",IF(AQ$3="Maior",IFERROR(IF(VLOOKUP($N405,Capa!$A:$AE,AQ$5,0)="",0,VLOOKUP($N405,Capa!$A:$AE,AQ$5,0)),0),IF(ISERROR(1/VLOOKUP($N405,Capa!$A:$AE,AQ$5,0)),0,1/VLOOKUP($N405,Capa!$A:$AE,AQ$5,0))))</f>
        <v>10.88</v>
      </c>
      <c r="AR405" s="118">
        <f>IF(AR$6="","",IF(AR$3="Maior",IFERROR(IF(VLOOKUP($N405,Capa!$A:$AE,AR$5,0)="",0,VLOOKUP($N405,Capa!$A:$AE,AR$5,0)),0),IF(ISERROR(1/VLOOKUP($N405,Capa!$A:$AE,AR$5,0)),0,1/VLOOKUP($N405,Capa!$A:$AE,AR$5,0))))</f>
        <v>37.2</v>
      </c>
      <c r="AS405" s="118" t="str">
        <f>IF(AS$6="","",IF(AS$3="Maior",IFERROR(IF(VLOOKUP($N405,Capa!$A:$AE,AS$5,0)="",0,VLOOKUP($N405,Capa!$A:$AE,AS$5,0)),0),IF(ISERROR(1/VLOOKUP($N405,Capa!$A:$AE,AS$5,0)),0,1/VLOOKUP($N405,Capa!$A:$AE,AS$5,0))))</f>
        <v/>
      </c>
      <c r="AT405" s="118" t="str">
        <f>IF(AT$6="","",IF(AT$3="Maior",IFERROR(IF(VLOOKUP($N405,Capa!$A:$AE,AT$5,0)="",0,VLOOKUP($N405,Capa!$A:$AE,AT$5,0)),0),IF(ISERROR(1/VLOOKUP($N405,Capa!$A:$AE,AT$5,0)),0,1/VLOOKUP($N405,Capa!$A:$AE,AT$5,0))))</f>
        <v/>
      </c>
      <c r="AU405" s="118" t="str">
        <f>IF(AU$6="","",IF(AU$3="Maior",IFERROR(IF(VLOOKUP($N405,Capa!$A:$AE,AU$5,0)="",0,VLOOKUP($N405,Capa!$A:$AE,AU$5,0)),0),IF(ISERROR(1/VLOOKUP($N405,Capa!$A:$AE,AU$5,0)),0,1/VLOOKUP($N405,Capa!$A:$AE,AU$5,0))))</f>
        <v/>
      </c>
      <c r="AV405" s="118" t="str">
        <f>IF(AV$6="","",IF(AV$3="Maior",IFERROR(IF(VLOOKUP($N405,Capa!$A:$AE,AV$5,0)="",0,VLOOKUP($N405,Capa!$A:$AE,AV$5,0)),0),IF(ISERROR(1/VLOOKUP($N405,Capa!$A:$AE,AV$5,0)),0,1/VLOOKUP($N405,Capa!$A:$AE,AV$5,0))))</f>
        <v/>
      </c>
      <c r="AW405" s="118" t="str">
        <f>IF(AW$6="","",IF(AW$3="Maior",IFERROR(IF(VLOOKUP($N405,Capa!$A:$AE,AW$5,0)="",0,VLOOKUP($N405,Capa!$A:$AE,AW$5,0)),0),IF(ISERROR(1/VLOOKUP($N405,Capa!$A:$AE,AW$5,0)),0,1/VLOOKUP($N405,Capa!$A:$AE,AW$5,0))))</f>
        <v/>
      </c>
      <c r="AX405" s="118" t="str">
        <f>IF(AX$6="","",IF(AX$3="Maior",IFERROR(IF(VLOOKUP($N405,Capa!$A:$AE,AX$5,0)="",0,VLOOKUP($N405,Capa!$A:$AE,AX$5,0)),0),IF(ISERROR(1/VLOOKUP($N405,Capa!$A:$AE,AX$5,0)),0,1/VLOOKUP($N405,Capa!$A:$AE,AX$5,0))))</f>
        <v/>
      </c>
      <c r="AY405" s="118" t="str">
        <f>IF(AY$6="","",IF(AY$3="Maior",IFERROR(IF(VLOOKUP($N405,Capa!$A:$AE,AY$5,0)="",0,VLOOKUP($N405,Capa!$A:$AE,AY$5,0)),0),IF(ISERROR(1/VLOOKUP($N405,Capa!$A:$AE,AY$5,0)),0,1/VLOOKUP($N405,Capa!$A:$AE,AY$5,0))))</f>
        <v/>
      </c>
      <c r="AZ405" s="118" t="str">
        <f>IF(AZ$6="","",IF(AZ$3="Maior",IFERROR(IF(VLOOKUP($N405,Capa!$A:$AE,AZ$5,0)="",0,VLOOKUP($N405,Capa!$A:$AE,AZ$5,0)),0),IF(ISERROR(1/VLOOKUP($N405,Capa!$A:$AE,AZ$5,0)),0,1/VLOOKUP($N405,Capa!$A:$AE,AZ$5,0))))</f>
        <v/>
      </c>
      <c r="BA405" s="118" t="str">
        <f>IF(BA$6="","",IF(BA$3="Maior",IFERROR(IF(VLOOKUP($N405,Capa!$A:$AE,BA$5,0)="",0,VLOOKUP($N405,Capa!$A:$AE,BA$5,0)),0),IF(ISERROR(1/VLOOKUP($N405,Capa!$A:$AE,BA$5,0)),0,1/VLOOKUP($N405,Capa!$A:$AE,BA$5,0))))</f>
        <v/>
      </c>
      <c r="BB405" s="118" t="str">
        <f>IF(BB$6="","",IF(BB$3="Maior",IFERROR(IF(VLOOKUP($N405,Capa!$A:$AE,BB$5,0)="",0,VLOOKUP($N405,Capa!$A:$AE,BB$5,0)),0),IF(ISERROR(1/VLOOKUP($N405,Capa!$A:$AE,BB$5,0)),0,1/VLOOKUP($N405,Capa!$A:$AE,BB$5,0))))</f>
        <v/>
      </c>
      <c r="BC405" s="118" t="str">
        <f>IF(BC$6="","",IF(BC$3="Maior",IFERROR(IF(VLOOKUP($N405,Capa!$A:$AE,BC$5,0)="",0,VLOOKUP($N405,Capa!$A:$AE,BC$5,0)),0),IF(ISERROR(1/VLOOKUP($N405,Capa!$A:$AE,BC$5,0)),0,1/VLOOKUP($N405,Capa!$A:$AE,BC$5,0))))</f>
        <v/>
      </c>
      <c r="BD405" s="118" t="str">
        <f>IF(BD$6="","",IF(BD$3="Maior",IFERROR(IF(VLOOKUP($N405,Capa!$A:$AE,BD$5,0)="",0,VLOOKUP($N405,Capa!$A:$AE,BD$5,0)),0),IF(ISERROR(1/VLOOKUP($N405,Capa!$A:$AE,BD$5,0)),0,1/VLOOKUP($N405,Capa!$A:$AE,BD$5,0))))</f>
        <v/>
      </c>
      <c r="BE405" s="118" t="str">
        <f>IF(BE$6="","",IF(BE$3="Maior",IFERROR(IF(VLOOKUP($N405,Capa!$A:$AE,BE$5,0)="",0,VLOOKUP($N405,Capa!$A:$AE,BE$5,0)),0),IF(ISERROR(1/VLOOKUP($N405,Capa!$A:$AE,BE$5,0)),0,1/VLOOKUP($N405,Capa!$A:$AE,BE$5,0))))</f>
        <v/>
      </c>
      <c r="BF405" s="118" t="str">
        <f>IF(BF$6="","",IF(BF$3="Maior",IFERROR(IF(VLOOKUP($N405,Capa!$A:$AE,BF$5,0)="",0,VLOOKUP($N405,Capa!$A:$AE,BF$5,0)),0),IF(ISERROR(1/VLOOKUP($N405,Capa!$A:$AE,BF$5,0)),0,1/VLOOKUP($N405,Capa!$A:$AE,BF$5,0))))</f>
        <v/>
      </c>
      <c r="BG405" s="118" t="str">
        <f>IF(BG$6="","",IF(BG$3="Maior",IFERROR(IF(VLOOKUP($N405,Capa!$A:$AE,BG$5,0)="",0,VLOOKUP($N405,Capa!$A:$AE,BG$5,0)),0),IF(ISERROR(1/VLOOKUP($N405,Capa!$A:$AE,BG$5,0)),0,1/VLOOKUP($N405,Capa!$A:$AE,BG$5,0))))</f>
        <v/>
      </c>
      <c r="BH405" s="118" t="str">
        <f>IF(BH$6="","",IF(BH$3="Maior",IFERROR(IF(VLOOKUP($N405,Capa!$A:$AE,BH$5,0)="",0,VLOOKUP($N405,Capa!$A:$AE,BH$5,0)),0),IF(ISERROR(1/VLOOKUP($N405,Capa!$A:$AE,BH$5,0)),0,1/VLOOKUP($N405,Capa!$A:$AE,BH$5,0))))</f>
        <v/>
      </c>
      <c r="BI405" s="118" t="str">
        <f>IF(BI$6="","",IF(BI$3="Maior",IFERROR(IF(VLOOKUP($N405,Capa!$A:$AE,BI$5,0)="",0,VLOOKUP($N405,Capa!$A:$AE,BI$5,0)),0),IF(ISERROR(1/VLOOKUP($N405,Capa!$A:$AE,BI$5,0)),0,1/VLOOKUP($N405,Capa!$A:$AE,BI$5,0))))</f>
        <v/>
      </c>
      <c r="BJ405" s="118" t="str">
        <f>IF(BJ$6="","",IF(BJ$3="Maior",IFERROR(IF(VLOOKUP($N405,Capa!$A:$AE,BJ$5,0)="",0,VLOOKUP($N405,Capa!$A:$AE,BJ$5,0)),0),IF(ISERROR(1/VLOOKUP($N405,Capa!$A:$AE,BJ$5,0)),0,1/VLOOKUP($N405,Capa!$A:$AE,BJ$5,0))))</f>
        <v/>
      </c>
      <c r="BK405" s="118" t="str">
        <f>IF(BK$6="","",IF(BK$3="Maior",IFERROR(IF(VLOOKUP($N405,Capa!$A:$AE,BK$5,0)="",0,VLOOKUP($N405,Capa!$A:$AE,BK$5,0)),0),IF(ISERROR(1/VLOOKUP($N405,Capa!$A:$AE,BK$5,0)),0,1/VLOOKUP($N405,Capa!$A:$AE,BK$5,0))))</f>
        <v/>
      </c>
      <c r="BL405" s="118" t="str">
        <f>IF(BL$6="","",IF(BL$3="Maior",IFERROR(IF(VLOOKUP($N405,Capa!$A:$AE,BL$5,0)="",0,VLOOKUP($N405,Capa!$A:$AE,BL$5,0)),0),IF(ISERROR(1/VLOOKUP($N405,Capa!$A:$AE,BL$5,0)),0,1/VLOOKUP($N405,Capa!$A:$AE,BL$5,0))))</f>
        <v/>
      </c>
      <c r="BM405" s="118" t="str">
        <f>IF(BM$6="","",IF(BM$3="Maior",IFERROR(IF(VLOOKUP($N405,Capa!$A:$AE,BM$5,0)="",0,VLOOKUP($N405,Capa!$A:$AE,BM$5,0)),0),IF(ISERROR(1/VLOOKUP($N405,Capa!$A:$AE,BM$5,0)),0,1/VLOOKUP($N405,Capa!$A:$AE,BM$5,0))))</f>
        <v/>
      </c>
      <c r="BN405" s="118" t="str">
        <f>IF(BN$6="","",IF(BN$3="Maior",IFERROR(IF(VLOOKUP($N405,Capa!$A:$AE,BN$5,0)="",0,VLOOKUP($N405,Capa!$A:$AE,BN$5,0)),0),IF(ISERROR(1/VLOOKUP($N405,Capa!$A:$AE,BN$5,0)),0,1/VLOOKUP($N405,Capa!$A:$AE,BN$5,0))))</f>
        <v/>
      </c>
      <c r="BO405" s="92"/>
    </row>
    <row r="406">
      <c r="G406" s="11"/>
      <c r="H406" s="11"/>
      <c r="I406" s="8"/>
      <c r="J406" s="132"/>
      <c r="K406" s="11"/>
      <c r="L406" s="11"/>
      <c r="M406" s="11"/>
      <c r="N406" s="10" t="s">
        <v>452</v>
      </c>
      <c r="O406" s="113">
        <f t="shared" si="8"/>
        <v>1899.0353</v>
      </c>
      <c r="P406" s="114">
        <f>VLOOKUP(N406,'Dados StatusInvest'!A:Z,26,0)</f>
        <v>31928.95</v>
      </c>
      <c r="Q406" s="115">
        <f t="shared" si="9"/>
        <v>353.0353</v>
      </c>
      <c r="R406" s="116">
        <f t="shared" ref="R406:AO406" si="409">IF(AQ406="","", RANK(AQ406,AQ$7:AQ$503,0))</f>
        <v>327</v>
      </c>
      <c r="S406" s="115">
        <f t="shared" si="409"/>
        <v>219</v>
      </c>
      <c r="T406" s="115" t="str">
        <f t="shared" si="409"/>
        <v/>
      </c>
      <c r="U406" s="115" t="str">
        <f t="shared" si="409"/>
        <v/>
      </c>
      <c r="V406" s="115" t="str">
        <f t="shared" si="409"/>
        <v/>
      </c>
      <c r="W406" s="115" t="str">
        <f t="shared" si="409"/>
        <v/>
      </c>
      <c r="X406" s="115" t="str">
        <f t="shared" si="409"/>
        <v/>
      </c>
      <c r="Y406" s="115" t="str">
        <f t="shared" si="409"/>
        <v/>
      </c>
      <c r="Z406" s="115" t="str">
        <f t="shared" si="409"/>
        <v/>
      </c>
      <c r="AA406" s="115" t="str">
        <f t="shared" si="409"/>
        <v/>
      </c>
      <c r="AB406" s="115" t="str">
        <f t="shared" si="409"/>
        <v/>
      </c>
      <c r="AC406" s="115" t="str">
        <f t="shared" si="409"/>
        <v/>
      </c>
      <c r="AD406" s="115" t="str">
        <f t="shared" si="409"/>
        <v/>
      </c>
      <c r="AE406" s="115" t="str">
        <f t="shared" si="409"/>
        <v/>
      </c>
      <c r="AF406" s="115" t="str">
        <f t="shared" si="409"/>
        <v/>
      </c>
      <c r="AG406" s="115" t="str">
        <f t="shared" si="409"/>
        <v/>
      </c>
      <c r="AH406" s="115" t="str">
        <f t="shared" si="409"/>
        <v/>
      </c>
      <c r="AI406" s="115" t="str">
        <f t="shared" si="409"/>
        <v/>
      </c>
      <c r="AJ406" s="115" t="str">
        <f t="shared" si="409"/>
        <v/>
      </c>
      <c r="AK406" s="115" t="str">
        <f t="shared" si="409"/>
        <v/>
      </c>
      <c r="AL406" s="115" t="str">
        <f t="shared" si="409"/>
        <v/>
      </c>
      <c r="AM406" s="115" t="str">
        <f t="shared" si="409"/>
        <v/>
      </c>
      <c r="AN406" s="115" t="str">
        <f t="shared" si="409"/>
        <v/>
      </c>
      <c r="AO406" s="115" t="str">
        <f t="shared" si="409"/>
        <v/>
      </c>
      <c r="AP406" s="117">
        <f>IF(AP$6="","",IF(AP$3="Maior",IFERROR(IF(VLOOKUP($N406,Capa!$A:$AE,AP$5,0)="",0,VLOOKUP($N406,Capa!$A:$AE,AP$5,0)),0),IF(ISERROR(1/VLOOKUP($N406,Capa!$A:$AE,AP$5,0)),0,1/VLOOKUP($N406,Capa!$A:$AE,AP$5,0))))</f>
        <v>0.03028433644</v>
      </c>
      <c r="AQ406" s="118">
        <f>IF(AQ$6="","",IF(AQ$3="Maior",IFERROR(IF(VLOOKUP($N406,Capa!$A:$AE,AQ$5,0)="",0,VLOOKUP($N406,Capa!$A:$AE,AQ$5,0)),0),IF(ISERROR(1/VLOOKUP($N406,Capa!$A:$AE,AQ$5,0)),0,1/VLOOKUP($N406,Capa!$A:$AE,AQ$5,0))))</f>
        <v>3.19</v>
      </c>
      <c r="AR406" s="118">
        <f>IF(AR$6="","",IF(AR$3="Maior",IFERROR(IF(VLOOKUP($N406,Capa!$A:$AE,AR$5,0)="",0,VLOOKUP($N406,Capa!$A:$AE,AR$5,0)),0),IF(ISERROR(1/VLOOKUP($N406,Capa!$A:$AE,AR$5,0)),0,1/VLOOKUP($N406,Capa!$A:$AE,AR$5,0))))</f>
        <v>0</v>
      </c>
      <c r="AS406" s="118" t="str">
        <f>IF(AS$6="","",IF(AS$3="Maior",IFERROR(IF(VLOOKUP($N406,Capa!$A:$AE,AS$5,0)="",0,VLOOKUP($N406,Capa!$A:$AE,AS$5,0)),0),IF(ISERROR(1/VLOOKUP($N406,Capa!$A:$AE,AS$5,0)),0,1/VLOOKUP($N406,Capa!$A:$AE,AS$5,0))))</f>
        <v/>
      </c>
      <c r="AT406" s="118" t="str">
        <f>IF(AT$6="","",IF(AT$3="Maior",IFERROR(IF(VLOOKUP($N406,Capa!$A:$AE,AT$5,0)="",0,VLOOKUP($N406,Capa!$A:$AE,AT$5,0)),0),IF(ISERROR(1/VLOOKUP($N406,Capa!$A:$AE,AT$5,0)),0,1/VLOOKUP($N406,Capa!$A:$AE,AT$5,0))))</f>
        <v/>
      </c>
      <c r="AU406" s="118" t="str">
        <f>IF(AU$6="","",IF(AU$3="Maior",IFERROR(IF(VLOOKUP($N406,Capa!$A:$AE,AU$5,0)="",0,VLOOKUP($N406,Capa!$A:$AE,AU$5,0)),0),IF(ISERROR(1/VLOOKUP($N406,Capa!$A:$AE,AU$5,0)),0,1/VLOOKUP($N406,Capa!$A:$AE,AU$5,0))))</f>
        <v/>
      </c>
      <c r="AV406" s="118" t="str">
        <f>IF(AV$6="","",IF(AV$3="Maior",IFERROR(IF(VLOOKUP($N406,Capa!$A:$AE,AV$5,0)="",0,VLOOKUP($N406,Capa!$A:$AE,AV$5,0)),0),IF(ISERROR(1/VLOOKUP($N406,Capa!$A:$AE,AV$5,0)),0,1/VLOOKUP($N406,Capa!$A:$AE,AV$5,0))))</f>
        <v/>
      </c>
      <c r="AW406" s="118" t="str">
        <f>IF(AW$6="","",IF(AW$3="Maior",IFERROR(IF(VLOOKUP($N406,Capa!$A:$AE,AW$5,0)="",0,VLOOKUP($N406,Capa!$A:$AE,AW$5,0)),0),IF(ISERROR(1/VLOOKUP($N406,Capa!$A:$AE,AW$5,0)),0,1/VLOOKUP($N406,Capa!$A:$AE,AW$5,0))))</f>
        <v/>
      </c>
      <c r="AX406" s="118" t="str">
        <f>IF(AX$6="","",IF(AX$3="Maior",IFERROR(IF(VLOOKUP($N406,Capa!$A:$AE,AX$5,0)="",0,VLOOKUP($N406,Capa!$A:$AE,AX$5,0)),0),IF(ISERROR(1/VLOOKUP($N406,Capa!$A:$AE,AX$5,0)),0,1/VLOOKUP($N406,Capa!$A:$AE,AX$5,0))))</f>
        <v/>
      </c>
      <c r="AY406" s="118" t="str">
        <f>IF(AY$6="","",IF(AY$3="Maior",IFERROR(IF(VLOOKUP($N406,Capa!$A:$AE,AY$5,0)="",0,VLOOKUP($N406,Capa!$A:$AE,AY$5,0)),0),IF(ISERROR(1/VLOOKUP($N406,Capa!$A:$AE,AY$5,0)),0,1/VLOOKUP($N406,Capa!$A:$AE,AY$5,0))))</f>
        <v/>
      </c>
      <c r="AZ406" s="118" t="str">
        <f>IF(AZ$6="","",IF(AZ$3="Maior",IFERROR(IF(VLOOKUP($N406,Capa!$A:$AE,AZ$5,0)="",0,VLOOKUP($N406,Capa!$A:$AE,AZ$5,0)),0),IF(ISERROR(1/VLOOKUP($N406,Capa!$A:$AE,AZ$5,0)),0,1/VLOOKUP($N406,Capa!$A:$AE,AZ$5,0))))</f>
        <v/>
      </c>
      <c r="BA406" s="118" t="str">
        <f>IF(BA$6="","",IF(BA$3="Maior",IFERROR(IF(VLOOKUP($N406,Capa!$A:$AE,BA$5,0)="",0,VLOOKUP($N406,Capa!$A:$AE,BA$5,0)),0),IF(ISERROR(1/VLOOKUP($N406,Capa!$A:$AE,BA$5,0)),0,1/VLOOKUP($N406,Capa!$A:$AE,BA$5,0))))</f>
        <v/>
      </c>
      <c r="BB406" s="118" t="str">
        <f>IF(BB$6="","",IF(BB$3="Maior",IFERROR(IF(VLOOKUP($N406,Capa!$A:$AE,BB$5,0)="",0,VLOOKUP($N406,Capa!$A:$AE,BB$5,0)),0),IF(ISERROR(1/VLOOKUP($N406,Capa!$A:$AE,BB$5,0)),0,1/VLOOKUP($N406,Capa!$A:$AE,BB$5,0))))</f>
        <v/>
      </c>
      <c r="BC406" s="118" t="str">
        <f>IF(BC$6="","",IF(BC$3="Maior",IFERROR(IF(VLOOKUP($N406,Capa!$A:$AE,BC$5,0)="",0,VLOOKUP($N406,Capa!$A:$AE,BC$5,0)),0),IF(ISERROR(1/VLOOKUP($N406,Capa!$A:$AE,BC$5,0)),0,1/VLOOKUP($N406,Capa!$A:$AE,BC$5,0))))</f>
        <v/>
      </c>
      <c r="BD406" s="118" t="str">
        <f>IF(BD$6="","",IF(BD$3="Maior",IFERROR(IF(VLOOKUP($N406,Capa!$A:$AE,BD$5,0)="",0,VLOOKUP($N406,Capa!$A:$AE,BD$5,0)),0),IF(ISERROR(1/VLOOKUP($N406,Capa!$A:$AE,BD$5,0)),0,1/VLOOKUP($N406,Capa!$A:$AE,BD$5,0))))</f>
        <v/>
      </c>
      <c r="BE406" s="118" t="str">
        <f>IF(BE$6="","",IF(BE$3="Maior",IFERROR(IF(VLOOKUP($N406,Capa!$A:$AE,BE$5,0)="",0,VLOOKUP($N406,Capa!$A:$AE,BE$5,0)),0),IF(ISERROR(1/VLOOKUP($N406,Capa!$A:$AE,BE$5,0)),0,1/VLOOKUP($N406,Capa!$A:$AE,BE$5,0))))</f>
        <v/>
      </c>
      <c r="BF406" s="118" t="str">
        <f>IF(BF$6="","",IF(BF$3="Maior",IFERROR(IF(VLOOKUP($N406,Capa!$A:$AE,BF$5,0)="",0,VLOOKUP($N406,Capa!$A:$AE,BF$5,0)),0),IF(ISERROR(1/VLOOKUP($N406,Capa!$A:$AE,BF$5,0)),0,1/VLOOKUP($N406,Capa!$A:$AE,BF$5,0))))</f>
        <v/>
      </c>
      <c r="BG406" s="118" t="str">
        <f>IF(BG$6="","",IF(BG$3="Maior",IFERROR(IF(VLOOKUP($N406,Capa!$A:$AE,BG$5,0)="",0,VLOOKUP($N406,Capa!$A:$AE,BG$5,0)),0),IF(ISERROR(1/VLOOKUP($N406,Capa!$A:$AE,BG$5,0)),0,1/VLOOKUP($N406,Capa!$A:$AE,BG$5,0))))</f>
        <v/>
      </c>
      <c r="BH406" s="118" t="str">
        <f>IF(BH$6="","",IF(BH$3="Maior",IFERROR(IF(VLOOKUP($N406,Capa!$A:$AE,BH$5,0)="",0,VLOOKUP($N406,Capa!$A:$AE,BH$5,0)),0),IF(ISERROR(1/VLOOKUP($N406,Capa!$A:$AE,BH$5,0)),0,1/VLOOKUP($N406,Capa!$A:$AE,BH$5,0))))</f>
        <v/>
      </c>
      <c r="BI406" s="118" t="str">
        <f>IF(BI$6="","",IF(BI$3="Maior",IFERROR(IF(VLOOKUP($N406,Capa!$A:$AE,BI$5,0)="",0,VLOOKUP($N406,Capa!$A:$AE,BI$5,0)),0),IF(ISERROR(1/VLOOKUP($N406,Capa!$A:$AE,BI$5,0)),0,1/VLOOKUP($N406,Capa!$A:$AE,BI$5,0))))</f>
        <v/>
      </c>
      <c r="BJ406" s="118" t="str">
        <f>IF(BJ$6="","",IF(BJ$3="Maior",IFERROR(IF(VLOOKUP($N406,Capa!$A:$AE,BJ$5,0)="",0,VLOOKUP($N406,Capa!$A:$AE,BJ$5,0)),0),IF(ISERROR(1/VLOOKUP($N406,Capa!$A:$AE,BJ$5,0)),0,1/VLOOKUP($N406,Capa!$A:$AE,BJ$5,0))))</f>
        <v/>
      </c>
      <c r="BK406" s="118" t="str">
        <f>IF(BK$6="","",IF(BK$3="Maior",IFERROR(IF(VLOOKUP($N406,Capa!$A:$AE,BK$5,0)="",0,VLOOKUP($N406,Capa!$A:$AE,BK$5,0)),0),IF(ISERROR(1/VLOOKUP($N406,Capa!$A:$AE,BK$5,0)),0,1/VLOOKUP($N406,Capa!$A:$AE,BK$5,0))))</f>
        <v/>
      </c>
      <c r="BL406" s="118" t="str">
        <f>IF(BL$6="","",IF(BL$3="Maior",IFERROR(IF(VLOOKUP($N406,Capa!$A:$AE,BL$5,0)="",0,VLOOKUP($N406,Capa!$A:$AE,BL$5,0)),0),IF(ISERROR(1/VLOOKUP($N406,Capa!$A:$AE,BL$5,0)),0,1/VLOOKUP($N406,Capa!$A:$AE,BL$5,0))))</f>
        <v/>
      </c>
      <c r="BM406" s="118" t="str">
        <f>IF(BM$6="","",IF(BM$3="Maior",IFERROR(IF(VLOOKUP($N406,Capa!$A:$AE,BM$5,0)="",0,VLOOKUP($N406,Capa!$A:$AE,BM$5,0)),0),IF(ISERROR(1/VLOOKUP($N406,Capa!$A:$AE,BM$5,0)),0,1/VLOOKUP($N406,Capa!$A:$AE,BM$5,0))))</f>
        <v/>
      </c>
      <c r="BN406" s="118" t="str">
        <f>IF(BN$6="","",IF(BN$3="Maior",IFERROR(IF(VLOOKUP($N406,Capa!$A:$AE,BN$5,0)="",0,VLOOKUP($N406,Capa!$A:$AE,BN$5,0)),0),IF(ISERROR(1/VLOOKUP($N406,Capa!$A:$AE,BN$5,0)),0,1/VLOOKUP($N406,Capa!$A:$AE,BN$5,0))))</f>
        <v/>
      </c>
      <c r="BO406" s="92"/>
    </row>
    <row r="407">
      <c r="G407" s="11"/>
      <c r="H407" s="11"/>
      <c r="I407" s="8"/>
      <c r="J407" s="132"/>
      <c r="K407" s="11"/>
      <c r="L407" s="11"/>
      <c r="M407" s="11"/>
      <c r="N407" s="10" t="s">
        <v>453</v>
      </c>
      <c r="O407" s="113">
        <f t="shared" si="8"/>
        <v>1711.0166</v>
      </c>
      <c r="P407" s="114">
        <f>VLOOKUP(N407,'Dados StatusInvest'!A:Z,26,0)</f>
        <v>10717</v>
      </c>
      <c r="Q407" s="115">
        <f t="shared" si="9"/>
        <v>166.0166</v>
      </c>
      <c r="R407" s="116">
        <f t="shared" ref="R407:AO407" si="410">IF(AQ407="","", RANK(AQ407,AQ$7:AQ$503,0))</f>
        <v>333</v>
      </c>
      <c r="S407" s="115">
        <f t="shared" si="410"/>
        <v>212</v>
      </c>
      <c r="T407" s="115" t="str">
        <f t="shared" si="410"/>
        <v/>
      </c>
      <c r="U407" s="115" t="str">
        <f t="shared" si="410"/>
        <v/>
      </c>
      <c r="V407" s="115" t="str">
        <f t="shared" si="410"/>
        <v/>
      </c>
      <c r="W407" s="115" t="str">
        <f t="shared" si="410"/>
        <v/>
      </c>
      <c r="X407" s="115" t="str">
        <f t="shared" si="410"/>
        <v/>
      </c>
      <c r="Y407" s="115" t="str">
        <f t="shared" si="410"/>
        <v/>
      </c>
      <c r="Z407" s="115" t="str">
        <f t="shared" si="410"/>
        <v/>
      </c>
      <c r="AA407" s="115" t="str">
        <f t="shared" si="410"/>
        <v/>
      </c>
      <c r="AB407" s="115" t="str">
        <f t="shared" si="410"/>
        <v/>
      </c>
      <c r="AC407" s="115" t="str">
        <f t="shared" si="410"/>
        <v/>
      </c>
      <c r="AD407" s="115" t="str">
        <f t="shared" si="410"/>
        <v/>
      </c>
      <c r="AE407" s="115" t="str">
        <f t="shared" si="410"/>
        <v/>
      </c>
      <c r="AF407" s="115" t="str">
        <f t="shared" si="410"/>
        <v/>
      </c>
      <c r="AG407" s="115" t="str">
        <f t="shared" si="410"/>
        <v/>
      </c>
      <c r="AH407" s="115" t="str">
        <f t="shared" si="410"/>
        <v/>
      </c>
      <c r="AI407" s="115" t="str">
        <f t="shared" si="410"/>
        <v/>
      </c>
      <c r="AJ407" s="115" t="str">
        <f t="shared" si="410"/>
        <v/>
      </c>
      <c r="AK407" s="115" t="str">
        <f t="shared" si="410"/>
        <v/>
      </c>
      <c r="AL407" s="115" t="str">
        <f t="shared" si="410"/>
        <v/>
      </c>
      <c r="AM407" s="115" t="str">
        <f t="shared" si="410"/>
        <v/>
      </c>
      <c r="AN407" s="115" t="str">
        <f t="shared" si="410"/>
        <v/>
      </c>
      <c r="AO407" s="115" t="str">
        <f t="shared" si="410"/>
        <v/>
      </c>
      <c r="AP407" s="117">
        <f>IF(AP$6="","",IF(AP$3="Maior",IFERROR(IF(VLOOKUP($N407,Capa!$A:$AE,AP$5,0)="",0,VLOOKUP($N407,Capa!$A:$AE,AP$5,0)),0),IF(ISERROR(1/VLOOKUP($N407,Capa!$A:$AE,AP$5,0)),0,1/VLOOKUP($N407,Capa!$A:$AE,AP$5,0))))</f>
        <v>0.1248618878</v>
      </c>
      <c r="AQ407" s="118">
        <f>IF(AQ$6="","",IF(AQ$3="Maior",IFERROR(IF(VLOOKUP($N407,Capa!$A:$AE,AQ$5,0)="",0,VLOOKUP($N407,Capa!$A:$AE,AQ$5,0)),0),IF(ISERROR(1/VLOOKUP($N407,Capa!$A:$AE,AQ$5,0)),0,1/VLOOKUP($N407,Capa!$A:$AE,AQ$5,0))))</f>
        <v>3.04</v>
      </c>
      <c r="AR407" s="118">
        <f>IF(AR$6="","",IF(AR$3="Maior",IFERROR(IF(VLOOKUP($N407,Capa!$A:$AE,AR$5,0)="",0,VLOOKUP($N407,Capa!$A:$AE,AR$5,0)),0),IF(ISERROR(1/VLOOKUP($N407,Capa!$A:$AE,AR$5,0)),0,1/VLOOKUP($N407,Capa!$A:$AE,AR$5,0))))</f>
        <v>0.43</v>
      </c>
      <c r="AS407" s="118" t="str">
        <f>IF(AS$6="","",IF(AS$3="Maior",IFERROR(IF(VLOOKUP($N407,Capa!$A:$AE,AS$5,0)="",0,VLOOKUP($N407,Capa!$A:$AE,AS$5,0)),0),IF(ISERROR(1/VLOOKUP($N407,Capa!$A:$AE,AS$5,0)),0,1/VLOOKUP($N407,Capa!$A:$AE,AS$5,0))))</f>
        <v/>
      </c>
      <c r="AT407" s="118" t="str">
        <f>IF(AT$6="","",IF(AT$3="Maior",IFERROR(IF(VLOOKUP($N407,Capa!$A:$AE,AT$5,0)="",0,VLOOKUP($N407,Capa!$A:$AE,AT$5,0)),0),IF(ISERROR(1/VLOOKUP($N407,Capa!$A:$AE,AT$5,0)),0,1/VLOOKUP($N407,Capa!$A:$AE,AT$5,0))))</f>
        <v/>
      </c>
      <c r="AU407" s="118" t="str">
        <f>IF(AU$6="","",IF(AU$3="Maior",IFERROR(IF(VLOOKUP($N407,Capa!$A:$AE,AU$5,0)="",0,VLOOKUP($N407,Capa!$A:$AE,AU$5,0)),0),IF(ISERROR(1/VLOOKUP($N407,Capa!$A:$AE,AU$5,0)),0,1/VLOOKUP($N407,Capa!$A:$AE,AU$5,0))))</f>
        <v/>
      </c>
      <c r="AV407" s="118" t="str">
        <f>IF(AV$6="","",IF(AV$3="Maior",IFERROR(IF(VLOOKUP($N407,Capa!$A:$AE,AV$5,0)="",0,VLOOKUP($N407,Capa!$A:$AE,AV$5,0)),0),IF(ISERROR(1/VLOOKUP($N407,Capa!$A:$AE,AV$5,0)),0,1/VLOOKUP($N407,Capa!$A:$AE,AV$5,0))))</f>
        <v/>
      </c>
      <c r="AW407" s="118" t="str">
        <f>IF(AW$6="","",IF(AW$3="Maior",IFERROR(IF(VLOOKUP($N407,Capa!$A:$AE,AW$5,0)="",0,VLOOKUP($N407,Capa!$A:$AE,AW$5,0)),0),IF(ISERROR(1/VLOOKUP($N407,Capa!$A:$AE,AW$5,0)),0,1/VLOOKUP($N407,Capa!$A:$AE,AW$5,0))))</f>
        <v/>
      </c>
      <c r="AX407" s="118" t="str">
        <f>IF(AX$6="","",IF(AX$3="Maior",IFERROR(IF(VLOOKUP($N407,Capa!$A:$AE,AX$5,0)="",0,VLOOKUP($N407,Capa!$A:$AE,AX$5,0)),0),IF(ISERROR(1/VLOOKUP($N407,Capa!$A:$AE,AX$5,0)),0,1/VLOOKUP($N407,Capa!$A:$AE,AX$5,0))))</f>
        <v/>
      </c>
      <c r="AY407" s="118" t="str">
        <f>IF(AY$6="","",IF(AY$3="Maior",IFERROR(IF(VLOOKUP($N407,Capa!$A:$AE,AY$5,0)="",0,VLOOKUP($N407,Capa!$A:$AE,AY$5,0)),0),IF(ISERROR(1/VLOOKUP($N407,Capa!$A:$AE,AY$5,0)),0,1/VLOOKUP($N407,Capa!$A:$AE,AY$5,0))))</f>
        <v/>
      </c>
      <c r="AZ407" s="118" t="str">
        <f>IF(AZ$6="","",IF(AZ$3="Maior",IFERROR(IF(VLOOKUP($N407,Capa!$A:$AE,AZ$5,0)="",0,VLOOKUP($N407,Capa!$A:$AE,AZ$5,0)),0),IF(ISERROR(1/VLOOKUP($N407,Capa!$A:$AE,AZ$5,0)),0,1/VLOOKUP($N407,Capa!$A:$AE,AZ$5,0))))</f>
        <v/>
      </c>
      <c r="BA407" s="118" t="str">
        <f>IF(BA$6="","",IF(BA$3="Maior",IFERROR(IF(VLOOKUP($N407,Capa!$A:$AE,BA$5,0)="",0,VLOOKUP($N407,Capa!$A:$AE,BA$5,0)),0),IF(ISERROR(1/VLOOKUP($N407,Capa!$A:$AE,BA$5,0)),0,1/VLOOKUP($N407,Capa!$A:$AE,BA$5,0))))</f>
        <v/>
      </c>
      <c r="BB407" s="118" t="str">
        <f>IF(BB$6="","",IF(BB$3="Maior",IFERROR(IF(VLOOKUP($N407,Capa!$A:$AE,BB$5,0)="",0,VLOOKUP($N407,Capa!$A:$AE,BB$5,0)),0),IF(ISERROR(1/VLOOKUP($N407,Capa!$A:$AE,BB$5,0)),0,1/VLOOKUP($N407,Capa!$A:$AE,BB$5,0))))</f>
        <v/>
      </c>
      <c r="BC407" s="118" t="str">
        <f>IF(BC$6="","",IF(BC$3="Maior",IFERROR(IF(VLOOKUP($N407,Capa!$A:$AE,BC$5,0)="",0,VLOOKUP($N407,Capa!$A:$AE,BC$5,0)),0),IF(ISERROR(1/VLOOKUP($N407,Capa!$A:$AE,BC$5,0)),0,1/VLOOKUP($N407,Capa!$A:$AE,BC$5,0))))</f>
        <v/>
      </c>
      <c r="BD407" s="118" t="str">
        <f>IF(BD$6="","",IF(BD$3="Maior",IFERROR(IF(VLOOKUP($N407,Capa!$A:$AE,BD$5,0)="",0,VLOOKUP($N407,Capa!$A:$AE,BD$5,0)),0),IF(ISERROR(1/VLOOKUP($N407,Capa!$A:$AE,BD$5,0)),0,1/VLOOKUP($N407,Capa!$A:$AE,BD$5,0))))</f>
        <v/>
      </c>
      <c r="BE407" s="118" t="str">
        <f>IF(BE$6="","",IF(BE$3="Maior",IFERROR(IF(VLOOKUP($N407,Capa!$A:$AE,BE$5,0)="",0,VLOOKUP($N407,Capa!$A:$AE,BE$5,0)),0),IF(ISERROR(1/VLOOKUP($N407,Capa!$A:$AE,BE$5,0)),0,1/VLOOKUP($N407,Capa!$A:$AE,BE$5,0))))</f>
        <v/>
      </c>
      <c r="BF407" s="118" t="str">
        <f>IF(BF$6="","",IF(BF$3="Maior",IFERROR(IF(VLOOKUP($N407,Capa!$A:$AE,BF$5,0)="",0,VLOOKUP($N407,Capa!$A:$AE,BF$5,0)),0),IF(ISERROR(1/VLOOKUP($N407,Capa!$A:$AE,BF$5,0)),0,1/VLOOKUP($N407,Capa!$A:$AE,BF$5,0))))</f>
        <v/>
      </c>
      <c r="BG407" s="118" t="str">
        <f>IF(BG$6="","",IF(BG$3="Maior",IFERROR(IF(VLOOKUP($N407,Capa!$A:$AE,BG$5,0)="",0,VLOOKUP($N407,Capa!$A:$AE,BG$5,0)),0),IF(ISERROR(1/VLOOKUP($N407,Capa!$A:$AE,BG$5,0)),0,1/VLOOKUP($N407,Capa!$A:$AE,BG$5,0))))</f>
        <v/>
      </c>
      <c r="BH407" s="118" t="str">
        <f>IF(BH$6="","",IF(BH$3="Maior",IFERROR(IF(VLOOKUP($N407,Capa!$A:$AE,BH$5,0)="",0,VLOOKUP($N407,Capa!$A:$AE,BH$5,0)),0),IF(ISERROR(1/VLOOKUP($N407,Capa!$A:$AE,BH$5,0)),0,1/VLOOKUP($N407,Capa!$A:$AE,BH$5,0))))</f>
        <v/>
      </c>
      <c r="BI407" s="118" t="str">
        <f>IF(BI$6="","",IF(BI$3="Maior",IFERROR(IF(VLOOKUP($N407,Capa!$A:$AE,BI$5,0)="",0,VLOOKUP($N407,Capa!$A:$AE,BI$5,0)),0),IF(ISERROR(1/VLOOKUP($N407,Capa!$A:$AE,BI$5,0)),0,1/VLOOKUP($N407,Capa!$A:$AE,BI$5,0))))</f>
        <v/>
      </c>
      <c r="BJ407" s="118" t="str">
        <f>IF(BJ$6="","",IF(BJ$3="Maior",IFERROR(IF(VLOOKUP($N407,Capa!$A:$AE,BJ$5,0)="",0,VLOOKUP($N407,Capa!$A:$AE,BJ$5,0)),0),IF(ISERROR(1/VLOOKUP($N407,Capa!$A:$AE,BJ$5,0)),0,1/VLOOKUP($N407,Capa!$A:$AE,BJ$5,0))))</f>
        <v/>
      </c>
      <c r="BK407" s="118" t="str">
        <f>IF(BK$6="","",IF(BK$3="Maior",IFERROR(IF(VLOOKUP($N407,Capa!$A:$AE,BK$5,0)="",0,VLOOKUP($N407,Capa!$A:$AE,BK$5,0)),0),IF(ISERROR(1/VLOOKUP($N407,Capa!$A:$AE,BK$5,0)),0,1/VLOOKUP($N407,Capa!$A:$AE,BK$5,0))))</f>
        <v/>
      </c>
      <c r="BL407" s="118" t="str">
        <f>IF(BL$6="","",IF(BL$3="Maior",IFERROR(IF(VLOOKUP($N407,Capa!$A:$AE,BL$5,0)="",0,VLOOKUP($N407,Capa!$A:$AE,BL$5,0)),0),IF(ISERROR(1/VLOOKUP($N407,Capa!$A:$AE,BL$5,0)),0,1/VLOOKUP($N407,Capa!$A:$AE,BL$5,0))))</f>
        <v/>
      </c>
      <c r="BM407" s="118" t="str">
        <f>IF(BM$6="","",IF(BM$3="Maior",IFERROR(IF(VLOOKUP($N407,Capa!$A:$AE,BM$5,0)="",0,VLOOKUP($N407,Capa!$A:$AE,BM$5,0)),0),IF(ISERROR(1/VLOOKUP($N407,Capa!$A:$AE,BM$5,0)),0,1/VLOOKUP($N407,Capa!$A:$AE,BM$5,0))))</f>
        <v/>
      </c>
      <c r="BN407" s="118" t="str">
        <f>IF(BN$6="","",IF(BN$3="Maior",IFERROR(IF(VLOOKUP($N407,Capa!$A:$AE,BN$5,0)="",0,VLOOKUP($N407,Capa!$A:$AE,BN$5,0)),0),IF(ISERROR(1/VLOOKUP($N407,Capa!$A:$AE,BN$5,0)),0,1/VLOOKUP($N407,Capa!$A:$AE,BN$5,0))))</f>
        <v/>
      </c>
      <c r="BO407" s="92"/>
    </row>
    <row r="408">
      <c r="G408" s="11"/>
      <c r="H408" s="11"/>
      <c r="I408" s="8"/>
      <c r="J408" s="132"/>
      <c r="K408" s="11"/>
      <c r="L408" s="11"/>
      <c r="M408" s="11"/>
      <c r="N408" s="10" t="s">
        <v>454</v>
      </c>
      <c r="O408" s="113">
        <f t="shared" si="8"/>
        <v>1039.0006</v>
      </c>
      <c r="P408" s="114">
        <f>VLOOKUP(N408,'Dados StatusInvest'!A:Z,26,0)</f>
        <v>32705.57</v>
      </c>
      <c r="Q408" s="115">
        <f t="shared" si="9"/>
        <v>6.0006</v>
      </c>
      <c r="R408" s="116">
        <f t="shared" ref="R408:AO408" si="411">IF(AQ408="","", RANK(AQ408,AQ$7:AQ$503,0))</f>
        <v>8</v>
      </c>
      <c r="S408" s="115">
        <f t="shared" si="411"/>
        <v>25</v>
      </c>
      <c r="T408" s="115" t="str">
        <f t="shared" si="411"/>
        <v/>
      </c>
      <c r="U408" s="115" t="str">
        <f t="shared" si="411"/>
        <v/>
      </c>
      <c r="V408" s="115" t="str">
        <f t="shared" si="411"/>
        <v/>
      </c>
      <c r="W408" s="115" t="str">
        <f t="shared" si="411"/>
        <v/>
      </c>
      <c r="X408" s="115" t="str">
        <f t="shared" si="411"/>
        <v/>
      </c>
      <c r="Y408" s="115" t="str">
        <f t="shared" si="411"/>
        <v/>
      </c>
      <c r="Z408" s="115" t="str">
        <f t="shared" si="411"/>
        <v/>
      </c>
      <c r="AA408" s="115" t="str">
        <f t="shared" si="411"/>
        <v/>
      </c>
      <c r="AB408" s="115" t="str">
        <f t="shared" si="411"/>
        <v/>
      </c>
      <c r="AC408" s="115" t="str">
        <f t="shared" si="411"/>
        <v/>
      </c>
      <c r="AD408" s="115" t="str">
        <f t="shared" si="411"/>
        <v/>
      </c>
      <c r="AE408" s="115" t="str">
        <f t="shared" si="411"/>
        <v/>
      </c>
      <c r="AF408" s="115" t="str">
        <f t="shared" si="411"/>
        <v/>
      </c>
      <c r="AG408" s="115" t="str">
        <f t="shared" si="411"/>
        <v/>
      </c>
      <c r="AH408" s="115" t="str">
        <f t="shared" si="411"/>
        <v/>
      </c>
      <c r="AI408" s="115" t="str">
        <f t="shared" si="411"/>
        <v/>
      </c>
      <c r="AJ408" s="115" t="str">
        <f t="shared" si="411"/>
        <v/>
      </c>
      <c r="AK408" s="115" t="str">
        <f t="shared" si="411"/>
        <v/>
      </c>
      <c r="AL408" s="115" t="str">
        <f t="shared" si="411"/>
        <v/>
      </c>
      <c r="AM408" s="115" t="str">
        <f t="shared" si="411"/>
        <v/>
      </c>
      <c r="AN408" s="115" t="str">
        <f t="shared" si="411"/>
        <v/>
      </c>
      <c r="AO408" s="115" t="str">
        <f t="shared" si="411"/>
        <v/>
      </c>
      <c r="AP408" s="117">
        <f>IF(AP$6="","",IF(AP$3="Maior",IFERROR(IF(VLOOKUP($N408,Capa!$A:$AE,AP$5,0)="",0,VLOOKUP($N408,Capa!$A:$AE,AP$5,0)),0),IF(ISERROR(1/VLOOKUP($N408,Capa!$A:$AE,AP$5,0)),0,1/VLOOKUP($N408,Capa!$A:$AE,AP$5,0))))</f>
        <v>1.219512195</v>
      </c>
      <c r="AQ408" s="118">
        <f>IF(AQ$6="","",IF(AQ$3="Maior",IFERROR(IF(VLOOKUP($N408,Capa!$A:$AE,AQ$5,0)="",0,VLOOKUP($N408,Capa!$A:$AE,AQ$5,0)),0),IF(ISERROR(1/VLOOKUP($N408,Capa!$A:$AE,AQ$5,0)),0,1/VLOOKUP($N408,Capa!$A:$AE,AQ$5,0))))</f>
        <v>81.32</v>
      </c>
      <c r="AR408" s="118">
        <f>IF(AR$6="","",IF(AR$3="Maior",IFERROR(IF(VLOOKUP($N408,Capa!$A:$AE,AR$5,0)="",0,VLOOKUP($N408,Capa!$A:$AE,AR$5,0)),0),IF(ISERROR(1/VLOOKUP($N408,Capa!$A:$AE,AR$5,0)),0,1/VLOOKUP($N408,Capa!$A:$AE,AR$5,0))))</f>
        <v>81.97</v>
      </c>
      <c r="AS408" s="118" t="str">
        <f>IF(AS$6="","",IF(AS$3="Maior",IFERROR(IF(VLOOKUP($N408,Capa!$A:$AE,AS$5,0)="",0,VLOOKUP($N408,Capa!$A:$AE,AS$5,0)),0),IF(ISERROR(1/VLOOKUP($N408,Capa!$A:$AE,AS$5,0)),0,1/VLOOKUP($N408,Capa!$A:$AE,AS$5,0))))</f>
        <v/>
      </c>
      <c r="AT408" s="118" t="str">
        <f>IF(AT$6="","",IF(AT$3="Maior",IFERROR(IF(VLOOKUP($N408,Capa!$A:$AE,AT$5,0)="",0,VLOOKUP($N408,Capa!$A:$AE,AT$5,0)),0),IF(ISERROR(1/VLOOKUP($N408,Capa!$A:$AE,AT$5,0)),0,1/VLOOKUP($N408,Capa!$A:$AE,AT$5,0))))</f>
        <v/>
      </c>
      <c r="AU408" s="118" t="str">
        <f>IF(AU$6="","",IF(AU$3="Maior",IFERROR(IF(VLOOKUP($N408,Capa!$A:$AE,AU$5,0)="",0,VLOOKUP($N408,Capa!$A:$AE,AU$5,0)),0),IF(ISERROR(1/VLOOKUP($N408,Capa!$A:$AE,AU$5,0)),0,1/VLOOKUP($N408,Capa!$A:$AE,AU$5,0))))</f>
        <v/>
      </c>
      <c r="AV408" s="118" t="str">
        <f>IF(AV$6="","",IF(AV$3="Maior",IFERROR(IF(VLOOKUP($N408,Capa!$A:$AE,AV$5,0)="",0,VLOOKUP($N408,Capa!$A:$AE,AV$5,0)),0),IF(ISERROR(1/VLOOKUP($N408,Capa!$A:$AE,AV$5,0)),0,1/VLOOKUP($N408,Capa!$A:$AE,AV$5,0))))</f>
        <v/>
      </c>
      <c r="AW408" s="118" t="str">
        <f>IF(AW$6="","",IF(AW$3="Maior",IFERROR(IF(VLOOKUP($N408,Capa!$A:$AE,AW$5,0)="",0,VLOOKUP($N408,Capa!$A:$AE,AW$5,0)),0),IF(ISERROR(1/VLOOKUP($N408,Capa!$A:$AE,AW$5,0)),0,1/VLOOKUP($N408,Capa!$A:$AE,AW$5,0))))</f>
        <v/>
      </c>
      <c r="AX408" s="118" t="str">
        <f>IF(AX$6="","",IF(AX$3="Maior",IFERROR(IF(VLOOKUP($N408,Capa!$A:$AE,AX$5,0)="",0,VLOOKUP($N408,Capa!$A:$AE,AX$5,0)),0),IF(ISERROR(1/VLOOKUP($N408,Capa!$A:$AE,AX$5,0)),0,1/VLOOKUP($N408,Capa!$A:$AE,AX$5,0))))</f>
        <v/>
      </c>
      <c r="AY408" s="118" t="str">
        <f>IF(AY$6="","",IF(AY$3="Maior",IFERROR(IF(VLOOKUP($N408,Capa!$A:$AE,AY$5,0)="",0,VLOOKUP($N408,Capa!$A:$AE,AY$5,0)),0),IF(ISERROR(1/VLOOKUP($N408,Capa!$A:$AE,AY$5,0)),0,1/VLOOKUP($N408,Capa!$A:$AE,AY$5,0))))</f>
        <v/>
      </c>
      <c r="AZ408" s="118" t="str">
        <f>IF(AZ$6="","",IF(AZ$3="Maior",IFERROR(IF(VLOOKUP($N408,Capa!$A:$AE,AZ$5,0)="",0,VLOOKUP($N408,Capa!$A:$AE,AZ$5,0)),0),IF(ISERROR(1/VLOOKUP($N408,Capa!$A:$AE,AZ$5,0)),0,1/VLOOKUP($N408,Capa!$A:$AE,AZ$5,0))))</f>
        <v/>
      </c>
      <c r="BA408" s="118" t="str">
        <f>IF(BA$6="","",IF(BA$3="Maior",IFERROR(IF(VLOOKUP($N408,Capa!$A:$AE,BA$5,0)="",0,VLOOKUP($N408,Capa!$A:$AE,BA$5,0)),0),IF(ISERROR(1/VLOOKUP($N408,Capa!$A:$AE,BA$5,0)),0,1/VLOOKUP($N408,Capa!$A:$AE,BA$5,0))))</f>
        <v/>
      </c>
      <c r="BB408" s="118" t="str">
        <f>IF(BB$6="","",IF(BB$3="Maior",IFERROR(IF(VLOOKUP($N408,Capa!$A:$AE,BB$5,0)="",0,VLOOKUP($N408,Capa!$A:$AE,BB$5,0)),0),IF(ISERROR(1/VLOOKUP($N408,Capa!$A:$AE,BB$5,0)),0,1/VLOOKUP($N408,Capa!$A:$AE,BB$5,0))))</f>
        <v/>
      </c>
      <c r="BC408" s="118" t="str">
        <f>IF(BC$6="","",IF(BC$3="Maior",IFERROR(IF(VLOOKUP($N408,Capa!$A:$AE,BC$5,0)="",0,VLOOKUP($N408,Capa!$A:$AE,BC$5,0)),0),IF(ISERROR(1/VLOOKUP($N408,Capa!$A:$AE,BC$5,0)),0,1/VLOOKUP($N408,Capa!$A:$AE,BC$5,0))))</f>
        <v/>
      </c>
      <c r="BD408" s="118" t="str">
        <f>IF(BD$6="","",IF(BD$3="Maior",IFERROR(IF(VLOOKUP($N408,Capa!$A:$AE,BD$5,0)="",0,VLOOKUP($N408,Capa!$A:$AE,BD$5,0)),0),IF(ISERROR(1/VLOOKUP($N408,Capa!$A:$AE,BD$5,0)),0,1/VLOOKUP($N408,Capa!$A:$AE,BD$5,0))))</f>
        <v/>
      </c>
      <c r="BE408" s="118" t="str">
        <f>IF(BE$6="","",IF(BE$3="Maior",IFERROR(IF(VLOOKUP($N408,Capa!$A:$AE,BE$5,0)="",0,VLOOKUP($N408,Capa!$A:$AE,BE$5,0)),0),IF(ISERROR(1/VLOOKUP($N408,Capa!$A:$AE,BE$5,0)),0,1/VLOOKUP($N408,Capa!$A:$AE,BE$5,0))))</f>
        <v/>
      </c>
      <c r="BF408" s="118" t="str">
        <f>IF(BF$6="","",IF(BF$3="Maior",IFERROR(IF(VLOOKUP($N408,Capa!$A:$AE,BF$5,0)="",0,VLOOKUP($N408,Capa!$A:$AE,BF$5,0)),0),IF(ISERROR(1/VLOOKUP($N408,Capa!$A:$AE,BF$5,0)),0,1/VLOOKUP($N408,Capa!$A:$AE,BF$5,0))))</f>
        <v/>
      </c>
      <c r="BG408" s="118" t="str">
        <f>IF(BG$6="","",IF(BG$3="Maior",IFERROR(IF(VLOOKUP($N408,Capa!$A:$AE,BG$5,0)="",0,VLOOKUP($N408,Capa!$A:$AE,BG$5,0)),0),IF(ISERROR(1/VLOOKUP($N408,Capa!$A:$AE,BG$5,0)),0,1/VLOOKUP($N408,Capa!$A:$AE,BG$5,0))))</f>
        <v/>
      </c>
      <c r="BH408" s="118" t="str">
        <f>IF(BH$6="","",IF(BH$3="Maior",IFERROR(IF(VLOOKUP($N408,Capa!$A:$AE,BH$5,0)="",0,VLOOKUP($N408,Capa!$A:$AE,BH$5,0)),0),IF(ISERROR(1/VLOOKUP($N408,Capa!$A:$AE,BH$5,0)),0,1/VLOOKUP($N408,Capa!$A:$AE,BH$5,0))))</f>
        <v/>
      </c>
      <c r="BI408" s="118" t="str">
        <f>IF(BI$6="","",IF(BI$3="Maior",IFERROR(IF(VLOOKUP($N408,Capa!$A:$AE,BI$5,0)="",0,VLOOKUP($N408,Capa!$A:$AE,BI$5,0)),0),IF(ISERROR(1/VLOOKUP($N408,Capa!$A:$AE,BI$5,0)),0,1/VLOOKUP($N408,Capa!$A:$AE,BI$5,0))))</f>
        <v/>
      </c>
      <c r="BJ408" s="118" t="str">
        <f>IF(BJ$6="","",IF(BJ$3="Maior",IFERROR(IF(VLOOKUP($N408,Capa!$A:$AE,BJ$5,0)="",0,VLOOKUP($N408,Capa!$A:$AE,BJ$5,0)),0),IF(ISERROR(1/VLOOKUP($N408,Capa!$A:$AE,BJ$5,0)),0,1/VLOOKUP($N408,Capa!$A:$AE,BJ$5,0))))</f>
        <v/>
      </c>
      <c r="BK408" s="118" t="str">
        <f>IF(BK$6="","",IF(BK$3="Maior",IFERROR(IF(VLOOKUP($N408,Capa!$A:$AE,BK$5,0)="",0,VLOOKUP($N408,Capa!$A:$AE,BK$5,0)),0),IF(ISERROR(1/VLOOKUP($N408,Capa!$A:$AE,BK$5,0)),0,1/VLOOKUP($N408,Capa!$A:$AE,BK$5,0))))</f>
        <v/>
      </c>
      <c r="BL408" s="118" t="str">
        <f>IF(BL$6="","",IF(BL$3="Maior",IFERROR(IF(VLOOKUP($N408,Capa!$A:$AE,BL$5,0)="",0,VLOOKUP($N408,Capa!$A:$AE,BL$5,0)),0),IF(ISERROR(1/VLOOKUP($N408,Capa!$A:$AE,BL$5,0)),0,1/VLOOKUP($N408,Capa!$A:$AE,BL$5,0))))</f>
        <v/>
      </c>
      <c r="BM408" s="118" t="str">
        <f>IF(BM$6="","",IF(BM$3="Maior",IFERROR(IF(VLOOKUP($N408,Capa!$A:$AE,BM$5,0)="",0,VLOOKUP($N408,Capa!$A:$AE,BM$5,0)),0),IF(ISERROR(1/VLOOKUP($N408,Capa!$A:$AE,BM$5,0)),0,1/VLOOKUP($N408,Capa!$A:$AE,BM$5,0))))</f>
        <v/>
      </c>
      <c r="BN408" s="118" t="str">
        <f>IF(BN$6="","",IF(BN$3="Maior",IFERROR(IF(VLOOKUP($N408,Capa!$A:$AE,BN$5,0)="",0,VLOOKUP($N408,Capa!$A:$AE,BN$5,0)),0),IF(ISERROR(1/VLOOKUP($N408,Capa!$A:$AE,BN$5,0)),0,1/VLOOKUP($N408,Capa!$A:$AE,BN$5,0))))</f>
        <v/>
      </c>
      <c r="BO408" s="92"/>
    </row>
    <row r="409">
      <c r="G409" s="11"/>
      <c r="H409" s="11"/>
      <c r="I409" s="8"/>
      <c r="J409" s="132"/>
      <c r="K409" s="11"/>
      <c r="L409" s="11"/>
      <c r="M409" s="11"/>
      <c r="N409" s="10" t="s">
        <v>455</v>
      </c>
      <c r="O409" s="113">
        <f t="shared" si="8"/>
        <v>1985.0394</v>
      </c>
      <c r="P409" s="114">
        <f>VLOOKUP(N409,'Dados StatusInvest'!A:Z,26,0)</f>
        <v>42048.33</v>
      </c>
      <c r="Q409" s="115">
        <f t="shared" si="9"/>
        <v>394.0394</v>
      </c>
      <c r="R409" s="116">
        <f t="shared" ref="R409:AO409" si="412">IF(AQ409="","", RANK(AQ409,AQ$7:AQ$503,0))</f>
        <v>372</v>
      </c>
      <c r="S409" s="115">
        <f t="shared" si="412"/>
        <v>219</v>
      </c>
      <c r="T409" s="115" t="str">
        <f t="shared" si="412"/>
        <v/>
      </c>
      <c r="U409" s="115" t="str">
        <f t="shared" si="412"/>
        <v/>
      </c>
      <c r="V409" s="115" t="str">
        <f t="shared" si="412"/>
        <v/>
      </c>
      <c r="W409" s="115" t="str">
        <f t="shared" si="412"/>
        <v/>
      </c>
      <c r="X409" s="115" t="str">
        <f t="shared" si="412"/>
        <v/>
      </c>
      <c r="Y409" s="115" t="str">
        <f t="shared" si="412"/>
        <v/>
      </c>
      <c r="Z409" s="115" t="str">
        <f t="shared" si="412"/>
        <v/>
      </c>
      <c r="AA409" s="115" t="str">
        <f t="shared" si="412"/>
        <v/>
      </c>
      <c r="AB409" s="115" t="str">
        <f t="shared" si="412"/>
        <v/>
      </c>
      <c r="AC409" s="115" t="str">
        <f t="shared" si="412"/>
        <v/>
      </c>
      <c r="AD409" s="115" t="str">
        <f t="shared" si="412"/>
        <v/>
      </c>
      <c r="AE409" s="115" t="str">
        <f t="shared" si="412"/>
        <v/>
      </c>
      <c r="AF409" s="115" t="str">
        <f t="shared" si="412"/>
        <v/>
      </c>
      <c r="AG409" s="115" t="str">
        <f t="shared" si="412"/>
        <v/>
      </c>
      <c r="AH409" s="115" t="str">
        <f t="shared" si="412"/>
        <v/>
      </c>
      <c r="AI409" s="115" t="str">
        <f t="shared" si="412"/>
        <v/>
      </c>
      <c r="AJ409" s="115" t="str">
        <f t="shared" si="412"/>
        <v/>
      </c>
      <c r="AK409" s="115" t="str">
        <f t="shared" si="412"/>
        <v/>
      </c>
      <c r="AL409" s="115" t="str">
        <f t="shared" si="412"/>
        <v/>
      </c>
      <c r="AM409" s="115" t="str">
        <f t="shared" si="412"/>
        <v/>
      </c>
      <c r="AN409" s="115" t="str">
        <f t="shared" si="412"/>
        <v/>
      </c>
      <c r="AO409" s="115" t="str">
        <f t="shared" si="412"/>
        <v/>
      </c>
      <c r="AP409" s="117">
        <f>IF(AP$6="","",IF(AP$3="Maior",IFERROR(IF(VLOOKUP($N409,Capa!$A:$AE,AP$5,0)="",0,VLOOKUP($N409,Capa!$A:$AE,AP$5,0)),0),IF(ISERROR(1/VLOOKUP($N409,Capa!$A:$AE,AP$5,0)),0,1/VLOOKUP($N409,Capa!$A:$AE,AP$5,0))))</f>
        <v>0.009578861601</v>
      </c>
      <c r="AQ409" s="118">
        <f>IF(AQ$6="","",IF(AQ$3="Maior",IFERROR(IF(VLOOKUP($N409,Capa!$A:$AE,AQ$5,0)="",0,VLOOKUP($N409,Capa!$A:$AE,AQ$5,0)),0),IF(ISERROR(1/VLOOKUP($N409,Capa!$A:$AE,AQ$5,0)),0,1/VLOOKUP($N409,Capa!$A:$AE,AQ$5,0))))</f>
        <v>0.56</v>
      </c>
      <c r="AR409" s="118">
        <f>IF(AR$6="","",IF(AR$3="Maior",IFERROR(IF(VLOOKUP($N409,Capa!$A:$AE,AR$5,0)="",0,VLOOKUP($N409,Capa!$A:$AE,AR$5,0)),0),IF(ISERROR(1/VLOOKUP($N409,Capa!$A:$AE,AR$5,0)),0,1/VLOOKUP($N409,Capa!$A:$AE,AR$5,0))))</f>
        <v>0</v>
      </c>
      <c r="AS409" s="118" t="str">
        <f>IF(AS$6="","",IF(AS$3="Maior",IFERROR(IF(VLOOKUP($N409,Capa!$A:$AE,AS$5,0)="",0,VLOOKUP($N409,Capa!$A:$AE,AS$5,0)),0),IF(ISERROR(1/VLOOKUP($N409,Capa!$A:$AE,AS$5,0)),0,1/VLOOKUP($N409,Capa!$A:$AE,AS$5,0))))</f>
        <v/>
      </c>
      <c r="AT409" s="118" t="str">
        <f>IF(AT$6="","",IF(AT$3="Maior",IFERROR(IF(VLOOKUP($N409,Capa!$A:$AE,AT$5,0)="",0,VLOOKUP($N409,Capa!$A:$AE,AT$5,0)),0),IF(ISERROR(1/VLOOKUP($N409,Capa!$A:$AE,AT$5,0)),0,1/VLOOKUP($N409,Capa!$A:$AE,AT$5,0))))</f>
        <v/>
      </c>
      <c r="AU409" s="118" t="str">
        <f>IF(AU$6="","",IF(AU$3="Maior",IFERROR(IF(VLOOKUP($N409,Capa!$A:$AE,AU$5,0)="",0,VLOOKUP($N409,Capa!$A:$AE,AU$5,0)),0),IF(ISERROR(1/VLOOKUP($N409,Capa!$A:$AE,AU$5,0)),0,1/VLOOKUP($N409,Capa!$A:$AE,AU$5,0))))</f>
        <v/>
      </c>
      <c r="AV409" s="118" t="str">
        <f>IF(AV$6="","",IF(AV$3="Maior",IFERROR(IF(VLOOKUP($N409,Capa!$A:$AE,AV$5,0)="",0,VLOOKUP($N409,Capa!$A:$AE,AV$5,0)),0),IF(ISERROR(1/VLOOKUP($N409,Capa!$A:$AE,AV$5,0)),0,1/VLOOKUP($N409,Capa!$A:$AE,AV$5,0))))</f>
        <v/>
      </c>
      <c r="AW409" s="118" t="str">
        <f>IF(AW$6="","",IF(AW$3="Maior",IFERROR(IF(VLOOKUP($N409,Capa!$A:$AE,AW$5,0)="",0,VLOOKUP($N409,Capa!$A:$AE,AW$5,0)),0),IF(ISERROR(1/VLOOKUP($N409,Capa!$A:$AE,AW$5,0)),0,1/VLOOKUP($N409,Capa!$A:$AE,AW$5,0))))</f>
        <v/>
      </c>
      <c r="AX409" s="118" t="str">
        <f>IF(AX$6="","",IF(AX$3="Maior",IFERROR(IF(VLOOKUP($N409,Capa!$A:$AE,AX$5,0)="",0,VLOOKUP($N409,Capa!$A:$AE,AX$5,0)),0),IF(ISERROR(1/VLOOKUP($N409,Capa!$A:$AE,AX$5,0)),0,1/VLOOKUP($N409,Capa!$A:$AE,AX$5,0))))</f>
        <v/>
      </c>
      <c r="AY409" s="118" t="str">
        <f>IF(AY$6="","",IF(AY$3="Maior",IFERROR(IF(VLOOKUP($N409,Capa!$A:$AE,AY$5,0)="",0,VLOOKUP($N409,Capa!$A:$AE,AY$5,0)),0),IF(ISERROR(1/VLOOKUP($N409,Capa!$A:$AE,AY$5,0)),0,1/VLOOKUP($N409,Capa!$A:$AE,AY$5,0))))</f>
        <v/>
      </c>
      <c r="AZ409" s="118" t="str">
        <f>IF(AZ$6="","",IF(AZ$3="Maior",IFERROR(IF(VLOOKUP($N409,Capa!$A:$AE,AZ$5,0)="",0,VLOOKUP($N409,Capa!$A:$AE,AZ$5,0)),0),IF(ISERROR(1/VLOOKUP($N409,Capa!$A:$AE,AZ$5,0)),0,1/VLOOKUP($N409,Capa!$A:$AE,AZ$5,0))))</f>
        <v/>
      </c>
      <c r="BA409" s="118" t="str">
        <f>IF(BA$6="","",IF(BA$3="Maior",IFERROR(IF(VLOOKUP($N409,Capa!$A:$AE,BA$5,0)="",0,VLOOKUP($N409,Capa!$A:$AE,BA$5,0)),0),IF(ISERROR(1/VLOOKUP($N409,Capa!$A:$AE,BA$5,0)),0,1/VLOOKUP($N409,Capa!$A:$AE,BA$5,0))))</f>
        <v/>
      </c>
      <c r="BB409" s="118" t="str">
        <f>IF(BB$6="","",IF(BB$3="Maior",IFERROR(IF(VLOOKUP($N409,Capa!$A:$AE,BB$5,0)="",0,VLOOKUP($N409,Capa!$A:$AE,BB$5,0)),0),IF(ISERROR(1/VLOOKUP($N409,Capa!$A:$AE,BB$5,0)),0,1/VLOOKUP($N409,Capa!$A:$AE,BB$5,0))))</f>
        <v/>
      </c>
      <c r="BC409" s="118" t="str">
        <f>IF(BC$6="","",IF(BC$3="Maior",IFERROR(IF(VLOOKUP($N409,Capa!$A:$AE,BC$5,0)="",0,VLOOKUP($N409,Capa!$A:$AE,BC$5,0)),0),IF(ISERROR(1/VLOOKUP($N409,Capa!$A:$AE,BC$5,0)),0,1/VLOOKUP($N409,Capa!$A:$AE,BC$5,0))))</f>
        <v/>
      </c>
      <c r="BD409" s="118" t="str">
        <f>IF(BD$6="","",IF(BD$3="Maior",IFERROR(IF(VLOOKUP($N409,Capa!$A:$AE,BD$5,0)="",0,VLOOKUP($N409,Capa!$A:$AE,BD$5,0)),0),IF(ISERROR(1/VLOOKUP($N409,Capa!$A:$AE,BD$5,0)),0,1/VLOOKUP($N409,Capa!$A:$AE,BD$5,0))))</f>
        <v/>
      </c>
      <c r="BE409" s="118" t="str">
        <f>IF(BE$6="","",IF(BE$3="Maior",IFERROR(IF(VLOOKUP($N409,Capa!$A:$AE,BE$5,0)="",0,VLOOKUP($N409,Capa!$A:$AE,BE$5,0)),0),IF(ISERROR(1/VLOOKUP($N409,Capa!$A:$AE,BE$5,0)),0,1/VLOOKUP($N409,Capa!$A:$AE,BE$5,0))))</f>
        <v/>
      </c>
      <c r="BF409" s="118" t="str">
        <f>IF(BF$6="","",IF(BF$3="Maior",IFERROR(IF(VLOOKUP($N409,Capa!$A:$AE,BF$5,0)="",0,VLOOKUP($N409,Capa!$A:$AE,BF$5,0)),0),IF(ISERROR(1/VLOOKUP($N409,Capa!$A:$AE,BF$5,0)),0,1/VLOOKUP($N409,Capa!$A:$AE,BF$5,0))))</f>
        <v/>
      </c>
      <c r="BG409" s="118" t="str">
        <f>IF(BG$6="","",IF(BG$3="Maior",IFERROR(IF(VLOOKUP($N409,Capa!$A:$AE,BG$5,0)="",0,VLOOKUP($N409,Capa!$A:$AE,BG$5,0)),0),IF(ISERROR(1/VLOOKUP($N409,Capa!$A:$AE,BG$5,0)),0,1/VLOOKUP($N409,Capa!$A:$AE,BG$5,0))))</f>
        <v/>
      </c>
      <c r="BH409" s="118" t="str">
        <f>IF(BH$6="","",IF(BH$3="Maior",IFERROR(IF(VLOOKUP($N409,Capa!$A:$AE,BH$5,0)="",0,VLOOKUP($N409,Capa!$A:$AE,BH$5,0)),0),IF(ISERROR(1/VLOOKUP($N409,Capa!$A:$AE,BH$5,0)),0,1/VLOOKUP($N409,Capa!$A:$AE,BH$5,0))))</f>
        <v/>
      </c>
      <c r="BI409" s="118" t="str">
        <f>IF(BI$6="","",IF(BI$3="Maior",IFERROR(IF(VLOOKUP($N409,Capa!$A:$AE,BI$5,0)="",0,VLOOKUP($N409,Capa!$A:$AE,BI$5,0)),0),IF(ISERROR(1/VLOOKUP($N409,Capa!$A:$AE,BI$5,0)),0,1/VLOOKUP($N409,Capa!$A:$AE,BI$5,0))))</f>
        <v/>
      </c>
      <c r="BJ409" s="118" t="str">
        <f>IF(BJ$6="","",IF(BJ$3="Maior",IFERROR(IF(VLOOKUP($N409,Capa!$A:$AE,BJ$5,0)="",0,VLOOKUP($N409,Capa!$A:$AE,BJ$5,0)),0),IF(ISERROR(1/VLOOKUP($N409,Capa!$A:$AE,BJ$5,0)),0,1/VLOOKUP($N409,Capa!$A:$AE,BJ$5,0))))</f>
        <v/>
      </c>
      <c r="BK409" s="118" t="str">
        <f>IF(BK$6="","",IF(BK$3="Maior",IFERROR(IF(VLOOKUP($N409,Capa!$A:$AE,BK$5,0)="",0,VLOOKUP($N409,Capa!$A:$AE,BK$5,0)),0),IF(ISERROR(1/VLOOKUP($N409,Capa!$A:$AE,BK$5,0)),0,1/VLOOKUP($N409,Capa!$A:$AE,BK$5,0))))</f>
        <v/>
      </c>
      <c r="BL409" s="118" t="str">
        <f>IF(BL$6="","",IF(BL$3="Maior",IFERROR(IF(VLOOKUP($N409,Capa!$A:$AE,BL$5,0)="",0,VLOOKUP($N409,Capa!$A:$AE,BL$5,0)),0),IF(ISERROR(1/VLOOKUP($N409,Capa!$A:$AE,BL$5,0)),0,1/VLOOKUP($N409,Capa!$A:$AE,BL$5,0))))</f>
        <v/>
      </c>
      <c r="BM409" s="118" t="str">
        <f>IF(BM$6="","",IF(BM$3="Maior",IFERROR(IF(VLOOKUP($N409,Capa!$A:$AE,BM$5,0)="",0,VLOOKUP($N409,Capa!$A:$AE,BM$5,0)),0),IF(ISERROR(1/VLOOKUP($N409,Capa!$A:$AE,BM$5,0)),0,1/VLOOKUP($N409,Capa!$A:$AE,BM$5,0))))</f>
        <v/>
      </c>
      <c r="BN409" s="118" t="str">
        <f>IF(BN$6="","",IF(BN$3="Maior",IFERROR(IF(VLOOKUP($N409,Capa!$A:$AE,BN$5,0)="",0,VLOOKUP($N409,Capa!$A:$AE,BN$5,0)),0),IF(ISERROR(1/VLOOKUP($N409,Capa!$A:$AE,BN$5,0)),0,1/VLOOKUP($N409,Capa!$A:$AE,BN$5,0))))</f>
        <v/>
      </c>
      <c r="BO409" s="92"/>
    </row>
    <row r="410">
      <c r="G410" s="11"/>
      <c r="H410" s="11"/>
      <c r="I410" s="8"/>
      <c r="J410" s="132"/>
      <c r="K410" s="11"/>
      <c r="L410" s="11"/>
      <c r="M410" s="11"/>
      <c r="N410" s="10" t="s">
        <v>456</v>
      </c>
      <c r="O410" s="113">
        <f t="shared" si="8"/>
        <v>2019.0441</v>
      </c>
      <c r="P410" s="114">
        <f>VLOOKUP(N410,'Dados StatusInvest'!A:Z,26,0)</f>
        <v>25977.08</v>
      </c>
      <c r="Q410" s="115">
        <f t="shared" si="9"/>
        <v>441.0441</v>
      </c>
      <c r="R410" s="116">
        <f t="shared" ref="R410:AO410" si="413">IF(AQ410="","", RANK(AQ410,AQ$7:AQ$503,0))</f>
        <v>359</v>
      </c>
      <c r="S410" s="115">
        <f t="shared" si="413"/>
        <v>219</v>
      </c>
      <c r="T410" s="115" t="str">
        <f t="shared" si="413"/>
        <v/>
      </c>
      <c r="U410" s="115" t="str">
        <f t="shared" si="413"/>
        <v/>
      </c>
      <c r="V410" s="115" t="str">
        <f t="shared" si="413"/>
        <v/>
      </c>
      <c r="W410" s="115" t="str">
        <f t="shared" si="413"/>
        <v/>
      </c>
      <c r="X410" s="115" t="str">
        <f t="shared" si="413"/>
        <v/>
      </c>
      <c r="Y410" s="115" t="str">
        <f t="shared" si="413"/>
        <v/>
      </c>
      <c r="Z410" s="115" t="str">
        <f t="shared" si="413"/>
        <v/>
      </c>
      <c r="AA410" s="115" t="str">
        <f t="shared" si="413"/>
        <v/>
      </c>
      <c r="AB410" s="115" t="str">
        <f t="shared" si="413"/>
        <v/>
      </c>
      <c r="AC410" s="115" t="str">
        <f t="shared" si="413"/>
        <v/>
      </c>
      <c r="AD410" s="115" t="str">
        <f t="shared" si="413"/>
        <v/>
      </c>
      <c r="AE410" s="115" t="str">
        <f t="shared" si="413"/>
        <v/>
      </c>
      <c r="AF410" s="115" t="str">
        <f t="shared" si="413"/>
        <v/>
      </c>
      <c r="AG410" s="115" t="str">
        <f t="shared" si="413"/>
        <v/>
      </c>
      <c r="AH410" s="115" t="str">
        <f t="shared" si="413"/>
        <v/>
      </c>
      <c r="AI410" s="115" t="str">
        <f t="shared" si="413"/>
        <v/>
      </c>
      <c r="AJ410" s="115" t="str">
        <f t="shared" si="413"/>
        <v/>
      </c>
      <c r="AK410" s="115" t="str">
        <f t="shared" si="413"/>
        <v/>
      </c>
      <c r="AL410" s="115" t="str">
        <f t="shared" si="413"/>
        <v/>
      </c>
      <c r="AM410" s="115" t="str">
        <f t="shared" si="413"/>
        <v/>
      </c>
      <c r="AN410" s="115" t="str">
        <f t="shared" si="413"/>
        <v/>
      </c>
      <c r="AO410" s="115" t="str">
        <f t="shared" si="413"/>
        <v/>
      </c>
      <c r="AP410" s="117">
        <f>IF(AP$6="","",IF(AP$3="Maior",IFERROR(IF(VLOOKUP($N410,Capa!$A:$AE,AP$5,0)="",0,VLOOKUP($N410,Capa!$A:$AE,AP$5,0)),0),IF(ISERROR(1/VLOOKUP($N410,Capa!$A:$AE,AP$5,0)),0,1/VLOOKUP($N410,Capa!$A:$AE,AP$5,0))))</f>
        <v>-0.07846095813</v>
      </c>
      <c r="AQ410" s="118">
        <f>IF(AQ$6="","",IF(AQ$3="Maior",IFERROR(IF(VLOOKUP($N410,Capa!$A:$AE,AQ$5,0)="",0,VLOOKUP($N410,Capa!$A:$AE,AQ$5,0)),0),IF(ISERROR(1/VLOOKUP($N410,Capa!$A:$AE,AQ$5,0)),0,1/VLOOKUP($N410,Capa!$A:$AE,AQ$5,0))))</f>
        <v>1.31</v>
      </c>
      <c r="AR410" s="118">
        <f>IF(AR$6="","",IF(AR$3="Maior",IFERROR(IF(VLOOKUP($N410,Capa!$A:$AE,AR$5,0)="",0,VLOOKUP($N410,Capa!$A:$AE,AR$5,0)),0),IF(ISERROR(1/VLOOKUP($N410,Capa!$A:$AE,AR$5,0)),0,1/VLOOKUP($N410,Capa!$A:$AE,AR$5,0))))</f>
        <v>0</v>
      </c>
      <c r="AS410" s="118" t="str">
        <f>IF(AS$6="","",IF(AS$3="Maior",IFERROR(IF(VLOOKUP($N410,Capa!$A:$AE,AS$5,0)="",0,VLOOKUP($N410,Capa!$A:$AE,AS$5,0)),0),IF(ISERROR(1/VLOOKUP($N410,Capa!$A:$AE,AS$5,0)),0,1/VLOOKUP($N410,Capa!$A:$AE,AS$5,0))))</f>
        <v/>
      </c>
      <c r="AT410" s="118" t="str">
        <f>IF(AT$6="","",IF(AT$3="Maior",IFERROR(IF(VLOOKUP($N410,Capa!$A:$AE,AT$5,0)="",0,VLOOKUP($N410,Capa!$A:$AE,AT$5,0)),0),IF(ISERROR(1/VLOOKUP($N410,Capa!$A:$AE,AT$5,0)),0,1/VLOOKUP($N410,Capa!$A:$AE,AT$5,0))))</f>
        <v/>
      </c>
      <c r="AU410" s="118" t="str">
        <f>IF(AU$6="","",IF(AU$3="Maior",IFERROR(IF(VLOOKUP($N410,Capa!$A:$AE,AU$5,0)="",0,VLOOKUP($N410,Capa!$A:$AE,AU$5,0)),0),IF(ISERROR(1/VLOOKUP($N410,Capa!$A:$AE,AU$5,0)),0,1/VLOOKUP($N410,Capa!$A:$AE,AU$5,0))))</f>
        <v/>
      </c>
      <c r="AV410" s="118" t="str">
        <f>IF(AV$6="","",IF(AV$3="Maior",IFERROR(IF(VLOOKUP($N410,Capa!$A:$AE,AV$5,0)="",0,VLOOKUP($N410,Capa!$A:$AE,AV$5,0)),0),IF(ISERROR(1/VLOOKUP($N410,Capa!$A:$AE,AV$5,0)),0,1/VLOOKUP($N410,Capa!$A:$AE,AV$5,0))))</f>
        <v/>
      </c>
      <c r="AW410" s="118" t="str">
        <f>IF(AW$6="","",IF(AW$3="Maior",IFERROR(IF(VLOOKUP($N410,Capa!$A:$AE,AW$5,0)="",0,VLOOKUP($N410,Capa!$A:$AE,AW$5,0)),0),IF(ISERROR(1/VLOOKUP($N410,Capa!$A:$AE,AW$5,0)),0,1/VLOOKUP($N410,Capa!$A:$AE,AW$5,0))))</f>
        <v/>
      </c>
      <c r="AX410" s="118" t="str">
        <f>IF(AX$6="","",IF(AX$3="Maior",IFERROR(IF(VLOOKUP($N410,Capa!$A:$AE,AX$5,0)="",0,VLOOKUP($N410,Capa!$A:$AE,AX$5,0)),0),IF(ISERROR(1/VLOOKUP($N410,Capa!$A:$AE,AX$5,0)),0,1/VLOOKUP($N410,Capa!$A:$AE,AX$5,0))))</f>
        <v/>
      </c>
      <c r="AY410" s="118" t="str">
        <f>IF(AY$6="","",IF(AY$3="Maior",IFERROR(IF(VLOOKUP($N410,Capa!$A:$AE,AY$5,0)="",0,VLOOKUP($N410,Capa!$A:$AE,AY$5,0)),0),IF(ISERROR(1/VLOOKUP($N410,Capa!$A:$AE,AY$5,0)),0,1/VLOOKUP($N410,Capa!$A:$AE,AY$5,0))))</f>
        <v/>
      </c>
      <c r="AZ410" s="118" t="str">
        <f>IF(AZ$6="","",IF(AZ$3="Maior",IFERROR(IF(VLOOKUP($N410,Capa!$A:$AE,AZ$5,0)="",0,VLOOKUP($N410,Capa!$A:$AE,AZ$5,0)),0),IF(ISERROR(1/VLOOKUP($N410,Capa!$A:$AE,AZ$5,0)),0,1/VLOOKUP($N410,Capa!$A:$AE,AZ$5,0))))</f>
        <v/>
      </c>
      <c r="BA410" s="118" t="str">
        <f>IF(BA$6="","",IF(BA$3="Maior",IFERROR(IF(VLOOKUP($N410,Capa!$A:$AE,BA$5,0)="",0,VLOOKUP($N410,Capa!$A:$AE,BA$5,0)),0),IF(ISERROR(1/VLOOKUP($N410,Capa!$A:$AE,BA$5,0)),0,1/VLOOKUP($N410,Capa!$A:$AE,BA$5,0))))</f>
        <v/>
      </c>
      <c r="BB410" s="118" t="str">
        <f>IF(BB$6="","",IF(BB$3="Maior",IFERROR(IF(VLOOKUP($N410,Capa!$A:$AE,BB$5,0)="",0,VLOOKUP($N410,Capa!$A:$AE,BB$5,0)),0),IF(ISERROR(1/VLOOKUP($N410,Capa!$A:$AE,BB$5,0)),0,1/VLOOKUP($N410,Capa!$A:$AE,BB$5,0))))</f>
        <v/>
      </c>
      <c r="BC410" s="118" t="str">
        <f>IF(BC$6="","",IF(BC$3="Maior",IFERROR(IF(VLOOKUP($N410,Capa!$A:$AE,BC$5,0)="",0,VLOOKUP($N410,Capa!$A:$AE,BC$5,0)),0),IF(ISERROR(1/VLOOKUP($N410,Capa!$A:$AE,BC$5,0)),0,1/VLOOKUP($N410,Capa!$A:$AE,BC$5,0))))</f>
        <v/>
      </c>
      <c r="BD410" s="118" t="str">
        <f>IF(BD$6="","",IF(BD$3="Maior",IFERROR(IF(VLOOKUP($N410,Capa!$A:$AE,BD$5,0)="",0,VLOOKUP($N410,Capa!$A:$AE,BD$5,0)),0),IF(ISERROR(1/VLOOKUP($N410,Capa!$A:$AE,BD$5,0)),0,1/VLOOKUP($N410,Capa!$A:$AE,BD$5,0))))</f>
        <v/>
      </c>
      <c r="BE410" s="118" t="str">
        <f>IF(BE$6="","",IF(BE$3="Maior",IFERROR(IF(VLOOKUP($N410,Capa!$A:$AE,BE$5,0)="",0,VLOOKUP($N410,Capa!$A:$AE,BE$5,0)),0),IF(ISERROR(1/VLOOKUP($N410,Capa!$A:$AE,BE$5,0)),0,1/VLOOKUP($N410,Capa!$A:$AE,BE$5,0))))</f>
        <v/>
      </c>
      <c r="BF410" s="118" t="str">
        <f>IF(BF$6="","",IF(BF$3="Maior",IFERROR(IF(VLOOKUP($N410,Capa!$A:$AE,BF$5,0)="",0,VLOOKUP($N410,Capa!$A:$AE,BF$5,0)),0),IF(ISERROR(1/VLOOKUP($N410,Capa!$A:$AE,BF$5,0)),0,1/VLOOKUP($N410,Capa!$A:$AE,BF$5,0))))</f>
        <v/>
      </c>
      <c r="BG410" s="118" t="str">
        <f>IF(BG$6="","",IF(BG$3="Maior",IFERROR(IF(VLOOKUP($N410,Capa!$A:$AE,BG$5,0)="",0,VLOOKUP($N410,Capa!$A:$AE,BG$5,0)),0),IF(ISERROR(1/VLOOKUP($N410,Capa!$A:$AE,BG$5,0)),0,1/VLOOKUP($N410,Capa!$A:$AE,BG$5,0))))</f>
        <v/>
      </c>
      <c r="BH410" s="118" t="str">
        <f>IF(BH$6="","",IF(BH$3="Maior",IFERROR(IF(VLOOKUP($N410,Capa!$A:$AE,BH$5,0)="",0,VLOOKUP($N410,Capa!$A:$AE,BH$5,0)),0),IF(ISERROR(1/VLOOKUP($N410,Capa!$A:$AE,BH$5,0)),0,1/VLOOKUP($N410,Capa!$A:$AE,BH$5,0))))</f>
        <v/>
      </c>
      <c r="BI410" s="118" t="str">
        <f>IF(BI$6="","",IF(BI$3="Maior",IFERROR(IF(VLOOKUP($N410,Capa!$A:$AE,BI$5,0)="",0,VLOOKUP($N410,Capa!$A:$AE,BI$5,0)),0),IF(ISERROR(1/VLOOKUP($N410,Capa!$A:$AE,BI$5,0)),0,1/VLOOKUP($N410,Capa!$A:$AE,BI$5,0))))</f>
        <v/>
      </c>
      <c r="BJ410" s="118" t="str">
        <f>IF(BJ$6="","",IF(BJ$3="Maior",IFERROR(IF(VLOOKUP($N410,Capa!$A:$AE,BJ$5,0)="",0,VLOOKUP($N410,Capa!$A:$AE,BJ$5,0)),0),IF(ISERROR(1/VLOOKUP($N410,Capa!$A:$AE,BJ$5,0)),0,1/VLOOKUP($N410,Capa!$A:$AE,BJ$5,0))))</f>
        <v/>
      </c>
      <c r="BK410" s="118" t="str">
        <f>IF(BK$6="","",IF(BK$3="Maior",IFERROR(IF(VLOOKUP($N410,Capa!$A:$AE,BK$5,0)="",0,VLOOKUP($N410,Capa!$A:$AE,BK$5,0)),0),IF(ISERROR(1/VLOOKUP($N410,Capa!$A:$AE,BK$5,0)),0,1/VLOOKUP($N410,Capa!$A:$AE,BK$5,0))))</f>
        <v/>
      </c>
      <c r="BL410" s="118" t="str">
        <f>IF(BL$6="","",IF(BL$3="Maior",IFERROR(IF(VLOOKUP($N410,Capa!$A:$AE,BL$5,0)="",0,VLOOKUP($N410,Capa!$A:$AE,BL$5,0)),0),IF(ISERROR(1/VLOOKUP($N410,Capa!$A:$AE,BL$5,0)),0,1/VLOOKUP($N410,Capa!$A:$AE,BL$5,0))))</f>
        <v/>
      </c>
      <c r="BM410" s="118" t="str">
        <f>IF(BM$6="","",IF(BM$3="Maior",IFERROR(IF(VLOOKUP($N410,Capa!$A:$AE,BM$5,0)="",0,VLOOKUP($N410,Capa!$A:$AE,BM$5,0)),0),IF(ISERROR(1/VLOOKUP($N410,Capa!$A:$AE,BM$5,0)),0,1/VLOOKUP($N410,Capa!$A:$AE,BM$5,0))))</f>
        <v/>
      </c>
      <c r="BN410" s="118" t="str">
        <f>IF(BN$6="","",IF(BN$3="Maior",IFERROR(IF(VLOOKUP($N410,Capa!$A:$AE,BN$5,0)="",0,VLOOKUP($N410,Capa!$A:$AE,BN$5,0)),0),IF(ISERROR(1/VLOOKUP($N410,Capa!$A:$AE,BN$5,0)),0,1/VLOOKUP($N410,Capa!$A:$AE,BN$5,0))))</f>
        <v/>
      </c>
      <c r="BO410" s="92"/>
    </row>
    <row r="411">
      <c r="G411" s="11"/>
      <c r="H411" s="11"/>
      <c r="I411" s="8"/>
      <c r="J411" s="132"/>
      <c r="K411" s="11"/>
      <c r="L411" s="11"/>
      <c r="M411" s="11"/>
      <c r="N411" s="10" t="s">
        <v>457</v>
      </c>
      <c r="O411" s="113">
        <f t="shared" si="8"/>
        <v>1492.0172</v>
      </c>
      <c r="P411" s="114">
        <f>VLOOKUP(N411,'Dados StatusInvest'!A:Z,26,0)</f>
        <v>25079.46</v>
      </c>
      <c r="Q411" s="115">
        <f t="shared" si="9"/>
        <v>172.0172</v>
      </c>
      <c r="R411" s="116">
        <f t="shared" ref="R411:AO411" si="414">IF(AQ411="","", RANK(AQ411,AQ$7:AQ$503,0))</f>
        <v>170</v>
      </c>
      <c r="S411" s="115">
        <f t="shared" si="414"/>
        <v>150</v>
      </c>
      <c r="T411" s="115" t="str">
        <f t="shared" si="414"/>
        <v/>
      </c>
      <c r="U411" s="115" t="str">
        <f t="shared" si="414"/>
        <v/>
      </c>
      <c r="V411" s="115" t="str">
        <f t="shared" si="414"/>
        <v/>
      </c>
      <c r="W411" s="115" t="str">
        <f t="shared" si="414"/>
        <v/>
      </c>
      <c r="X411" s="115" t="str">
        <f t="shared" si="414"/>
        <v/>
      </c>
      <c r="Y411" s="115" t="str">
        <f t="shared" si="414"/>
        <v/>
      </c>
      <c r="Z411" s="115" t="str">
        <f t="shared" si="414"/>
        <v/>
      </c>
      <c r="AA411" s="115" t="str">
        <f t="shared" si="414"/>
        <v/>
      </c>
      <c r="AB411" s="115" t="str">
        <f t="shared" si="414"/>
        <v/>
      </c>
      <c r="AC411" s="115" t="str">
        <f t="shared" si="414"/>
        <v/>
      </c>
      <c r="AD411" s="115" t="str">
        <f t="shared" si="414"/>
        <v/>
      </c>
      <c r="AE411" s="115" t="str">
        <f t="shared" si="414"/>
        <v/>
      </c>
      <c r="AF411" s="115" t="str">
        <f t="shared" si="414"/>
        <v/>
      </c>
      <c r="AG411" s="115" t="str">
        <f t="shared" si="414"/>
        <v/>
      </c>
      <c r="AH411" s="115" t="str">
        <f t="shared" si="414"/>
        <v/>
      </c>
      <c r="AI411" s="115" t="str">
        <f t="shared" si="414"/>
        <v/>
      </c>
      <c r="AJ411" s="115" t="str">
        <f t="shared" si="414"/>
        <v/>
      </c>
      <c r="AK411" s="115" t="str">
        <f t="shared" si="414"/>
        <v/>
      </c>
      <c r="AL411" s="115" t="str">
        <f t="shared" si="414"/>
        <v/>
      </c>
      <c r="AM411" s="115" t="str">
        <f t="shared" si="414"/>
        <v/>
      </c>
      <c r="AN411" s="115" t="str">
        <f t="shared" si="414"/>
        <v/>
      </c>
      <c r="AO411" s="115" t="str">
        <f t="shared" si="414"/>
        <v/>
      </c>
      <c r="AP411" s="117">
        <f>IF(AP$6="","",IF(AP$3="Maior",IFERROR(IF(VLOOKUP($N411,Capa!$A:$AE,AP$5,0)="",0,VLOOKUP($N411,Capa!$A:$AE,AP$5,0)),0),IF(ISERROR(1/VLOOKUP($N411,Capa!$A:$AE,AP$5,0)),0,1/VLOOKUP($N411,Capa!$A:$AE,AP$5,0))))</f>
        <v>0.1219998808</v>
      </c>
      <c r="AQ411" s="118">
        <f>IF(AQ$6="","",IF(AQ$3="Maior",IFERROR(IF(VLOOKUP($N411,Capa!$A:$AE,AQ$5,0)="",0,VLOOKUP($N411,Capa!$A:$AE,AQ$5,0)),0),IF(ISERROR(1/VLOOKUP($N411,Capa!$A:$AE,AQ$5,0)),0,1/VLOOKUP($N411,Capa!$A:$AE,AQ$5,0))))</f>
        <v>13.07</v>
      </c>
      <c r="AR411" s="118">
        <f>IF(AR$6="","",IF(AR$3="Maior",IFERROR(IF(VLOOKUP($N411,Capa!$A:$AE,AR$5,0)="",0,VLOOKUP($N411,Capa!$A:$AE,AR$5,0)),0),IF(ISERROR(1/VLOOKUP($N411,Capa!$A:$AE,AR$5,0)),0,1/VLOOKUP($N411,Capa!$A:$AE,AR$5,0))))</f>
        <v>15.18</v>
      </c>
      <c r="AS411" s="118" t="str">
        <f>IF(AS$6="","",IF(AS$3="Maior",IFERROR(IF(VLOOKUP($N411,Capa!$A:$AE,AS$5,0)="",0,VLOOKUP($N411,Capa!$A:$AE,AS$5,0)),0),IF(ISERROR(1/VLOOKUP($N411,Capa!$A:$AE,AS$5,0)),0,1/VLOOKUP($N411,Capa!$A:$AE,AS$5,0))))</f>
        <v/>
      </c>
      <c r="AT411" s="118" t="str">
        <f>IF(AT$6="","",IF(AT$3="Maior",IFERROR(IF(VLOOKUP($N411,Capa!$A:$AE,AT$5,0)="",0,VLOOKUP($N411,Capa!$A:$AE,AT$5,0)),0),IF(ISERROR(1/VLOOKUP($N411,Capa!$A:$AE,AT$5,0)),0,1/VLOOKUP($N411,Capa!$A:$AE,AT$5,0))))</f>
        <v/>
      </c>
      <c r="AU411" s="118" t="str">
        <f>IF(AU$6="","",IF(AU$3="Maior",IFERROR(IF(VLOOKUP($N411,Capa!$A:$AE,AU$5,0)="",0,VLOOKUP($N411,Capa!$A:$AE,AU$5,0)),0),IF(ISERROR(1/VLOOKUP($N411,Capa!$A:$AE,AU$5,0)),0,1/VLOOKUP($N411,Capa!$A:$AE,AU$5,0))))</f>
        <v/>
      </c>
      <c r="AV411" s="118" t="str">
        <f>IF(AV$6="","",IF(AV$3="Maior",IFERROR(IF(VLOOKUP($N411,Capa!$A:$AE,AV$5,0)="",0,VLOOKUP($N411,Capa!$A:$AE,AV$5,0)),0),IF(ISERROR(1/VLOOKUP($N411,Capa!$A:$AE,AV$5,0)),0,1/VLOOKUP($N411,Capa!$A:$AE,AV$5,0))))</f>
        <v/>
      </c>
      <c r="AW411" s="118" t="str">
        <f>IF(AW$6="","",IF(AW$3="Maior",IFERROR(IF(VLOOKUP($N411,Capa!$A:$AE,AW$5,0)="",0,VLOOKUP($N411,Capa!$A:$AE,AW$5,0)),0),IF(ISERROR(1/VLOOKUP($N411,Capa!$A:$AE,AW$5,0)),0,1/VLOOKUP($N411,Capa!$A:$AE,AW$5,0))))</f>
        <v/>
      </c>
      <c r="AX411" s="118" t="str">
        <f>IF(AX$6="","",IF(AX$3="Maior",IFERROR(IF(VLOOKUP($N411,Capa!$A:$AE,AX$5,0)="",0,VLOOKUP($N411,Capa!$A:$AE,AX$5,0)),0),IF(ISERROR(1/VLOOKUP($N411,Capa!$A:$AE,AX$5,0)),0,1/VLOOKUP($N411,Capa!$A:$AE,AX$5,0))))</f>
        <v/>
      </c>
      <c r="AY411" s="118" t="str">
        <f>IF(AY$6="","",IF(AY$3="Maior",IFERROR(IF(VLOOKUP($N411,Capa!$A:$AE,AY$5,0)="",0,VLOOKUP($N411,Capa!$A:$AE,AY$5,0)),0),IF(ISERROR(1/VLOOKUP($N411,Capa!$A:$AE,AY$5,0)),0,1/VLOOKUP($N411,Capa!$A:$AE,AY$5,0))))</f>
        <v/>
      </c>
      <c r="AZ411" s="118" t="str">
        <f>IF(AZ$6="","",IF(AZ$3="Maior",IFERROR(IF(VLOOKUP($N411,Capa!$A:$AE,AZ$5,0)="",0,VLOOKUP($N411,Capa!$A:$AE,AZ$5,0)),0),IF(ISERROR(1/VLOOKUP($N411,Capa!$A:$AE,AZ$5,0)),0,1/VLOOKUP($N411,Capa!$A:$AE,AZ$5,0))))</f>
        <v/>
      </c>
      <c r="BA411" s="118" t="str">
        <f>IF(BA$6="","",IF(BA$3="Maior",IFERROR(IF(VLOOKUP($N411,Capa!$A:$AE,BA$5,0)="",0,VLOOKUP($N411,Capa!$A:$AE,BA$5,0)),0),IF(ISERROR(1/VLOOKUP($N411,Capa!$A:$AE,BA$5,0)),0,1/VLOOKUP($N411,Capa!$A:$AE,BA$5,0))))</f>
        <v/>
      </c>
      <c r="BB411" s="118" t="str">
        <f>IF(BB$6="","",IF(BB$3="Maior",IFERROR(IF(VLOOKUP($N411,Capa!$A:$AE,BB$5,0)="",0,VLOOKUP($N411,Capa!$A:$AE,BB$5,0)),0),IF(ISERROR(1/VLOOKUP($N411,Capa!$A:$AE,BB$5,0)),0,1/VLOOKUP($N411,Capa!$A:$AE,BB$5,0))))</f>
        <v/>
      </c>
      <c r="BC411" s="118" t="str">
        <f>IF(BC$6="","",IF(BC$3="Maior",IFERROR(IF(VLOOKUP($N411,Capa!$A:$AE,BC$5,0)="",0,VLOOKUP($N411,Capa!$A:$AE,BC$5,0)),0),IF(ISERROR(1/VLOOKUP($N411,Capa!$A:$AE,BC$5,0)),0,1/VLOOKUP($N411,Capa!$A:$AE,BC$5,0))))</f>
        <v/>
      </c>
      <c r="BD411" s="118" t="str">
        <f>IF(BD$6="","",IF(BD$3="Maior",IFERROR(IF(VLOOKUP($N411,Capa!$A:$AE,BD$5,0)="",0,VLOOKUP($N411,Capa!$A:$AE,BD$5,0)),0),IF(ISERROR(1/VLOOKUP($N411,Capa!$A:$AE,BD$5,0)),0,1/VLOOKUP($N411,Capa!$A:$AE,BD$5,0))))</f>
        <v/>
      </c>
      <c r="BE411" s="118" t="str">
        <f>IF(BE$6="","",IF(BE$3="Maior",IFERROR(IF(VLOOKUP($N411,Capa!$A:$AE,BE$5,0)="",0,VLOOKUP($N411,Capa!$A:$AE,BE$5,0)),0),IF(ISERROR(1/VLOOKUP($N411,Capa!$A:$AE,BE$5,0)),0,1/VLOOKUP($N411,Capa!$A:$AE,BE$5,0))))</f>
        <v/>
      </c>
      <c r="BF411" s="118" t="str">
        <f>IF(BF$6="","",IF(BF$3="Maior",IFERROR(IF(VLOOKUP($N411,Capa!$A:$AE,BF$5,0)="",0,VLOOKUP($N411,Capa!$A:$AE,BF$5,0)),0),IF(ISERROR(1/VLOOKUP($N411,Capa!$A:$AE,BF$5,0)),0,1/VLOOKUP($N411,Capa!$A:$AE,BF$5,0))))</f>
        <v/>
      </c>
      <c r="BG411" s="118" t="str">
        <f>IF(BG$6="","",IF(BG$3="Maior",IFERROR(IF(VLOOKUP($N411,Capa!$A:$AE,BG$5,0)="",0,VLOOKUP($N411,Capa!$A:$AE,BG$5,0)),0),IF(ISERROR(1/VLOOKUP($N411,Capa!$A:$AE,BG$5,0)),0,1/VLOOKUP($N411,Capa!$A:$AE,BG$5,0))))</f>
        <v/>
      </c>
      <c r="BH411" s="118" t="str">
        <f>IF(BH$6="","",IF(BH$3="Maior",IFERROR(IF(VLOOKUP($N411,Capa!$A:$AE,BH$5,0)="",0,VLOOKUP($N411,Capa!$A:$AE,BH$5,0)),0),IF(ISERROR(1/VLOOKUP($N411,Capa!$A:$AE,BH$5,0)),0,1/VLOOKUP($N411,Capa!$A:$AE,BH$5,0))))</f>
        <v/>
      </c>
      <c r="BI411" s="118" t="str">
        <f>IF(BI$6="","",IF(BI$3="Maior",IFERROR(IF(VLOOKUP($N411,Capa!$A:$AE,BI$5,0)="",0,VLOOKUP($N411,Capa!$A:$AE,BI$5,0)),0),IF(ISERROR(1/VLOOKUP($N411,Capa!$A:$AE,BI$5,0)),0,1/VLOOKUP($N411,Capa!$A:$AE,BI$5,0))))</f>
        <v/>
      </c>
      <c r="BJ411" s="118" t="str">
        <f>IF(BJ$6="","",IF(BJ$3="Maior",IFERROR(IF(VLOOKUP($N411,Capa!$A:$AE,BJ$5,0)="",0,VLOOKUP($N411,Capa!$A:$AE,BJ$5,0)),0),IF(ISERROR(1/VLOOKUP($N411,Capa!$A:$AE,BJ$5,0)),0,1/VLOOKUP($N411,Capa!$A:$AE,BJ$5,0))))</f>
        <v/>
      </c>
      <c r="BK411" s="118" t="str">
        <f>IF(BK$6="","",IF(BK$3="Maior",IFERROR(IF(VLOOKUP($N411,Capa!$A:$AE,BK$5,0)="",0,VLOOKUP($N411,Capa!$A:$AE,BK$5,0)),0),IF(ISERROR(1/VLOOKUP($N411,Capa!$A:$AE,BK$5,0)),0,1/VLOOKUP($N411,Capa!$A:$AE,BK$5,0))))</f>
        <v/>
      </c>
      <c r="BL411" s="118" t="str">
        <f>IF(BL$6="","",IF(BL$3="Maior",IFERROR(IF(VLOOKUP($N411,Capa!$A:$AE,BL$5,0)="",0,VLOOKUP($N411,Capa!$A:$AE,BL$5,0)),0),IF(ISERROR(1/VLOOKUP($N411,Capa!$A:$AE,BL$5,0)),0,1/VLOOKUP($N411,Capa!$A:$AE,BL$5,0))))</f>
        <v/>
      </c>
      <c r="BM411" s="118" t="str">
        <f>IF(BM$6="","",IF(BM$3="Maior",IFERROR(IF(VLOOKUP($N411,Capa!$A:$AE,BM$5,0)="",0,VLOOKUP($N411,Capa!$A:$AE,BM$5,0)),0),IF(ISERROR(1/VLOOKUP($N411,Capa!$A:$AE,BM$5,0)),0,1/VLOOKUP($N411,Capa!$A:$AE,BM$5,0))))</f>
        <v/>
      </c>
      <c r="BN411" s="118" t="str">
        <f>IF(BN$6="","",IF(BN$3="Maior",IFERROR(IF(VLOOKUP($N411,Capa!$A:$AE,BN$5,0)="",0,VLOOKUP($N411,Capa!$A:$AE,BN$5,0)),0),IF(ISERROR(1/VLOOKUP($N411,Capa!$A:$AE,BN$5,0)),0,1/VLOOKUP($N411,Capa!$A:$AE,BN$5,0))))</f>
        <v/>
      </c>
      <c r="BO411" s="92"/>
    </row>
    <row r="412">
      <c r="G412" s="11"/>
      <c r="H412" s="11"/>
      <c r="I412" s="8"/>
      <c r="J412" s="132"/>
      <c r="K412" s="11"/>
      <c r="L412" s="11"/>
      <c r="M412" s="11"/>
      <c r="N412" s="10" t="s">
        <v>458</v>
      </c>
      <c r="O412" s="113">
        <f t="shared" si="8"/>
        <v>1510.0195</v>
      </c>
      <c r="P412" s="114">
        <f>VLOOKUP(N412,'Dados StatusInvest'!A:Z,26,0)</f>
        <v>720</v>
      </c>
      <c r="Q412" s="115">
        <f t="shared" si="9"/>
        <v>195.0195</v>
      </c>
      <c r="R412" s="116">
        <f t="shared" ref="R412:AO412" si="415">IF(AQ412="","", RANK(AQ412,AQ$7:AQ$503,0))</f>
        <v>145</v>
      </c>
      <c r="S412" s="115">
        <f t="shared" si="415"/>
        <v>170</v>
      </c>
      <c r="T412" s="115" t="str">
        <f t="shared" si="415"/>
        <v/>
      </c>
      <c r="U412" s="115" t="str">
        <f t="shared" si="415"/>
        <v/>
      </c>
      <c r="V412" s="115" t="str">
        <f t="shared" si="415"/>
        <v/>
      </c>
      <c r="W412" s="115" t="str">
        <f t="shared" si="415"/>
        <v/>
      </c>
      <c r="X412" s="115" t="str">
        <f t="shared" si="415"/>
        <v/>
      </c>
      <c r="Y412" s="115" t="str">
        <f t="shared" si="415"/>
        <v/>
      </c>
      <c r="Z412" s="115" t="str">
        <f t="shared" si="415"/>
        <v/>
      </c>
      <c r="AA412" s="115" t="str">
        <f t="shared" si="415"/>
        <v/>
      </c>
      <c r="AB412" s="115" t="str">
        <f t="shared" si="415"/>
        <v/>
      </c>
      <c r="AC412" s="115" t="str">
        <f t="shared" si="415"/>
        <v/>
      </c>
      <c r="AD412" s="115" t="str">
        <f t="shared" si="415"/>
        <v/>
      </c>
      <c r="AE412" s="115" t="str">
        <f t="shared" si="415"/>
        <v/>
      </c>
      <c r="AF412" s="115" t="str">
        <f t="shared" si="415"/>
        <v/>
      </c>
      <c r="AG412" s="115" t="str">
        <f t="shared" si="415"/>
        <v/>
      </c>
      <c r="AH412" s="115" t="str">
        <f t="shared" si="415"/>
        <v/>
      </c>
      <c r="AI412" s="115" t="str">
        <f t="shared" si="415"/>
        <v/>
      </c>
      <c r="AJ412" s="115" t="str">
        <f t="shared" si="415"/>
        <v/>
      </c>
      <c r="AK412" s="115" t="str">
        <f t="shared" si="415"/>
        <v/>
      </c>
      <c r="AL412" s="115" t="str">
        <f t="shared" si="415"/>
        <v/>
      </c>
      <c r="AM412" s="115" t="str">
        <f t="shared" si="415"/>
        <v/>
      </c>
      <c r="AN412" s="115" t="str">
        <f t="shared" si="415"/>
        <v/>
      </c>
      <c r="AO412" s="115" t="str">
        <f t="shared" si="415"/>
        <v/>
      </c>
      <c r="AP412" s="117">
        <f>IF(AP$6="","",IF(AP$3="Maior",IFERROR(IF(VLOOKUP($N412,Capa!$A:$AE,AP$5,0)="",0,VLOOKUP($N412,Capa!$A:$AE,AP$5,0)),0),IF(ISERROR(1/VLOOKUP($N412,Capa!$A:$AE,AP$5,0)),0,1/VLOOKUP($N412,Capa!$A:$AE,AP$5,0))))</f>
        <v>0.1084598698</v>
      </c>
      <c r="AQ412" s="118">
        <f>IF(AQ$6="","",IF(AQ$3="Maior",IFERROR(IF(VLOOKUP($N412,Capa!$A:$AE,AQ$5,0)="",0,VLOOKUP($N412,Capa!$A:$AE,AQ$5,0)),0),IF(ISERROR(1/VLOOKUP($N412,Capa!$A:$AE,AQ$5,0)),0,1/VLOOKUP($N412,Capa!$A:$AE,AQ$5,0))))</f>
        <v>14.32</v>
      </c>
      <c r="AR412" s="118">
        <f>IF(AR$6="","",IF(AR$3="Maior",IFERROR(IF(VLOOKUP($N412,Capa!$A:$AE,AR$5,0)="",0,VLOOKUP($N412,Capa!$A:$AE,AR$5,0)),0),IF(ISERROR(1/VLOOKUP($N412,Capa!$A:$AE,AR$5,0)),0,1/VLOOKUP($N412,Capa!$A:$AE,AR$5,0))))</f>
        <v>10.16</v>
      </c>
      <c r="AS412" s="118" t="str">
        <f>IF(AS$6="","",IF(AS$3="Maior",IFERROR(IF(VLOOKUP($N412,Capa!$A:$AE,AS$5,0)="",0,VLOOKUP($N412,Capa!$A:$AE,AS$5,0)),0),IF(ISERROR(1/VLOOKUP($N412,Capa!$A:$AE,AS$5,0)),0,1/VLOOKUP($N412,Capa!$A:$AE,AS$5,0))))</f>
        <v/>
      </c>
      <c r="AT412" s="118" t="str">
        <f>IF(AT$6="","",IF(AT$3="Maior",IFERROR(IF(VLOOKUP($N412,Capa!$A:$AE,AT$5,0)="",0,VLOOKUP($N412,Capa!$A:$AE,AT$5,0)),0),IF(ISERROR(1/VLOOKUP($N412,Capa!$A:$AE,AT$5,0)),0,1/VLOOKUP($N412,Capa!$A:$AE,AT$5,0))))</f>
        <v/>
      </c>
      <c r="AU412" s="118" t="str">
        <f>IF(AU$6="","",IF(AU$3="Maior",IFERROR(IF(VLOOKUP($N412,Capa!$A:$AE,AU$5,0)="",0,VLOOKUP($N412,Capa!$A:$AE,AU$5,0)),0),IF(ISERROR(1/VLOOKUP($N412,Capa!$A:$AE,AU$5,0)),0,1/VLOOKUP($N412,Capa!$A:$AE,AU$5,0))))</f>
        <v/>
      </c>
      <c r="AV412" s="118" t="str">
        <f>IF(AV$6="","",IF(AV$3="Maior",IFERROR(IF(VLOOKUP($N412,Capa!$A:$AE,AV$5,0)="",0,VLOOKUP($N412,Capa!$A:$AE,AV$5,0)),0),IF(ISERROR(1/VLOOKUP($N412,Capa!$A:$AE,AV$5,0)),0,1/VLOOKUP($N412,Capa!$A:$AE,AV$5,0))))</f>
        <v/>
      </c>
      <c r="AW412" s="118" t="str">
        <f>IF(AW$6="","",IF(AW$3="Maior",IFERROR(IF(VLOOKUP($N412,Capa!$A:$AE,AW$5,0)="",0,VLOOKUP($N412,Capa!$A:$AE,AW$5,0)),0),IF(ISERROR(1/VLOOKUP($N412,Capa!$A:$AE,AW$5,0)),0,1/VLOOKUP($N412,Capa!$A:$AE,AW$5,0))))</f>
        <v/>
      </c>
      <c r="AX412" s="118" t="str">
        <f>IF(AX$6="","",IF(AX$3="Maior",IFERROR(IF(VLOOKUP($N412,Capa!$A:$AE,AX$5,0)="",0,VLOOKUP($N412,Capa!$A:$AE,AX$5,0)),0),IF(ISERROR(1/VLOOKUP($N412,Capa!$A:$AE,AX$5,0)),0,1/VLOOKUP($N412,Capa!$A:$AE,AX$5,0))))</f>
        <v/>
      </c>
      <c r="AY412" s="118" t="str">
        <f>IF(AY$6="","",IF(AY$3="Maior",IFERROR(IF(VLOOKUP($N412,Capa!$A:$AE,AY$5,0)="",0,VLOOKUP($N412,Capa!$A:$AE,AY$5,0)),0),IF(ISERROR(1/VLOOKUP($N412,Capa!$A:$AE,AY$5,0)),0,1/VLOOKUP($N412,Capa!$A:$AE,AY$5,0))))</f>
        <v/>
      </c>
      <c r="AZ412" s="118" t="str">
        <f>IF(AZ$6="","",IF(AZ$3="Maior",IFERROR(IF(VLOOKUP($N412,Capa!$A:$AE,AZ$5,0)="",0,VLOOKUP($N412,Capa!$A:$AE,AZ$5,0)),0),IF(ISERROR(1/VLOOKUP($N412,Capa!$A:$AE,AZ$5,0)),0,1/VLOOKUP($N412,Capa!$A:$AE,AZ$5,0))))</f>
        <v/>
      </c>
      <c r="BA412" s="118" t="str">
        <f>IF(BA$6="","",IF(BA$3="Maior",IFERROR(IF(VLOOKUP($N412,Capa!$A:$AE,BA$5,0)="",0,VLOOKUP($N412,Capa!$A:$AE,BA$5,0)),0),IF(ISERROR(1/VLOOKUP($N412,Capa!$A:$AE,BA$5,0)),0,1/VLOOKUP($N412,Capa!$A:$AE,BA$5,0))))</f>
        <v/>
      </c>
      <c r="BB412" s="118" t="str">
        <f>IF(BB$6="","",IF(BB$3="Maior",IFERROR(IF(VLOOKUP($N412,Capa!$A:$AE,BB$5,0)="",0,VLOOKUP($N412,Capa!$A:$AE,BB$5,0)),0),IF(ISERROR(1/VLOOKUP($N412,Capa!$A:$AE,BB$5,0)),0,1/VLOOKUP($N412,Capa!$A:$AE,BB$5,0))))</f>
        <v/>
      </c>
      <c r="BC412" s="118" t="str">
        <f>IF(BC$6="","",IF(BC$3="Maior",IFERROR(IF(VLOOKUP($N412,Capa!$A:$AE,BC$5,0)="",0,VLOOKUP($N412,Capa!$A:$AE,BC$5,0)),0),IF(ISERROR(1/VLOOKUP($N412,Capa!$A:$AE,BC$5,0)),0,1/VLOOKUP($N412,Capa!$A:$AE,BC$5,0))))</f>
        <v/>
      </c>
      <c r="BD412" s="118" t="str">
        <f>IF(BD$6="","",IF(BD$3="Maior",IFERROR(IF(VLOOKUP($N412,Capa!$A:$AE,BD$5,0)="",0,VLOOKUP($N412,Capa!$A:$AE,BD$5,0)),0),IF(ISERROR(1/VLOOKUP($N412,Capa!$A:$AE,BD$5,0)),0,1/VLOOKUP($N412,Capa!$A:$AE,BD$5,0))))</f>
        <v/>
      </c>
      <c r="BE412" s="118" t="str">
        <f>IF(BE$6="","",IF(BE$3="Maior",IFERROR(IF(VLOOKUP($N412,Capa!$A:$AE,BE$5,0)="",0,VLOOKUP($N412,Capa!$A:$AE,BE$5,0)),0),IF(ISERROR(1/VLOOKUP($N412,Capa!$A:$AE,BE$5,0)),0,1/VLOOKUP($N412,Capa!$A:$AE,BE$5,0))))</f>
        <v/>
      </c>
      <c r="BF412" s="118" t="str">
        <f>IF(BF$6="","",IF(BF$3="Maior",IFERROR(IF(VLOOKUP($N412,Capa!$A:$AE,BF$5,0)="",0,VLOOKUP($N412,Capa!$A:$AE,BF$5,0)),0),IF(ISERROR(1/VLOOKUP($N412,Capa!$A:$AE,BF$5,0)),0,1/VLOOKUP($N412,Capa!$A:$AE,BF$5,0))))</f>
        <v/>
      </c>
      <c r="BG412" s="118" t="str">
        <f>IF(BG$6="","",IF(BG$3="Maior",IFERROR(IF(VLOOKUP($N412,Capa!$A:$AE,BG$5,0)="",0,VLOOKUP($N412,Capa!$A:$AE,BG$5,0)),0),IF(ISERROR(1/VLOOKUP($N412,Capa!$A:$AE,BG$5,0)),0,1/VLOOKUP($N412,Capa!$A:$AE,BG$5,0))))</f>
        <v/>
      </c>
      <c r="BH412" s="118" t="str">
        <f>IF(BH$6="","",IF(BH$3="Maior",IFERROR(IF(VLOOKUP($N412,Capa!$A:$AE,BH$5,0)="",0,VLOOKUP($N412,Capa!$A:$AE,BH$5,0)),0),IF(ISERROR(1/VLOOKUP($N412,Capa!$A:$AE,BH$5,0)),0,1/VLOOKUP($N412,Capa!$A:$AE,BH$5,0))))</f>
        <v/>
      </c>
      <c r="BI412" s="118" t="str">
        <f>IF(BI$6="","",IF(BI$3="Maior",IFERROR(IF(VLOOKUP($N412,Capa!$A:$AE,BI$5,0)="",0,VLOOKUP($N412,Capa!$A:$AE,BI$5,0)),0),IF(ISERROR(1/VLOOKUP($N412,Capa!$A:$AE,BI$5,0)),0,1/VLOOKUP($N412,Capa!$A:$AE,BI$5,0))))</f>
        <v/>
      </c>
      <c r="BJ412" s="118" t="str">
        <f>IF(BJ$6="","",IF(BJ$3="Maior",IFERROR(IF(VLOOKUP($N412,Capa!$A:$AE,BJ$5,0)="",0,VLOOKUP($N412,Capa!$A:$AE,BJ$5,0)),0),IF(ISERROR(1/VLOOKUP($N412,Capa!$A:$AE,BJ$5,0)),0,1/VLOOKUP($N412,Capa!$A:$AE,BJ$5,0))))</f>
        <v/>
      </c>
      <c r="BK412" s="118" t="str">
        <f>IF(BK$6="","",IF(BK$3="Maior",IFERROR(IF(VLOOKUP($N412,Capa!$A:$AE,BK$5,0)="",0,VLOOKUP($N412,Capa!$A:$AE,BK$5,0)),0),IF(ISERROR(1/VLOOKUP($N412,Capa!$A:$AE,BK$5,0)),0,1/VLOOKUP($N412,Capa!$A:$AE,BK$5,0))))</f>
        <v/>
      </c>
      <c r="BL412" s="118" t="str">
        <f>IF(BL$6="","",IF(BL$3="Maior",IFERROR(IF(VLOOKUP($N412,Capa!$A:$AE,BL$5,0)="",0,VLOOKUP($N412,Capa!$A:$AE,BL$5,0)),0),IF(ISERROR(1/VLOOKUP($N412,Capa!$A:$AE,BL$5,0)),0,1/VLOOKUP($N412,Capa!$A:$AE,BL$5,0))))</f>
        <v/>
      </c>
      <c r="BM412" s="118" t="str">
        <f>IF(BM$6="","",IF(BM$3="Maior",IFERROR(IF(VLOOKUP($N412,Capa!$A:$AE,BM$5,0)="",0,VLOOKUP($N412,Capa!$A:$AE,BM$5,0)),0),IF(ISERROR(1/VLOOKUP($N412,Capa!$A:$AE,BM$5,0)),0,1/VLOOKUP($N412,Capa!$A:$AE,BM$5,0))))</f>
        <v/>
      </c>
      <c r="BN412" s="118" t="str">
        <f>IF(BN$6="","",IF(BN$3="Maior",IFERROR(IF(VLOOKUP($N412,Capa!$A:$AE,BN$5,0)="",0,VLOOKUP($N412,Capa!$A:$AE,BN$5,0)),0),IF(ISERROR(1/VLOOKUP($N412,Capa!$A:$AE,BN$5,0)),0,1/VLOOKUP($N412,Capa!$A:$AE,BN$5,0))))</f>
        <v/>
      </c>
      <c r="BO412" s="92"/>
    </row>
    <row r="413">
      <c r="G413" s="11"/>
      <c r="H413" s="11"/>
      <c r="I413" s="8"/>
      <c r="J413" s="132"/>
      <c r="K413" s="11"/>
      <c r="L413" s="11"/>
      <c r="M413" s="11"/>
      <c r="N413" s="10" t="s">
        <v>459</v>
      </c>
      <c r="O413" s="113">
        <f t="shared" si="8"/>
        <v>1402.0214</v>
      </c>
      <c r="P413" s="114">
        <f>VLOOKUP(N413,'Dados StatusInvest'!A:Z,26,0)</f>
        <v>22707</v>
      </c>
      <c r="Q413" s="115">
        <f t="shared" si="9"/>
        <v>214.0214</v>
      </c>
      <c r="R413" s="116">
        <f t="shared" ref="R413:AO413" si="416">IF(AQ413="","", RANK(AQ413,AQ$7:AQ$503,0))</f>
        <v>54</v>
      </c>
      <c r="S413" s="115">
        <f t="shared" si="416"/>
        <v>134</v>
      </c>
      <c r="T413" s="115" t="str">
        <f t="shared" si="416"/>
        <v/>
      </c>
      <c r="U413" s="115" t="str">
        <f t="shared" si="416"/>
        <v/>
      </c>
      <c r="V413" s="115" t="str">
        <f t="shared" si="416"/>
        <v/>
      </c>
      <c r="W413" s="115" t="str">
        <f t="shared" si="416"/>
        <v/>
      </c>
      <c r="X413" s="115" t="str">
        <f t="shared" si="416"/>
        <v/>
      </c>
      <c r="Y413" s="115" t="str">
        <f t="shared" si="416"/>
        <v/>
      </c>
      <c r="Z413" s="115" t="str">
        <f t="shared" si="416"/>
        <v/>
      </c>
      <c r="AA413" s="115" t="str">
        <f t="shared" si="416"/>
        <v/>
      </c>
      <c r="AB413" s="115" t="str">
        <f t="shared" si="416"/>
        <v/>
      </c>
      <c r="AC413" s="115" t="str">
        <f t="shared" si="416"/>
        <v/>
      </c>
      <c r="AD413" s="115" t="str">
        <f t="shared" si="416"/>
        <v/>
      </c>
      <c r="AE413" s="115" t="str">
        <f t="shared" si="416"/>
        <v/>
      </c>
      <c r="AF413" s="115" t="str">
        <f t="shared" si="416"/>
        <v/>
      </c>
      <c r="AG413" s="115" t="str">
        <f t="shared" si="416"/>
        <v/>
      </c>
      <c r="AH413" s="115" t="str">
        <f t="shared" si="416"/>
        <v/>
      </c>
      <c r="AI413" s="115" t="str">
        <f t="shared" si="416"/>
        <v/>
      </c>
      <c r="AJ413" s="115" t="str">
        <f t="shared" si="416"/>
        <v/>
      </c>
      <c r="AK413" s="115" t="str">
        <f t="shared" si="416"/>
        <v/>
      </c>
      <c r="AL413" s="115" t="str">
        <f t="shared" si="416"/>
        <v/>
      </c>
      <c r="AM413" s="115" t="str">
        <f t="shared" si="416"/>
        <v/>
      </c>
      <c r="AN413" s="115" t="str">
        <f t="shared" si="416"/>
        <v/>
      </c>
      <c r="AO413" s="115" t="str">
        <f t="shared" si="416"/>
        <v/>
      </c>
      <c r="AP413" s="117">
        <f>IF(AP$6="","",IF(AP$3="Maior",IFERROR(IF(VLOOKUP($N413,Capa!$A:$AE,AP$5,0)="",0,VLOOKUP($N413,Capa!$A:$AE,AP$5,0)),0),IF(ISERROR(1/VLOOKUP($N413,Capa!$A:$AE,AP$5,0)),0,1/VLOOKUP($N413,Capa!$A:$AE,AP$5,0))))</f>
        <v>0.09956447564</v>
      </c>
      <c r="AQ413" s="118">
        <f>IF(AQ$6="","",IF(AQ$3="Maior",IFERROR(IF(VLOOKUP($N413,Capa!$A:$AE,AQ$5,0)="",0,VLOOKUP($N413,Capa!$A:$AE,AQ$5,0)),0),IF(ISERROR(1/VLOOKUP($N413,Capa!$A:$AE,AQ$5,0)),0,1/VLOOKUP($N413,Capa!$A:$AE,AQ$5,0))))</f>
        <v>25.2</v>
      </c>
      <c r="AR413" s="118">
        <f>IF(AR$6="","",IF(AR$3="Maior",IFERROR(IF(VLOOKUP($N413,Capa!$A:$AE,AR$5,0)="",0,VLOOKUP($N413,Capa!$A:$AE,AR$5,0)),0),IF(ISERROR(1/VLOOKUP($N413,Capa!$A:$AE,AR$5,0)),0,1/VLOOKUP($N413,Capa!$A:$AE,AR$5,0))))</f>
        <v>18.95</v>
      </c>
      <c r="AS413" s="118" t="str">
        <f>IF(AS$6="","",IF(AS$3="Maior",IFERROR(IF(VLOOKUP($N413,Capa!$A:$AE,AS$5,0)="",0,VLOOKUP($N413,Capa!$A:$AE,AS$5,0)),0),IF(ISERROR(1/VLOOKUP($N413,Capa!$A:$AE,AS$5,0)),0,1/VLOOKUP($N413,Capa!$A:$AE,AS$5,0))))</f>
        <v/>
      </c>
      <c r="AT413" s="118" t="str">
        <f>IF(AT$6="","",IF(AT$3="Maior",IFERROR(IF(VLOOKUP($N413,Capa!$A:$AE,AT$5,0)="",0,VLOOKUP($N413,Capa!$A:$AE,AT$5,0)),0),IF(ISERROR(1/VLOOKUP($N413,Capa!$A:$AE,AT$5,0)),0,1/VLOOKUP($N413,Capa!$A:$AE,AT$5,0))))</f>
        <v/>
      </c>
      <c r="AU413" s="118" t="str">
        <f>IF(AU$6="","",IF(AU$3="Maior",IFERROR(IF(VLOOKUP($N413,Capa!$A:$AE,AU$5,0)="",0,VLOOKUP($N413,Capa!$A:$AE,AU$5,0)),0),IF(ISERROR(1/VLOOKUP($N413,Capa!$A:$AE,AU$5,0)),0,1/VLOOKUP($N413,Capa!$A:$AE,AU$5,0))))</f>
        <v/>
      </c>
      <c r="AV413" s="118" t="str">
        <f>IF(AV$6="","",IF(AV$3="Maior",IFERROR(IF(VLOOKUP($N413,Capa!$A:$AE,AV$5,0)="",0,VLOOKUP($N413,Capa!$A:$AE,AV$5,0)),0),IF(ISERROR(1/VLOOKUP($N413,Capa!$A:$AE,AV$5,0)),0,1/VLOOKUP($N413,Capa!$A:$AE,AV$5,0))))</f>
        <v/>
      </c>
      <c r="AW413" s="118" t="str">
        <f>IF(AW$6="","",IF(AW$3="Maior",IFERROR(IF(VLOOKUP($N413,Capa!$A:$AE,AW$5,0)="",0,VLOOKUP($N413,Capa!$A:$AE,AW$5,0)),0),IF(ISERROR(1/VLOOKUP($N413,Capa!$A:$AE,AW$5,0)),0,1/VLOOKUP($N413,Capa!$A:$AE,AW$5,0))))</f>
        <v/>
      </c>
      <c r="AX413" s="118" t="str">
        <f>IF(AX$6="","",IF(AX$3="Maior",IFERROR(IF(VLOOKUP($N413,Capa!$A:$AE,AX$5,0)="",0,VLOOKUP($N413,Capa!$A:$AE,AX$5,0)),0),IF(ISERROR(1/VLOOKUP($N413,Capa!$A:$AE,AX$5,0)),0,1/VLOOKUP($N413,Capa!$A:$AE,AX$5,0))))</f>
        <v/>
      </c>
      <c r="AY413" s="118" t="str">
        <f>IF(AY$6="","",IF(AY$3="Maior",IFERROR(IF(VLOOKUP($N413,Capa!$A:$AE,AY$5,0)="",0,VLOOKUP($N413,Capa!$A:$AE,AY$5,0)),0),IF(ISERROR(1/VLOOKUP($N413,Capa!$A:$AE,AY$5,0)),0,1/VLOOKUP($N413,Capa!$A:$AE,AY$5,0))))</f>
        <v/>
      </c>
      <c r="AZ413" s="118" t="str">
        <f>IF(AZ$6="","",IF(AZ$3="Maior",IFERROR(IF(VLOOKUP($N413,Capa!$A:$AE,AZ$5,0)="",0,VLOOKUP($N413,Capa!$A:$AE,AZ$5,0)),0),IF(ISERROR(1/VLOOKUP($N413,Capa!$A:$AE,AZ$5,0)),0,1/VLOOKUP($N413,Capa!$A:$AE,AZ$5,0))))</f>
        <v/>
      </c>
      <c r="BA413" s="118" t="str">
        <f>IF(BA$6="","",IF(BA$3="Maior",IFERROR(IF(VLOOKUP($N413,Capa!$A:$AE,BA$5,0)="",0,VLOOKUP($N413,Capa!$A:$AE,BA$5,0)),0),IF(ISERROR(1/VLOOKUP($N413,Capa!$A:$AE,BA$5,0)),0,1/VLOOKUP($N413,Capa!$A:$AE,BA$5,0))))</f>
        <v/>
      </c>
      <c r="BB413" s="118" t="str">
        <f>IF(BB$6="","",IF(BB$3="Maior",IFERROR(IF(VLOOKUP($N413,Capa!$A:$AE,BB$5,0)="",0,VLOOKUP($N413,Capa!$A:$AE,BB$5,0)),0),IF(ISERROR(1/VLOOKUP($N413,Capa!$A:$AE,BB$5,0)),0,1/VLOOKUP($N413,Capa!$A:$AE,BB$5,0))))</f>
        <v/>
      </c>
      <c r="BC413" s="118" t="str">
        <f>IF(BC$6="","",IF(BC$3="Maior",IFERROR(IF(VLOOKUP($N413,Capa!$A:$AE,BC$5,0)="",0,VLOOKUP($N413,Capa!$A:$AE,BC$5,0)),0),IF(ISERROR(1/VLOOKUP($N413,Capa!$A:$AE,BC$5,0)),0,1/VLOOKUP($N413,Capa!$A:$AE,BC$5,0))))</f>
        <v/>
      </c>
      <c r="BD413" s="118" t="str">
        <f>IF(BD$6="","",IF(BD$3="Maior",IFERROR(IF(VLOOKUP($N413,Capa!$A:$AE,BD$5,0)="",0,VLOOKUP($N413,Capa!$A:$AE,BD$5,0)),0),IF(ISERROR(1/VLOOKUP($N413,Capa!$A:$AE,BD$5,0)),0,1/VLOOKUP($N413,Capa!$A:$AE,BD$5,0))))</f>
        <v/>
      </c>
      <c r="BE413" s="118" t="str">
        <f>IF(BE$6="","",IF(BE$3="Maior",IFERROR(IF(VLOOKUP($N413,Capa!$A:$AE,BE$5,0)="",0,VLOOKUP($N413,Capa!$A:$AE,BE$5,0)),0),IF(ISERROR(1/VLOOKUP($N413,Capa!$A:$AE,BE$5,0)),0,1/VLOOKUP($N413,Capa!$A:$AE,BE$5,0))))</f>
        <v/>
      </c>
      <c r="BF413" s="118" t="str">
        <f>IF(BF$6="","",IF(BF$3="Maior",IFERROR(IF(VLOOKUP($N413,Capa!$A:$AE,BF$5,0)="",0,VLOOKUP($N413,Capa!$A:$AE,BF$5,0)),0),IF(ISERROR(1/VLOOKUP($N413,Capa!$A:$AE,BF$5,0)),0,1/VLOOKUP($N413,Capa!$A:$AE,BF$5,0))))</f>
        <v/>
      </c>
      <c r="BG413" s="118" t="str">
        <f>IF(BG$6="","",IF(BG$3="Maior",IFERROR(IF(VLOOKUP($N413,Capa!$A:$AE,BG$5,0)="",0,VLOOKUP($N413,Capa!$A:$AE,BG$5,0)),0),IF(ISERROR(1/VLOOKUP($N413,Capa!$A:$AE,BG$5,0)),0,1/VLOOKUP($N413,Capa!$A:$AE,BG$5,0))))</f>
        <v/>
      </c>
      <c r="BH413" s="118" t="str">
        <f>IF(BH$6="","",IF(BH$3="Maior",IFERROR(IF(VLOOKUP($N413,Capa!$A:$AE,BH$5,0)="",0,VLOOKUP($N413,Capa!$A:$AE,BH$5,0)),0),IF(ISERROR(1/VLOOKUP($N413,Capa!$A:$AE,BH$5,0)),0,1/VLOOKUP($N413,Capa!$A:$AE,BH$5,0))))</f>
        <v/>
      </c>
      <c r="BI413" s="118" t="str">
        <f>IF(BI$6="","",IF(BI$3="Maior",IFERROR(IF(VLOOKUP($N413,Capa!$A:$AE,BI$5,0)="",0,VLOOKUP($N413,Capa!$A:$AE,BI$5,0)),0),IF(ISERROR(1/VLOOKUP($N413,Capa!$A:$AE,BI$5,0)),0,1/VLOOKUP($N413,Capa!$A:$AE,BI$5,0))))</f>
        <v/>
      </c>
      <c r="BJ413" s="118" t="str">
        <f>IF(BJ$6="","",IF(BJ$3="Maior",IFERROR(IF(VLOOKUP($N413,Capa!$A:$AE,BJ$5,0)="",0,VLOOKUP($N413,Capa!$A:$AE,BJ$5,0)),0),IF(ISERROR(1/VLOOKUP($N413,Capa!$A:$AE,BJ$5,0)),0,1/VLOOKUP($N413,Capa!$A:$AE,BJ$5,0))))</f>
        <v/>
      </c>
      <c r="BK413" s="118" t="str">
        <f>IF(BK$6="","",IF(BK$3="Maior",IFERROR(IF(VLOOKUP($N413,Capa!$A:$AE,BK$5,0)="",0,VLOOKUP($N413,Capa!$A:$AE,BK$5,0)),0),IF(ISERROR(1/VLOOKUP($N413,Capa!$A:$AE,BK$5,0)),0,1/VLOOKUP($N413,Capa!$A:$AE,BK$5,0))))</f>
        <v/>
      </c>
      <c r="BL413" s="118" t="str">
        <f>IF(BL$6="","",IF(BL$3="Maior",IFERROR(IF(VLOOKUP($N413,Capa!$A:$AE,BL$5,0)="",0,VLOOKUP($N413,Capa!$A:$AE,BL$5,0)),0),IF(ISERROR(1/VLOOKUP($N413,Capa!$A:$AE,BL$5,0)),0,1/VLOOKUP($N413,Capa!$A:$AE,BL$5,0))))</f>
        <v/>
      </c>
      <c r="BM413" s="118" t="str">
        <f>IF(BM$6="","",IF(BM$3="Maior",IFERROR(IF(VLOOKUP($N413,Capa!$A:$AE,BM$5,0)="",0,VLOOKUP($N413,Capa!$A:$AE,BM$5,0)),0),IF(ISERROR(1/VLOOKUP($N413,Capa!$A:$AE,BM$5,0)),0,1/VLOOKUP($N413,Capa!$A:$AE,BM$5,0))))</f>
        <v/>
      </c>
      <c r="BN413" s="118" t="str">
        <f>IF(BN$6="","",IF(BN$3="Maior",IFERROR(IF(VLOOKUP($N413,Capa!$A:$AE,BN$5,0)="",0,VLOOKUP($N413,Capa!$A:$AE,BN$5,0)),0),IF(ISERROR(1/VLOOKUP($N413,Capa!$A:$AE,BN$5,0)),0,1/VLOOKUP($N413,Capa!$A:$AE,BN$5,0))))</f>
        <v/>
      </c>
      <c r="BO413" s="92"/>
    </row>
    <row r="414">
      <c r="G414" s="11"/>
      <c r="H414" s="11"/>
      <c r="I414" s="8"/>
      <c r="J414" s="132"/>
      <c r="K414" s="11"/>
      <c r="L414" s="11"/>
      <c r="M414" s="11"/>
      <c r="N414" s="10" t="s">
        <v>460</v>
      </c>
      <c r="O414" s="113">
        <f t="shared" si="8"/>
        <v>1474.0021</v>
      </c>
      <c r="P414" s="114">
        <f>VLOOKUP(N414,'Dados StatusInvest'!A:Z,26,0)</f>
        <v>18616.17</v>
      </c>
      <c r="Q414" s="115">
        <f t="shared" si="9"/>
        <v>21.0021</v>
      </c>
      <c r="R414" s="116">
        <f t="shared" ref="R414:AO414" si="417">IF(AQ414="","", RANK(AQ414,AQ$7:AQ$503,0))</f>
        <v>375</v>
      </c>
      <c r="S414" s="115">
        <f t="shared" si="417"/>
        <v>78</v>
      </c>
      <c r="T414" s="115" t="str">
        <f t="shared" si="417"/>
        <v/>
      </c>
      <c r="U414" s="115" t="str">
        <f t="shared" si="417"/>
        <v/>
      </c>
      <c r="V414" s="115" t="str">
        <f t="shared" si="417"/>
        <v/>
      </c>
      <c r="W414" s="115" t="str">
        <f t="shared" si="417"/>
        <v/>
      </c>
      <c r="X414" s="115" t="str">
        <f t="shared" si="417"/>
        <v/>
      </c>
      <c r="Y414" s="115" t="str">
        <f t="shared" si="417"/>
        <v/>
      </c>
      <c r="Z414" s="115" t="str">
        <f t="shared" si="417"/>
        <v/>
      </c>
      <c r="AA414" s="115" t="str">
        <f t="shared" si="417"/>
        <v/>
      </c>
      <c r="AB414" s="115" t="str">
        <f t="shared" si="417"/>
        <v/>
      </c>
      <c r="AC414" s="115" t="str">
        <f t="shared" si="417"/>
        <v/>
      </c>
      <c r="AD414" s="115" t="str">
        <f t="shared" si="417"/>
        <v/>
      </c>
      <c r="AE414" s="115" t="str">
        <f t="shared" si="417"/>
        <v/>
      </c>
      <c r="AF414" s="115" t="str">
        <f t="shared" si="417"/>
        <v/>
      </c>
      <c r="AG414" s="115" t="str">
        <f t="shared" si="417"/>
        <v/>
      </c>
      <c r="AH414" s="115" t="str">
        <f t="shared" si="417"/>
        <v/>
      </c>
      <c r="AI414" s="115" t="str">
        <f t="shared" si="417"/>
        <v/>
      </c>
      <c r="AJ414" s="115" t="str">
        <f t="shared" si="417"/>
        <v/>
      </c>
      <c r="AK414" s="115" t="str">
        <f t="shared" si="417"/>
        <v/>
      </c>
      <c r="AL414" s="115" t="str">
        <f t="shared" si="417"/>
        <v/>
      </c>
      <c r="AM414" s="115" t="str">
        <f t="shared" si="417"/>
        <v/>
      </c>
      <c r="AN414" s="115" t="str">
        <f t="shared" si="417"/>
        <v/>
      </c>
      <c r="AO414" s="115" t="str">
        <f t="shared" si="417"/>
        <v/>
      </c>
      <c r="AP414" s="117">
        <f>IF(AP$6="","",IF(AP$3="Maior",IFERROR(IF(VLOOKUP($N414,Capa!$A:$AE,AP$5,0)="",0,VLOOKUP($N414,Capa!$A:$AE,AP$5,0)),0),IF(ISERROR(1/VLOOKUP($N414,Capa!$A:$AE,AP$5,0)),0,1/VLOOKUP($N414,Capa!$A:$AE,AP$5,0))))</f>
        <v>0.3975636766</v>
      </c>
      <c r="AQ414" s="118">
        <f>IF(AQ$6="","",IF(AQ$3="Maior",IFERROR(IF(VLOOKUP($N414,Capa!$A:$AE,AQ$5,0)="",0,VLOOKUP($N414,Capa!$A:$AE,AQ$5,0)),0),IF(ISERROR(1/VLOOKUP($N414,Capa!$A:$AE,AQ$5,0)),0,1/VLOOKUP($N414,Capa!$A:$AE,AQ$5,0))))</f>
        <v>0</v>
      </c>
      <c r="AR414" s="118">
        <f>IF(AR$6="","",IF(AR$3="Maior",IFERROR(IF(VLOOKUP($N414,Capa!$A:$AE,AR$5,0)="",0,VLOOKUP($N414,Capa!$A:$AE,AR$5,0)),0),IF(ISERROR(1/VLOOKUP($N414,Capa!$A:$AE,AR$5,0)),0,1/VLOOKUP($N414,Capa!$A:$AE,AR$5,0))))</f>
        <v>35.51</v>
      </c>
      <c r="AS414" s="118" t="str">
        <f>IF(AS$6="","",IF(AS$3="Maior",IFERROR(IF(VLOOKUP($N414,Capa!$A:$AE,AS$5,0)="",0,VLOOKUP($N414,Capa!$A:$AE,AS$5,0)),0),IF(ISERROR(1/VLOOKUP($N414,Capa!$A:$AE,AS$5,0)),0,1/VLOOKUP($N414,Capa!$A:$AE,AS$5,0))))</f>
        <v/>
      </c>
      <c r="AT414" s="118" t="str">
        <f>IF(AT$6="","",IF(AT$3="Maior",IFERROR(IF(VLOOKUP($N414,Capa!$A:$AE,AT$5,0)="",0,VLOOKUP($N414,Capa!$A:$AE,AT$5,0)),0),IF(ISERROR(1/VLOOKUP($N414,Capa!$A:$AE,AT$5,0)),0,1/VLOOKUP($N414,Capa!$A:$AE,AT$5,0))))</f>
        <v/>
      </c>
      <c r="AU414" s="118" t="str">
        <f>IF(AU$6="","",IF(AU$3="Maior",IFERROR(IF(VLOOKUP($N414,Capa!$A:$AE,AU$5,0)="",0,VLOOKUP($N414,Capa!$A:$AE,AU$5,0)),0),IF(ISERROR(1/VLOOKUP($N414,Capa!$A:$AE,AU$5,0)),0,1/VLOOKUP($N414,Capa!$A:$AE,AU$5,0))))</f>
        <v/>
      </c>
      <c r="AV414" s="118" t="str">
        <f>IF(AV$6="","",IF(AV$3="Maior",IFERROR(IF(VLOOKUP($N414,Capa!$A:$AE,AV$5,0)="",0,VLOOKUP($N414,Capa!$A:$AE,AV$5,0)),0),IF(ISERROR(1/VLOOKUP($N414,Capa!$A:$AE,AV$5,0)),0,1/VLOOKUP($N414,Capa!$A:$AE,AV$5,0))))</f>
        <v/>
      </c>
      <c r="AW414" s="118" t="str">
        <f>IF(AW$6="","",IF(AW$3="Maior",IFERROR(IF(VLOOKUP($N414,Capa!$A:$AE,AW$5,0)="",0,VLOOKUP($N414,Capa!$A:$AE,AW$5,0)),0),IF(ISERROR(1/VLOOKUP($N414,Capa!$A:$AE,AW$5,0)),0,1/VLOOKUP($N414,Capa!$A:$AE,AW$5,0))))</f>
        <v/>
      </c>
      <c r="AX414" s="118" t="str">
        <f>IF(AX$6="","",IF(AX$3="Maior",IFERROR(IF(VLOOKUP($N414,Capa!$A:$AE,AX$5,0)="",0,VLOOKUP($N414,Capa!$A:$AE,AX$5,0)),0),IF(ISERROR(1/VLOOKUP($N414,Capa!$A:$AE,AX$5,0)),0,1/VLOOKUP($N414,Capa!$A:$AE,AX$5,0))))</f>
        <v/>
      </c>
      <c r="AY414" s="118" t="str">
        <f>IF(AY$6="","",IF(AY$3="Maior",IFERROR(IF(VLOOKUP($N414,Capa!$A:$AE,AY$5,0)="",0,VLOOKUP($N414,Capa!$A:$AE,AY$5,0)),0),IF(ISERROR(1/VLOOKUP($N414,Capa!$A:$AE,AY$5,0)),0,1/VLOOKUP($N414,Capa!$A:$AE,AY$5,0))))</f>
        <v/>
      </c>
      <c r="AZ414" s="118" t="str">
        <f>IF(AZ$6="","",IF(AZ$3="Maior",IFERROR(IF(VLOOKUP($N414,Capa!$A:$AE,AZ$5,0)="",0,VLOOKUP($N414,Capa!$A:$AE,AZ$5,0)),0),IF(ISERROR(1/VLOOKUP($N414,Capa!$A:$AE,AZ$5,0)),0,1/VLOOKUP($N414,Capa!$A:$AE,AZ$5,0))))</f>
        <v/>
      </c>
      <c r="BA414" s="118" t="str">
        <f>IF(BA$6="","",IF(BA$3="Maior",IFERROR(IF(VLOOKUP($N414,Capa!$A:$AE,BA$5,0)="",0,VLOOKUP($N414,Capa!$A:$AE,BA$5,0)),0),IF(ISERROR(1/VLOOKUP($N414,Capa!$A:$AE,BA$5,0)),0,1/VLOOKUP($N414,Capa!$A:$AE,BA$5,0))))</f>
        <v/>
      </c>
      <c r="BB414" s="118" t="str">
        <f>IF(BB$6="","",IF(BB$3="Maior",IFERROR(IF(VLOOKUP($N414,Capa!$A:$AE,BB$5,0)="",0,VLOOKUP($N414,Capa!$A:$AE,BB$5,0)),0),IF(ISERROR(1/VLOOKUP($N414,Capa!$A:$AE,BB$5,0)),0,1/VLOOKUP($N414,Capa!$A:$AE,BB$5,0))))</f>
        <v/>
      </c>
      <c r="BC414" s="118" t="str">
        <f>IF(BC$6="","",IF(BC$3="Maior",IFERROR(IF(VLOOKUP($N414,Capa!$A:$AE,BC$5,0)="",0,VLOOKUP($N414,Capa!$A:$AE,BC$5,0)),0),IF(ISERROR(1/VLOOKUP($N414,Capa!$A:$AE,BC$5,0)),0,1/VLOOKUP($N414,Capa!$A:$AE,BC$5,0))))</f>
        <v/>
      </c>
      <c r="BD414" s="118" t="str">
        <f>IF(BD$6="","",IF(BD$3="Maior",IFERROR(IF(VLOOKUP($N414,Capa!$A:$AE,BD$5,0)="",0,VLOOKUP($N414,Capa!$A:$AE,BD$5,0)),0),IF(ISERROR(1/VLOOKUP($N414,Capa!$A:$AE,BD$5,0)),0,1/VLOOKUP($N414,Capa!$A:$AE,BD$5,0))))</f>
        <v/>
      </c>
      <c r="BE414" s="118" t="str">
        <f>IF(BE$6="","",IF(BE$3="Maior",IFERROR(IF(VLOOKUP($N414,Capa!$A:$AE,BE$5,0)="",0,VLOOKUP($N414,Capa!$A:$AE,BE$5,0)),0),IF(ISERROR(1/VLOOKUP($N414,Capa!$A:$AE,BE$5,0)),0,1/VLOOKUP($N414,Capa!$A:$AE,BE$5,0))))</f>
        <v/>
      </c>
      <c r="BF414" s="118" t="str">
        <f>IF(BF$6="","",IF(BF$3="Maior",IFERROR(IF(VLOOKUP($N414,Capa!$A:$AE,BF$5,0)="",0,VLOOKUP($N414,Capa!$A:$AE,BF$5,0)),0),IF(ISERROR(1/VLOOKUP($N414,Capa!$A:$AE,BF$5,0)),0,1/VLOOKUP($N414,Capa!$A:$AE,BF$5,0))))</f>
        <v/>
      </c>
      <c r="BG414" s="118" t="str">
        <f>IF(BG$6="","",IF(BG$3="Maior",IFERROR(IF(VLOOKUP($N414,Capa!$A:$AE,BG$5,0)="",0,VLOOKUP($N414,Capa!$A:$AE,BG$5,0)),0),IF(ISERROR(1/VLOOKUP($N414,Capa!$A:$AE,BG$5,0)),0,1/VLOOKUP($N414,Capa!$A:$AE,BG$5,0))))</f>
        <v/>
      </c>
      <c r="BH414" s="118" t="str">
        <f>IF(BH$6="","",IF(BH$3="Maior",IFERROR(IF(VLOOKUP($N414,Capa!$A:$AE,BH$5,0)="",0,VLOOKUP($N414,Capa!$A:$AE,BH$5,0)),0),IF(ISERROR(1/VLOOKUP($N414,Capa!$A:$AE,BH$5,0)),0,1/VLOOKUP($N414,Capa!$A:$AE,BH$5,0))))</f>
        <v/>
      </c>
      <c r="BI414" s="118" t="str">
        <f>IF(BI$6="","",IF(BI$3="Maior",IFERROR(IF(VLOOKUP($N414,Capa!$A:$AE,BI$5,0)="",0,VLOOKUP($N414,Capa!$A:$AE,BI$5,0)),0),IF(ISERROR(1/VLOOKUP($N414,Capa!$A:$AE,BI$5,0)),0,1/VLOOKUP($N414,Capa!$A:$AE,BI$5,0))))</f>
        <v/>
      </c>
      <c r="BJ414" s="118" t="str">
        <f>IF(BJ$6="","",IF(BJ$3="Maior",IFERROR(IF(VLOOKUP($N414,Capa!$A:$AE,BJ$5,0)="",0,VLOOKUP($N414,Capa!$A:$AE,BJ$5,0)),0),IF(ISERROR(1/VLOOKUP($N414,Capa!$A:$AE,BJ$5,0)),0,1/VLOOKUP($N414,Capa!$A:$AE,BJ$5,0))))</f>
        <v/>
      </c>
      <c r="BK414" s="118" t="str">
        <f>IF(BK$6="","",IF(BK$3="Maior",IFERROR(IF(VLOOKUP($N414,Capa!$A:$AE,BK$5,0)="",0,VLOOKUP($N414,Capa!$A:$AE,BK$5,0)),0),IF(ISERROR(1/VLOOKUP($N414,Capa!$A:$AE,BK$5,0)),0,1/VLOOKUP($N414,Capa!$A:$AE,BK$5,0))))</f>
        <v/>
      </c>
      <c r="BL414" s="118" t="str">
        <f>IF(BL$6="","",IF(BL$3="Maior",IFERROR(IF(VLOOKUP($N414,Capa!$A:$AE,BL$5,0)="",0,VLOOKUP($N414,Capa!$A:$AE,BL$5,0)),0),IF(ISERROR(1/VLOOKUP($N414,Capa!$A:$AE,BL$5,0)),0,1/VLOOKUP($N414,Capa!$A:$AE,BL$5,0))))</f>
        <v/>
      </c>
      <c r="BM414" s="118" t="str">
        <f>IF(BM$6="","",IF(BM$3="Maior",IFERROR(IF(VLOOKUP($N414,Capa!$A:$AE,BM$5,0)="",0,VLOOKUP($N414,Capa!$A:$AE,BM$5,0)),0),IF(ISERROR(1/VLOOKUP($N414,Capa!$A:$AE,BM$5,0)),0,1/VLOOKUP($N414,Capa!$A:$AE,BM$5,0))))</f>
        <v/>
      </c>
      <c r="BN414" s="118" t="str">
        <f>IF(BN$6="","",IF(BN$3="Maior",IFERROR(IF(VLOOKUP($N414,Capa!$A:$AE,BN$5,0)="",0,VLOOKUP($N414,Capa!$A:$AE,BN$5,0)),0),IF(ISERROR(1/VLOOKUP($N414,Capa!$A:$AE,BN$5,0)),0,1/VLOOKUP($N414,Capa!$A:$AE,BN$5,0))))</f>
        <v/>
      </c>
      <c r="BO414" s="92"/>
    </row>
    <row r="415">
      <c r="G415" s="11"/>
      <c r="H415" s="11"/>
      <c r="I415" s="8"/>
      <c r="J415" s="132"/>
      <c r="K415" s="11"/>
      <c r="L415" s="11"/>
      <c r="M415" s="11"/>
      <c r="N415" s="10" t="s">
        <v>461</v>
      </c>
      <c r="O415" s="113">
        <f t="shared" si="8"/>
        <v>1802.0143</v>
      </c>
      <c r="P415" s="114">
        <f>VLOOKUP(N415,'Dados StatusInvest'!A:Z,26,0)</f>
        <v>26595.8</v>
      </c>
      <c r="Q415" s="115">
        <f t="shared" si="9"/>
        <v>143.0143</v>
      </c>
      <c r="R415" s="116">
        <f t="shared" ref="R415:AO415" si="418">IF(AQ415="","", RANK(AQ415,AQ$7:AQ$503,0))</f>
        <v>440</v>
      </c>
      <c r="S415" s="115">
        <f t="shared" si="418"/>
        <v>219</v>
      </c>
      <c r="T415" s="115" t="str">
        <f t="shared" si="418"/>
        <v/>
      </c>
      <c r="U415" s="115" t="str">
        <f t="shared" si="418"/>
        <v/>
      </c>
      <c r="V415" s="115" t="str">
        <f t="shared" si="418"/>
        <v/>
      </c>
      <c r="W415" s="115" t="str">
        <f t="shared" si="418"/>
        <v/>
      </c>
      <c r="X415" s="115" t="str">
        <f t="shared" si="418"/>
        <v/>
      </c>
      <c r="Y415" s="115" t="str">
        <f t="shared" si="418"/>
        <v/>
      </c>
      <c r="Z415" s="115" t="str">
        <f t="shared" si="418"/>
        <v/>
      </c>
      <c r="AA415" s="115" t="str">
        <f t="shared" si="418"/>
        <v/>
      </c>
      <c r="AB415" s="115" t="str">
        <f t="shared" si="418"/>
        <v/>
      </c>
      <c r="AC415" s="115" t="str">
        <f t="shared" si="418"/>
        <v/>
      </c>
      <c r="AD415" s="115" t="str">
        <f t="shared" si="418"/>
        <v/>
      </c>
      <c r="AE415" s="115" t="str">
        <f t="shared" si="418"/>
        <v/>
      </c>
      <c r="AF415" s="115" t="str">
        <f t="shared" si="418"/>
        <v/>
      </c>
      <c r="AG415" s="115" t="str">
        <f t="shared" si="418"/>
        <v/>
      </c>
      <c r="AH415" s="115" t="str">
        <f t="shared" si="418"/>
        <v/>
      </c>
      <c r="AI415" s="115" t="str">
        <f t="shared" si="418"/>
        <v/>
      </c>
      <c r="AJ415" s="115" t="str">
        <f t="shared" si="418"/>
        <v/>
      </c>
      <c r="AK415" s="115" t="str">
        <f t="shared" si="418"/>
        <v/>
      </c>
      <c r="AL415" s="115" t="str">
        <f t="shared" si="418"/>
        <v/>
      </c>
      <c r="AM415" s="115" t="str">
        <f t="shared" si="418"/>
        <v/>
      </c>
      <c r="AN415" s="115" t="str">
        <f t="shared" si="418"/>
        <v/>
      </c>
      <c r="AO415" s="115" t="str">
        <f t="shared" si="418"/>
        <v/>
      </c>
      <c r="AP415" s="117">
        <f>IF(AP$6="","",IF(AP$3="Maior",IFERROR(IF(VLOOKUP($N415,Capa!$A:$AE,AP$5,0)="",0,VLOOKUP($N415,Capa!$A:$AE,AP$5,0)),0),IF(ISERROR(1/VLOOKUP($N415,Capa!$A:$AE,AP$5,0)),0,1/VLOOKUP($N415,Capa!$A:$AE,AP$5,0))))</f>
        <v>0.1396648045</v>
      </c>
      <c r="AQ415" s="118">
        <f>IF(AQ$6="","",IF(AQ$3="Maior",IFERROR(IF(VLOOKUP($N415,Capa!$A:$AE,AQ$5,0)="",0,VLOOKUP($N415,Capa!$A:$AE,AQ$5,0)),0),IF(ISERROR(1/VLOOKUP($N415,Capa!$A:$AE,AQ$5,0)),0,1/VLOOKUP($N415,Capa!$A:$AE,AQ$5,0))))</f>
        <v>-3.47</v>
      </c>
      <c r="AR415" s="118">
        <f>IF(AR$6="","",IF(AR$3="Maior",IFERROR(IF(VLOOKUP($N415,Capa!$A:$AE,AR$5,0)="",0,VLOOKUP($N415,Capa!$A:$AE,AR$5,0)),0),IF(ISERROR(1/VLOOKUP($N415,Capa!$A:$AE,AR$5,0)),0,1/VLOOKUP($N415,Capa!$A:$AE,AR$5,0))))</f>
        <v>0</v>
      </c>
      <c r="AS415" s="118" t="str">
        <f>IF(AS$6="","",IF(AS$3="Maior",IFERROR(IF(VLOOKUP($N415,Capa!$A:$AE,AS$5,0)="",0,VLOOKUP($N415,Capa!$A:$AE,AS$5,0)),0),IF(ISERROR(1/VLOOKUP($N415,Capa!$A:$AE,AS$5,0)),0,1/VLOOKUP($N415,Capa!$A:$AE,AS$5,0))))</f>
        <v/>
      </c>
      <c r="AT415" s="118" t="str">
        <f>IF(AT$6="","",IF(AT$3="Maior",IFERROR(IF(VLOOKUP($N415,Capa!$A:$AE,AT$5,0)="",0,VLOOKUP($N415,Capa!$A:$AE,AT$5,0)),0),IF(ISERROR(1/VLOOKUP($N415,Capa!$A:$AE,AT$5,0)),0,1/VLOOKUP($N415,Capa!$A:$AE,AT$5,0))))</f>
        <v/>
      </c>
      <c r="AU415" s="118" t="str">
        <f>IF(AU$6="","",IF(AU$3="Maior",IFERROR(IF(VLOOKUP($N415,Capa!$A:$AE,AU$5,0)="",0,VLOOKUP($N415,Capa!$A:$AE,AU$5,0)),0),IF(ISERROR(1/VLOOKUP($N415,Capa!$A:$AE,AU$5,0)),0,1/VLOOKUP($N415,Capa!$A:$AE,AU$5,0))))</f>
        <v/>
      </c>
      <c r="AV415" s="118" t="str">
        <f>IF(AV$6="","",IF(AV$3="Maior",IFERROR(IF(VLOOKUP($N415,Capa!$A:$AE,AV$5,0)="",0,VLOOKUP($N415,Capa!$A:$AE,AV$5,0)),0),IF(ISERROR(1/VLOOKUP($N415,Capa!$A:$AE,AV$5,0)),0,1/VLOOKUP($N415,Capa!$A:$AE,AV$5,0))))</f>
        <v/>
      </c>
      <c r="AW415" s="118" t="str">
        <f>IF(AW$6="","",IF(AW$3="Maior",IFERROR(IF(VLOOKUP($N415,Capa!$A:$AE,AW$5,0)="",0,VLOOKUP($N415,Capa!$A:$AE,AW$5,0)),0),IF(ISERROR(1/VLOOKUP($N415,Capa!$A:$AE,AW$5,0)),0,1/VLOOKUP($N415,Capa!$A:$AE,AW$5,0))))</f>
        <v/>
      </c>
      <c r="AX415" s="118" t="str">
        <f>IF(AX$6="","",IF(AX$3="Maior",IFERROR(IF(VLOOKUP($N415,Capa!$A:$AE,AX$5,0)="",0,VLOOKUP($N415,Capa!$A:$AE,AX$5,0)),0),IF(ISERROR(1/VLOOKUP($N415,Capa!$A:$AE,AX$5,0)),0,1/VLOOKUP($N415,Capa!$A:$AE,AX$5,0))))</f>
        <v/>
      </c>
      <c r="AY415" s="118" t="str">
        <f>IF(AY$6="","",IF(AY$3="Maior",IFERROR(IF(VLOOKUP($N415,Capa!$A:$AE,AY$5,0)="",0,VLOOKUP($N415,Capa!$A:$AE,AY$5,0)),0),IF(ISERROR(1/VLOOKUP($N415,Capa!$A:$AE,AY$5,0)),0,1/VLOOKUP($N415,Capa!$A:$AE,AY$5,0))))</f>
        <v/>
      </c>
      <c r="AZ415" s="118" t="str">
        <f>IF(AZ$6="","",IF(AZ$3="Maior",IFERROR(IF(VLOOKUP($N415,Capa!$A:$AE,AZ$5,0)="",0,VLOOKUP($N415,Capa!$A:$AE,AZ$5,0)),0),IF(ISERROR(1/VLOOKUP($N415,Capa!$A:$AE,AZ$5,0)),0,1/VLOOKUP($N415,Capa!$A:$AE,AZ$5,0))))</f>
        <v/>
      </c>
      <c r="BA415" s="118" t="str">
        <f>IF(BA$6="","",IF(BA$3="Maior",IFERROR(IF(VLOOKUP($N415,Capa!$A:$AE,BA$5,0)="",0,VLOOKUP($N415,Capa!$A:$AE,BA$5,0)),0),IF(ISERROR(1/VLOOKUP($N415,Capa!$A:$AE,BA$5,0)),0,1/VLOOKUP($N415,Capa!$A:$AE,BA$5,0))))</f>
        <v/>
      </c>
      <c r="BB415" s="118" t="str">
        <f>IF(BB$6="","",IF(BB$3="Maior",IFERROR(IF(VLOOKUP($N415,Capa!$A:$AE,BB$5,0)="",0,VLOOKUP($N415,Capa!$A:$AE,BB$5,0)),0),IF(ISERROR(1/VLOOKUP($N415,Capa!$A:$AE,BB$5,0)),0,1/VLOOKUP($N415,Capa!$A:$AE,BB$5,0))))</f>
        <v/>
      </c>
      <c r="BC415" s="118" t="str">
        <f>IF(BC$6="","",IF(BC$3="Maior",IFERROR(IF(VLOOKUP($N415,Capa!$A:$AE,BC$5,0)="",0,VLOOKUP($N415,Capa!$A:$AE,BC$5,0)),0),IF(ISERROR(1/VLOOKUP($N415,Capa!$A:$AE,BC$5,0)),0,1/VLOOKUP($N415,Capa!$A:$AE,BC$5,0))))</f>
        <v/>
      </c>
      <c r="BD415" s="118" t="str">
        <f>IF(BD$6="","",IF(BD$3="Maior",IFERROR(IF(VLOOKUP($N415,Capa!$A:$AE,BD$5,0)="",0,VLOOKUP($N415,Capa!$A:$AE,BD$5,0)),0),IF(ISERROR(1/VLOOKUP($N415,Capa!$A:$AE,BD$5,0)),0,1/VLOOKUP($N415,Capa!$A:$AE,BD$5,0))))</f>
        <v/>
      </c>
      <c r="BE415" s="118" t="str">
        <f>IF(BE$6="","",IF(BE$3="Maior",IFERROR(IF(VLOOKUP($N415,Capa!$A:$AE,BE$5,0)="",0,VLOOKUP($N415,Capa!$A:$AE,BE$5,0)),0),IF(ISERROR(1/VLOOKUP($N415,Capa!$A:$AE,BE$5,0)),0,1/VLOOKUP($N415,Capa!$A:$AE,BE$5,0))))</f>
        <v/>
      </c>
      <c r="BF415" s="118" t="str">
        <f>IF(BF$6="","",IF(BF$3="Maior",IFERROR(IF(VLOOKUP($N415,Capa!$A:$AE,BF$5,0)="",0,VLOOKUP($N415,Capa!$A:$AE,BF$5,0)),0),IF(ISERROR(1/VLOOKUP($N415,Capa!$A:$AE,BF$5,0)),0,1/VLOOKUP($N415,Capa!$A:$AE,BF$5,0))))</f>
        <v/>
      </c>
      <c r="BG415" s="118" t="str">
        <f>IF(BG$6="","",IF(BG$3="Maior",IFERROR(IF(VLOOKUP($N415,Capa!$A:$AE,BG$5,0)="",0,VLOOKUP($N415,Capa!$A:$AE,BG$5,0)),0),IF(ISERROR(1/VLOOKUP($N415,Capa!$A:$AE,BG$5,0)),0,1/VLOOKUP($N415,Capa!$A:$AE,BG$5,0))))</f>
        <v/>
      </c>
      <c r="BH415" s="118" t="str">
        <f>IF(BH$6="","",IF(BH$3="Maior",IFERROR(IF(VLOOKUP($N415,Capa!$A:$AE,BH$5,0)="",0,VLOOKUP($N415,Capa!$A:$AE,BH$5,0)),0),IF(ISERROR(1/VLOOKUP($N415,Capa!$A:$AE,BH$5,0)),0,1/VLOOKUP($N415,Capa!$A:$AE,BH$5,0))))</f>
        <v/>
      </c>
      <c r="BI415" s="118" t="str">
        <f>IF(BI$6="","",IF(BI$3="Maior",IFERROR(IF(VLOOKUP($N415,Capa!$A:$AE,BI$5,0)="",0,VLOOKUP($N415,Capa!$A:$AE,BI$5,0)),0),IF(ISERROR(1/VLOOKUP($N415,Capa!$A:$AE,BI$5,0)),0,1/VLOOKUP($N415,Capa!$A:$AE,BI$5,0))))</f>
        <v/>
      </c>
      <c r="BJ415" s="118" t="str">
        <f>IF(BJ$6="","",IF(BJ$3="Maior",IFERROR(IF(VLOOKUP($N415,Capa!$A:$AE,BJ$5,0)="",0,VLOOKUP($N415,Capa!$A:$AE,BJ$5,0)),0),IF(ISERROR(1/VLOOKUP($N415,Capa!$A:$AE,BJ$5,0)),0,1/VLOOKUP($N415,Capa!$A:$AE,BJ$5,0))))</f>
        <v/>
      </c>
      <c r="BK415" s="118" t="str">
        <f>IF(BK$6="","",IF(BK$3="Maior",IFERROR(IF(VLOOKUP($N415,Capa!$A:$AE,BK$5,0)="",0,VLOOKUP($N415,Capa!$A:$AE,BK$5,0)),0),IF(ISERROR(1/VLOOKUP($N415,Capa!$A:$AE,BK$5,0)),0,1/VLOOKUP($N415,Capa!$A:$AE,BK$5,0))))</f>
        <v/>
      </c>
      <c r="BL415" s="118" t="str">
        <f>IF(BL$6="","",IF(BL$3="Maior",IFERROR(IF(VLOOKUP($N415,Capa!$A:$AE,BL$5,0)="",0,VLOOKUP($N415,Capa!$A:$AE,BL$5,0)),0),IF(ISERROR(1/VLOOKUP($N415,Capa!$A:$AE,BL$5,0)),0,1/VLOOKUP($N415,Capa!$A:$AE,BL$5,0))))</f>
        <v/>
      </c>
      <c r="BM415" s="118" t="str">
        <f>IF(BM$6="","",IF(BM$3="Maior",IFERROR(IF(VLOOKUP($N415,Capa!$A:$AE,BM$5,0)="",0,VLOOKUP($N415,Capa!$A:$AE,BM$5,0)),0),IF(ISERROR(1/VLOOKUP($N415,Capa!$A:$AE,BM$5,0)),0,1/VLOOKUP($N415,Capa!$A:$AE,BM$5,0))))</f>
        <v/>
      </c>
      <c r="BN415" s="118" t="str">
        <f>IF(BN$6="","",IF(BN$3="Maior",IFERROR(IF(VLOOKUP($N415,Capa!$A:$AE,BN$5,0)="",0,VLOOKUP($N415,Capa!$A:$AE,BN$5,0)),0),IF(ISERROR(1/VLOOKUP($N415,Capa!$A:$AE,BN$5,0)),0,1/VLOOKUP($N415,Capa!$A:$AE,BN$5,0))))</f>
        <v/>
      </c>
      <c r="BO415" s="92"/>
    </row>
    <row r="416">
      <c r="G416" s="11"/>
      <c r="H416" s="11"/>
      <c r="I416" s="8"/>
      <c r="J416" s="132"/>
      <c r="K416" s="11"/>
      <c r="L416" s="11"/>
      <c r="M416" s="11"/>
      <c r="N416" s="10" t="s">
        <v>462</v>
      </c>
      <c r="O416" s="113">
        <f t="shared" si="8"/>
        <v>1390.0106</v>
      </c>
      <c r="P416" s="114">
        <f>VLOOKUP(N416,'Dados StatusInvest'!A:Z,26,0)</f>
        <v>25300</v>
      </c>
      <c r="Q416" s="115">
        <f t="shared" si="9"/>
        <v>106.0106</v>
      </c>
      <c r="R416" s="116">
        <f t="shared" ref="R416:AO416" si="419">IF(AQ416="","", RANK(AQ416,AQ$7:AQ$503,0))</f>
        <v>65</v>
      </c>
      <c r="S416" s="115">
        <f t="shared" si="419"/>
        <v>219</v>
      </c>
      <c r="T416" s="115" t="str">
        <f t="shared" si="419"/>
        <v/>
      </c>
      <c r="U416" s="115" t="str">
        <f t="shared" si="419"/>
        <v/>
      </c>
      <c r="V416" s="115" t="str">
        <f t="shared" si="419"/>
        <v/>
      </c>
      <c r="W416" s="115" t="str">
        <f t="shared" si="419"/>
        <v/>
      </c>
      <c r="X416" s="115" t="str">
        <f t="shared" si="419"/>
        <v/>
      </c>
      <c r="Y416" s="115" t="str">
        <f t="shared" si="419"/>
        <v/>
      </c>
      <c r="Z416" s="115" t="str">
        <f t="shared" si="419"/>
        <v/>
      </c>
      <c r="AA416" s="115" t="str">
        <f t="shared" si="419"/>
        <v/>
      </c>
      <c r="AB416" s="115" t="str">
        <f t="shared" si="419"/>
        <v/>
      </c>
      <c r="AC416" s="115" t="str">
        <f t="shared" si="419"/>
        <v/>
      </c>
      <c r="AD416" s="115" t="str">
        <f t="shared" si="419"/>
        <v/>
      </c>
      <c r="AE416" s="115" t="str">
        <f t="shared" si="419"/>
        <v/>
      </c>
      <c r="AF416" s="115" t="str">
        <f t="shared" si="419"/>
        <v/>
      </c>
      <c r="AG416" s="115" t="str">
        <f t="shared" si="419"/>
        <v/>
      </c>
      <c r="AH416" s="115" t="str">
        <f t="shared" si="419"/>
        <v/>
      </c>
      <c r="AI416" s="115" t="str">
        <f t="shared" si="419"/>
        <v/>
      </c>
      <c r="AJ416" s="115" t="str">
        <f t="shared" si="419"/>
        <v/>
      </c>
      <c r="AK416" s="115" t="str">
        <f t="shared" si="419"/>
        <v/>
      </c>
      <c r="AL416" s="115" t="str">
        <f t="shared" si="419"/>
        <v/>
      </c>
      <c r="AM416" s="115" t="str">
        <f t="shared" si="419"/>
        <v/>
      </c>
      <c r="AN416" s="115" t="str">
        <f t="shared" si="419"/>
        <v/>
      </c>
      <c r="AO416" s="115" t="str">
        <f t="shared" si="419"/>
        <v/>
      </c>
      <c r="AP416" s="117">
        <f>IF(AP$6="","",IF(AP$3="Maior",IFERROR(IF(VLOOKUP($N416,Capa!$A:$AE,AP$5,0)="",0,VLOOKUP($N416,Capa!$A:$AE,AP$5,0)),0),IF(ISERROR(1/VLOOKUP($N416,Capa!$A:$AE,AP$5,0)),0,1/VLOOKUP($N416,Capa!$A:$AE,AP$5,0))))</f>
        <v>0.1782531194</v>
      </c>
      <c r="AQ416" s="118">
        <f>IF(AQ$6="","",IF(AQ$3="Maior",IFERROR(IF(VLOOKUP($N416,Capa!$A:$AE,AQ$5,0)="",0,VLOOKUP($N416,Capa!$A:$AE,AQ$5,0)),0),IF(ISERROR(1/VLOOKUP($N416,Capa!$A:$AE,AQ$5,0)),0,1/VLOOKUP($N416,Capa!$A:$AE,AQ$5,0))))</f>
        <v>23.12</v>
      </c>
      <c r="AR416" s="118">
        <f>IF(AR$6="","",IF(AR$3="Maior",IFERROR(IF(VLOOKUP($N416,Capa!$A:$AE,AR$5,0)="",0,VLOOKUP($N416,Capa!$A:$AE,AR$5,0)),0),IF(ISERROR(1/VLOOKUP($N416,Capa!$A:$AE,AR$5,0)),0,1/VLOOKUP($N416,Capa!$A:$AE,AR$5,0))))</f>
        <v>0</v>
      </c>
      <c r="AS416" s="118" t="str">
        <f>IF(AS$6="","",IF(AS$3="Maior",IFERROR(IF(VLOOKUP($N416,Capa!$A:$AE,AS$5,0)="",0,VLOOKUP($N416,Capa!$A:$AE,AS$5,0)),0),IF(ISERROR(1/VLOOKUP($N416,Capa!$A:$AE,AS$5,0)),0,1/VLOOKUP($N416,Capa!$A:$AE,AS$5,0))))</f>
        <v/>
      </c>
      <c r="AT416" s="118" t="str">
        <f>IF(AT$6="","",IF(AT$3="Maior",IFERROR(IF(VLOOKUP($N416,Capa!$A:$AE,AT$5,0)="",0,VLOOKUP($N416,Capa!$A:$AE,AT$5,0)),0),IF(ISERROR(1/VLOOKUP($N416,Capa!$A:$AE,AT$5,0)),0,1/VLOOKUP($N416,Capa!$A:$AE,AT$5,0))))</f>
        <v/>
      </c>
      <c r="AU416" s="118" t="str">
        <f>IF(AU$6="","",IF(AU$3="Maior",IFERROR(IF(VLOOKUP($N416,Capa!$A:$AE,AU$5,0)="",0,VLOOKUP($N416,Capa!$A:$AE,AU$5,0)),0),IF(ISERROR(1/VLOOKUP($N416,Capa!$A:$AE,AU$5,0)),0,1/VLOOKUP($N416,Capa!$A:$AE,AU$5,0))))</f>
        <v/>
      </c>
      <c r="AV416" s="118" t="str">
        <f>IF(AV$6="","",IF(AV$3="Maior",IFERROR(IF(VLOOKUP($N416,Capa!$A:$AE,AV$5,0)="",0,VLOOKUP($N416,Capa!$A:$AE,AV$5,0)),0),IF(ISERROR(1/VLOOKUP($N416,Capa!$A:$AE,AV$5,0)),0,1/VLOOKUP($N416,Capa!$A:$AE,AV$5,0))))</f>
        <v/>
      </c>
      <c r="AW416" s="118" t="str">
        <f>IF(AW$6="","",IF(AW$3="Maior",IFERROR(IF(VLOOKUP($N416,Capa!$A:$AE,AW$5,0)="",0,VLOOKUP($N416,Capa!$A:$AE,AW$5,0)),0),IF(ISERROR(1/VLOOKUP($N416,Capa!$A:$AE,AW$5,0)),0,1/VLOOKUP($N416,Capa!$A:$AE,AW$5,0))))</f>
        <v/>
      </c>
      <c r="AX416" s="118" t="str">
        <f>IF(AX$6="","",IF(AX$3="Maior",IFERROR(IF(VLOOKUP($N416,Capa!$A:$AE,AX$5,0)="",0,VLOOKUP($N416,Capa!$A:$AE,AX$5,0)),0),IF(ISERROR(1/VLOOKUP($N416,Capa!$A:$AE,AX$5,0)),0,1/VLOOKUP($N416,Capa!$A:$AE,AX$5,0))))</f>
        <v/>
      </c>
      <c r="AY416" s="118" t="str">
        <f>IF(AY$6="","",IF(AY$3="Maior",IFERROR(IF(VLOOKUP($N416,Capa!$A:$AE,AY$5,0)="",0,VLOOKUP($N416,Capa!$A:$AE,AY$5,0)),0),IF(ISERROR(1/VLOOKUP($N416,Capa!$A:$AE,AY$5,0)),0,1/VLOOKUP($N416,Capa!$A:$AE,AY$5,0))))</f>
        <v/>
      </c>
      <c r="AZ416" s="118" t="str">
        <f>IF(AZ$6="","",IF(AZ$3="Maior",IFERROR(IF(VLOOKUP($N416,Capa!$A:$AE,AZ$5,0)="",0,VLOOKUP($N416,Capa!$A:$AE,AZ$5,0)),0),IF(ISERROR(1/VLOOKUP($N416,Capa!$A:$AE,AZ$5,0)),0,1/VLOOKUP($N416,Capa!$A:$AE,AZ$5,0))))</f>
        <v/>
      </c>
      <c r="BA416" s="118" t="str">
        <f>IF(BA$6="","",IF(BA$3="Maior",IFERROR(IF(VLOOKUP($N416,Capa!$A:$AE,BA$5,0)="",0,VLOOKUP($N416,Capa!$A:$AE,BA$5,0)),0),IF(ISERROR(1/VLOOKUP($N416,Capa!$A:$AE,BA$5,0)),0,1/VLOOKUP($N416,Capa!$A:$AE,BA$5,0))))</f>
        <v/>
      </c>
      <c r="BB416" s="118" t="str">
        <f>IF(BB$6="","",IF(BB$3="Maior",IFERROR(IF(VLOOKUP($N416,Capa!$A:$AE,BB$5,0)="",0,VLOOKUP($N416,Capa!$A:$AE,BB$5,0)),0),IF(ISERROR(1/VLOOKUP($N416,Capa!$A:$AE,BB$5,0)),0,1/VLOOKUP($N416,Capa!$A:$AE,BB$5,0))))</f>
        <v/>
      </c>
      <c r="BC416" s="118" t="str">
        <f>IF(BC$6="","",IF(BC$3="Maior",IFERROR(IF(VLOOKUP($N416,Capa!$A:$AE,BC$5,0)="",0,VLOOKUP($N416,Capa!$A:$AE,BC$5,0)),0),IF(ISERROR(1/VLOOKUP($N416,Capa!$A:$AE,BC$5,0)),0,1/VLOOKUP($N416,Capa!$A:$AE,BC$5,0))))</f>
        <v/>
      </c>
      <c r="BD416" s="118" t="str">
        <f>IF(BD$6="","",IF(BD$3="Maior",IFERROR(IF(VLOOKUP($N416,Capa!$A:$AE,BD$5,0)="",0,VLOOKUP($N416,Capa!$A:$AE,BD$5,0)),0),IF(ISERROR(1/VLOOKUP($N416,Capa!$A:$AE,BD$5,0)),0,1/VLOOKUP($N416,Capa!$A:$AE,BD$5,0))))</f>
        <v/>
      </c>
      <c r="BE416" s="118" t="str">
        <f>IF(BE$6="","",IF(BE$3="Maior",IFERROR(IF(VLOOKUP($N416,Capa!$A:$AE,BE$5,0)="",0,VLOOKUP($N416,Capa!$A:$AE,BE$5,0)),0),IF(ISERROR(1/VLOOKUP($N416,Capa!$A:$AE,BE$5,0)),0,1/VLOOKUP($N416,Capa!$A:$AE,BE$5,0))))</f>
        <v/>
      </c>
      <c r="BF416" s="118" t="str">
        <f>IF(BF$6="","",IF(BF$3="Maior",IFERROR(IF(VLOOKUP($N416,Capa!$A:$AE,BF$5,0)="",0,VLOOKUP($N416,Capa!$A:$AE,BF$5,0)),0),IF(ISERROR(1/VLOOKUP($N416,Capa!$A:$AE,BF$5,0)),0,1/VLOOKUP($N416,Capa!$A:$AE,BF$5,0))))</f>
        <v/>
      </c>
      <c r="BG416" s="118" t="str">
        <f>IF(BG$6="","",IF(BG$3="Maior",IFERROR(IF(VLOOKUP($N416,Capa!$A:$AE,BG$5,0)="",0,VLOOKUP($N416,Capa!$A:$AE,BG$5,0)),0),IF(ISERROR(1/VLOOKUP($N416,Capa!$A:$AE,BG$5,0)),0,1/VLOOKUP($N416,Capa!$A:$AE,BG$5,0))))</f>
        <v/>
      </c>
      <c r="BH416" s="118" t="str">
        <f>IF(BH$6="","",IF(BH$3="Maior",IFERROR(IF(VLOOKUP($N416,Capa!$A:$AE,BH$5,0)="",0,VLOOKUP($N416,Capa!$A:$AE,BH$5,0)),0),IF(ISERROR(1/VLOOKUP($N416,Capa!$A:$AE,BH$5,0)),0,1/VLOOKUP($N416,Capa!$A:$AE,BH$5,0))))</f>
        <v/>
      </c>
      <c r="BI416" s="118" t="str">
        <f>IF(BI$6="","",IF(BI$3="Maior",IFERROR(IF(VLOOKUP($N416,Capa!$A:$AE,BI$5,0)="",0,VLOOKUP($N416,Capa!$A:$AE,BI$5,0)),0),IF(ISERROR(1/VLOOKUP($N416,Capa!$A:$AE,BI$5,0)),0,1/VLOOKUP($N416,Capa!$A:$AE,BI$5,0))))</f>
        <v/>
      </c>
      <c r="BJ416" s="118" t="str">
        <f>IF(BJ$6="","",IF(BJ$3="Maior",IFERROR(IF(VLOOKUP($N416,Capa!$A:$AE,BJ$5,0)="",0,VLOOKUP($N416,Capa!$A:$AE,BJ$5,0)),0),IF(ISERROR(1/VLOOKUP($N416,Capa!$A:$AE,BJ$5,0)),0,1/VLOOKUP($N416,Capa!$A:$AE,BJ$5,0))))</f>
        <v/>
      </c>
      <c r="BK416" s="118" t="str">
        <f>IF(BK$6="","",IF(BK$3="Maior",IFERROR(IF(VLOOKUP($N416,Capa!$A:$AE,BK$5,0)="",0,VLOOKUP($N416,Capa!$A:$AE,BK$5,0)),0),IF(ISERROR(1/VLOOKUP($N416,Capa!$A:$AE,BK$5,0)),0,1/VLOOKUP($N416,Capa!$A:$AE,BK$5,0))))</f>
        <v/>
      </c>
      <c r="BL416" s="118" t="str">
        <f>IF(BL$6="","",IF(BL$3="Maior",IFERROR(IF(VLOOKUP($N416,Capa!$A:$AE,BL$5,0)="",0,VLOOKUP($N416,Capa!$A:$AE,BL$5,0)),0),IF(ISERROR(1/VLOOKUP($N416,Capa!$A:$AE,BL$5,0)),0,1/VLOOKUP($N416,Capa!$A:$AE,BL$5,0))))</f>
        <v/>
      </c>
      <c r="BM416" s="118" t="str">
        <f>IF(BM$6="","",IF(BM$3="Maior",IFERROR(IF(VLOOKUP($N416,Capa!$A:$AE,BM$5,0)="",0,VLOOKUP($N416,Capa!$A:$AE,BM$5,0)),0),IF(ISERROR(1/VLOOKUP($N416,Capa!$A:$AE,BM$5,0)),0,1/VLOOKUP($N416,Capa!$A:$AE,BM$5,0))))</f>
        <v/>
      </c>
      <c r="BN416" s="118" t="str">
        <f>IF(BN$6="","",IF(BN$3="Maior",IFERROR(IF(VLOOKUP($N416,Capa!$A:$AE,BN$5,0)="",0,VLOOKUP($N416,Capa!$A:$AE,BN$5,0)),0),IF(ISERROR(1/VLOOKUP($N416,Capa!$A:$AE,BN$5,0)),0,1/VLOOKUP($N416,Capa!$A:$AE,BN$5,0))))</f>
        <v/>
      </c>
      <c r="BO416" s="92"/>
    </row>
    <row r="417">
      <c r="G417" s="11"/>
      <c r="H417" s="11"/>
      <c r="I417" s="8"/>
      <c r="J417" s="132"/>
      <c r="K417" s="11"/>
      <c r="L417" s="11"/>
      <c r="M417" s="11"/>
      <c r="N417" s="10" t="s">
        <v>463</v>
      </c>
      <c r="O417" s="113">
        <f t="shared" si="8"/>
        <v>1413.0152</v>
      </c>
      <c r="P417" s="114">
        <f>VLOOKUP(N417,'Dados StatusInvest'!A:Z,26,0)</f>
        <v>5934.33</v>
      </c>
      <c r="Q417" s="115">
        <f t="shared" si="9"/>
        <v>152.0152</v>
      </c>
      <c r="R417" s="116">
        <f t="shared" ref="R417:AO417" si="420">IF(AQ417="","", RANK(AQ417,AQ$7:AQ$503,0))</f>
        <v>125</v>
      </c>
      <c r="S417" s="115">
        <f t="shared" si="420"/>
        <v>136</v>
      </c>
      <c r="T417" s="115" t="str">
        <f t="shared" si="420"/>
        <v/>
      </c>
      <c r="U417" s="115" t="str">
        <f t="shared" si="420"/>
        <v/>
      </c>
      <c r="V417" s="115" t="str">
        <f t="shared" si="420"/>
        <v/>
      </c>
      <c r="W417" s="115" t="str">
        <f t="shared" si="420"/>
        <v/>
      </c>
      <c r="X417" s="115" t="str">
        <f t="shared" si="420"/>
        <v/>
      </c>
      <c r="Y417" s="115" t="str">
        <f t="shared" si="420"/>
        <v/>
      </c>
      <c r="Z417" s="115" t="str">
        <f t="shared" si="420"/>
        <v/>
      </c>
      <c r="AA417" s="115" t="str">
        <f t="shared" si="420"/>
        <v/>
      </c>
      <c r="AB417" s="115" t="str">
        <f t="shared" si="420"/>
        <v/>
      </c>
      <c r="AC417" s="115" t="str">
        <f t="shared" si="420"/>
        <v/>
      </c>
      <c r="AD417" s="115" t="str">
        <f t="shared" si="420"/>
        <v/>
      </c>
      <c r="AE417" s="115" t="str">
        <f t="shared" si="420"/>
        <v/>
      </c>
      <c r="AF417" s="115" t="str">
        <f t="shared" si="420"/>
        <v/>
      </c>
      <c r="AG417" s="115" t="str">
        <f t="shared" si="420"/>
        <v/>
      </c>
      <c r="AH417" s="115" t="str">
        <f t="shared" si="420"/>
        <v/>
      </c>
      <c r="AI417" s="115" t="str">
        <f t="shared" si="420"/>
        <v/>
      </c>
      <c r="AJ417" s="115" t="str">
        <f t="shared" si="420"/>
        <v/>
      </c>
      <c r="AK417" s="115" t="str">
        <f t="shared" si="420"/>
        <v/>
      </c>
      <c r="AL417" s="115" t="str">
        <f t="shared" si="420"/>
        <v/>
      </c>
      <c r="AM417" s="115" t="str">
        <f t="shared" si="420"/>
        <v/>
      </c>
      <c r="AN417" s="115" t="str">
        <f t="shared" si="420"/>
        <v/>
      </c>
      <c r="AO417" s="115" t="str">
        <f t="shared" si="420"/>
        <v/>
      </c>
      <c r="AP417" s="117">
        <f>IF(AP$6="","",IF(AP$3="Maior",IFERROR(IF(VLOOKUP($N417,Capa!$A:$AE,AP$5,0)="",0,VLOOKUP($N417,Capa!$A:$AE,AP$5,0)),0),IF(ISERROR(1/VLOOKUP($N417,Capa!$A:$AE,AP$5,0)),0,1/VLOOKUP($N417,Capa!$A:$AE,AP$5,0))))</f>
        <v>0.1297016861</v>
      </c>
      <c r="AQ417" s="118">
        <f>IF(AQ$6="","",IF(AQ$3="Maior",IFERROR(IF(VLOOKUP($N417,Capa!$A:$AE,AQ$5,0)="",0,VLOOKUP($N417,Capa!$A:$AE,AQ$5,0)),0),IF(ISERROR(1/VLOOKUP($N417,Capa!$A:$AE,AQ$5,0)),0,1/VLOOKUP($N417,Capa!$A:$AE,AQ$5,0))))</f>
        <v>15.28</v>
      </c>
      <c r="AR417" s="118">
        <f>IF(AR$6="","",IF(AR$3="Maior",IFERROR(IF(VLOOKUP($N417,Capa!$A:$AE,AR$5,0)="",0,VLOOKUP($N417,Capa!$A:$AE,AR$5,0)),0),IF(ISERROR(1/VLOOKUP($N417,Capa!$A:$AE,AR$5,0)),0,1/VLOOKUP($N417,Capa!$A:$AE,AR$5,0))))</f>
        <v>18.81</v>
      </c>
      <c r="AS417" s="118" t="str">
        <f>IF(AS$6="","",IF(AS$3="Maior",IFERROR(IF(VLOOKUP($N417,Capa!$A:$AE,AS$5,0)="",0,VLOOKUP($N417,Capa!$A:$AE,AS$5,0)),0),IF(ISERROR(1/VLOOKUP($N417,Capa!$A:$AE,AS$5,0)),0,1/VLOOKUP($N417,Capa!$A:$AE,AS$5,0))))</f>
        <v/>
      </c>
      <c r="AT417" s="118" t="str">
        <f>IF(AT$6="","",IF(AT$3="Maior",IFERROR(IF(VLOOKUP($N417,Capa!$A:$AE,AT$5,0)="",0,VLOOKUP($N417,Capa!$A:$AE,AT$5,0)),0),IF(ISERROR(1/VLOOKUP($N417,Capa!$A:$AE,AT$5,0)),0,1/VLOOKUP($N417,Capa!$A:$AE,AT$5,0))))</f>
        <v/>
      </c>
      <c r="AU417" s="118" t="str">
        <f>IF(AU$6="","",IF(AU$3="Maior",IFERROR(IF(VLOOKUP($N417,Capa!$A:$AE,AU$5,0)="",0,VLOOKUP($N417,Capa!$A:$AE,AU$5,0)),0),IF(ISERROR(1/VLOOKUP($N417,Capa!$A:$AE,AU$5,0)),0,1/VLOOKUP($N417,Capa!$A:$AE,AU$5,0))))</f>
        <v/>
      </c>
      <c r="AV417" s="118" t="str">
        <f>IF(AV$6="","",IF(AV$3="Maior",IFERROR(IF(VLOOKUP($N417,Capa!$A:$AE,AV$5,0)="",0,VLOOKUP($N417,Capa!$A:$AE,AV$5,0)),0),IF(ISERROR(1/VLOOKUP($N417,Capa!$A:$AE,AV$5,0)),0,1/VLOOKUP($N417,Capa!$A:$AE,AV$5,0))))</f>
        <v/>
      </c>
      <c r="AW417" s="118" t="str">
        <f>IF(AW$6="","",IF(AW$3="Maior",IFERROR(IF(VLOOKUP($N417,Capa!$A:$AE,AW$5,0)="",0,VLOOKUP($N417,Capa!$A:$AE,AW$5,0)),0),IF(ISERROR(1/VLOOKUP($N417,Capa!$A:$AE,AW$5,0)),0,1/VLOOKUP($N417,Capa!$A:$AE,AW$5,0))))</f>
        <v/>
      </c>
      <c r="AX417" s="118" t="str">
        <f>IF(AX$6="","",IF(AX$3="Maior",IFERROR(IF(VLOOKUP($N417,Capa!$A:$AE,AX$5,0)="",0,VLOOKUP($N417,Capa!$A:$AE,AX$5,0)),0),IF(ISERROR(1/VLOOKUP($N417,Capa!$A:$AE,AX$5,0)),0,1/VLOOKUP($N417,Capa!$A:$AE,AX$5,0))))</f>
        <v/>
      </c>
      <c r="AY417" s="118" t="str">
        <f>IF(AY$6="","",IF(AY$3="Maior",IFERROR(IF(VLOOKUP($N417,Capa!$A:$AE,AY$5,0)="",0,VLOOKUP($N417,Capa!$A:$AE,AY$5,0)),0),IF(ISERROR(1/VLOOKUP($N417,Capa!$A:$AE,AY$5,0)),0,1/VLOOKUP($N417,Capa!$A:$AE,AY$5,0))))</f>
        <v/>
      </c>
      <c r="AZ417" s="118" t="str">
        <f>IF(AZ$6="","",IF(AZ$3="Maior",IFERROR(IF(VLOOKUP($N417,Capa!$A:$AE,AZ$5,0)="",0,VLOOKUP($N417,Capa!$A:$AE,AZ$5,0)),0),IF(ISERROR(1/VLOOKUP($N417,Capa!$A:$AE,AZ$5,0)),0,1/VLOOKUP($N417,Capa!$A:$AE,AZ$5,0))))</f>
        <v/>
      </c>
      <c r="BA417" s="118" t="str">
        <f>IF(BA$6="","",IF(BA$3="Maior",IFERROR(IF(VLOOKUP($N417,Capa!$A:$AE,BA$5,0)="",0,VLOOKUP($N417,Capa!$A:$AE,BA$5,0)),0),IF(ISERROR(1/VLOOKUP($N417,Capa!$A:$AE,BA$5,0)),0,1/VLOOKUP($N417,Capa!$A:$AE,BA$5,0))))</f>
        <v/>
      </c>
      <c r="BB417" s="118" t="str">
        <f>IF(BB$6="","",IF(BB$3="Maior",IFERROR(IF(VLOOKUP($N417,Capa!$A:$AE,BB$5,0)="",0,VLOOKUP($N417,Capa!$A:$AE,BB$5,0)),0),IF(ISERROR(1/VLOOKUP($N417,Capa!$A:$AE,BB$5,0)),0,1/VLOOKUP($N417,Capa!$A:$AE,BB$5,0))))</f>
        <v/>
      </c>
      <c r="BC417" s="118" t="str">
        <f>IF(BC$6="","",IF(BC$3="Maior",IFERROR(IF(VLOOKUP($N417,Capa!$A:$AE,BC$5,0)="",0,VLOOKUP($N417,Capa!$A:$AE,BC$5,0)),0),IF(ISERROR(1/VLOOKUP($N417,Capa!$A:$AE,BC$5,0)),0,1/VLOOKUP($N417,Capa!$A:$AE,BC$5,0))))</f>
        <v/>
      </c>
      <c r="BD417" s="118" t="str">
        <f>IF(BD$6="","",IF(BD$3="Maior",IFERROR(IF(VLOOKUP($N417,Capa!$A:$AE,BD$5,0)="",0,VLOOKUP($N417,Capa!$A:$AE,BD$5,0)),0),IF(ISERROR(1/VLOOKUP($N417,Capa!$A:$AE,BD$5,0)),0,1/VLOOKUP($N417,Capa!$A:$AE,BD$5,0))))</f>
        <v/>
      </c>
      <c r="BE417" s="118" t="str">
        <f>IF(BE$6="","",IF(BE$3="Maior",IFERROR(IF(VLOOKUP($N417,Capa!$A:$AE,BE$5,0)="",0,VLOOKUP($N417,Capa!$A:$AE,BE$5,0)),0),IF(ISERROR(1/VLOOKUP($N417,Capa!$A:$AE,BE$5,0)),0,1/VLOOKUP($N417,Capa!$A:$AE,BE$5,0))))</f>
        <v/>
      </c>
      <c r="BF417" s="118" t="str">
        <f>IF(BF$6="","",IF(BF$3="Maior",IFERROR(IF(VLOOKUP($N417,Capa!$A:$AE,BF$5,0)="",0,VLOOKUP($N417,Capa!$A:$AE,BF$5,0)),0),IF(ISERROR(1/VLOOKUP($N417,Capa!$A:$AE,BF$5,0)),0,1/VLOOKUP($N417,Capa!$A:$AE,BF$5,0))))</f>
        <v/>
      </c>
      <c r="BG417" s="118" t="str">
        <f>IF(BG$6="","",IF(BG$3="Maior",IFERROR(IF(VLOOKUP($N417,Capa!$A:$AE,BG$5,0)="",0,VLOOKUP($N417,Capa!$A:$AE,BG$5,0)),0),IF(ISERROR(1/VLOOKUP($N417,Capa!$A:$AE,BG$5,0)),0,1/VLOOKUP($N417,Capa!$A:$AE,BG$5,0))))</f>
        <v/>
      </c>
      <c r="BH417" s="118" t="str">
        <f>IF(BH$6="","",IF(BH$3="Maior",IFERROR(IF(VLOOKUP($N417,Capa!$A:$AE,BH$5,0)="",0,VLOOKUP($N417,Capa!$A:$AE,BH$5,0)),0),IF(ISERROR(1/VLOOKUP($N417,Capa!$A:$AE,BH$5,0)),0,1/VLOOKUP($N417,Capa!$A:$AE,BH$5,0))))</f>
        <v/>
      </c>
      <c r="BI417" s="118" t="str">
        <f>IF(BI$6="","",IF(BI$3="Maior",IFERROR(IF(VLOOKUP($N417,Capa!$A:$AE,BI$5,0)="",0,VLOOKUP($N417,Capa!$A:$AE,BI$5,0)),0),IF(ISERROR(1/VLOOKUP($N417,Capa!$A:$AE,BI$5,0)),0,1/VLOOKUP($N417,Capa!$A:$AE,BI$5,0))))</f>
        <v/>
      </c>
      <c r="BJ417" s="118" t="str">
        <f>IF(BJ$6="","",IF(BJ$3="Maior",IFERROR(IF(VLOOKUP($N417,Capa!$A:$AE,BJ$5,0)="",0,VLOOKUP($N417,Capa!$A:$AE,BJ$5,0)),0),IF(ISERROR(1/VLOOKUP($N417,Capa!$A:$AE,BJ$5,0)),0,1/VLOOKUP($N417,Capa!$A:$AE,BJ$5,0))))</f>
        <v/>
      </c>
      <c r="BK417" s="118" t="str">
        <f>IF(BK$6="","",IF(BK$3="Maior",IFERROR(IF(VLOOKUP($N417,Capa!$A:$AE,BK$5,0)="",0,VLOOKUP($N417,Capa!$A:$AE,BK$5,0)),0),IF(ISERROR(1/VLOOKUP($N417,Capa!$A:$AE,BK$5,0)),0,1/VLOOKUP($N417,Capa!$A:$AE,BK$5,0))))</f>
        <v/>
      </c>
      <c r="BL417" s="118" t="str">
        <f>IF(BL$6="","",IF(BL$3="Maior",IFERROR(IF(VLOOKUP($N417,Capa!$A:$AE,BL$5,0)="",0,VLOOKUP($N417,Capa!$A:$AE,BL$5,0)),0),IF(ISERROR(1/VLOOKUP($N417,Capa!$A:$AE,BL$5,0)),0,1/VLOOKUP($N417,Capa!$A:$AE,BL$5,0))))</f>
        <v/>
      </c>
      <c r="BM417" s="118" t="str">
        <f>IF(BM$6="","",IF(BM$3="Maior",IFERROR(IF(VLOOKUP($N417,Capa!$A:$AE,BM$5,0)="",0,VLOOKUP($N417,Capa!$A:$AE,BM$5,0)),0),IF(ISERROR(1/VLOOKUP($N417,Capa!$A:$AE,BM$5,0)),0,1/VLOOKUP($N417,Capa!$A:$AE,BM$5,0))))</f>
        <v/>
      </c>
      <c r="BN417" s="118" t="str">
        <f>IF(BN$6="","",IF(BN$3="Maior",IFERROR(IF(VLOOKUP($N417,Capa!$A:$AE,BN$5,0)="",0,VLOOKUP($N417,Capa!$A:$AE,BN$5,0)),0),IF(ISERROR(1/VLOOKUP($N417,Capa!$A:$AE,BN$5,0)),0,1/VLOOKUP($N417,Capa!$A:$AE,BN$5,0))))</f>
        <v/>
      </c>
      <c r="BO417" s="92"/>
    </row>
    <row r="418">
      <c r="G418" s="11"/>
      <c r="H418" s="11"/>
      <c r="I418" s="8"/>
      <c r="J418" s="132"/>
      <c r="K418" s="11"/>
      <c r="L418" s="11"/>
      <c r="M418" s="11"/>
      <c r="N418" s="10" t="s">
        <v>464</v>
      </c>
      <c r="O418" s="113">
        <f t="shared" si="8"/>
        <v>1848.0299</v>
      </c>
      <c r="P418" s="114">
        <f>VLOOKUP(N418,'Dados StatusInvest'!A:Z,26,0)</f>
        <v>21502.4</v>
      </c>
      <c r="Q418" s="115">
        <f t="shared" si="9"/>
        <v>299.0299</v>
      </c>
      <c r="R418" s="116">
        <f t="shared" ref="R418:AO418" si="421">IF(AQ418="","", RANK(AQ418,AQ$7:AQ$503,0))</f>
        <v>330</v>
      </c>
      <c r="S418" s="115">
        <f t="shared" si="421"/>
        <v>219</v>
      </c>
      <c r="T418" s="115" t="str">
        <f t="shared" si="421"/>
        <v/>
      </c>
      <c r="U418" s="115" t="str">
        <f t="shared" si="421"/>
        <v/>
      </c>
      <c r="V418" s="115" t="str">
        <f t="shared" si="421"/>
        <v/>
      </c>
      <c r="W418" s="115" t="str">
        <f t="shared" si="421"/>
        <v/>
      </c>
      <c r="X418" s="115" t="str">
        <f t="shared" si="421"/>
        <v/>
      </c>
      <c r="Y418" s="115" t="str">
        <f t="shared" si="421"/>
        <v/>
      </c>
      <c r="Z418" s="115" t="str">
        <f t="shared" si="421"/>
        <v/>
      </c>
      <c r="AA418" s="115" t="str">
        <f t="shared" si="421"/>
        <v/>
      </c>
      <c r="AB418" s="115" t="str">
        <f t="shared" si="421"/>
        <v/>
      </c>
      <c r="AC418" s="115" t="str">
        <f t="shared" si="421"/>
        <v/>
      </c>
      <c r="AD418" s="115" t="str">
        <f t="shared" si="421"/>
        <v/>
      </c>
      <c r="AE418" s="115" t="str">
        <f t="shared" si="421"/>
        <v/>
      </c>
      <c r="AF418" s="115" t="str">
        <f t="shared" si="421"/>
        <v/>
      </c>
      <c r="AG418" s="115" t="str">
        <f t="shared" si="421"/>
        <v/>
      </c>
      <c r="AH418" s="115" t="str">
        <f t="shared" si="421"/>
        <v/>
      </c>
      <c r="AI418" s="115" t="str">
        <f t="shared" si="421"/>
        <v/>
      </c>
      <c r="AJ418" s="115" t="str">
        <f t="shared" si="421"/>
        <v/>
      </c>
      <c r="AK418" s="115" t="str">
        <f t="shared" si="421"/>
        <v/>
      </c>
      <c r="AL418" s="115" t="str">
        <f t="shared" si="421"/>
        <v/>
      </c>
      <c r="AM418" s="115" t="str">
        <f t="shared" si="421"/>
        <v/>
      </c>
      <c r="AN418" s="115" t="str">
        <f t="shared" si="421"/>
        <v/>
      </c>
      <c r="AO418" s="115" t="str">
        <f t="shared" si="421"/>
        <v/>
      </c>
      <c r="AP418" s="117">
        <f>IF(AP$6="","",IF(AP$3="Maior",IFERROR(IF(VLOOKUP($N418,Capa!$A:$AE,AP$5,0)="",0,VLOOKUP($N418,Capa!$A:$AE,AP$5,0)),0),IF(ISERROR(1/VLOOKUP($N418,Capa!$A:$AE,AP$5,0)),0,1/VLOOKUP($N418,Capa!$A:$AE,AP$5,0))))</f>
        <v>0.05313496281</v>
      </c>
      <c r="AQ418" s="118">
        <f>IF(AQ$6="","",IF(AQ$3="Maior",IFERROR(IF(VLOOKUP($N418,Capa!$A:$AE,AQ$5,0)="",0,VLOOKUP($N418,Capa!$A:$AE,AQ$5,0)),0),IF(ISERROR(1/VLOOKUP($N418,Capa!$A:$AE,AQ$5,0)),0,1/VLOOKUP($N418,Capa!$A:$AE,AQ$5,0))))</f>
        <v>3.07</v>
      </c>
      <c r="AR418" s="118">
        <f>IF(AR$6="","",IF(AR$3="Maior",IFERROR(IF(VLOOKUP($N418,Capa!$A:$AE,AR$5,0)="",0,VLOOKUP($N418,Capa!$A:$AE,AR$5,0)),0),IF(ISERROR(1/VLOOKUP($N418,Capa!$A:$AE,AR$5,0)),0,1/VLOOKUP($N418,Capa!$A:$AE,AR$5,0))))</f>
        <v>0</v>
      </c>
      <c r="AS418" s="118" t="str">
        <f>IF(AS$6="","",IF(AS$3="Maior",IFERROR(IF(VLOOKUP($N418,Capa!$A:$AE,AS$5,0)="",0,VLOOKUP($N418,Capa!$A:$AE,AS$5,0)),0),IF(ISERROR(1/VLOOKUP($N418,Capa!$A:$AE,AS$5,0)),0,1/VLOOKUP($N418,Capa!$A:$AE,AS$5,0))))</f>
        <v/>
      </c>
      <c r="AT418" s="118" t="str">
        <f>IF(AT$6="","",IF(AT$3="Maior",IFERROR(IF(VLOOKUP($N418,Capa!$A:$AE,AT$5,0)="",0,VLOOKUP($N418,Capa!$A:$AE,AT$5,0)),0),IF(ISERROR(1/VLOOKUP($N418,Capa!$A:$AE,AT$5,0)),0,1/VLOOKUP($N418,Capa!$A:$AE,AT$5,0))))</f>
        <v/>
      </c>
      <c r="AU418" s="118" t="str">
        <f>IF(AU$6="","",IF(AU$3="Maior",IFERROR(IF(VLOOKUP($N418,Capa!$A:$AE,AU$5,0)="",0,VLOOKUP($N418,Capa!$A:$AE,AU$5,0)),0),IF(ISERROR(1/VLOOKUP($N418,Capa!$A:$AE,AU$5,0)),0,1/VLOOKUP($N418,Capa!$A:$AE,AU$5,0))))</f>
        <v/>
      </c>
      <c r="AV418" s="118" t="str">
        <f>IF(AV$6="","",IF(AV$3="Maior",IFERROR(IF(VLOOKUP($N418,Capa!$A:$AE,AV$5,0)="",0,VLOOKUP($N418,Capa!$A:$AE,AV$5,0)),0),IF(ISERROR(1/VLOOKUP($N418,Capa!$A:$AE,AV$5,0)),0,1/VLOOKUP($N418,Capa!$A:$AE,AV$5,0))))</f>
        <v/>
      </c>
      <c r="AW418" s="118" t="str">
        <f>IF(AW$6="","",IF(AW$3="Maior",IFERROR(IF(VLOOKUP($N418,Capa!$A:$AE,AW$5,0)="",0,VLOOKUP($N418,Capa!$A:$AE,AW$5,0)),0),IF(ISERROR(1/VLOOKUP($N418,Capa!$A:$AE,AW$5,0)),0,1/VLOOKUP($N418,Capa!$A:$AE,AW$5,0))))</f>
        <v/>
      </c>
      <c r="AX418" s="118" t="str">
        <f>IF(AX$6="","",IF(AX$3="Maior",IFERROR(IF(VLOOKUP($N418,Capa!$A:$AE,AX$5,0)="",0,VLOOKUP($N418,Capa!$A:$AE,AX$5,0)),0),IF(ISERROR(1/VLOOKUP($N418,Capa!$A:$AE,AX$5,0)),0,1/VLOOKUP($N418,Capa!$A:$AE,AX$5,0))))</f>
        <v/>
      </c>
      <c r="AY418" s="118" t="str">
        <f>IF(AY$6="","",IF(AY$3="Maior",IFERROR(IF(VLOOKUP($N418,Capa!$A:$AE,AY$5,0)="",0,VLOOKUP($N418,Capa!$A:$AE,AY$5,0)),0),IF(ISERROR(1/VLOOKUP($N418,Capa!$A:$AE,AY$5,0)),0,1/VLOOKUP($N418,Capa!$A:$AE,AY$5,0))))</f>
        <v/>
      </c>
      <c r="AZ418" s="118" t="str">
        <f>IF(AZ$6="","",IF(AZ$3="Maior",IFERROR(IF(VLOOKUP($N418,Capa!$A:$AE,AZ$5,0)="",0,VLOOKUP($N418,Capa!$A:$AE,AZ$5,0)),0),IF(ISERROR(1/VLOOKUP($N418,Capa!$A:$AE,AZ$5,0)),0,1/VLOOKUP($N418,Capa!$A:$AE,AZ$5,0))))</f>
        <v/>
      </c>
      <c r="BA418" s="118" t="str">
        <f>IF(BA$6="","",IF(BA$3="Maior",IFERROR(IF(VLOOKUP($N418,Capa!$A:$AE,BA$5,0)="",0,VLOOKUP($N418,Capa!$A:$AE,BA$5,0)),0),IF(ISERROR(1/VLOOKUP($N418,Capa!$A:$AE,BA$5,0)),0,1/VLOOKUP($N418,Capa!$A:$AE,BA$5,0))))</f>
        <v/>
      </c>
      <c r="BB418" s="118" t="str">
        <f>IF(BB$6="","",IF(BB$3="Maior",IFERROR(IF(VLOOKUP($N418,Capa!$A:$AE,BB$5,0)="",0,VLOOKUP($N418,Capa!$A:$AE,BB$5,0)),0),IF(ISERROR(1/VLOOKUP($N418,Capa!$A:$AE,BB$5,0)),0,1/VLOOKUP($N418,Capa!$A:$AE,BB$5,0))))</f>
        <v/>
      </c>
      <c r="BC418" s="118" t="str">
        <f>IF(BC$6="","",IF(BC$3="Maior",IFERROR(IF(VLOOKUP($N418,Capa!$A:$AE,BC$5,0)="",0,VLOOKUP($N418,Capa!$A:$AE,BC$5,0)),0),IF(ISERROR(1/VLOOKUP($N418,Capa!$A:$AE,BC$5,0)),0,1/VLOOKUP($N418,Capa!$A:$AE,BC$5,0))))</f>
        <v/>
      </c>
      <c r="BD418" s="118" t="str">
        <f>IF(BD$6="","",IF(BD$3="Maior",IFERROR(IF(VLOOKUP($N418,Capa!$A:$AE,BD$5,0)="",0,VLOOKUP($N418,Capa!$A:$AE,BD$5,0)),0),IF(ISERROR(1/VLOOKUP($N418,Capa!$A:$AE,BD$5,0)),0,1/VLOOKUP($N418,Capa!$A:$AE,BD$5,0))))</f>
        <v/>
      </c>
      <c r="BE418" s="118" t="str">
        <f>IF(BE$6="","",IF(BE$3="Maior",IFERROR(IF(VLOOKUP($N418,Capa!$A:$AE,BE$5,0)="",0,VLOOKUP($N418,Capa!$A:$AE,BE$5,0)),0),IF(ISERROR(1/VLOOKUP($N418,Capa!$A:$AE,BE$5,0)),0,1/VLOOKUP($N418,Capa!$A:$AE,BE$5,0))))</f>
        <v/>
      </c>
      <c r="BF418" s="118" t="str">
        <f>IF(BF$6="","",IF(BF$3="Maior",IFERROR(IF(VLOOKUP($N418,Capa!$A:$AE,BF$5,0)="",0,VLOOKUP($N418,Capa!$A:$AE,BF$5,0)),0),IF(ISERROR(1/VLOOKUP($N418,Capa!$A:$AE,BF$5,0)),0,1/VLOOKUP($N418,Capa!$A:$AE,BF$5,0))))</f>
        <v/>
      </c>
      <c r="BG418" s="118" t="str">
        <f>IF(BG$6="","",IF(BG$3="Maior",IFERROR(IF(VLOOKUP($N418,Capa!$A:$AE,BG$5,0)="",0,VLOOKUP($N418,Capa!$A:$AE,BG$5,0)),0),IF(ISERROR(1/VLOOKUP($N418,Capa!$A:$AE,BG$5,0)),0,1/VLOOKUP($N418,Capa!$A:$AE,BG$5,0))))</f>
        <v/>
      </c>
      <c r="BH418" s="118" t="str">
        <f>IF(BH$6="","",IF(BH$3="Maior",IFERROR(IF(VLOOKUP($N418,Capa!$A:$AE,BH$5,0)="",0,VLOOKUP($N418,Capa!$A:$AE,BH$5,0)),0),IF(ISERROR(1/VLOOKUP($N418,Capa!$A:$AE,BH$5,0)),0,1/VLOOKUP($N418,Capa!$A:$AE,BH$5,0))))</f>
        <v/>
      </c>
      <c r="BI418" s="118" t="str">
        <f>IF(BI$6="","",IF(BI$3="Maior",IFERROR(IF(VLOOKUP($N418,Capa!$A:$AE,BI$5,0)="",0,VLOOKUP($N418,Capa!$A:$AE,BI$5,0)),0),IF(ISERROR(1/VLOOKUP($N418,Capa!$A:$AE,BI$5,0)),0,1/VLOOKUP($N418,Capa!$A:$AE,BI$5,0))))</f>
        <v/>
      </c>
      <c r="BJ418" s="118" t="str">
        <f>IF(BJ$6="","",IF(BJ$3="Maior",IFERROR(IF(VLOOKUP($N418,Capa!$A:$AE,BJ$5,0)="",0,VLOOKUP($N418,Capa!$A:$AE,BJ$5,0)),0),IF(ISERROR(1/VLOOKUP($N418,Capa!$A:$AE,BJ$5,0)),0,1/VLOOKUP($N418,Capa!$A:$AE,BJ$5,0))))</f>
        <v/>
      </c>
      <c r="BK418" s="118" t="str">
        <f>IF(BK$6="","",IF(BK$3="Maior",IFERROR(IF(VLOOKUP($N418,Capa!$A:$AE,BK$5,0)="",0,VLOOKUP($N418,Capa!$A:$AE,BK$5,0)),0),IF(ISERROR(1/VLOOKUP($N418,Capa!$A:$AE,BK$5,0)),0,1/VLOOKUP($N418,Capa!$A:$AE,BK$5,0))))</f>
        <v/>
      </c>
      <c r="BL418" s="118" t="str">
        <f>IF(BL$6="","",IF(BL$3="Maior",IFERROR(IF(VLOOKUP($N418,Capa!$A:$AE,BL$5,0)="",0,VLOOKUP($N418,Capa!$A:$AE,BL$5,0)),0),IF(ISERROR(1/VLOOKUP($N418,Capa!$A:$AE,BL$5,0)),0,1/VLOOKUP($N418,Capa!$A:$AE,BL$5,0))))</f>
        <v/>
      </c>
      <c r="BM418" s="118" t="str">
        <f>IF(BM$6="","",IF(BM$3="Maior",IFERROR(IF(VLOOKUP($N418,Capa!$A:$AE,BM$5,0)="",0,VLOOKUP($N418,Capa!$A:$AE,BM$5,0)),0),IF(ISERROR(1/VLOOKUP($N418,Capa!$A:$AE,BM$5,0)),0,1/VLOOKUP($N418,Capa!$A:$AE,BM$5,0))))</f>
        <v/>
      </c>
      <c r="BN418" s="118" t="str">
        <f>IF(BN$6="","",IF(BN$3="Maior",IFERROR(IF(VLOOKUP($N418,Capa!$A:$AE,BN$5,0)="",0,VLOOKUP($N418,Capa!$A:$AE,BN$5,0)),0),IF(ISERROR(1/VLOOKUP($N418,Capa!$A:$AE,BN$5,0)),0,1/VLOOKUP($N418,Capa!$A:$AE,BN$5,0))))</f>
        <v/>
      </c>
      <c r="BO418" s="92"/>
    </row>
    <row r="419">
      <c r="G419" s="11"/>
      <c r="H419" s="11"/>
      <c r="I419" s="8"/>
      <c r="J419" s="132"/>
      <c r="K419" s="11"/>
      <c r="L419" s="11"/>
      <c r="M419" s="11"/>
      <c r="N419" s="10" t="s">
        <v>465</v>
      </c>
      <c r="O419" s="113">
        <f t="shared" si="8"/>
        <v>1532.0041</v>
      </c>
      <c r="P419" s="114">
        <f>VLOOKUP(N419,'Dados StatusInvest'!A:Z,26,0)</f>
        <v>18516.89</v>
      </c>
      <c r="Q419" s="115">
        <f t="shared" si="9"/>
        <v>41.0041</v>
      </c>
      <c r="R419" s="116">
        <f t="shared" ref="R419:AO419" si="422">IF(AQ419="","", RANK(AQ419,AQ$7:AQ$503,0))</f>
        <v>375</v>
      </c>
      <c r="S419" s="115">
        <f t="shared" si="422"/>
        <v>116</v>
      </c>
      <c r="T419" s="115" t="str">
        <f t="shared" si="422"/>
        <v/>
      </c>
      <c r="U419" s="115" t="str">
        <f t="shared" si="422"/>
        <v/>
      </c>
      <c r="V419" s="115" t="str">
        <f t="shared" si="422"/>
        <v/>
      </c>
      <c r="W419" s="115" t="str">
        <f t="shared" si="422"/>
        <v/>
      </c>
      <c r="X419" s="115" t="str">
        <f t="shared" si="422"/>
        <v/>
      </c>
      <c r="Y419" s="115" t="str">
        <f t="shared" si="422"/>
        <v/>
      </c>
      <c r="Z419" s="115" t="str">
        <f t="shared" si="422"/>
        <v/>
      </c>
      <c r="AA419" s="115" t="str">
        <f t="shared" si="422"/>
        <v/>
      </c>
      <c r="AB419" s="115" t="str">
        <f t="shared" si="422"/>
        <v/>
      </c>
      <c r="AC419" s="115" t="str">
        <f t="shared" si="422"/>
        <v/>
      </c>
      <c r="AD419" s="115" t="str">
        <f t="shared" si="422"/>
        <v/>
      </c>
      <c r="AE419" s="115" t="str">
        <f t="shared" si="422"/>
        <v/>
      </c>
      <c r="AF419" s="115" t="str">
        <f t="shared" si="422"/>
        <v/>
      </c>
      <c r="AG419" s="115" t="str">
        <f t="shared" si="422"/>
        <v/>
      </c>
      <c r="AH419" s="115" t="str">
        <f t="shared" si="422"/>
        <v/>
      </c>
      <c r="AI419" s="115" t="str">
        <f t="shared" si="422"/>
        <v/>
      </c>
      <c r="AJ419" s="115" t="str">
        <f t="shared" si="422"/>
        <v/>
      </c>
      <c r="AK419" s="115" t="str">
        <f t="shared" si="422"/>
        <v/>
      </c>
      <c r="AL419" s="115" t="str">
        <f t="shared" si="422"/>
        <v/>
      </c>
      <c r="AM419" s="115" t="str">
        <f t="shared" si="422"/>
        <v/>
      </c>
      <c r="AN419" s="115" t="str">
        <f t="shared" si="422"/>
        <v/>
      </c>
      <c r="AO419" s="115" t="str">
        <f t="shared" si="422"/>
        <v/>
      </c>
      <c r="AP419" s="117">
        <f>IF(AP$6="","",IF(AP$3="Maior",IFERROR(IF(VLOOKUP($N419,Capa!$A:$AE,AP$5,0)="",0,VLOOKUP($N419,Capa!$A:$AE,AP$5,0)),0),IF(ISERROR(1/VLOOKUP($N419,Capa!$A:$AE,AP$5,0)),0,1/VLOOKUP($N419,Capa!$A:$AE,AP$5,0))))</f>
        <v>0.2673582175</v>
      </c>
      <c r="AQ419" s="118">
        <f>IF(AQ$6="","",IF(AQ$3="Maior",IFERROR(IF(VLOOKUP($N419,Capa!$A:$AE,AQ$5,0)="",0,VLOOKUP($N419,Capa!$A:$AE,AQ$5,0)),0),IF(ISERROR(1/VLOOKUP($N419,Capa!$A:$AE,AQ$5,0)),0,1/VLOOKUP($N419,Capa!$A:$AE,AQ$5,0))))</f>
        <v>0</v>
      </c>
      <c r="AR419" s="118">
        <f>IF(AR$6="","",IF(AR$3="Maior",IFERROR(IF(VLOOKUP($N419,Capa!$A:$AE,AR$5,0)="",0,VLOOKUP($N419,Capa!$A:$AE,AR$5,0)),0),IF(ISERROR(1/VLOOKUP($N419,Capa!$A:$AE,AR$5,0)),0,1/VLOOKUP($N419,Capa!$A:$AE,AR$5,0))))</f>
        <v>24</v>
      </c>
      <c r="AS419" s="118" t="str">
        <f>IF(AS$6="","",IF(AS$3="Maior",IFERROR(IF(VLOOKUP($N419,Capa!$A:$AE,AS$5,0)="",0,VLOOKUP($N419,Capa!$A:$AE,AS$5,0)),0),IF(ISERROR(1/VLOOKUP($N419,Capa!$A:$AE,AS$5,0)),0,1/VLOOKUP($N419,Capa!$A:$AE,AS$5,0))))</f>
        <v/>
      </c>
      <c r="AT419" s="118" t="str">
        <f>IF(AT$6="","",IF(AT$3="Maior",IFERROR(IF(VLOOKUP($N419,Capa!$A:$AE,AT$5,0)="",0,VLOOKUP($N419,Capa!$A:$AE,AT$5,0)),0),IF(ISERROR(1/VLOOKUP($N419,Capa!$A:$AE,AT$5,0)),0,1/VLOOKUP($N419,Capa!$A:$AE,AT$5,0))))</f>
        <v/>
      </c>
      <c r="AU419" s="118" t="str">
        <f>IF(AU$6="","",IF(AU$3="Maior",IFERROR(IF(VLOOKUP($N419,Capa!$A:$AE,AU$5,0)="",0,VLOOKUP($N419,Capa!$A:$AE,AU$5,0)),0),IF(ISERROR(1/VLOOKUP($N419,Capa!$A:$AE,AU$5,0)),0,1/VLOOKUP($N419,Capa!$A:$AE,AU$5,0))))</f>
        <v/>
      </c>
      <c r="AV419" s="118" t="str">
        <f>IF(AV$6="","",IF(AV$3="Maior",IFERROR(IF(VLOOKUP($N419,Capa!$A:$AE,AV$5,0)="",0,VLOOKUP($N419,Capa!$A:$AE,AV$5,0)),0),IF(ISERROR(1/VLOOKUP($N419,Capa!$A:$AE,AV$5,0)),0,1/VLOOKUP($N419,Capa!$A:$AE,AV$5,0))))</f>
        <v/>
      </c>
      <c r="AW419" s="118" t="str">
        <f>IF(AW$6="","",IF(AW$3="Maior",IFERROR(IF(VLOOKUP($N419,Capa!$A:$AE,AW$5,0)="",0,VLOOKUP($N419,Capa!$A:$AE,AW$5,0)),0),IF(ISERROR(1/VLOOKUP($N419,Capa!$A:$AE,AW$5,0)),0,1/VLOOKUP($N419,Capa!$A:$AE,AW$5,0))))</f>
        <v/>
      </c>
      <c r="AX419" s="118" t="str">
        <f>IF(AX$6="","",IF(AX$3="Maior",IFERROR(IF(VLOOKUP($N419,Capa!$A:$AE,AX$5,0)="",0,VLOOKUP($N419,Capa!$A:$AE,AX$5,0)),0),IF(ISERROR(1/VLOOKUP($N419,Capa!$A:$AE,AX$5,0)),0,1/VLOOKUP($N419,Capa!$A:$AE,AX$5,0))))</f>
        <v/>
      </c>
      <c r="AY419" s="118" t="str">
        <f>IF(AY$6="","",IF(AY$3="Maior",IFERROR(IF(VLOOKUP($N419,Capa!$A:$AE,AY$5,0)="",0,VLOOKUP($N419,Capa!$A:$AE,AY$5,0)),0),IF(ISERROR(1/VLOOKUP($N419,Capa!$A:$AE,AY$5,0)),0,1/VLOOKUP($N419,Capa!$A:$AE,AY$5,0))))</f>
        <v/>
      </c>
      <c r="AZ419" s="118" t="str">
        <f>IF(AZ$6="","",IF(AZ$3="Maior",IFERROR(IF(VLOOKUP($N419,Capa!$A:$AE,AZ$5,0)="",0,VLOOKUP($N419,Capa!$A:$AE,AZ$5,0)),0),IF(ISERROR(1/VLOOKUP($N419,Capa!$A:$AE,AZ$5,0)),0,1/VLOOKUP($N419,Capa!$A:$AE,AZ$5,0))))</f>
        <v/>
      </c>
      <c r="BA419" s="118" t="str">
        <f>IF(BA$6="","",IF(BA$3="Maior",IFERROR(IF(VLOOKUP($N419,Capa!$A:$AE,BA$5,0)="",0,VLOOKUP($N419,Capa!$A:$AE,BA$5,0)),0),IF(ISERROR(1/VLOOKUP($N419,Capa!$A:$AE,BA$5,0)),0,1/VLOOKUP($N419,Capa!$A:$AE,BA$5,0))))</f>
        <v/>
      </c>
      <c r="BB419" s="118" t="str">
        <f>IF(BB$6="","",IF(BB$3="Maior",IFERROR(IF(VLOOKUP($N419,Capa!$A:$AE,BB$5,0)="",0,VLOOKUP($N419,Capa!$A:$AE,BB$5,0)),0),IF(ISERROR(1/VLOOKUP($N419,Capa!$A:$AE,BB$5,0)),0,1/VLOOKUP($N419,Capa!$A:$AE,BB$5,0))))</f>
        <v/>
      </c>
      <c r="BC419" s="118" t="str">
        <f>IF(BC$6="","",IF(BC$3="Maior",IFERROR(IF(VLOOKUP($N419,Capa!$A:$AE,BC$5,0)="",0,VLOOKUP($N419,Capa!$A:$AE,BC$5,0)),0),IF(ISERROR(1/VLOOKUP($N419,Capa!$A:$AE,BC$5,0)),0,1/VLOOKUP($N419,Capa!$A:$AE,BC$5,0))))</f>
        <v/>
      </c>
      <c r="BD419" s="118" t="str">
        <f>IF(BD$6="","",IF(BD$3="Maior",IFERROR(IF(VLOOKUP($N419,Capa!$A:$AE,BD$5,0)="",0,VLOOKUP($N419,Capa!$A:$AE,BD$5,0)),0),IF(ISERROR(1/VLOOKUP($N419,Capa!$A:$AE,BD$5,0)),0,1/VLOOKUP($N419,Capa!$A:$AE,BD$5,0))))</f>
        <v/>
      </c>
      <c r="BE419" s="118" t="str">
        <f>IF(BE$6="","",IF(BE$3="Maior",IFERROR(IF(VLOOKUP($N419,Capa!$A:$AE,BE$5,0)="",0,VLOOKUP($N419,Capa!$A:$AE,BE$5,0)),0),IF(ISERROR(1/VLOOKUP($N419,Capa!$A:$AE,BE$5,0)),0,1/VLOOKUP($N419,Capa!$A:$AE,BE$5,0))))</f>
        <v/>
      </c>
      <c r="BF419" s="118" t="str">
        <f>IF(BF$6="","",IF(BF$3="Maior",IFERROR(IF(VLOOKUP($N419,Capa!$A:$AE,BF$5,0)="",0,VLOOKUP($N419,Capa!$A:$AE,BF$5,0)),0),IF(ISERROR(1/VLOOKUP($N419,Capa!$A:$AE,BF$5,0)),0,1/VLOOKUP($N419,Capa!$A:$AE,BF$5,0))))</f>
        <v/>
      </c>
      <c r="BG419" s="118" t="str">
        <f>IF(BG$6="","",IF(BG$3="Maior",IFERROR(IF(VLOOKUP($N419,Capa!$A:$AE,BG$5,0)="",0,VLOOKUP($N419,Capa!$A:$AE,BG$5,0)),0),IF(ISERROR(1/VLOOKUP($N419,Capa!$A:$AE,BG$5,0)),0,1/VLOOKUP($N419,Capa!$A:$AE,BG$5,0))))</f>
        <v/>
      </c>
      <c r="BH419" s="118" t="str">
        <f>IF(BH$6="","",IF(BH$3="Maior",IFERROR(IF(VLOOKUP($N419,Capa!$A:$AE,BH$5,0)="",0,VLOOKUP($N419,Capa!$A:$AE,BH$5,0)),0),IF(ISERROR(1/VLOOKUP($N419,Capa!$A:$AE,BH$5,0)),0,1/VLOOKUP($N419,Capa!$A:$AE,BH$5,0))))</f>
        <v/>
      </c>
      <c r="BI419" s="118" t="str">
        <f>IF(BI$6="","",IF(BI$3="Maior",IFERROR(IF(VLOOKUP($N419,Capa!$A:$AE,BI$5,0)="",0,VLOOKUP($N419,Capa!$A:$AE,BI$5,0)),0),IF(ISERROR(1/VLOOKUP($N419,Capa!$A:$AE,BI$5,0)),0,1/VLOOKUP($N419,Capa!$A:$AE,BI$5,0))))</f>
        <v/>
      </c>
      <c r="BJ419" s="118" t="str">
        <f>IF(BJ$6="","",IF(BJ$3="Maior",IFERROR(IF(VLOOKUP($N419,Capa!$A:$AE,BJ$5,0)="",0,VLOOKUP($N419,Capa!$A:$AE,BJ$5,0)),0),IF(ISERROR(1/VLOOKUP($N419,Capa!$A:$AE,BJ$5,0)),0,1/VLOOKUP($N419,Capa!$A:$AE,BJ$5,0))))</f>
        <v/>
      </c>
      <c r="BK419" s="118" t="str">
        <f>IF(BK$6="","",IF(BK$3="Maior",IFERROR(IF(VLOOKUP($N419,Capa!$A:$AE,BK$5,0)="",0,VLOOKUP($N419,Capa!$A:$AE,BK$5,0)),0),IF(ISERROR(1/VLOOKUP($N419,Capa!$A:$AE,BK$5,0)),0,1/VLOOKUP($N419,Capa!$A:$AE,BK$5,0))))</f>
        <v/>
      </c>
      <c r="BL419" s="118" t="str">
        <f>IF(BL$6="","",IF(BL$3="Maior",IFERROR(IF(VLOOKUP($N419,Capa!$A:$AE,BL$5,0)="",0,VLOOKUP($N419,Capa!$A:$AE,BL$5,0)),0),IF(ISERROR(1/VLOOKUP($N419,Capa!$A:$AE,BL$5,0)),0,1/VLOOKUP($N419,Capa!$A:$AE,BL$5,0))))</f>
        <v/>
      </c>
      <c r="BM419" s="118" t="str">
        <f>IF(BM$6="","",IF(BM$3="Maior",IFERROR(IF(VLOOKUP($N419,Capa!$A:$AE,BM$5,0)="",0,VLOOKUP($N419,Capa!$A:$AE,BM$5,0)),0),IF(ISERROR(1/VLOOKUP($N419,Capa!$A:$AE,BM$5,0)),0,1/VLOOKUP($N419,Capa!$A:$AE,BM$5,0))))</f>
        <v/>
      </c>
      <c r="BN419" s="118" t="str">
        <f>IF(BN$6="","",IF(BN$3="Maior",IFERROR(IF(VLOOKUP($N419,Capa!$A:$AE,BN$5,0)="",0,VLOOKUP($N419,Capa!$A:$AE,BN$5,0)),0),IF(ISERROR(1/VLOOKUP($N419,Capa!$A:$AE,BN$5,0)),0,1/VLOOKUP($N419,Capa!$A:$AE,BN$5,0))))</f>
        <v/>
      </c>
      <c r="BO419" s="92"/>
    </row>
    <row r="420">
      <c r="G420" s="11"/>
      <c r="H420" s="11"/>
      <c r="I420" s="8"/>
      <c r="J420" s="132"/>
      <c r="K420" s="11"/>
      <c r="L420" s="11"/>
      <c r="M420" s="11"/>
      <c r="N420" s="10" t="s">
        <v>466</v>
      </c>
      <c r="O420" s="113">
        <f t="shared" si="8"/>
        <v>1529.0284</v>
      </c>
      <c r="P420" s="114">
        <f>VLOOKUP(N420,'Dados StatusInvest'!A:Z,26,0)</f>
        <v>7051</v>
      </c>
      <c r="Q420" s="115">
        <f t="shared" si="9"/>
        <v>284.0284</v>
      </c>
      <c r="R420" s="116">
        <f t="shared" ref="R420:AO420" si="423">IF(AQ420="","", RANK(AQ420,AQ$7:AQ$503,0))</f>
        <v>223</v>
      </c>
      <c r="S420" s="115">
        <f t="shared" si="423"/>
        <v>22</v>
      </c>
      <c r="T420" s="115" t="str">
        <f t="shared" si="423"/>
        <v/>
      </c>
      <c r="U420" s="115" t="str">
        <f t="shared" si="423"/>
        <v/>
      </c>
      <c r="V420" s="115" t="str">
        <f t="shared" si="423"/>
        <v/>
      </c>
      <c r="W420" s="115" t="str">
        <f t="shared" si="423"/>
        <v/>
      </c>
      <c r="X420" s="115" t="str">
        <f t="shared" si="423"/>
        <v/>
      </c>
      <c r="Y420" s="115" t="str">
        <f t="shared" si="423"/>
        <v/>
      </c>
      <c r="Z420" s="115" t="str">
        <f t="shared" si="423"/>
        <v/>
      </c>
      <c r="AA420" s="115" t="str">
        <f t="shared" si="423"/>
        <v/>
      </c>
      <c r="AB420" s="115" t="str">
        <f t="shared" si="423"/>
        <v/>
      </c>
      <c r="AC420" s="115" t="str">
        <f t="shared" si="423"/>
        <v/>
      </c>
      <c r="AD420" s="115" t="str">
        <f t="shared" si="423"/>
        <v/>
      </c>
      <c r="AE420" s="115" t="str">
        <f t="shared" si="423"/>
        <v/>
      </c>
      <c r="AF420" s="115" t="str">
        <f t="shared" si="423"/>
        <v/>
      </c>
      <c r="AG420" s="115" t="str">
        <f t="shared" si="423"/>
        <v/>
      </c>
      <c r="AH420" s="115" t="str">
        <f t="shared" si="423"/>
        <v/>
      </c>
      <c r="AI420" s="115" t="str">
        <f t="shared" si="423"/>
        <v/>
      </c>
      <c r="AJ420" s="115" t="str">
        <f t="shared" si="423"/>
        <v/>
      </c>
      <c r="AK420" s="115" t="str">
        <f t="shared" si="423"/>
        <v/>
      </c>
      <c r="AL420" s="115" t="str">
        <f t="shared" si="423"/>
        <v/>
      </c>
      <c r="AM420" s="115" t="str">
        <f t="shared" si="423"/>
        <v/>
      </c>
      <c r="AN420" s="115" t="str">
        <f t="shared" si="423"/>
        <v/>
      </c>
      <c r="AO420" s="115" t="str">
        <f t="shared" si="423"/>
        <v/>
      </c>
      <c r="AP420" s="117">
        <f>IF(AP$6="","",IF(AP$3="Maior",IFERROR(IF(VLOOKUP($N420,Capa!$A:$AE,AP$5,0)="",0,VLOOKUP($N420,Capa!$A:$AE,AP$5,0)),0),IF(ISERROR(1/VLOOKUP($N420,Capa!$A:$AE,AP$5,0)),0,1/VLOOKUP($N420,Capa!$A:$AE,AP$5,0))))</f>
        <v>0.06321112516</v>
      </c>
      <c r="AQ420" s="118">
        <f>IF(AQ$6="","",IF(AQ$3="Maior",IFERROR(IF(VLOOKUP($N420,Capa!$A:$AE,AQ$5,0)="",0,VLOOKUP($N420,Capa!$A:$AE,AQ$5,0)),0),IF(ISERROR(1/VLOOKUP($N420,Capa!$A:$AE,AQ$5,0)),0,1/VLOOKUP($N420,Capa!$A:$AE,AQ$5,0))))</f>
        <v>10.08</v>
      </c>
      <c r="AR420" s="118">
        <f>IF(AR$6="","",IF(AR$3="Maior",IFERROR(IF(VLOOKUP($N420,Capa!$A:$AE,AR$5,0)="",0,VLOOKUP($N420,Capa!$A:$AE,AR$5,0)),0),IF(ISERROR(1/VLOOKUP($N420,Capa!$A:$AE,AR$5,0)),0,1/VLOOKUP($N420,Capa!$A:$AE,AR$5,0))))</f>
        <v>87.22</v>
      </c>
      <c r="AS420" s="118" t="str">
        <f>IF(AS$6="","",IF(AS$3="Maior",IFERROR(IF(VLOOKUP($N420,Capa!$A:$AE,AS$5,0)="",0,VLOOKUP($N420,Capa!$A:$AE,AS$5,0)),0),IF(ISERROR(1/VLOOKUP($N420,Capa!$A:$AE,AS$5,0)),0,1/VLOOKUP($N420,Capa!$A:$AE,AS$5,0))))</f>
        <v/>
      </c>
      <c r="AT420" s="118" t="str">
        <f>IF(AT$6="","",IF(AT$3="Maior",IFERROR(IF(VLOOKUP($N420,Capa!$A:$AE,AT$5,0)="",0,VLOOKUP($N420,Capa!$A:$AE,AT$5,0)),0),IF(ISERROR(1/VLOOKUP($N420,Capa!$A:$AE,AT$5,0)),0,1/VLOOKUP($N420,Capa!$A:$AE,AT$5,0))))</f>
        <v/>
      </c>
      <c r="AU420" s="118" t="str">
        <f>IF(AU$6="","",IF(AU$3="Maior",IFERROR(IF(VLOOKUP($N420,Capa!$A:$AE,AU$5,0)="",0,VLOOKUP($N420,Capa!$A:$AE,AU$5,0)),0),IF(ISERROR(1/VLOOKUP($N420,Capa!$A:$AE,AU$5,0)),0,1/VLOOKUP($N420,Capa!$A:$AE,AU$5,0))))</f>
        <v/>
      </c>
      <c r="AV420" s="118" t="str">
        <f>IF(AV$6="","",IF(AV$3="Maior",IFERROR(IF(VLOOKUP($N420,Capa!$A:$AE,AV$5,0)="",0,VLOOKUP($N420,Capa!$A:$AE,AV$5,0)),0),IF(ISERROR(1/VLOOKUP($N420,Capa!$A:$AE,AV$5,0)),0,1/VLOOKUP($N420,Capa!$A:$AE,AV$5,0))))</f>
        <v/>
      </c>
      <c r="AW420" s="118" t="str">
        <f>IF(AW$6="","",IF(AW$3="Maior",IFERROR(IF(VLOOKUP($N420,Capa!$A:$AE,AW$5,0)="",0,VLOOKUP($N420,Capa!$A:$AE,AW$5,0)),0),IF(ISERROR(1/VLOOKUP($N420,Capa!$A:$AE,AW$5,0)),0,1/VLOOKUP($N420,Capa!$A:$AE,AW$5,0))))</f>
        <v/>
      </c>
      <c r="AX420" s="118" t="str">
        <f>IF(AX$6="","",IF(AX$3="Maior",IFERROR(IF(VLOOKUP($N420,Capa!$A:$AE,AX$5,0)="",0,VLOOKUP($N420,Capa!$A:$AE,AX$5,0)),0),IF(ISERROR(1/VLOOKUP($N420,Capa!$A:$AE,AX$5,0)),0,1/VLOOKUP($N420,Capa!$A:$AE,AX$5,0))))</f>
        <v/>
      </c>
      <c r="AY420" s="118" t="str">
        <f>IF(AY$6="","",IF(AY$3="Maior",IFERROR(IF(VLOOKUP($N420,Capa!$A:$AE,AY$5,0)="",0,VLOOKUP($N420,Capa!$A:$AE,AY$5,0)),0),IF(ISERROR(1/VLOOKUP($N420,Capa!$A:$AE,AY$5,0)),0,1/VLOOKUP($N420,Capa!$A:$AE,AY$5,0))))</f>
        <v/>
      </c>
      <c r="AZ420" s="118" t="str">
        <f>IF(AZ$6="","",IF(AZ$3="Maior",IFERROR(IF(VLOOKUP($N420,Capa!$A:$AE,AZ$5,0)="",0,VLOOKUP($N420,Capa!$A:$AE,AZ$5,0)),0),IF(ISERROR(1/VLOOKUP($N420,Capa!$A:$AE,AZ$5,0)),0,1/VLOOKUP($N420,Capa!$A:$AE,AZ$5,0))))</f>
        <v/>
      </c>
      <c r="BA420" s="118" t="str">
        <f>IF(BA$6="","",IF(BA$3="Maior",IFERROR(IF(VLOOKUP($N420,Capa!$A:$AE,BA$5,0)="",0,VLOOKUP($N420,Capa!$A:$AE,BA$5,0)),0),IF(ISERROR(1/VLOOKUP($N420,Capa!$A:$AE,BA$5,0)),0,1/VLOOKUP($N420,Capa!$A:$AE,BA$5,0))))</f>
        <v/>
      </c>
      <c r="BB420" s="118" t="str">
        <f>IF(BB$6="","",IF(BB$3="Maior",IFERROR(IF(VLOOKUP($N420,Capa!$A:$AE,BB$5,0)="",0,VLOOKUP($N420,Capa!$A:$AE,BB$5,0)),0),IF(ISERROR(1/VLOOKUP($N420,Capa!$A:$AE,BB$5,0)),0,1/VLOOKUP($N420,Capa!$A:$AE,BB$5,0))))</f>
        <v/>
      </c>
      <c r="BC420" s="118" t="str">
        <f>IF(BC$6="","",IF(BC$3="Maior",IFERROR(IF(VLOOKUP($N420,Capa!$A:$AE,BC$5,0)="",0,VLOOKUP($N420,Capa!$A:$AE,BC$5,0)),0),IF(ISERROR(1/VLOOKUP($N420,Capa!$A:$AE,BC$5,0)),0,1/VLOOKUP($N420,Capa!$A:$AE,BC$5,0))))</f>
        <v/>
      </c>
      <c r="BD420" s="118" t="str">
        <f>IF(BD$6="","",IF(BD$3="Maior",IFERROR(IF(VLOOKUP($N420,Capa!$A:$AE,BD$5,0)="",0,VLOOKUP($N420,Capa!$A:$AE,BD$5,0)),0),IF(ISERROR(1/VLOOKUP($N420,Capa!$A:$AE,BD$5,0)),0,1/VLOOKUP($N420,Capa!$A:$AE,BD$5,0))))</f>
        <v/>
      </c>
      <c r="BE420" s="118" t="str">
        <f>IF(BE$6="","",IF(BE$3="Maior",IFERROR(IF(VLOOKUP($N420,Capa!$A:$AE,BE$5,0)="",0,VLOOKUP($N420,Capa!$A:$AE,BE$5,0)),0),IF(ISERROR(1/VLOOKUP($N420,Capa!$A:$AE,BE$5,0)),0,1/VLOOKUP($N420,Capa!$A:$AE,BE$5,0))))</f>
        <v/>
      </c>
      <c r="BF420" s="118" t="str">
        <f>IF(BF$6="","",IF(BF$3="Maior",IFERROR(IF(VLOOKUP($N420,Capa!$A:$AE,BF$5,0)="",0,VLOOKUP($N420,Capa!$A:$AE,BF$5,0)),0),IF(ISERROR(1/VLOOKUP($N420,Capa!$A:$AE,BF$5,0)),0,1/VLOOKUP($N420,Capa!$A:$AE,BF$5,0))))</f>
        <v/>
      </c>
      <c r="BG420" s="118" t="str">
        <f>IF(BG$6="","",IF(BG$3="Maior",IFERROR(IF(VLOOKUP($N420,Capa!$A:$AE,BG$5,0)="",0,VLOOKUP($N420,Capa!$A:$AE,BG$5,0)),0),IF(ISERROR(1/VLOOKUP($N420,Capa!$A:$AE,BG$5,0)),0,1/VLOOKUP($N420,Capa!$A:$AE,BG$5,0))))</f>
        <v/>
      </c>
      <c r="BH420" s="118" t="str">
        <f>IF(BH$6="","",IF(BH$3="Maior",IFERROR(IF(VLOOKUP($N420,Capa!$A:$AE,BH$5,0)="",0,VLOOKUP($N420,Capa!$A:$AE,BH$5,0)),0),IF(ISERROR(1/VLOOKUP($N420,Capa!$A:$AE,BH$5,0)),0,1/VLOOKUP($N420,Capa!$A:$AE,BH$5,0))))</f>
        <v/>
      </c>
      <c r="BI420" s="118" t="str">
        <f>IF(BI$6="","",IF(BI$3="Maior",IFERROR(IF(VLOOKUP($N420,Capa!$A:$AE,BI$5,0)="",0,VLOOKUP($N420,Capa!$A:$AE,BI$5,0)),0),IF(ISERROR(1/VLOOKUP($N420,Capa!$A:$AE,BI$5,0)),0,1/VLOOKUP($N420,Capa!$A:$AE,BI$5,0))))</f>
        <v/>
      </c>
      <c r="BJ420" s="118" t="str">
        <f>IF(BJ$6="","",IF(BJ$3="Maior",IFERROR(IF(VLOOKUP($N420,Capa!$A:$AE,BJ$5,0)="",0,VLOOKUP($N420,Capa!$A:$AE,BJ$5,0)),0),IF(ISERROR(1/VLOOKUP($N420,Capa!$A:$AE,BJ$5,0)),0,1/VLOOKUP($N420,Capa!$A:$AE,BJ$5,0))))</f>
        <v/>
      </c>
      <c r="BK420" s="118" t="str">
        <f>IF(BK$6="","",IF(BK$3="Maior",IFERROR(IF(VLOOKUP($N420,Capa!$A:$AE,BK$5,0)="",0,VLOOKUP($N420,Capa!$A:$AE,BK$5,0)),0),IF(ISERROR(1/VLOOKUP($N420,Capa!$A:$AE,BK$5,0)),0,1/VLOOKUP($N420,Capa!$A:$AE,BK$5,0))))</f>
        <v/>
      </c>
      <c r="BL420" s="118" t="str">
        <f>IF(BL$6="","",IF(BL$3="Maior",IFERROR(IF(VLOOKUP($N420,Capa!$A:$AE,BL$5,0)="",0,VLOOKUP($N420,Capa!$A:$AE,BL$5,0)),0),IF(ISERROR(1/VLOOKUP($N420,Capa!$A:$AE,BL$5,0)),0,1/VLOOKUP($N420,Capa!$A:$AE,BL$5,0))))</f>
        <v/>
      </c>
      <c r="BM420" s="118" t="str">
        <f>IF(BM$6="","",IF(BM$3="Maior",IFERROR(IF(VLOOKUP($N420,Capa!$A:$AE,BM$5,0)="",0,VLOOKUP($N420,Capa!$A:$AE,BM$5,0)),0),IF(ISERROR(1/VLOOKUP($N420,Capa!$A:$AE,BM$5,0)),0,1/VLOOKUP($N420,Capa!$A:$AE,BM$5,0))))</f>
        <v/>
      </c>
      <c r="BN420" s="118" t="str">
        <f>IF(BN$6="","",IF(BN$3="Maior",IFERROR(IF(VLOOKUP($N420,Capa!$A:$AE,BN$5,0)="",0,VLOOKUP($N420,Capa!$A:$AE,BN$5,0)),0),IF(ISERROR(1/VLOOKUP($N420,Capa!$A:$AE,BN$5,0)),0,1/VLOOKUP($N420,Capa!$A:$AE,BN$5,0))))</f>
        <v/>
      </c>
      <c r="BO420" s="92"/>
    </row>
    <row r="421">
      <c r="G421" s="11"/>
      <c r="H421" s="11"/>
      <c r="I421" s="8"/>
      <c r="J421" s="132"/>
      <c r="K421" s="11"/>
      <c r="L421" s="11"/>
      <c r="M421" s="11"/>
      <c r="N421" s="10" t="s">
        <v>467</v>
      </c>
      <c r="O421" s="113">
        <f t="shared" si="8"/>
        <v>1461.0182</v>
      </c>
      <c r="P421" s="114">
        <f>VLOOKUP(N421,'Dados StatusInvest'!A:Z,26,0)</f>
        <v>22099</v>
      </c>
      <c r="Q421" s="115">
        <f t="shared" si="9"/>
        <v>182.0182</v>
      </c>
      <c r="R421" s="116">
        <f t="shared" ref="R421:AO421" si="424">IF(AQ421="","", RANK(AQ421,AQ$7:AQ$503,0))</f>
        <v>60</v>
      </c>
      <c r="S421" s="115">
        <f t="shared" si="424"/>
        <v>219</v>
      </c>
      <c r="T421" s="115" t="str">
        <f t="shared" si="424"/>
        <v/>
      </c>
      <c r="U421" s="115" t="str">
        <f t="shared" si="424"/>
        <v/>
      </c>
      <c r="V421" s="115" t="str">
        <f t="shared" si="424"/>
        <v/>
      </c>
      <c r="W421" s="115" t="str">
        <f t="shared" si="424"/>
        <v/>
      </c>
      <c r="X421" s="115" t="str">
        <f t="shared" si="424"/>
        <v/>
      </c>
      <c r="Y421" s="115" t="str">
        <f t="shared" si="424"/>
        <v/>
      </c>
      <c r="Z421" s="115" t="str">
        <f t="shared" si="424"/>
        <v/>
      </c>
      <c r="AA421" s="115" t="str">
        <f t="shared" si="424"/>
        <v/>
      </c>
      <c r="AB421" s="115" t="str">
        <f t="shared" si="424"/>
        <v/>
      </c>
      <c r="AC421" s="115" t="str">
        <f t="shared" si="424"/>
        <v/>
      </c>
      <c r="AD421" s="115" t="str">
        <f t="shared" si="424"/>
        <v/>
      </c>
      <c r="AE421" s="115" t="str">
        <f t="shared" si="424"/>
        <v/>
      </c>
      <c r="AF421" s="115" t="str">
        <f t="shared" si="424"/>
        <v/>
      </c>
      <c r="AG421" s="115" t="str">
        <f t="shared" si="424"/>
        <v/>
      </c>
      <c r="AH421" s="115" t="str">
        <f t="shared" si="424"/>
        <v/>
      </c>
      <c r="AI421" s="115" t="str">
        <f t="shared" si="424"/>
        <v/>
      </c>
      <c r="AJ421" s="115" t="str">
        <f t="shared" si="424"/>
        <v/>
      </c>
      <c r="AK421" s="115" t="str">
        <f t="shared" si="424"/>
        <v/>
      </c>
      <c r="AL421" s="115" t="str">
        <f t="shared" si="424"/>
        <v/>
      </c>
      <c r="AM421" s="115" t="str">
        <f t="shared" si="424"/>
        <v/>
      </c>
      <c r="AN421" s="115" t="str">
        <f t="shared" si="424"/>
        <v/>
      </c>
      <c r="AO421" s="115" t="str">
        <f t="shared" si="424"/>
        <v/>
      </c>
      <c r="AP421" s="117">
        <f>IF(AP$6="","",IF(AP$3="Maior",IFERROR(IF(VLOOKUP($N421,Capa!$A:$AE,AP$5,0)="",0,VLOOKUP($N421,Capa!$A:$AE,AP$5,0)),0),IF(ISERROR(1/VLOOKUP($N421,Capa!$A:$AE,AP$5,0)),0,1/VLOOKUP($N421,Capa!$A:$AE,AP$5,0))))</f>
        <v>0.114416476</v>
      </c>
      <c r="AQ421" s="118">
        <f>IF(AQ$6="","",IF(AQ$3="Maior",IFERROR(IF(VLOOKUP($N421,Capa!$A:$AE,AQ$5,0)="",0,VLOOKUP($N421,Capa!$A:$AE,AQ$5,0)),0),IF(ISERROR(1/VLOOKUP($N421,Capa!$A:$AE,AQ$5,0)),0,1/VLOOKUP($N421,Capa!$A:$AE,AQ$5,0))))</f>
        <v>23.94</v>
      </c>
      <c r="AR421" s="118">
        <f>IF(AR$6="","",IF(AR$3="Maior",IFERROR(IF(VLOOKUP($N421,Capa!$A:$AE,AR$5,0)="",0,VLOOKUP($N421,Capa!$A:$AE,AR$5,0)),0),IF(ISERROR(1/VLOOKUP($N421,Capa!$A:$AE,AR$5,0)),0,1/VLOOKUP($N421,Capa!$A:$AE,AR$5,0))))</f>
        <v>0</v>
      </c>
      <c r="AS421" s="118" t="str">
        <f>IF(AS$6="","",IF(AS$3="Maior",IFERROR(IF(VLOOKUP($N421,Capa!$A:$AE,AS$5,0)="",0,VLOOKUP($N421,Capa!$A:$AE,AS$5,0)),0),IF(ISERROR(1/VLOOKUP($N421,Capa!$A:$AE,AS$5,0)),0,1/VLOOKUP($N421,Capa!$A:$AE,AS$5,0))))</f>
        <v/>
      </c>
      <c r="AT421" s="118" t="str">
        <f>IF(AT$6="","",IF(AT$3="Maior",IFERROR(IF(VLOOKUP($N421,Capa!$A:$AE,AT$5,0)="",0,VLOOKUP($N421,Capa!$A:$AE,AT$5,0)),0),IF(ISERROR(1/VLOOKUP($N421,Capa!$A:$AE,AT$5,0)),0,1/VLOOKUP($N421,Capa!$A:$AE,AT$5,0))))</f>
        <v/>
      </c>
      <c r="AU421" s="118" t="str">
        <f>IF(AU$6="","",IF(AU$3="Maior",IFERROR(IF(VLOOKUP($N421,Capa!$A:$AE,AU$5,0)="",0,VLOOKUP($N421,Capa!$A:$AE,AU$5,0)),0),IF(ISERROR(1/VLOOKUP($N421,Capa!$A:$AE,AU$5,0)),0,1/VLOOKUP($N421,Capa!$A:$AE,AU$5,0))))</f>
        <v/>
      </c>
      <c r="AV421" s="118" t="str">
        <f>IF(AV$6="","",IF(AV$3="Maior",IFERROR(IF(VLOOKUP($N421,Capa!$A:$AE,AV$5,0)="",0,VLOOKUP($N421,Capa!$A:$AE,AV$5,0)),0),IF(ISERROR(1/VLOOKUP($N421,Capa!$A:$AE,AV$5,0)),0,1/VLOOKUP($N421,Capa!$A:$AE,AV$5,0))))</f>
        <v/>
      </c>
      <c r="AW421" s="118" t="str">
        <f>IF(AW$6="","",IF(AW$3="Maior",IFERROR(IF(VLOOKUP($N421,Capa!$A:$AE,AW$5,0)="",0,VLOOKUP($N421,Capa!$A:$AE,AW$5,0)),0),IF(ISERROR(1/VLOOKUP($N421,Capa!$A:$AE,AW$5,0)),0,1/VLOOKUP($N421,Capa!$A:$AE,AW$5,0))))</f>
        <v/>
      </c>
      <c r="AX421" s="118" t="str">
        <f>IF(AX$6="","",IF(AX$3="Maior",IFERROR(IF(VLOOKUP($N421,Capa!$A:$AE,AX$5,0)="",0,VLOOKUP($N421,Capa!$A:$AE,AX$5,0)),0),IF(ISERROR(1/VLOOKUP($N421,Capa!$A:$AE,AX$5,0)),0,1/VLOOKUP($N421,Capa!$A:$AE,AX$5,0))))</f>
        <v/>
      </c>
      <c r="AY421" s="118" t="str">
        <f>IF(AY$6="","",IF(AY$3="Maior",IFERROR(IF(VLOOKUP($N421,Capa!$A:$AE,AY$5,0)="",0,VLOOKUP($N421,Capa!$A:$AE,AY$5,0)),0),IF(ISERROR(1/VLOOKUP($N421,Capa!$A:$AE,AY$5,0)),0,1/VLOOKUP($N421,Capa!$A:$AE,AY$5,0))))</f>
        <v/>
      </c>
      <c r="AZ421" s="118" t="str">
        <f>IF(AZ$6="","",IF(AZ$3="Maior",IFERROR(IF(VLOOKUP($N421,Capa!$A:$AE,AZ$5,0)="",0,VLOOKUP($N421,Capa!$A:$AE,AZ$5,0)),0),IF(ISERROR(1/VLOOKUP($N421,Capa!$A:$AE,AZ$5,0)),0,1/VLOOKUP($N421,Capa!$A:$AE,AZ$5,0))))</f>
        <v/>
      </c>
      <c r="BA421" s="118" t="str">
        <f>IF(BA$6="","",IF(BA$3="Maior",IFERROR(IF(VLOOKUP($N421,Capa!$A:$AE,BA$5,0)="",0,VLOOKUP($N421,Capa!$A:$AE,BA$5,0)),0),IF(ISERROR(1/VLOOKUP($N421,Capa!$A:$AE,BA$5,0)),0,1/VLOOKUP($N421,Capa!$A:$AE,BA$5,0))))</f>
        <v/>
      </c>
      <c r="BB421" s="118" t="str">
        <f>IF(BB$6="","",IF(BB$3="Maior",IFERROR(IF(VLOOKUP($N421,Capa!$A:$AE,BB$5,0)="",0,VLOOKUP($N421,Capa!$A:$AE,BB$5,0)),0),IF(ISERROR(1/VLOOKUP($N421,Capa!$A:$AE,BB$5,0)),0,1/VLOOKUP($N421,Capa!$A:$AE,BB$5,0))))</f>
        <v/>
      </c>
      <c r="BC421" s="118" t="str">
        <f>IF(BC$6="","",IF(BC$3="Maior",IFERROR(IF(VLOOKUP($N421,Capa!$A:$AE,BC$5,0)="",0,VLOOKUP($N421,Capa!$A:$AE,BC$5,0)),0),IF(ISERROR(1/VLOOKUP($N421,Capa!$A:$AE,BC$5,0)),0,1/VLOOKUP($N421,Capa!$A:$AE,BC$5,0))))</f>
        <v/>
      </c>
      <c r="BD421" s="118" t="str">
        <f>IF(BD$6="","",IF(BD$3="Maior",IFERROR(IF(VLOOKUP($N421,Capa!$A:$AE,BD$5,0)="",0,VLOOKUP($N421,Capa!$A:$AE,BD$5,0)),0),IF(ISERROR(1/VLOOKUP($N421,Capa!$A:$AE,BD$5,0)),0,1/VLOOKUP($N421,Capa!$A:$AE,BD$5,0))))</f>
        <v/>
      </c>
      <c r="BE421" s="118" t="str">
        <f>IF(BE$6="","",IF(BE$3="Maior",IFERROR(IF(VLOOKUP($N421,Capa!$A:$AE,BE$5,0)="",0,VLOOKUP($N421,Capa!$A:$AE,BE$5,0)),0),IF(ISERROR(1/VLOOKUP($N421,Capa!$A:$AE,BE$5,0)),0,1/VLOOKUP($N421,Capa!$A:$AE,BE$5,0))))</f>
        <v/>
      </c>
      <c r="BF421" s="118" t="str">
        <f>IF(BF$6="","",IF(BF$3="Maior",IFERROR(IF(VLOOKUP($N421,Capa!$A:$AE,BF$5,0)="",0,VLOOKUP($N421,Capa!$A:$AE,BF$5,0)),0),IF(ISERROR(1/VLOOKUP($N421,Capa!$A:$AE,BF$5,0)),0,1/VLOOKUP($N421,Capa!$A:$AE,BF$5,0))))</f>
        <v/>
      </c>
      <c r="BG421" s="118" t="str">
        <f>IF(BG$6="","",IF(BG$3="Maior",IFERROR(IF(VLOOKUP($N421,Capa!$A:$AE,BG$5,0)="",0,VLOOKUP($N421,Capa!$A:$AE,BG$5,0)),0),IF(ISERROR(1/VLOOKUP($N421,Capa!$A:$AE,BG$5,0)),0,1/VLOOKUP($N421,Capa!$A:$AE,BG$5,0))))</f>
        <v/>
      </c>
      <c r="BH421" s="118" t="str">
        <f>IF(BH$6="","",IF(BH$3="Maior",IFERROR(IF(VLOOKUP($N421,Capa!$A:$AE,BH$5,0)="",0,VLOOKUP($N421,Capa!$A:$AE,BH$5,0)),0),IF(ISERROR(1/VLOOKUP($N421,Capa!$A:$AE,BH$5,0)),0,1/VLOOKUP($N421,Capa!$A:$AE,BH$5,0))))</f>
        <v/>
      </c>
      <c r="BI421" s="118" t="str">
        <f>IF(BI$6="","",IF(BI$3="Maior",IFERROR(IF(VLOOKUP($N421,Capa!$A:$AE,BI$5,0)="",0,VLOOKUP($N421,Capa!$A:$AE,BI$5,0)),0),IF(ISERROR(1/VLOOKUP($N421,Capa!$A:$AE,BI$5,0)),0,1/VLOOKUP($N421,Capa!$A:$AE,BI$5,0))))</f>
        <v/>
      </c>
      <c r="BJ421" s="118" t="str">
        <f>IF(BJ$6="","",IF(BJ$3="Maior",IFERROR(IF(VLOOKUP($N421,Capa!$A:$AE,BJ$5,0)="",0,VLOOKUP($N421,Capa!$A:$AE,BJ$5,0)),0),IF(ISERROR(1/VLOOKUP($N421,Capa!$A:$AE,BJ$5,0)),0,1/VLOOKUP($N421,Capa!$A:$AE,BJ$5,0))))</f>
        <v/>
      </c>
      <c r="BK421" s="118" t="str">
        <f>IF(BK$6="","",IF(BK$3="Maior",IFERROR(IF(VLOOKUP($N421,Capa!$A:$AE,BK$5,0)="",0,VLOOKUP($N421,Capa!$A:$AE,BK$5,0)),0),IF(ISERROR(1/VLOOKUP($N421,Capa!$A:$AE,BK$5,0)),0,1/VLOOKUP($N421,Capa!$A:$AE,BK$5,0))))</f>
        <v/>
      </c>
      <c r="BL421" s="118" t="str">
        <f>IF(BL$6="","",IF(BL$3="Maior",IFERROR(IF(VLOOKUP($N421,Capa!$A:$AE,BL$5,0)="",0,VLOOKUP($N421,Capa!$A:$AE,BL$5,0)),0),IF(ISERROR(1/VLOOKUP($N421,Capa!$A:$AE,BL$5,0)),0,1/VLOOKUP($N421,Capa!$A:$AE,BL$5,0))))</f>
        <v/>
      </c>
      <c r="BM421" s="118" t="str">
        <f>IF(BM$6="","",IF(BM$3="Maior",IFERROR(IF(VLOOKUP($N421,Capa!$A:$AE,BM$5,0)="",0,VLOOKUP($N421,Capa!$A:$AE,BM$5,0)),0),IF(ISERROR(1/VLOOKUP($N421,Capa!$A:$AE,BM$5,0)),0,1/VLOOKUP($N421,Capa!$A:$AE,BM$5,0))))</f>
        <v/>
      </c>
      <c r="BN421" s="118" t="str">
        <f>IF(BN$6="","",IF(BN$3="Maior",IFERROR(IF(VLOOKUP($N421,Capa!$A:$AE,BN$5,0)="",0,VLOOKUP($N421,Capa!$A:$AE,BN$5,0)),0),IF(ISERROR(1/VLOOKUP($N421,Capa!$A:$AE,BN$5,0)),0,1/VLOOKUP($N421,Capa!$A:$AE,BN$5,0))))</f>
        <v/>
      </c>
      <c r="BO421" s="92"/>
    </row>
    <row r="422">
      <c r="G422" s="11"/>
      <c r="H422" s="11"/>
      <c r="I422" s="8"/>
      <c r="J422" s="132"/>
      <c r="K422" s="11"/>
      <c r="L422" s="11"/>
      <c r="M422" s="11"/>
      <c r="N422" s="10" t="s">
        <v>468</v>
      </c>
      <c r="O422" s="113">
        <f t="shared" si="8"/>
        <v>1956.0254</v>
      </c>
      <c r="P422" s="114">
        <f>VLOOKUP(N422,'Dados StatusInvest'!A:Z,26,0)</f>
        <v>16287.81</v>
      </c>
      <c r="Q422" s="115">
        <f t="shared" si="9"/>
        <v>254.0254</v>
      </c>
      <c r="R422" s="116">
        <f t="shared" ref="R422:AO422" si="425">IF(AQ422="","", RANK(AQ422,AQ$7:AQ$503,0))</f>
        <v>483</v>
      </c>
      <c r="S422" s="115">
        <f t="shared" si="425"/>
        <v>219</v>
      </c>
      <c r="T422" s="115" t="str">
        <f t="shared" si="425"/>
        <v/>
      </c>
      <c r="U422" s="115" t="str">
        <f t="shared" si="425"/>
        <v/>
      </c>
      <c r="V422" s="115" t="str">
        <f t="shared" si="425"/>
        <v/>
      </c>
      <c r="W422" s="115" t="str">
        <f t="shared" si="425"/>
        <v/>
      </c>
      <c r="X422" s="115" t="str">
        <f t="shared" si="425"/>
        <v/>
      </c>
      <c r="Y422" s="115" t="str">
        <f t="shared" si="425"/>
        <v/>
      </c>
      <c r="Z422" s="115" t="str">
        <f t="shared" si="425"/>
        <v/>
      </c>
      <c r="AA422" s="115" t="str">
        <f t="shared" si="425"/>
        <v/>
      </c>
      <c r="AB422" s="115" t="str">
        <f t="shared" si="425"/>
        <v/>
      </c>
      <c r="AC422" s="115" t="str">
        <f t="shared" si="425"/>
        <v/>
      </c>
      <c r="AD422" s="115" t="str">
        <f t="shared" si="425"/>
        <v/>
      </c>
      <c r="AE422" s="115" t="str">
        <f t="shared" si="425"/>
        <v/>
      </c>
      <c r="AF422" s="115" t="str">
        <f t="shared" si="425"/>
        <v/>
      </c>
      <c r="AG422" s="115" t="str">
        <f t="shared" si="425"/>
        <v/>
      </c>
      <c r="AH422" s="115" t="str">
        <f t="shared" si="425"/>
        <v/>
      </c>
      <c r="AI422" s="115" t="str">
        <f t="shared" si="425"/>
        <v/>
      </c>
      <c r="AJ422" s="115" t="str">
        <f t="shared" si="425"/>
        <v/>
      </c>
      <c r="AK422" s="115" t="str">
        <f t="shared" si="425"/>
        <v/>
      </c>
      <c r="AL422" s="115" t="str">
        <f t="shared" si="425"/>
        <v/>
      </c>
      <c r="AM422" s="115" t="str">
        <f t="shared" si="425"/>
        <v/>
      </c>
      <c r="AN422" s="115" t="str">
        <f t="shared" si="425"/>
        <v/>
      </c>
      <c r="AO422" s="115" t="str">
        <f t="shared" si="425"/>
        <v/>
      </c>
      <c r="AP422" s="117">
        <f>IF(AP$6="","",IF(AP$3="Maior",IFERROR(IF(VLOOKUP($N422,Capa!$A:$AE,AP$5,0)="",0,VLOOKUP($N422,Capa!$A:$AE,AP$5,0)),0),IF(ISERROR(1/VLOOKUP($N422,Capa!$A:$AE,AP$5,0)),0,1/VLOOKUP($N422,Capa!$A:$AE,AP$5,0))))</f>
        <v>0.07856517342</v>
      </c>
      <c r="AQ422" s="118">
        <f>IF(AQ$6="","",IF(AQ$3="Maior",IFERROR(IF(VLOOKUP($N422,Capa!$A:$AE,AQ$5,0)="",0,VLOOKUP($N422,Capa!$A:$AE,AQ$5,0)),0),IF(ISERROR(1/VLOOKUP($N422,Capa!$A:$AE,AQ$5,0)),0,1/VLOOKUP($N422,Capa!$A:$AE,AQ$5,0))))</f>
        <v>-37.69</v>
      </c>
      <c r="AR422" s="118">
        <f>IF(AR$6="","",IF(AR$3="Maior",IFERROR(IF(VLOOKUP($N422,Capa!$A:$AE,AR$5,0)="",0,VLOOKUP($N422,Capa!$A:$AE,AR$5,0)),0),IF(ISERROR(1/VLOOKUP($N422,Capa!$A:$AE,AR$5,0)),0,1/VLOOKUP($N422,Capa!$A:$AE,AR$5,0))))</f>
        <v>0</v>
      </c>
      <c r="AS422" s="118" t="str">
        <f>IF(AS$6="","",IF(AS$3="Maior",IFERROR(IF(VLOOKUP($N422,Capa!$A:$AE,AS$5,0)="",0,VLOOKUP($N422,Capa!$A:$AE,AS$5,0)),0),IF(ISERROR(1/VLOOKUP($N422,Capa!$A:$AE,AS$5,0)),0,1/VLOOKUP($N422,Capa!$A:$AE,AS$5,0))))</f>
        <v/>
      </c>
      <c r="AT422" s="118" t="str">
        <f>IF(AT$6="","",IF(AT$3="Maior",IFERROR(IF(VLOOKUP($N422,Capa!$A:$AE,AT$5,0)="",0,VLOOKUP($N422,Capa!$A:$AE,AT$5,0)),0),IF(ISERROR(1/VLOOKUP($N422,Capa!$A:$AE,AT$5,0)),0,1/VLOOKUP($N422,Capa!$A:$AE,AT$5,0))))</f>
        <v/>
      </c>
      <c r="AU422" s="118" t="str">
        <f>IF(AU$6="","",IF(AU$3="Maior",IFERROR(IF(VLOOKUP($N422,Capa!$A:$AE,AU$5,0)="",0,VLOOKUP($N422,Capa!$A:$AE,AU$5,0)),0),IF(ISERROR(1/VLOOKUP($N422,Capa!$A:$AE,AU$5,0)),0,1/VLOOKUP($N422,Capa!$A:$AE,AU$5,0))))</f>
        <v/>
      </c>
      <c r="AV422" s="118" t="str">
        <f>IF(AV$6="","",IF(AV$3="Maior",IFERROR(IF(VLOOKUP($N422,Capa!$A:$AE,AV$5,0)="",0,VLOOKUP($N422,Capa!$A:$AE,AV$5,0)),0),IF(ISERROR(1/VLOOKUP($N422,Capa!$A:$AE,AV$5,0)),0,1/VLOOKUP($N422,Capa!$A:$AE,AV$5,0))))</f>
        <v/>
      </c>
      <c r="AW422" s="118" t="str">
        <f>IF(AW$6="","",IF(AW$3="Maior",IFERROR(IF(VLOOKUP($N422,Capa!$A:$AE,AW$5,0)="",0,VLOOKUP($N422,Capa!$A:$AE,AW$5,0)),0),IF(ISERROR(1/VLOOKUP($N422,Capa!$A:$AE,AW$5,0)),0,1/VLOOKUP($N422,Capa!$A:$AE,AW$5,0))))</f>
        <v/>
      </c>
      <c r="AX422" s="118" t="str">
        <f>IF(AX$6="","",IF(AX$3="Maior",IFERROR(IF(VLOOKUP($N422,Capa!$A:$AE,AX$5,0)="",0,VLOOKUP($N422,Capa!$A:$AE,AX$5,0)),0),IF(ISERROR(1/VLOOKUP($N422,Capa!$A:$AE,AX$5,0)),0,1/VLOOKUP($N422,Capa!$A:$AE,AX$5,0))))</f>
        <v/>
      </c>
      <c r="AY422" s="118" t="str">
        <f>IF(AY$6="","",IF(AY$3="Maior",IFERROR(IF(VLOOKUP($N422,Capa!$A:$AE,AY$5,0)="",0,VLOOKUP($N422,Capa!$A:$AE,AY$5,0)),0),IF(ISERROR(1/VLOOKUP($N422,Capa!$A:$AE,AY$5,0)),0,1/VLOOKUP($N422,Capa!$A:$AE,AY$5,0))))</f>
        <v/>
      </c>
      <c r="AZ422" s="118" t="str">
        <f>IF(AZ$6="","",IF(AZ$3="Maior",IFERROR(IF(VLOOKUP($N422,Capa!$A:$AE,AZ$5,0)="",0,VLOOKUP($N422,Capa!$A:$AE,AZ$5,0)),0),IF(ISERROR(1/VLOOKUP($N422,Capa!$A:$AE,AZ$5,0)),0,1/VLOOKUP($N422,Capa!$A:$AE,AZ$5,0))))</f>
        <v/>
      </c>
      <c r="BA422" s="118" t="str">
        <f>IF(BA$6="","",IF(BA$3="Maior",IFERROR(IF(VLOOKUP($N422,Capa!$A:$AE,BA$5,0)="",0,VLOOKUP($N422,Capa!$A:$AE,BA$5,0)),0),IF(ISERROR(1/VLOOKUP($N422,Capa!$A:$AE,BA$5,0)),0,1/VLOOKUP($N422,Capa!$A:$AE,BA$5,0))))</f>
        <v/>
      </c>
      <c r="BB422" s="118" t="str">
        <f>IF(BB$6="","",IF(BB$3="Maior",IFERROR(IF(VLOOKUP($N422,Capa!$A:$AE,BB$5,0)="",0,VLOOKUP($N422,Capa!$A:$AE,BB$5,0)),0),IF(ISERROR(1/VLOOKUP($N422,Capa!$A:$AE,BB$5,0)),0,1/VLOOKUP($N422,Capa!$A:$AE,BB$5,0))))</f>
        <v/>
      </c>
      <c r="BC422" s="118" t="str">
        <f>IF(BC$6="","",IF(BC$3="Maior",IFERROR(IF(VLOOKUP($N422,Capa!$A:$AE,BC$5,0)="",0,VLOOKUP($N422,Capa!$A:$AE,BC$5,0)),0),IF(ISERROR(1/VLOOKUP($N422,Capa!$A:$AE,BC$5,0)),0,1/VLOOKUP($N422,Capa!$A:$AE,BC$5,0))))</f>
        <v/>
      </c>
      <c r="BD422" s="118" t="str">
        <f>IF(BD$6="","",IF(BD$3="Maior",IFERROR(IF(VLOOKUP($N422,Capa!$A:$AE,BD$5,0)="",0,VLOOKUP($N422,Capa!$A:$AE,BD$5,0)),0),IF(ISERROR(1/VLOOKUP($N422,Capa!$A:$AE,BD$5,0)),0,1/VLOOKUP($N422,Capa!$A:$AE,BD$5,0))))</f>
        <v/>
      </c>
      <c r="BE422" s="118" t="str">
        <f>IF(BE$6="","",IF(BE$3="Maior",IFERROR(IF(VLOOKUP($N422,Capa!$A:$AE,BE$5,0)="",0,VLOOKUP($N422,Capa!$A:$AE,BE$5,0)),0),IF(ISERROR(1/VLOOKUP($N422,Capa!$A:$AE,BE$5,0)),0,1/VLOOKUP($N422,Capa!$A:$AE,BE$5,0))))</f>
        <v/>
      </c>
      <c r="BF422" s="118" t="str">
        <f>IF(BF$6="","",IF(BF$3="Maior",IFERROR(IF(VLOOKUP($N422,Capa!$A:$AE,BF$5,0)="",0,VLOOKUP($N422,Capa!$A:$AE,BF$5,0)),0),IF(ISERROR(1/VLOOKUP($N422,Capa!$A:$AE,BF$5,0)),0,1/VLOOKUP($N422,Capa!$A:$AE,BF$5,0))))</f>
        <v/>
      </c>
      <c r="BG422" s="118" t="str">
        <f>IF(BG$6="","",IF(BG$3="Maior",IFERROR(IF(VLOOKUP($N422,Capa!$A:$AE,BG$5,0)="",0,VLOOKUP($N422,Capa!$A:$AE,BG$5,0)),0),IF(ISERROR(1/VLOOKUP($N422,Capa!$A:$AE,BG$5,0)),0,1/VLOOKUP($N422,Capa!$A:$AE,BG$5,0))))</f>
        <v/>
      </c>
      <c r="BH422" s="118" t="str">
        <f>IF(BH$6="","",IF(BH$3="Maior",IFERROR(IF(VLOOKUP($N422,Capa!$A:$AE,BH$5,0)="",0,VLOOKUP($N422,Capa!$A:$AE,BH$5,0)),0),IF(ISERROR(1/VLOOKUP($N422,Capa!$A:$AE,BH$5,0)),0,1/VLOOKUP($N422,Capa!$A:$AE,BH$5,0))))</f>
        <v/>
      </c>
      <c r="BI422" s="118" t="str">
        <f>IF(BI$6="","",IF(BI$3="Maior",IFERROR(IF(VLOOKUP($N422,Capa!$A:$AE,BI$5,0)="",0,VLOOKUP($N422,Capa!$A:$AE,BI$5,0)),0),IF(ISERROR(1/VLOOKUP($N422,Capa!$A:$AE,BI$5,0)),0,1/VLOOKUP($N422,Capa!$A:$AE,BI$5,0))))</f>
        <v/>
      </c>
      <c r="BJ422" s="118" t="str">
        <f>IF(BJ$6="","",IF(BJ$3="Maior",IFERROR(IF(VLOOKUP($N422,Capa!$A:$AE,BJ$5,0)="",0,VLOOKUP($N422,Capa!$A:$AE,BJ$5,0)),0),IF(ISERROR(1/VLOOKUP($N422,Capa!$A:$AE,BJ$5,0)),0,1/VLOOKUP($N422,Capa!$A:$AE,BJ$5,0))))</f>
        <v/>
      </c>
      <c r="BK422" s="118" t="str">
        <f>IF(BK$6="","",IF(BK$3="Maior",IFERROR(IF(VLOOKUP($N422,Capa!$A:$AE,BK$5,0)="",0,VLOOKUP($N422,Capa!$A:$AE,BK$5,0)),0),IF(ISERROR(1/VLOOKUP($N422,Capa!$A:$AE,BK$5,0)),0,1/VLOOKUP($N422,Capa!$A:$AE,BK$5,0))))</f>
        <v/>
      </c>
      <c r="BL422" s="118" t="str">
        <f>IF(BL$6="","",IF(BL$3="Maior",IFERROR(IF(VLOOKUP($N422,Capa!$A:$AE,BL$5,0)="",0,VLOOKUP($N422,Capa!$A:$AE,BL$5,0)),0),IF(ISERROR(1/VLOOKUP($N422,Capa!$A:$AE,BL$5,0)),0,1/VLOOKUP($N422,Capa!$A:$AE,BL$5,0))))</f>
        <v/>
      </c>
      <c r="BM422" s="118" t="str">
        <f>IF(BM$6="","",IF(BM$3="Maior",IFERROR(IF(VLOOKUP($N422,Capa!$A:$AE,BM$5,0)="",0,VLOOKUP($N422,Capa!$A:$AE,BM$5,0)),0),IF(ISERROR(1/VLOOKUP($N422,Capa!$A:$AE,BM$5,0)),0,1/VLOOKUP($N422,Capa!$A:$AE,BM$5,0))))</f>
        <v/>
      </c>
      <c r="BN422" s="118" t="str">
        <f>IF(BN$6="","",IF(BN$3="Maior",IFERROR(IF(VLOOKUP($N422,Capa!$A:$AE,BN$5,0)="",0,VLOOKUP($N422,Capa!$A:$AE,BN$5,0)),0),IF(ISERROR(1/VLOOKUP($N422,Capa!$A:$AE,BN$5,0)),0,1/VLOOKUP($N422,Capa!$A:$AE,BN$5,0))))</f>
        <v/>
      </c>
      <c r="BO422" s="92"/>
    </row>
    <row r="423">
      <c r="G423" s="11"/>
      <c r="H423" s="11"/>
      <c r="I423" s="8"/>
      <c r="J423" s="132"/>
      <c r="K423" s="11"/>
      <c r="L423" s="11"/>
      <c r="M423" s="11"/>
      <c r="N423" s="10" t="s">
        <v>469</v>
      </c>
      <c r="O423" s="113">
        <f t="shared" si="8"/>
        <v>1413.0152</v>
      </c>
      <c r="P423" s="114">
        <f>VLOOKUP(N423,'Dados StatusInvest'!A:Z,26,0)</f>
        <v>15063.11</v>
      </c>
      <c r="Q423" s="115">
        <f t="shared" si="9"/>
        <v>152.0152</v>
      </c>
      <c r="R423" s="116">
        <f t="shared" ref="R423:AO423" si="426">IF(AQ423="","", RANK(AQ423,AQ$7:AQ$503,0))</f>
        <v>125</v>
      </c>
      <c r="S423" s="115">
        <f t="shared" si="426"/>
        <v>136</v>
      </c>
      <c r="T423" s="115" t="str">
        <f t="shared" si="426"/>
        <v/>
      </c>
      <c r="U423" s="115" t="str">
        <f t="shared" si="426"/>
        <v/>
      </c>
      <c r="V423" s="115" t="str">
        <f t="shared" si="426"/>
        <v/>
      </c>
      <c r="W423" s="115" t="str">
        <f t="shared" si="426"/>
        <v/>
      </c>
      <c r="X423" s="115" t="str">
        <f t="shared" si="426"/>
        <v/>
      </c>
      <c r="Y423" s="115" t="str">
        <f t="shared" si="426"/>
        <v/>
      </c>
      <c r="Z423" s="115" t="str">
        <f t="shared" si="426"/>
        <v/>
      </c>
      <c r="AA423" s="115" t="str">
        <f t="shared" si="426"/>
        <v/>
      </c>
      <c r="AB423" s="115" t="str">
        <f t="shared" si="426"/>
        <v/>
      </c>
      <c r="AC423" s="115" t="str">
        <f t="shared" si="426"/>
        <v/>
      </c>
      <c r="AD423" s="115" t="str">
        <f t="shared" si="426"/>
        <v/>
      </c>
      <c r="AE423" s="115" t="str">
        <f t="shared" si="426"/>
        <v/>
      </c>
      <c r="AF423" s="115" t="str">
        <f t="shared" si="426"/>
        <v/>
      </c>
      <c r="AG423" s="115" t="str">
        <f t="shared" si="426"/>
        <v/>
      </c>
      <c r="AH423" s="115" t="str">
        <f t="shared" si="426"/>
        <v/>
      </c>
      <c r="AI423" s="115" t="str">
        <f t="shared" si="426"/>
        <v/>
      </c>
      <c r="AJ423" s="115" t="str">
        <f t="shared" si="426"/>
        <v/>
      </c>
      <c r="AK423" s="115" t="str">
        <f t="shared" si="426"/>
        <v/>
      </c>
      <c r="AL423" s="115" t="str">
        <f t="shared" si="426"/>
        <v/>
      </c>
      <c r="AM423" s="115" t="str">
        <f t="shared" si="426"/>
        <v/>
      </c>
      <c r="AN423" s="115" t="str">
        <f t="shared" si="426"/>
        <v/>
      </c>
      <c r="AO423" s="115" t="str">
        <f t="shared" si="426"/>
        <v/>
      </c>
      <c r="AP423" s="117">
        <f>IF(AP$6="","",IF(AP$3="Maior",IFERROR(IF(VLOOKUP($N423,Capa!$A:$AE,AP$5,0)="",0,VLOOKUP($N423,Capa!$A:$AE,AP$5,0)),0),IF(ISERROR(1/VLOOKUP($N423,Capa!$A:$AE,AP$5,0)),0,1/VLOOKUP($N423,Capa!$A:$AE,AP$5,0))))</f>
        <v>0.1297016861</v>
      </c>
      <c r="AQ423" s="118">
        <f>IF(AQ$6="","",IF(AQ$3="Maior",IFERROR(IF(VLOOKUP($N423,Capa!$A:$AE,AQ$5,0)="",0,VLOOKUP($N423,Capa!$A:$AE,AQ$5,0)),0),IF(ISERROR(1/VLOOKUP($N423,Capa!$A:$AE,AQ$5,0)),0,1/VLOOKUP($N423,Capa!$A:$AE,AQ$5,0))))</f>
        <v>15.28</v>
      </c>
      <c r="AR423" s="118">
        <f>IF(AR$6="","",IF(AR$3="Maior",IFERROR(IF(VLOOKUP($N423,Capa!$A:$AE,AR$5,0)="",0,VLOOKUP($N423,Capa!$A:$AE,AR$5,0)),0),IF(ISERROR(1/VLOOKUP($N423,Capa!$A:$AE,AR$5,0)),0,1/VLOOKUP($N423,Capa!$A:$AE,AR$5,0))))</f>
        <v>18.81</v>
      </c>
      <c r="AS423" s="118" t="str">
        <f>IF(AS$6="","",IF(AS$3="Maior",IFERROR(IF(VLOOKUP($N423,Capa!$A:$AE,AS$5,0)="",0,VLOOKUP($N423,Capa!$A:$AE,AS$5,0)),0),IF(ISERROR(1/VLOOKUP($N423,Capa!$A:$AE,AS$5,0)),0,1/VLOOKUP($N423,Capa!$A:$AE,AS$5,0))))</f>
        <v/>
      </c>
      <c r="AT423" s="118" t="str">
        <f>IF(AT$6="","",IF(AT$3="Maior",IFERROR(IF(VLOOKUP($N423,Capa!$A:$AE,AT$5,0)="",0,VLOOKUP($N423,Capa!$A:$AE,AT$5,0)),0),IF(ISERROR(1/VLOOKUP($N423,Capa!$A:$AE,AT$5,0)),0,1/VLOOKUP($N423,Capa!$A:$AE,AT$5,0))))</f>
        <v/>
      </c>
      <c r="AU423" s="118" t="str">
        <f>IF(AU$6="","",IF(AU$3="Maior",IFERROR(IF(VLOOKUP($N423,Capa!$A:$AE,AU$5,0)="",0,VLOOKUP($N423,Capa!$A:$AE,AU$5,0)),0),IF(ISERROR(1/VLOOKUP($N423,Capa!$A:$AE,AU$5,0)),0,1/VLOOKUP($N423,Capa!$A:$AE,AU$5,0))))</f>
        <v/>
      </c>
      <c r="AV423" s="118" t="str">
        <f>IF(AV$6="","",IF(AV$3="Maior",IFERROR(IF(VLOOKUP($N423,Capa!$A:$AE,AV$5,0)="",0,VLOOKUP($N423,Capa!$A:$AE,AV$5,0)),0),IF(ISERROR(1/VLOOKUP($N423,Capa!$A:$AE,AV$5,0)),0,1/VLOOKUP($N423,Capa!$A:$AE,AV$5,0))))</f>
        <v/>
      </c>
      <c r="AW423" s="118" t="str">
        <f>IF(AW$6="","",IF(AW$3="Maior",IFERROR(IF(VLOOKUP($N423,Capa!$A:$AE,AW$5,0)="",0,VLOOKUP($N423,Capa!$A:$AE,AW$5,0)),0),IF(ISERROR(1/VLOOKUP($N423,Capa!$A:$AE,AW$5,0)),0,1/VLOOKUP($N423,Capa!$A:$AE,AW$5,0))))</f>
        <v/>
      </c>
      <c r="AX423" s="118" t="str">
        <f>IF(AX$6="","",IF(AX$3="Maior",IFERROR(IF(VLOOKUP($N423,Capa!$A:$AE,AX$5,0)="",0,VLOOKUP($N423,Capa!$A:$AE,AX$5,0)),0),IF(ISERROR(1/VLOOKUP($N423,Capa!$A:$AE,AX$5,0)),0,1/VLOOKUP($N423,Capa!$A:$AE,AX$5,0))))</f>
        <v/>
      </c>
      <c r="AY423" s="118" t="str">
        <f>IF(AY$6="","",IF(AY$3="Maior",IFERROR(IF(VLOOKUP($N423,Capa!$A:$AE,AY$5,0)="",0,VLOOKUP($N423,Capa!$A:$AE,AY$5,0)),0),IF(ISERROR(1/VLOOKUP($N423,Capa!$A:$AE,AY$5,0)),0,1/VLOOKUP($N423,Capa!$A:$AE,AY$5,0))))</f>
        <v/>
      </c>
      <c r="AZ423" s="118" t="str">
        <f>IF(AZ$6="","",IF(AZ$3="Maior",IFERROR(IF(VLOOKUP($N423,Capa!$A:$AE,AZ$5,0)="",0,VLOOKUP($N423,Capa!$A:$AE,AZ$5,0)),0),IF(ISERROR(1/VLOOKUP($N423,Capa!$A:$AE,AZ$5,0)),0,1/VLOOKUP($N423,Capa!$A:$AE,AZ$5,0))))</f>
        <v/>
      </c>
      <c r="BA423" s="118" t="str">
        <f>IF(BA$6="","",IF(BA$3="Maior",IFERROR(IF(VLOOKUP($N423,Capa!$A:$AE,BA$5,0)="",0,VLOOKUP($N423,Capa!$A:$AE,BA$5,0)),0),IF(ISERROR(1/VLOOKUP($N423,Capa!$A:$AE,BA$5,0)),0,1/VLOOKUP($N423,Capa!$A:$AE,BA$5,0))))</f>
        <v/>
      </c>
      <c r="BB423" s="118" t="str">
        <f>IF(BB$6="","",IF(BB$3="Maior",IFERROR(IF(VLOOKUP($N423,Capa!$A:$AE,BB$5,0)="",0,VLOOKUP($N423,Capa!$A:$AE,BB$5,0)),0),IF(ISERROR(1/VLOOKUP($N423,Capa!$A:$AE,BB$5,0)),0,1/VLOOKUP($N423,Capa!$A:$AE,BB$5,0))))</f>
        <v/>
      </c>
      <c r="BC423" s="118" t="str">
        <f>IF(BC$6="","",IF(BC$3="Maior",IFERROR(IF(VLOOKUP($N423,Capa!$A:$AE,BC$5,0)="",0,VLOOKUP($N423,Capa!$A:$AE,BC$5,0)),0),IF(ISERROR(1/VLOOKUP($N423,Capa!$A:$AE,BC$5,0)),0,1/VLOOKUP($N423,Capa!$A:$AE,BC$5,0))))</f>
        <v/>
      </c>
      <c r="BD423" s="118" t="str">
        <f>IF(BD$6="","",IF(BD$3="Maior",IFERROR(IF(VLOOKUP($N423,Capa!$A:$AE,BD$5,0)="",0,VLOOKUP($N423,Capa!$A:$AE,BD$5,0)),0),IF(ISERROR(1/VLOOKUP($N423,Capa!$A:$AE,BD$5,0)),0,1/VLOOKUP($N423,Capa!$A:$AE,BD$5,0))))</f>
        <v/>
      </c>
      <c r="BE423" s="118" t="str">
        <f>IF(BE$6="","",IF(BE$3="Maior",IFERROR(IF(VLOOKUP($N423,Capa!$A:$AE,BE$5,0)="",0,VLOOKUP($N423,Capa!$A:$AE,BE$5,0)),0),IF(ISERROR(1/VLOOKUP($N423,Capa!$A:$AE,BE$5,0)),0,1/VLOOKUP($N423,Capa!$A:$AE,BE$5,0))))</f>
        <v/>
      </c>
      <c r="BF423" s="118" t="str">
        <f>IF(BF$6="","",IF(BF$3="Maior",IFERROR(IF(VLOOKUP($N423,Capa!$A:$AE,BF$5,0)="",0,VLOOKUP($N423,Capa!$A:$AE,BF$5,0)),0),IF(ISERROR(1/VLOOKUP($N423,Capa!$A:$AE,BF$5,0)),0,1/VLOOKUP($N423,Capa!$A:$AE,BF$5,0))))</f>
        <v/>
      </c>
      <c r="BG423" s="118" t="str">
        <f>IF(BG$6="","",IF(BG$3="Maior",IFERROR(IF(VLOOKUP($N423,Capa!$A:$AE,BG$5,0)="",0,VLOOKUP($N423,Capa!$A:$AE,BG$5,0)),0),IF(ISERROR(1/VLOOKUP($N423,Capa!$A:$AE,BG$5,0)),0,1/VLOOKUP($N423,Capa!$A:$AE,BG$5,0))))</f>
        <v/>
      </c>
      <c r="BH423" s="118" t="str">
        <f>IF(BH$6="","",IF(BH$3="Maior",IFERROR(IF(VLOOKUP($N423,Capa!$A:$AE,BH$5,0)="",0,VLOOKUP($N423,Capa!$A:$AE,BH$5,0)),0),IF(ISERROR(1/VLOOKUP($N423,Capa!$A:$AE,BH$5,0)),0,1/VLOOKUP($N423,Capa!$A:$AE,BH$5,0))))</f>
        <v/>
      </c>
      <c r="BI423" s="118" t="str">
        <f>IF(BI$6="","",IF(BI$3="Maior",IFERROR(IF(VLOOKUP($N423,Capa!$A:$AE,BI$5,0)="",0,VLOOKUP($N423,Capa!$A:$AE,BI$5,0)),0),IF(ISERROR(1/VLOOKUP($N423,Capa!$A:$AE,BI$5,0)),0,1/VLOOKUP($N423,Capa!$A:$AE,BI$5,0))))</f>
        <v/>
      </c>
      <c r="BJ423" s="118" t="str">
        <f>IF(BJ$6="","",IF(BJ$3="Maior",IFERROR(IF(VLOOKUP($N423,Capa!$A:$AE,BJ$5,0)="",0,VLOOKUP($N423,Capa!$A:$AE,BJ$5,0)),0),IF(ISERROR(1/VLOOKUP($N423,Capa!$A:$AE,BJ$5,0)),0,1/VLOOKUP($N423,Capa!$A:$AE,BJ$5,0))))</f>
        <v/>
      </c>
      <c r="BK423" s="118" t="str">
        <f>IF(BK$6="","",IF(BK$3="Maior",IFERROR(IF(VLOOKUP($N423,Capa!$A:$AE,BK$5,0)="",0,VLOOKUP($N423,Capa!$A:$AE,BK$5,0)),0),IF(ISERROR(1/VLOOKUP($N423,Capa!$A:$AE,BK$5,0)),0,1/VLOOKUP($N423,Capa!$A:$AE,BK$5,0))))</f>
        <v/>
      </c>
      <c r="BL423" s="118" t="str">
        <f>IF(BL$6="","",IF(BL$3="Maior",IFERROR(IF(VLOOKUP($N423,Capa!$A:$AE,BL$5,0)="",0,VLOOKUP($N423,Capa!$A:$AE,BL$5,0)),0),IF(ISERROR(1/VLOOKUP($N423,Capa!$A:$AE,BL$5,0)),0,1/VLOOKUP($N423,Capa!$A:$AE,BL$5,0))))</f>
        <v/>
      </c>
      <c r="BM423" s="118" t="str">
        <f>IF(BM$6="","",IF(BM$3="Maior",IFERROR(IF(VLOOKUP($N423,Capa!$A:$AE,BM$5,0)="",0,VLOOKUP($N423,Capa!$A:$AE,BM$5,0)),0),IF(ISERROR(1/VLOOKUP($N423,Capa!$A:$AE,BM$5,0)),0,1/VLOOKUP($N423,Capa!$A:$AE,BM$5,0))))</f>
        <v/>
      </c>
      <c r="BN423" s="118" t="str">
        <f>IF(BN$6="","",IF(BN$3="Maior",IFERROR(IF(VLOOKUP($N423,Capa!$A:$AE,BN$5,0)="",0,VLOOKUP($N423,Capa!$A:$AE,BN$5,0)),0),IF(ISERROR(1/VLOOKUP($N423,Capa!$A:$AE,BN$5,0)),0,1/VLOOKUP($N423,Capa!$A:$AE,BN$5,0))))</f>
        <v/>
      </c>
      <c r="BO423" s="92"/>
    </row>
    <row r="424">
      <c r="G424" s="11"/>
      <c r="H424" s="11"/>
      <c r="I424" s="8"/>
      <c r="J424" s="132"/>
      <c r="K424" s="11"/>
      <c r="L424" s="11"/>
      <c r="M424" s="11"/>
      <c r="N424" s="10" t="s">
        <v>470</v>
      </c>
      <c r="O424" s="113">
        <f t="shared" si="8"/>
        <v>1334.0206</v>
      </c>
      <c r="P424" s="114">
        <f>VLOOKUP(N424,'Dados StatusInvest'!A:Z,26,0)</f>
        <v>24839.75</v>
      </c>
      <c r="Q424" s="115">
        <f t="shared" si="9"/>
        <v>206.0206</v>
      </c>
      <c r="R424" s="116">
        <f t="shared" ref="R424:AO424" si="427">IF(AQ424="","", RANK(AQ424,AQ$7:AQ$503,0))</f>
        <v>110</v>
      </c>
      <c r="S424" s="115">
        <f t="shared" si="427"/>
        <v>18</v>
      </c>
      <c r="T424" s="115" t="str">
        <f t="shared" si="427"/>
        <v/>
      </c>
      <c r="U424" s="115" t="str">
        <f t="shared" si="427"/>
        <v/>
      </c>
      <c r="V424" s="115" t="str">
        <f t="shared" si="427"/>
        <v/>
      </c>
      <c r="W424" s="115" t="str">
        <f t="shared" si="427"/>
        <v/>
      </c>
      <c r="X424" s="115" t="str">
        <f t="shared" si="427"/>
        <v/>
      </c>
      <c r="Y424" s="115" t="str">
        <f t="shared" si="427"/>
        <v/>
      </c>
      <c r="Z424" s="115" t="str">
        <f t="shared" si="427"/>
        <v/>
      </c>
      <c r="AA424" s="115" t="str">
        <f t="shared" si="427"/>
        <v/>
      </c>
      <c r="AB424" s="115" t="str">
        <f t="shared" si="427"/>
        <v/>
      </c>
      <c r="AC424" s="115" t="str">
        <f t="shared" si="427"/>
        <v/>
      </c>
      <c r="AD424" s="115" t="str">
        <f t="shared" si="427"/>
        <v/>
      </c>
      <c r="AE424" s="115" t="str">
        <f t="shared" si="427"/>
        <v/>
      </c>
      <c r="AF424" s="115" t="str">
        <f t="shared" si="427"/>
        <v/>
      </c>
      <c r="AG424" s="115" t="str">
        <f t="shared" si="427"/>
        <v/>
      </c>
      <c r="AH424" s="115" t="str">
        <f t="shared" si="427"/>
        <v/>
      </c>
      <c r="AI424" s="115" t="str">
        <f t="shared" si="427"/>
        <v/>
      </c>
      <c r="AJ424" s="115" t="str">
        <f t="shared" si="427"/>
        <v/>
      </c>
      <c r="AK424" s="115" t="str">
        <f t="shared" si="427"/>
        <v/>
      </c>
      <c r="AL424" s="115" t="str">
        <f t="shared" si="427"/>
        <v/>
      </c>
      <c r="AM424" s="115" t="str">
        <f t="shared" si="427"/>
        <v/>
      </c>
      <c r="AN424" s="115" t="str">
        <f t="shared" si="427"/>
        <v/>
      </c>
      <c r="AO424" s="115" t="str">
        <f t="shared" si="427"/>
        <v/>
      </c>
      <c r="AP424" s="117">
        <f>IF(AP$6="","",IF(AP$3="Maior",IFERROR(IF(VLOOKUP($N424,Capa!$A:$AE,AP$5,0)="",0,VLOOKUP($N424,Capa!$A:$AE,AP$5,0)),0),IF(ISERROR(1/VLOOKUP($N424,Capa!$A:$AE,AP$5,0)),0,1/VLOOKUP($N424,Capa!$A:$AE,AP$5,0))))</f>
        <v>0.1021151655</v>
      </c>
      <c r="AQ424" s="118">
        <f>IF(AQ$6="","",IF(AQ$3="Maior",IFERROR(IF(VLOOKUP($N424,Capa!$A:$AE,AQ$5,0)="",0,VLOOKUP($N424,Capa!$A:$AE,AQ$5,0)),0),IF(ISERROR(1/VLOOKUP($N424,Capa!$A:$AE,AQ$5,0)),0,1/VLOOKUP($N424,Capa!$A:$AE,AQ$5,0))))</f>
        <v>16.73</v>
      </c>
      <c r="AR424" s="118">
        <f>IF(AR$6="","",IF(AR$3="Maior",IFERROR(IF(VLOOKUP($N424,Capa!$A:$AE,AR$5,0)="",0,VLOOKUP($N424,Capa!$A:$AE,AR$5,0)),0),IF(ISERROR(1/VLOOKUP($N424,Capa!$A:$AE,AR$5,0)),0,1/VLOOKUP($N424,Capa!$A:$AE,AR$5,0))))</f>
        <v>87.64</v>
      </c>
      <c r="AS424" s="118" t="str">
        <f>IF(AS$6="","",IF(AS$3="Maior",IFERROR(IF(VLOOKUP($N424,Capa!$A:$AE,AS$5,0)="",0,VLOOKUP($N424,Capa!$A:$AE,AS$5,0)),0),IF(ISERROR(1/VLOOKUP($N424,Capa!$A:$AE,AS$5,0)),0,1/VLOOKUP($N424,Capa!$A:$AE,AS$5,0))))</f>
        <v/>
      </c>
      <c r="AT424" s="118" t="str">
        <f>IF(AT$6="","",IF(AT$3="Maior",IFERROR(IF(VLOOKUP($N424,Capa!$A:$AE,AT$5,0)="",0,VLOOKUP($N424,Capa!$A:$AE,AT$5,0)),0),IF(ISERROR(1/VLOOKUP($N424,Capa!$A:$AE,AT$5,0)),0,1/VLOOKUP($N424,Capa!$A:$AE,AT$5,0))))</f>
        <v/>
      </c>
      <c r="AU424" s="118" t="str">
        <f>IF(AU$6="","",IF(AU$3="Maior",IFERROR(IF(VLOOKUP($N424,Capa!$A:$AE,AU$5,0)="",0,VLOOKUP($N424,Capa!$A:$AE,AU$5,0)),0),IF(ISERROR(1/VLOOKUP($N424,Capa!$A:$AE,AU$5,0)),0,1/VLOOKUP($N424,Capa!$A:$AE,AU$5,0))))</f>
        <v/>
      </c>
      <c r="AV424" s="118" t="str">
        <f>IF(AV$6="","",IF(AV$3="Maior",IFERROR(IF(VLOOKUP($N424,Capa!$A:$AE,AV$5,0)="",0,VLOOKUP($N424,Capa!$A:$AE,AV$5,0)),0),IF(ISERROR(1/VLOOKUP($N424,Capa!$A:$AE,AV$5,0)),0,1/VLOOKUP($N424,Capa!$A:$AE,AV$5,0))))</f>
        <v/>
      </c>
      <c r="AW424" s="118" t="str">
        <f>IF(AW$6="","",IF(AW$3="Maior",IFERROR(IF(VLOOKUP($N424,Capa!$A:$AE,AW$5,0)="",0,VLOOKUP($N424,Capa!$A:$AE,AW$5,0)),0),IF(ISERROR(1/VLOOKUP($N424,Capa!$A:$AE,AW$5,0)),0,1/VLOOKUP($N424,Capa!$A:$AE,AW$5,0))))</f>
        <v/>
      </c>
      <c r="AX424" s="118" t="str">
        <f>IF(AX$6="","",IF(AX$3="Maior",IFERROR(IF(VLOOKUP($N424,Capa!$A:$AE,AX$5,0)="",0,VLOOKUP($N424,Capa!$A:$AE,AX$5,0)),0),IF(ISERROR(1/VLOOKUP($N424,Capa!$A:$AE,AX$5,0)),0,1/VLOOKUP($N424,Capa!$A:$AE,AX$5,0))))</f>
        <v/>
      </c>
      <c r="AY424" s="118" t="str">
        <f>IF(AY$6="","",IF(AY$3="Maior",IFERROR(IF(VLOOKUP($N424,Capa!$A:$AE,AY$5,0)="",0,VLOOKUP($N424,Capa!$A:$AE,AY$5,0)),0),IF(ISERROR(1/VLOOKUP($N424,Capa!$A:$AE,AY$5,0)),0,1/VLOOKUP($N424,Capa!$A:$AE,AY$5,0))))</f>
        <v/>
      </c>
      <c r="AZ424" s="118" t="str">
        <f>IF(AZ$6="","",IF(AZ$3="Maior",IFERROR(IF(VLOOKUP($N424,Capa!$A:$AE,AZ$5,0)="",0,VLOOKUP($N424,Capa!$A:$AE,AZ$5,0)),0),IF(ISERROR(1/VLOOKUP($N424,Capa!$A:$AE,AZ$5,0)),0,1/VLOOKUP($N424,Capa!$A:$AE,AZ$5,0))))</f>
        <v/>
      </c>
      <c r="BA424" s="118" t="str">
        <f>IF(BA$6="","",IF(BA$3="Maior",IFERROR(IF(VLOOKUP($N424,Capa!$A:$AE,BA$5,0)="",0,VLOOKUP($N424,Capa!$A:$AE,BA$5,0)),0),IF(ISERROR(1/VLOOKUP($N424,Capa!$A:$AE,BA$5,0)),0,1/VLOOKUP($N424,Capa!$A:$AE,BA$5,0))))</f>
        <v/>
      </c>
      <c r="BB424" s="118" t="str">
        <f>IF(BB$6="","",IF(BB$3="Maior",IFERROR(IF(VLOOKUP($N424,Capa!$A:$AE,BB$5,0)="",0,VLOOKUP($N424,Capa!$A:$AE,BB$5,0)),0),IF(ISERROR(1/VLOOKUP($N424,Capa!$A:$AE,BB$5,0)),0,1/VLOOKUP($N424,Capa!$A:$AE,BB$5,0))))</f>
        <v/>
      </c>
      <c r="BC424" s="118" t="str">
        <f>IF(BC$6="","",IF(BC$3="Maior",IFERROR(IF(VLOOKUP($N424,Capa!$A:$AE,BC$5,0)="",0,VLOOKUP($N424,Capa!$A:$AE,BC$5,0)),0),IF(ISERROR(1/VLOOKUP($N424,Capa!$A:$AE,BC$5,0)),0,1/VLOOKUP($N424,Capa!$A:$AE,BC$5,0))))</f>
        <v/>
      </c>
      <c r="BD424" s="118" t="str">
        <f>IF(BD$6="","",IF(BD$3="Maior",IFERROR(IF(VLOOKUP($N424,Capa!$A:$AE,BD$5,0)="",0,VLOOKUP($N424,Capa!$A:$AE,BD$5,0)),0),IF(ISERROR(1/VLOOKUP($N424,Capa!$A:$AE,BD$5,0)),0,1/VLOOKUP($N424,Capa!$A:$AE,BD$5,0))))</f>
        <v/>
      </c>
      <c r="BE424" s="118" t="str">
        <f>IF(BE$6="","",IF(BE$3="Maior",IFERROR(IF(VLOOKUP($N424,Capa!$A:$AE,BE$5,0)="",0,VLOOKUP($N424,Capa!$A:$AE,BE$5,0)),0),IF(ISERROR(1/VLOOKUP($N424,Capa!$A:$AE,BE$5,0)),0,1/VLOOKUP($N424,Capa!$A:$AE,BE$5,0))))</f>
        <v/>
      </c>
      <c r="BF424" s="118" t="str">
        <f>IF(BF$6="","",IF(BF$3="Maior",IFERROR(IF(VLOOKUP($N424,Capa!$A:$AE,BF$5,0)="",0,VLOOKUP($N424,Capa!$A:$AE,BF$5,0)),0),IF(ISERROR(1/VLOOKUP($N424,Capa!$A:$AE,BF$5,0)),0,1/VLOOKUP($N424,Capa!$A:$AE,BF$5,0))))</f>
        <v/>
      </c>
      <c r="BG424" s="118" t="str">
        <f>IF(BG$6="","",IF(BG$3="Maior",IFERROR(IF(VLOOKUP($N424,Capa!$A:$AE,BG$5,0)="",0,VLOOKUP($N424,Capa!$A:$AE,BG$5,0)),0),IF(ISERROR(1/VLOOKUP($N424,Capa!$A:$AE,BG$5,0)),0,1/VLOOKUP($N424,Capa!$A:$AE,BG$5,0))))</f>
        <v/>
      </c>
      <c r="BH424" s="118" t="str">
        <f>IF(BH$6="","",IF(BH$3="Maior",IFERROR(IF(VLOOKUP($N424,Capa!$A:$AE,BH$5,0)="",0,VLOOKUP($N424,Capa!$A:$AE,BH$5,0)),0),IF(ISERROR(1/VLOOKUP($N424,Capa!$A:$AE,BH$5,0)),0,1/VLOOKUP($N424,Capa!$A:$AE,BH$5,0))))</f>
        <v/>
      </c>
      <c r="BI424" s="118" t="str">
        <f>IF(BI$6="","",IF(BI$3="Maior",IFERROR(IF(VLOOKUP($N424,Capa!$A:$AE,BI$5,0)="",0,VLOOKUP($N424,Capa!$A:$AE,BI$5,0)),0),IF(ISERROR(1/VLOOKUP($N424,Capa!$A:$AE,BI$5,0)),0,1/VLOOKUP($N424,Capa!$A:$AE,BI$5,0))))</f>
        <v/>
      </c>
      <c r="BJ424" s="118" t="str">
        <f>IF(BJ$6="","",IF(BJ$3="Maior",IFERROR(IF(VLOOKUP($N424,Capa!$A:$AE,BJ$5,0)="",0,VLOOKUP($N424,Capa!$A:$AE,BJ$5,0)),0),IF(ISERROR(1/VLOOKUP($N424,Capa!$A:$AE,BJ$5,0)),0,1/VLOOKUP($N424,Capa!$A:$AE,BJ$5,0))))</f>
        <v/>
      </c>
      <c r="BK424" s="118" t="str">
        <f>IF(BK$6="","",IF(BK$3="Maior",IFERROR(IF(VLOOKUP($N424,Capa!$A:$AE,BK$5,0)="",0,VLOOKUP($N424,Capa!$A:$AE,BK$5,0)),0),IF(ISERROR(1/VLOOKUP($N424,Capa!$A:$AE,BK$5,0)),0,1/VLOOKUP($N424,Capa!$A:$AE,BK$5,0))))</f>
        <v/>
      </c>
      <c r="BL424" s="118" t="str">
        <f>IF(BL$6="","",IF(BL$3="Maior",IFERROR(IF(VLOOKUP($N424,Capa!$A:$AE,BL$5,0)="",0,VLOOKUP($N424,Capa!$A:$AE,BL$5,0)),0),IF(ISERROR(1/VLOOKUP($N424,Capa!$A:$AE,BL$5,0)),0,1/VLOOKUP($N424,Capa!$A:$AE,BL$5,0))))</f>
        <v/>
      </c>
      <c r="BM424" s="118" t="str">
        <f>IF(BM$6="","",IF(BM$3="Maior",IFERROR(IF(VLOOKUP($N424,Capa!$A:$AE,BM$5,0)="",0,VLOOKUP($N424,Capa!$A:$AE,BM$5,0)),0),IF(ISERROR(1/VLOOKUP($N424,Capa!$A:$AE,BM$5,0)),0,1/VLOOKUP($N424,Capa!$A:$AE,BM$5,0))))</f>
        <v/>
      </c>
      <c r="BN424" s="118" t="str">
        <f>IF(BN$6="","",IF(BN$3="Maior",IFERROR(IF(VLOOKUP($N424,Capa!$A:$AE,BN$5,0)="",0,VLOOKUP($N424,Capa!$A:$AE,BN$5,0)),0),IF(ISERROR(1/VLOOKUP($N424,Capa!$A:$AE,BN$5,0)),0,1/VLOOKUP($N424,Capa!$A:$AE,BN$5,0))))</f>
        <v/>
      </c>
      <c r="BO424" s="92"/>
    </row>
    <row r="425">
      <c r="G425" s="11"/>
      <c r="H425" s="11"/>
      <c r="I425" s="8"/>
      <c r="J425" s="132"/>
      <c r="K425" s="11"/>
      <c r="L425" s="11"/>
      <c r="M425" s="11"/>
      <c r="N425" s="10" t="s">
        <v>471</v>
      </c>
      <c r="O425" s="113">
        <f t="shared" si="8"/>
        <v>1312.006</v>
      </c>
      <c r="P425" s="114">
        <f>VLOOKUP(N425,'Dados StatusInvest'!A:Z,26,0)</f>
        <v>37288.6</v>
      </c>
      <c r="Q425" s="115">
        <f t="shared" si="9"/>
        <v>60.006</v>
      </c>
      <c r="R425" s="116">
        <f t="shared" ref="R425:AO425" si="428">IF(AQ425="","", RANK(AQ425,AQ$7:AQ$503,0))</f>
        <v>178</v>
      </c>
      <c r="S425" s="115">
        <f t="shared" si="428"/>
        <v>74</v>
      </c>
      <c r="T425" s="115" t="str">
        <f t="shared" si="428"/>
        <v/>
      </c>
      <c r="U425" s="115" t="str">
        <f t="shared" si="428"/>
        <v/>
      </c>
      <c r="V425" s="115" t="str">
        <f t="shared" si="428"/>
        <v/>
      </c>
      <c r="W425" s="115" t="str">
        <f t="shared" si="428"/>
        <v/>
      </c>
      <c r="X425" s="115" t="str">
        <f t="shared" si="428"/>
        <v/>
      </c>
      <c r="Y425" s="115" t="str">
        <f t="shared" si="428"/>
        <v/>
      </c>
      <c r="Z425" s="115" t="str">
        <f t="shared" si="428"/>
        <v/>
      </c>
      <c r="AA425" s="115" t="str">
        <f t="shared" si="428"/>
        <v/>
      </c>
      <c r="AB425" s="115" t="str">
        <f t="shared" si="428"/>
        <v/>
      </c>
      <c r="AC425" s="115" t="str">
        <f t="shared" si="428"/>
        <v/>
      </c>
      <c r="AD425" s="115" t="str">
        <f t="shared" si="428"/>
        <v/>
      </c>
      <c r="AE425" s="115" t="str">
        <f t="shared" si="428"/>
        <v/>
      </c>
      <c r="AF425" s="115" t="str">
        <f t="shared" si="428"/>
        <v/>
      </c>
      <c r="AG425" s="115" t="str">
        <f t="shared" si="428"/>
        <v/>
      </c>
      <c r="AH425" s="115" t="str">
        <f t="shared" si="428"/>
        <v/>
      </c>
      <c r="AI425" s="115" t="str">
        <f t="shared" si="428"/>
        <v/>
      </c>
      <c r="AJ425" s="115" t="str">
        <f t="shared" si="428"/>
        <v/>
      </c>
      <c r="AK425" s="115" t="str">
        <f t="shared" si="428"/>
        <v/>
      </c>
      <c r="AL425" s="115" t="str">
        <f t="shared" si="428"/>
        <v/>
      </c>
      <c r="AM425" s="115" t="str">
        <f t="shared" si="428"/>
        <v/>
      </c>
      <c r="AN425" s="115" t="str">
        <f t="shared" si="428"/>
        <v/>
      </c>
      <c r="AO425" s="115" t="str">
        <f t="shared" si="428"/>
        <v/>
      </c>
      <c r="AP425" s="117">
        <f>IF(AP$6="","",IF(AP$3="Maior",IFERROR(IF(VLOOKUP($N425,Capa!$A:$AE,AP$5,0)="",0,VLOOKUP($N425,Capa!$A:$AE,AP$5,0)),0),IF(ISERROR(1/VLOOKUP($N425,Capa!$A:$AE,AP$5,0)),0,1/VLOOKUP($N425,Capa!$A:$AE,AP$5,0))))</f>
        <v>0.2338230062</v>
      </c>
      <c r="AQ425" s="118">
        <f>IF(AQ$6="","",IF(AQ$3="Maior",IFERROR(IF(VLOOKUP($N425,Capa!$A:$AE,AQ$5,0)="",0,VLOOKUP($N425,Capa!$A:$AE,AQ$5,0)),0),IF(ISERROR(1/VLOOKUP($N425,Capa!$A:$AE,AQ$5,0)),0,1/VLOOKUP($N425,Capa!$A:$AE,AQ$5,0))))</f>
        <v>12.55</v>
      </c>
      <c r="AR425" s="118">
        <f>IF(AR$6="","",IF(AR$3="Maior",IFERROR(IF(VLOOKUP($N425,Capa!$A:$AE,AR$5,0)="",0,VLOOKUP($N425,Capa!$A:$AE,AR$5,0)),0),IF(ISERROR(1/VLOOKUP($N425,Capa!$A:$AE,AR$5,0)),0,1/VLOOKUP($N425,Capa!$A:$AE,AR$5,0))))</f>
        <v>36.24</v>
      </c>
      <c r="AS425" s="118" t="str">
        <f>IF(AS$6="","",IF(AS$3="Maior",IFERROR(IF(VLOOKUP($N425,Capa!$A:$AE,AS$5,0)="",0,VLOOKUP($N425,Capa!$A:$AE,AS$5,0)),0),IF(ISERROR(1/VLOOKUP($N425,Capa!$A:$AE,AS$5,0)),0,1/VLOOKUP($N425,Capa!$A:$AE,AS$5,0))))</f>
        <v/>
      </c>
      <c r="AT425" s="118" t="str">
        <f>IF(AT$6="","",IF(AT$3="Maior",IFERROR(IF(VLOOKUP($N425,Capa!$A:$AE,AT$5,0)="",0,VLOOKUP($N425,Capa!$A:$AE,AT$5,0)),0),IF(ISERROR(1/VLOOKUP($N425,Capa!$A:$AE,AT$5,0)),0,1/VLOOKUP($N425,Capa!$A:$AE,AT$5,0))))</f>
        <v/>
      </c>
      <c r="AU425" s="118" t="str">
        <f>IF(AU$6="","",IF(AU$3="Maior",IFERROR(IF(VLOOKUP($N425,Capa!$A:$AE,AU$5,0)="",0,VLOOKUP($N425,Capa!$A:$AE,AU$5,0)),0),IF(ISERROR(1/VLOOKUP($N425,Capa!$A:$AE,AU$5,0)),0,1/VLOOKUP($N425,Capa!$A:$AE,AU$5,0))))</f>
        <v/>
      </c>
      <c r="AV425" s="118" t="str">
        <f>IF(AV$6="","",IF(AV$3="Maior",IFERROR(IF(VLOOKUP($N425,Capa!$A:$AE,AV$5,0)="",0,VLOOKUP($N425,Capa!$A:$AE,AV$5,0)),0),IF(ISERROR(1/VLOOKUP($N425,Capa!$A:$AE,AV$5,0)),0,1/VLOOKUP($N425,Capa!$A:$AE,AV$5,0))))</f>
        <v/>
      </c>
      <c r="AW425" s="118" t="str">
        <f>IF(AW$6="","",IF(AW$3="Maior",IFERROR(IF(VLOOKUP($N425,Capa!$A:$AE,AW$5,0)="",0,VLOOKUP($N425,Capa!$A:$AE,AW$5,0)),0),IF(ISERROR(1/VLOOKUP($N425,Capa!$A:$AE,AW$5,0)),0,1/VLOOKUP($N425,Capa!$A:$AE,AW$5,0))))</f>
        <v/>
      </c>
      <c r="AX425" s="118" t="str">
        <f>IF(AX$6="","",IF(AX$3="Maior",IFERROR(IF(VLOOKUP($N425,Capa!$A:$AE,AX$5,0)="",0,VLOOKUP($N425,Capa!$A:$AE,AX$5,0)),0),IF(ISERROR(1/VLOOKUP($N425,Capa!$A:$AE,AX$5,0)),0,1/VLOOKUP($N425,Capa!$A:$AE,AX$5,0))))</f>
        <v/>
      </c>
      <c r="AY425" s="118" t="str">
        <f>IF(AY$6="","",IF(AY$3="Maior",IFERROR(IF(VLOOKUP($N425,Capa!$A:$AE,AY$5,0)="",0,VLOOKUP($N425,Capa!$A:$AE,AY$5,0)),0),IF(ISERROR(1/VLOOKUP($N425,Capa!$A:$AE,AY$5,0)),0,1/VLOOKUP($N425,Capa!$A:$AE,AY$5,0))))</f>
        <v/>
      </c>
      <c r="AZ425" s="118" t="str">
        <f>IF(AZ$6="","",IF(AZ$3="Maior",IFERROR(IF(VLOOKUP($N425,Capa!$A:$AE,AZ$5,0)="",0,VLOOKUP($N425,Capa!$A:$AE,AZ$5,0)),0),IF(ISERROR(1/VLOOKUP($N425,Capa!$A:$AE,AZ$5,0)),0,1/VLOOKUP($N425,Capa!$A:$AE,AZ$5,0))))</f>
        <v/>
      </c>
      <c r="BA425" s="118" t="str">
        <f>IF(BA$6="","",IF(BA$3="Maior",IFERROR(IF(VLOOKUP($N425,Capa!$A:$AE,BA$5,0)="",0,VLOOKUP($N425,Capa!$A:$AE,BA$5,0)),0),IF(ISERROR(1/VLOOKUP($N425,Capa!$A:$AE,BA$5,0)),0,1/VLOOKUP($N425,Capa!$A:$AE,BA$5,0))))</f>
        <v/>
      </c>
      <c r="BB425" s="118" t="str">
        <f>IF(BB$6="","",IF(BB$3="Maior",IFERROR(IF(VLOOKUP($N425,Capa!$A:$AE,BB$5,0)="",0,VLOOKUP($N425,Capa!$A:$AE,BB$5,0)),0),IF(ISERROR(1/VLOOKUP($N425,Capa!$A:$AE,BB$5,0)),0,1/VLOOKUP($N425,Capa!$A:$AE,BB$5,0))))</f>
        <v/>
      </c>
      <c r="BC425" s="118" t="str">
        <f>IF(BC$6="","",IF(BC$3="Maior",IFERROR(IF(VLOOKUP($N425,Capa!$A:$AE,BC$5,0)="",0,VLOOKUP($N425,Capa!$A:$AE,BC$5,0)),0),IF(ISERROR(1/VLOOKUP($N425,Capa!$A:$AE,BC$5,0)),0,1/VLOOKUP($N425,Capa!$A:$AE,BC$5,0))))</f>
        <v/>
      </c>
      <c r="BD425" s="118" t="str">
        <f>IF(BD$6="","",IF(BD$3="Maior",IFERROR(IF(VLOOKUP($N425,Capa!$A:$AE,BD$5,0)="",0,VLOOKUP($N425,Capa!$A:$AE,BD$5,0)),0),IF(ISERROR(1/VLOOKUP($N425,Capa!$A:$AE,BD$5,0)),0,1/VLOOKUP($N425,Capa!$A:$AE,BD$5,0))))</f>
        <v/>
      </c>
      <c r="BE425" s="118" t="str">
        <f>IF(BE$6="","",IF(BE$3="Maior",IFERROR(IF(VLOOKUP($N425,Capa!$A:$AE,BE$5,0)="",0,VLOOKUP($N425,Capa!$A:$AE,BE$5,0)),0),IF(ISERROR(1/VLOOKUP($N425,Capa!$A:$AE,BE$5,0)),0,1/VLOOKUP($N425,Capa!$A:$AE,BE$5,0))))</f>
        <v/>
      </c>
      <c r="BF425" s="118" t="str">
        <f>IF(BF$6="","",IF(BF$3="Maior",IFERROR(IF(VLOOKUP($N425,Capa!$A:$AE,BF$5,0)="",0,VLOOKUP($N425,Capa!$A:$AE,BF$5,0)),0),IF(ISERROR(1/VLOOKUP($N425,Capa!$A:$AE,BF$5,0)),0,1/VLOOKUP($N425,Capa!$A:$AE,BF$5,0))))</f>
        <v/>
      </c>
      <c r="BG425" s="118" t="str">
        <f>IF(BG$6="","",IF(BG$3="Maior",IFERROR(IF(VLOOKUP($N425,Capa!$A:$AE,BG$5,0)="",0,VLOOKUP($N425,Capa!$A:$AE,BG$5,0)),0),IF(ISERROR(1/VLOOKUP($N425,Capa!$A:$AE,BG$5,0)),0,1/VLOOKUP($N425,Capa!$A:$AE,BG$5,0))))</f>
        <v/>
      </c>
      <c r="BH425" s="118" t="str">
        <f>IF(BH$6="","",IF(BH$3="Maior",IFERROR(IF(VLOOKUP($N425,Capa!$A:$AE,BH$5,0)="",0,VLOOKUP($N425,Capa!$A:$AE,BH$5,0)),0),IF(ISERROR(1/VLOOKUP($N425,Capa!$A:$AE,BH$5,0)),0,1/VLOOKUP($N425,Capa!$A:$AE,BH$5,0))))</f>
        <v/>
      </c>
      <c r="BI425" s="118" t="str">
        <f>IF(BI$6="","",IF(BI$3="Maior",IFERROR(IF(VLOOKUP($N425,Capa!$A:$AE,BI$5,0)="",0,VLOOKUP($N425,Capa!$A:$AE,BI$5,0)),0),IF(ISERROR(1/VLOOKUP($N425,Capa!$A:$AE,BI$5,0)),0,1/VLOOKUP($N425,Capa!$A:$AE,BI$5,0))))</f>
        <v/>
      </c>
      <c r="BJ425" s="118" t="str">
        <f>IF(BJ$6="","",IF(BJ$3="Maior",IFERROR(IF(VLOOKUP($N425,Capa!$A:$AE,BJ$5,0)="",0,VLOOKUP($N425,Capa!$A:$AE,BJ$5,0)),0),IF(ISERROR(1/VLOOKUP($N425,Capa!$A:$AE,BJ$5,0)),0,1/VLOOKUP($N425,Capa!$A:$AE,BJ$5,0))))</f>
        <v/>
      </c>
      <c r="BK425" s="118" t="str">
        <f>IF(BK$6="","",IF(BK$3="Maior",IFERROR(IF(VLOOKUP($N425,Capa!$A:$AE,BK$5,0)="",0,VLOOKUP($N425,Capa!$A:$AE,BK$5,0)),0),IF(ISERROR(1/VLOOKUP($N425,Capa!$A:$AE,BK$5,0)),0,1/VLOOKUP($N425,Capa!$A:$AE,BK$5,0))))</f>
        <v/>
      </c>
      <c r="BL425" s="118" t="str">
        <f>IF(BL$6="","",IF(BL$3="Maior",IFERROR(IF(VLOOKUP($N425,Capa!$A:$AE,BL$5,0)="",0,VLOOKUP($N425,Capa!$A:$AE,BL$5,0)),0),IF(ISERROR(1/VLOOKUP($N425,Capa!$A:$AE,BL$5,0)),0,1/VLOOKUP($N425,Capa!$A:$AE,BL$5,0))))</f>
        <v/>
      </c>
      <c r="BM425" s="118" t="str">
        <f>IF(BM$6="","",IF(BM$3="Maior",IFERROR(IF(VLOOKUP($N425,Capa!$A:$AE,BM$5,0)="",0,VLOOKUP($N425,Capa!$A:$AE,BM$5,0)),0),IF(ISERROR(1/VLOOKUP($N425,Capa!$A:$AE,BM$5,0)),0,1/VLOOKUP($N425,Capa!$A:$AE,BM$5,0))))</f>
        <v/>
      </c>
      <c r="BN425" s="118" t="str">
        <f>IF(BN$6="","",IF(BN$3="Maior",IFERROR(IF(VLOOKUP($N425,Capa!$A:$AE,BN$5,0)="",0,VLOOKUP($N425,Capa!$A:$AE,BN$5,0)),0),IF(ISERROR(1/VLOOKUP($N425,Capa!$A:$AE,BN$5,0)),0,1/VLOOKUP($N425,Capa!$A:$AE,BN$5,0))))</f>
        <v/>
      </c>
      <c r="BO425" s="92"/>
    </row>
    <row r="426">
      <c r="G426" s="11"/>
      <c r="H426" s="11"/>
      <c r="I426" s="8"/>
      <c r="J426" s="132"/>
      <c r="K426" s="11"/>
      <c r="L426" s="11"/>
      <c r="M426" s="11"/>
      <c r="N426" s="10" t="s">
        <v>472</v>
      </c>
      <c r="O426" s="113">
        <f t="shared" si="8"/>
        <v>1718.0489</v>
      </c>
      <c r="P426" s="114">
        <f>VLOOKUP(N426,'Dados StatusInvest'!A:Z,26,0)</f>
        <v>20281</v>
      </c>
      <c r="Q426" s="115">
        <f t="shared" si="9"/>
        <v>489.0489</v>
      </c>
      <c r="R426" s="116">
        <f t="shared" ref="R426:AO426" si="429">IF(AQ426="","", RANK(AQ426,AQ$7:AQ$503,0))</f>
        <v>10</v>
      </c>
      <c r="S426" s="115">
        <f t="shared" si="429"/>
        <v>219</v>
      </c>
      <c r="T426" s="115" t="str">
        <f t="shared" si="429"/>
        <v/>
      </c>
      <c r="U426" s="115" t="str">
        <f t="shared" si="429"/>
        <v/>
      </c>
      <c r="V426" s="115" t="str">
        <f t="shared" si="429"/>
        <v/>
      </c>
      <c r="W426" s="115" t="str">
        <f t="shared" si="429"/>
        <v/>
      </c>
      <c r="X426" s="115" t="str">
        <f t="shared" si="429"/>
        <v/>
      </c>
      <c r="Y426" s="115" t="str">
        <f t="shared" si="429"/>
        <v/>
      </c>
      <c r="Z426" s="115" t="str">
        <f t="shared" si="429"/>
        <v/>
      </c>
      <c r="AA426" s="115" t="str">
        <f t="shared" si="429"/>
        <v/>
      </c>
      <c r="AB426" s="115" t="str">
        <f t="shared" si="429"/>
        <v/>
      </c>
      <c r="AC426" s="115" t="str">
        <f t="shared" si="429"/>
        <v/>
      </c>
      <c r="AD426" s="115" t="str">
        <f t="shared" si="429"/>
        <v/>
      </c>
      <c r="AE426" s="115" t="str">
        <f t="shared" si="429"/>
        <v/>
      </c>
      <c r="AF426" s="115" t="str">
        <f t="shared" si="429"/>
        <v/>
      </c>
      <c r="AG426" s="115" t="str">
        <f t="shared" si="429"/>
        <v/>
      </c>
      <c r="AH426" s="115" t="str">
        <f t="shared" si="429"/>
        <v/>
      </c>
      <c r="AI426" s="115" t="str">
        <f t="shared" si="429"/>
        <v/>
      </c>
      <c r="AJ426" s="115" t="str">
        <f t="shared" si="429"/>
        <v/>
      </c>
      <c r="AK426" s="115" t="str">
        <f t="shared" si="429"/>
        <v/>
      </c>
      <c r="AL426" s="115" t="str">
        <f t="shared" si="429"/>
        <v/>
      </c>
      <c r="AM426" s="115" t="str">
        <f t="shared" si="429"/>
        <v/>
      </c>
      <c r="AN426" s="115" t="str">
        <f t="shared" si="429"/>
        <v/>
      </c>
      <c r="AO426" s="115" t="str">
        <f t="shared" si="429"/>
        <v/>
      </c>
      <c r="AP426" s="117">
        <f>IF(AP$6="","",IF(AP$3="Maior",IFERROR(IF(VLOOKUP($N426,Capa!$A:$AE,AP$5,0)="",0,VLOOKUP($N426,Capa!$A:$AE,AP$5,0)),0),IF(ISERROR(1/VLOOKUP($N426,Capa!$A:$AE,AP$5,0)),0,1/VLOOKUP($N426,Capa!$A:$AE,AP$5,0))))</f>
        <v>-0.4975124378</v>
      </c>
      <c r="AQ426" s="118">
        <f>IF(AQ$6="","",IF(AQ$3="Maior",IFERROR(IF(VLOOKUP($N426,Capa!$A:$AE,AQ$5,0)="",0,VLOOKUP($N426,Capa!$A:$AE,AQ$5,0)),0),IF(ISERROR(1/VLOOKUP($N426,Capa!$A:$AE,AQ$5,0)),0,1/VLOOKUP($N426,Capa!$A:$AE,AQ$5,0))))</f>
        <v>73.88</v>
      </c>
      <c r="AR426" s="118">
        <f>IF(AR$6="","",IF(AR$3="Maior",IFERROR(IF(VLOOKUP($N426,Capa!$A:$AE,AR$5,0)="",0,VLOOKUP($N426,Capa!$A:$AE,AR$5,0)),0),IF(ISERROR(1/VLOOKUP($N426,Capa!$A:$AE,AR$5,0)),0,1/VLOOKUP($N426,Capa!$A:$AE,AR$5,0))))</f>
        <v>0</v>
      </c>
      <c r="AS426" s="118" t="str">
        <f>IF(AS$6="","",IF(AS$3="Maior",IFERROR(IF(VLOOKUP($N426,Capa!$A:$AE,AS$5,0)="",0,VLOOKUP($N426,Capa!$A:$AE,AS$5,0)),0),IF(ISERROR(1/VLOOKUP($N426,Capa!$A:$AE,AS$5,0)),0,1/VLOOKUP($N426,Capa!$A:$AE,AS$5,0))))</f>
        <v/>
      </c>
      <c r="AT426" s="118" t="str">
        <f>IF(AT$6="","",IF(AT$3="Maior",IFERROR(IF(VLOOKUP($N426,Capa!$A:$AE,AT$5,0)="",0,VLOOKUP($N426,Capa!$A:$AE,AT$5,0)),0),IF(ISERROR(1/VLOOKUP($N426,Capa!$A:$AE,AT$5,0)),0,1/VLOOKUP($N426,Capa!$A:$AE,AT$5,0))))</f>
        <v/>
      </c>
      <c r="AU426" s="118" t="str">
        <f>IF(AU$6="","",IF(AU$3="Maior",IFERROR(IF(VLOOKUP($N426,Capa!$A:$AE,AU$5,0)="",0,VLOOKUP($N426,Capa!$A:$AE,AU$5,0)),0),IF(ISERROR(1/VLOOKUP($N426,Capa!$A:$AE,AU$5,0)),0,1/VLOOKUP($N426,Capa!$A:$AE,AU$5,0))))</f>
        <v/>
      </c>
      <c r="AV426" s="118" t="str">
        <f>IF(AV$6="","",IF(AV$3="Maior",IFERROR(IF(VLOOKUP($N426,Capa!$A:$AE,AV$5,0)="",0,VLOOKUP($N426,Capa!$A:$AE,AV$5,0)),0),IF(ISERROR(1/VLOOKUP($N426,Capa!$A:$AE,AV$5,0)),0,1/VLOOKUP($N426,Capa!$A:$AE,AV$5,0))))</f>
        <v/>
      </c>
      <c r="AW426" s="118" t="str">
        <f>IF(AW$6="","",IF(AW$3="Maior",IFERROR(IF(VLOOKUP($N426,Capa!$A:$AE,AW$5,0)="",0,VLOOKUP($N426,Capa!$A:$AE,AW$5,0)),0),IF(ISERROR(1/VLOOKUP($N426,Capa!$A:$AE,AW$5,0)),0,1/VLOOKUP($N426,Capa!$A:$AE,AW$5,0))))</f>
        <v/>
      </c>
      <c r="AX426" s="118" t="str">
        <f>IF(AX$6="","",IF(AX$3="Maior",IFERROR(IF(VLOOKUP($N426,Capa!$A:$AE,AX$5,0)="",0,VLOOKUP($N426,Capa!$A:$AE,AX$5,0)),0),IF(ISERROR(1/VLOOKUP($N426,Capa!$A:$AE,AX$5,0)),0,1/VLOOKUP($N426,Capa!$A:$AE,AX$5,0))))</f>
        <v/>
      </c>
      <c r="AY426" s="118" t="str">
        <f>IF(AY$6="","",IF(AY$3="Maior",IFERROR(IF(VLOOKUP($N426,Capa!$A:$AE,AY$5,0)="",0,VLOOKUP($N426,Capa!$A:$AE,AY$5,0)),0),IF(ISERROR(1/VLOOKUP($N426,Capa!$A:$AE,AY$5,0)),0,1/VLOOKUP($N426,Capa!$A:$AE,AY$5,0))))</f>
        <v/>
      </c>
      <c r="AZ426" s="118" t="str">
        <f>IF(AZ$6="","",IF(AZ$3="Maior",IFERROR(IF(VLOOKUP($N426,Capa!$A:$AE,AZ$5,0)="",0,VLOOKUP($N426,Capa!$A:$AE,AZ$5,0)),0),IF(ISERROR(1/VLOOKUP($N426,Capa!$A:$AE,AZ$5,0)),0,1/VLOOKUP($N426,Capa!$A:$AE,AZ$5,0))))</f>
        <v/>
      </c>
      <c r="BA426" s="118" t="str">
        <f>IF(BA$6="","",IF(BA$3="Maior",IFERROR(IF(VLOOKUP($N426,Capa!$A:$AE,BA$5,0)="",0,VLOOKUP($N426,Capa!$A:$AE,BA$5,0)),0),IF(ISERROR(1/VLOOKUP($N426,Capa!$A:$AE,BA$5,0)),0,1/VLOOKUP($N426,Capa!$A:$AE,BA$5,0))))</f>
        <v/>
      </c>
      <c r="BB426" s="118" t="str">
        <f>IF(BB$6="","",IF(BB$3="Maior",IFERROR(IF(VLOOKUP($N426,Capa!$A:$AE,BB$5,0)="",0,VLOOKUP($N426,Capa!$A:$AE,BB$5,0)),0),IF(ISERROR(1/VLOOKUP($N426,Capa!$A:$AE,BB$5,0)),0,1/VLOOKUP($N426,Capa!$A:$AE,BB$5,0))))</f>
        <v/>
      </c>
      <c r="BC426" s="118" t="str">
        <f>IF(BC$6="","",IF(BC$3="Maior",IFERROR(IF(VLOOKUP($N426,Capa!$A:$AE,BC$5,0)="",0,VLOOKUP($N426,Capa!$A:$AE,BC$5,0)),0),IF(ISERROR(1/VLOOKUP($N426,Capa!$A:$AE,BC$5,0)),0,1/VLOOKUP($N426,Capa!$A:$AE,BC$5,0))))</f>
        <v/>
      </c>
      <c r="BD426" s="118" t="str">
        <f>IF(BD$6="","",IF(BD$3="Maior",IFERROR(IF(VLOOKUP($N426,Capa!$A:$AE,BD$5,0)="",0,VLOOKUP($N426,Capa!$A:$AE,BD$5,0)),0),IF(ISERROR(1/VLOOKUP($N426,Capa!$A:$AE,BD$5,0)),0,1/VLOOKUP($N426,Capa!$A:$AE,BD$5,0))))</f>
        <v/>
      </c>
      <c r="BE426" s="118" t="str">
        <f>IF(BE$6="","",IF(BE$3="Maior",IFERROR(IF(VLOOKUP($N426,Capa!$A:$AE,BE$5,0)="",0,VLOOKUP($N426,Capa!$A:$AE,BE$5,0)),0),IF(ISERROR(1/VLOOKUP($N426,Capa!$A:$AE,BE$5,0)),0,1/VLOOKUP($N426,Capa!$A:$AE,BE$5,0))))</f>
        <v/>
      </c>
      <c r="BF426" s="118" t="str">
        <f>IF(BF$6="","",IF(BF$3="Maior",IFERROR(IF(VLOOKUP($N426,Capa!$A:$AE,BF$5,0)="",0,VLOOKUP($N426,Capa!$A:$AE,BF$5,0)),0),IF(ISERROR(1/VLOOKUP($N426,Capa!$A:$AE,BF$5,0)),0,1/VLOOKUP($N426,Capa!$A:$AE,BF$5,0))))</f>
        <v/>
      </c>
      <c r="BG426" s="118" t="str">
        <f>IF(BG$6="","",IF(BG$3="Maior",IFERROR(IF(VLOOKUP($N426,Capa!$A:$AE,BG$5,0)="",0,VLOOKUP($N426,Capa!$A:$AE,BG$5,0)),0),IF(ISERROR(1/VLOOKUP($N426,Capa!$A:$AE,BG$5,0)),0,1/VLOOKUP($N426,Capa!$A:$AE,BG$5,0))))</f>
        <v/>
      </c>
      <c r="BH426" s="118" t="str">
        <f>IF(BH$6="","",IF(BH$3="Maior",IFERROR(IF(VLOOKUP($N426,Capa!$A:$AE,BH$5,0)="",0,VLOOKUP($N426,Capa!$A:$AE,BH$5,0)),0),IF(ISERROR(1/VLOOKUP($N426,Capa!$A:$AE,BH$5,0)),0,1/VLOOKUP($N426,Capa!$A:$AE,BH$5,0))))</f>
        <v/>
      </c>
      <c r="BI426" s="118" t="str">
        <f>IF(BI$6="","",IF(BI$3="Maior",IFERROR(IF(VLOOKUP($N426,Capa!$A:$AE,BI$5,0)="",0,VLOOKUP($N426,Capa!$A:$AE,BI$5,0)),0),IF(ISERROR(1/VLOOKUP($N426,Capa!$A:$AE,BI$5,0)),0,1/VLOOKUP($N426,Capa!$A:$AE,BI$5,0))))</f>
        <v/>
      </c>
      <c r="BJ426" s="118" t="str">
        <f>IF(BJ$6="","",IF(BJ$3="Maior",IFERROR(IF(VLOOKUP($N426,Capa!$A:$AE,BJ$5,0)="",0,VLOOKUP($N426,Capa!$A:$AE,BJ$5,0)),0),IF(ISERROR(1/VLOOKUP($N426,Capa!$A:$AE,BJ$5,0)),0,1/VLOOKUP($N426,Capa!$A:$AE,BJ$5,0))))</f>
        <v/>
      </c>
      <c r="BK426" s="118" t="str">
        <f>IF(BK$6="","",IF(BK$3="Maior",IFERROR(IF(VLOOKUP($N426,Capa!$A:$AE,BK$5,0)="",0,VLOOKUP($N426,Capa!$A:$AE,BK$5,0)),0),IF(ISERROR(1/VLOOKUP($N426,Capa!$A:$AE,BK$5,0)),0,1/VLOOKUP($N426,Capa!$A:$AE,BK$5,0))))</f>
        <v/>
      </c>
      <c r="BL426" s="118" t="str">
        <f>IF(BL$6="","",IF(BL$3="Maior",IFERROR(IF(VLOOKUP($N426,Capa!$A:$AE,BL$5,0)="",0,VLOOKUP($N426,Capa!$A:$AE,BL$5,0)),0),IF(ISERROR(1/VLOOKUP($N426,Capa!$A:$AE,BL$5,0)),0,1/VLOOKUP($N426,Capa!$A:$AE,BL$5,0))))</f>
        <v/>
      </c>
      <c r="BM426" s="118" t="str">
        <f>IF(BM$6="","",IF(BM$3="Maior",IFERROR(IF(VLOOKUP($N426,Capa!$A:$AE,BM$5,0)="",0,VLOOKUP($N426,Capa!$A:$AE,BM$5,0)),0),IF(ISERROR(1/VLOOKUP($N426,Capa!$A:$AE,BM$5,0)),0,1/VLOOKUP($N426,Capa!$A:$AE,BM$5,0))))</f>
        <v/>
      </c>
      <c r="BN426" s="118" t="str">
        <f>IF(BN$6="","",IF(BN$3="Maior",IFERROR(IF(VLOOKUP($N426,Capa!$A:$AE,BN$5,0)="",0,VLOOKUP($N426,Capa!$A:$AE,BN$5,0)),0),IF(ISERROR(1/VLOOKUP($N426,Capa!$A:$AE,BN$5,0)),0,1/VLOOKUP($N426,Capa!$A:$AE,BN$5,0))))</f>
        <v/>
      </c>
      <c r="BO426" s="92"/>
    </row>
    <row r="427">
      <c r="G427" s="11"/>
      <c r="H427" s="11"/>
      <c r="I427" s="8"/>
      <c r="J427" s="132"/>
      <c r="K427" s="11"/>
      <c r="L427" s="11"/>
      <c r="M427" s="11"/>
      <c r="N427" s="10" t="s">
        <v>473</v>
      </c>
      <c r="O427" s="113">
        <f t="shared" si="8"/>
        <v>2130.0291</v>
      </c>
      <c r="P427" s="114">
        <f>VLOOKUP(N427,'Dados StatusInvest'!A:Z,26,0)</f>
        <v>21752.74</v>
      </c>
      <c r="Q427" s="115">
        <f t="shared" si="9"/>
        <v>291.0291</v>
      </c>
      <c r="R427" s="116">
        <f t="shared" ref="R427:AO427" si="430">IF(AQ427="","", RANK(AQ427,AQ$7:AQ$503,0))</f>
        <v>375</v>
      </c>
      <c r="S427" s="115">
        <f t="shared" si="430"/>
        <v>464</v>
      </c>
      <c r="T427" s="115" t="str">
        <f t="shared" si="430"/>
        <v/>
      </c>
      <c r="U427" s="115" t="str">
        <f t="shared" si="430"/>
        <v/>
      </c>
      <c r="V427" s="115" t="str">
        <f t="shared" si="430"/>
        <v/>
      </c>
      <c r="W427" s="115" t="str">
        <f t="shared" si="430"/>
        <v/>
      </c>
      <c r="X427" s="115" t="str">
        <f t="shared" si="430"/>
        <v/>
      </c>
      <c r="Y427" s="115" t="str">
        <f t="shared" si="430"/>
        <v/>
      </c>
      <c r="Z427" s="115" t="str">
        <f t="shared" si="430"/>
        <v/>
      </c>
      <c r="AA427" s="115" t="str">
        <f t="shared" si="430"/>
        <v/>
      </c>
      <c r="AB427" s="115" t="str">
        <f t="shared" si="430"/>
        <v/>
      </c>
      <c r="AC427" s="115" t="str">
        <f t="shared" si="430"/>
        <v/>
      </c>
      <c r="AD427" s="115" t="str">
        <f t="shared" si="430"/>
        <v/>
      </c>
      <c r="AE427" s="115" t="str">
        <f t="shared" si="430"/>
        <v/>
      </c>
      <c r="AF427" s="115" t="str">
        <f t="shared" si="430"/>
        <v/>
      </c>
      <c r="AG427" s="115" t="str">
        <f t="shared" si="430"/>
        <v/>
      </c>
      <c r="AH427" s="115" t="str">
        <f t="shared" si="430"/>
        <v/>
      </c>
      <c r="AI427" s="115" t="str">
        <f t="shared" si="430"/>
        <v/>
      </c>
      <c r="AJ427" s="115" t="str">
        <f t="shared" si="430"/>
        <v/>
      </c>
      <c r="AK427" s="115" t="str">
        <f t="shared" si="430"/>
        <v/>
      </c>
      <c r="AL427" s="115" t="str">
        <f t="shared" si="430"/>
        <v/>
      </c>
      <c r="AM427" s="115" t="str">
        <f t="shared" si="430"/>
        <v/>
      </c>
      <c r="AN427" s="115" t="str">
        <f t="shared" si="430"/>
        <v/>
      </c>
      <c r="AO427" s="115" t="str">
        <f t="shared" si="430"/>
        <v/>
      </c>
      <c r="AP427" s="117">
        <f>IF(AP$6="","",IF(AP$3="Maior",IFERROR(IF(VLOOKUP($N427,Capa!$A:$AE,AP$5,0)="",0,VLOOKUP($N427,Capa!$A:$AE,AP$5,0)),0),IF(ISERROR(1/VLOOKUP($N427,Capa!$A:$AE,AP$5,0)),0,1/VLOOKUP($N427,Capa!$A:$AE,AP$5,0))))</f>
        <v>0.06101689068</v>
      </c>
      <c r="AQ427" s="118">
        <f>IF(AQ$6="","",IF(AQ$3="Maior",IFERROR(IF(VLOOKUP($N427,Capa!$A:$AE,AQ$5,0)="",0,VLOOKUP($N427,Capa!$A:$AE,AQ$5,0)),0),IF(ISERROR(1/VLOOKUP($N427,Capa!$A:$AE,AQ$5,0)),0,1/VLOOKUP($N427,Capa!$A:$AE,AQ$5,0))))</f>
        <v>0</v>
      </c>
      <c r="AR427" s="118">
        <f>IF(AR$6="","",IF(AR$3="Maior",IFERROR(IF(VLOOKUP($N427,Capa!$A:$AE,AR$5,0)="",0,VLOOKUP($N427,Capa!$A:$AE,AR$5,0)),0),IF(ISERROR(1/VLOOKUP($N427,Capa!$A:$AE,AR$5,0)),0,1/VLOOKUP($N427,Capa!$A:$AE,AR$5,0))))</f>
        <v>-1.49</v>
      </c>
      <c r="AS427" s="118" t="str">
        <f>IF(AS$6="","",IF(AS$3="Maior",IFERROR(IF(VLOOKUP($N427,Capa!$A:$AE,AS$5,0)="",0,VLOOKUP($N427,Capa!$A:$AE,AS$5,0)),0),IF(ISERROR(1/VLOOKUP($N427,Capa!$A:$AE,AS$5,0)),0,1/VLOOKUP($N427,Capa!$A:$AE,AS$5,0))))</f>
        <v/>
      </c>
      <c r="AT427" s="118" t="str">
        <f>IF(AT$6="","",IF(AT$3="Maior",IFERROR(IF(VLOOKUP($N427,Capa!$A:$AE,AT$5,0)="",0,VLOOKUP($N427,Capa!$A:$AE,AT$5,0)),0),IF(ISERROR(1/VLOOKUP($N427,Capa!$A:$AE,AT$5,0)),0,1/VLOOKUP($N427,Capa!$A:$AE,AT$5,0))))</f>
        <v/>
      </c>
      <c r="AU427" s="118" t="str">
        <f>IF(AU$6="","",IF(AU$3="Maior",IFERROR(IF(VLOOKUP($N427,Capa!$A:$AE,AU$5,0)="",0,VLOOKUP($N427,Capa!$A:$AE,AU$5,0)),0),IF(ISERROR(1/VLOOKUP($N427,Capa!$A:$AE,AU$5,0)),0,1/VLOOKUP($N427,Capa!$A:$AE,AU$5,0))))</f>
        <v/>
      </c>
      <c r="AV427" s="118" t="str">
        <f>IF(AV$6="","",IF(AV$3="Maior",IFERROR(IF(VLOOKUP($N427,Capa!$A:$AE,AV$5,0)="",0,VLOOKUP($N427,Capa!$A:$AE,AV$5,0)),0),IF(ISERROR(1/VLOOKUP($N427,Capa!$A:$AE,AV$5,0)),0,1/VLOOKUP($N427,Capa!$A:$AE,AV$5,0))))</f>
        <v/>
      </c>
      <c r="AW427" s="118" t="str">
        <f>IF(AW$6="","",IF(AW$3="Maior",IFERROR(IF(VLOOKUP($N427,Capa!$A:$AE,AW$5,0)="",0,VLOOKUP($N427,Capa!$A:$AE,AW$5,0)),0),IF(ISERROR(1/VLOOKUP($N427,Capa!$A:$AE,AW$5,0)),0,1/VLOOKUP($N427,Capa!$A:$AE,AW$5,0))))</f>
        <v/>
      </c>
      <c r="AX427" s="118" t="str">
        <f>IF(AX$6="","",IF(AX$3="Maior",IFERROR(IF(VLOOKUP($N427,Capa!$A:$AE,AX$5,0)="",0,VLOOKUP($N427,Capa!$A:$AE,AX$5,0)),0),IF(ISERROR(1/VLOOKUP($N427,Capa!$A:$AE,AX$5,0)),0,1/VLOOKUP($N427,Capa!$A:$AE,AX$5,0))))</f>
        <v/>
      </c>
      <c r="AY427" s="118" t="str">
        <f>IF(AY$6="","",IF(AY$3="Maior",IFERROR(IF(VLOOKUP($N427,Capa!$A:$AE,AY$5,0)="",0,VLOOKUP($N427,Capa!$A:$AE,AY$5,0)),0),IF(ISERROR(1/VLOOKUP($N427,Capa!$A:$AE,AY$5,0)),0,1/VLOOKUP($N427,Capa!$A:$AE,AY$5,0))))</f>
        <v/>
      </c>
      <c r="AZ427" s="118" t="str">
        <f>IF(AZ$6="","",IF(AZ$3="Maior",IFERROR(IF(VLOOKUP($N427,Capa!$A:$AE,AZ$5,0)="",0,VLOOKUP($N427,Capa!$A:$AE,AZ$5,0)),0),IF(ISERROR(1/VLOOKUP($N427,Capa!$A:$AE,AZ$5,0)),0,1/VLOOKUP($N427,Capa!$A:$AE,AZ$5,0))))</f>
        <v/>
      </c>
      <c r="BA427" s="118" t="str">
        <f>IF(BA$6="","",IF(BA$3="Maior",IFERROR(IF(VLOOKUP($N427,Capa!$A:$AE,BA$5,0)="",0,VLOOKUP($N427,Capa!$A:$AE,BA$5,0)),0),IF(ISERROR(1/VLOOKUP($N427,Capa!$A:$AE,BA$5,0)),0,1/VLOOKUP($N427,Capa!$A:$AE,BA$5,0))))</f>
        <v/>
      </c>
      <c r="BB427" s="118" t="str">
        <f>IF(BB$6="","",IF(BB$3="Maior",IFERROR(IF(VLOOKUP($N427,Capa!$A:$AE,BB$5,0)="",0,VLOOKUP($N427,Capa!$A:$AE,BB$5,0)),0),IF(ISERROR(1/VLOOKUP($N427,Capa!$A:$AE,BB$5,0)),0,1/VLOOKUP($N427,Capa!$A:$AE,BB$5,0))))</f>
        <v/>
      </c>
      <c r="BC427" s="118" t="str">
        <f>IF(BC$6="","",IF(BC$3="Maior",IFERROR(IF(VLOOKUP($N427,Capa!$A:$AE,BC$5,0)="",0,VLOOKUP($N427,Capa!$A:$AE,BC$5,0)),0),IF(ISERROR(1/VLOOKUP($N427,Capa!$A:$AE,BC$5,0)),0,1/VLOOKUP($N427,Capa!$A:$AE,BC$5,0))))</f>
        <v/>
      </c>
      <c r="BD427" s="118" t="str">
        <f>IF(BD$6="","",IF(BD$3="Maior",IFERROR(IF(VLOOKUP($N427,Capa!$A:$AE,BD$5,0)="",0,VLOOKUP($N427,Capa!$A:$AE,BD$5,0)),0),IF(ISERROR(1/VLOOKUP($N427,Capa!$A:$AE,BD$5,0)),0,1/VLOOKUP($N427,Capa!$A:$AE,BD$5,0))))</f>
        <v/>
      </c>
      <c r="BE427" s="118" t="str">
        <f>IF(BE$6="","",IF(BE$3="Maior",IFERROR(IF(VLOOKUP($N427,Capa!$A:$AE,BE$5,0)="",0,VLOOKUP($N427,Capa!$A:$AE,BE$5,0)),0),IF(ISERROR(1/VLOOKUP($N427,Capa!$A:$AE,BE$5,0)),0,1/VLOOKUP($N427,Capa!$A:$AE,BE$5,0))))</f>
        <v/>
      </c>
      <c r="BF427" s="118" t="str">
        <f>IF(BF$6="","",IF(BF$3="Maior",IFERROR(IF(VLOOKUP($N427,Capa!$A:$AE,BF$5,0)="",0,VLOOKUP($N427,Capa!$A:$AE,BF$5,0)),0),IF(ISERROR(1/VLOOKUP($N427,Capa!$A:$AE,BF$5,0)),0,1/VLOOKUP($N427,Capa!$A:$AE,BF$5,0))))</f>
        <v/>
      </c>
      <c r="BG427" s="118" t="str">
        <f>IF(BG$6="","",IF(BG$3="Maior",IFERROR(IF(VLOOKUP($N427,Capa!$A:$AE,BG$5,0)="",0,VLOOKUP($N427,Capa!$A:$AE,BG$5,0)),0),IF(ISERROR(1/VLOOKUP($N427,Capa!$A:$AE,BG$5,0)),0,1/VLOOKUP($N427,Capa!$A:$AE,BG$5,0))))</f>
        <v/>
      </c>
      <c r="BH427" s="118" t="str">
        <f>IF(BH$6="","",IF(BH$3="Maior",IFERROR(IF(VLOOKUP($N427,Capa!$A:$AE,BH$5,0)="",0,VLOOKUP($N427,Capa!$A:$AE,BH$5,0)),0),IF(ISERROR(1/VLOOKUP($N427,Capa!$A:$AE,BH$5,0)),0,1/VLOOKUP($N427,Capa!$A:$AE,BH$5,0))))</f>
        <v/>
      </c>
      <c r="BI427" s="118" t="str">
        <f>IF(BI$6="","",IF(BI$3="Maior",IFERROR(IF(VLOOKUP($N427,Capa!$A:$AE,BI$5,0)="",0,VLOOKUP($N427,Capa!$A:$AE,BI$5,0)),0),IF(ISERROR(1/VLOOKUP($N427,Capa!$A:$AE,BI$5,0)),0,1/VLOOKUP($N427,Capa!$A:$AE,BI$5,0))))</f>
        <v/>
      </c>
      <c r="BJ427" s="118" t="str">
        <f>IF(BJ$6="","",IF(BJ$3="Maior",IFERROR(IF(VLOOKUP($N427,Capa!$A:$AE,BJ$5,0)="",0,VLOOKUP($N427,Capa!$A:$AE,BJ$5,0)),0),IF(ISERROR(1/VLOOKUP($N427,Capa!$A:$AE,BJ$5,0)),0,1/VLOOKUP($N427,Capa!$A:$AE,BJ$5,0))))</f>
        <v/>
      </c>
      <c r="BK427" s="118" t="str">
        <f>IF(BK$6="","",IF(BK$3="Maior",IFERROR(IF(VLOOKUP($N427,Capa!$A:$AE,BK$5,0)="",0,VLOOKUP($N427,Capa!$A:$AE,BK$5,0)),0),IF(ISERROR(1/VLOOKUP($N427,Capa!$A:$AE,BK$5,0)),0,1/VLOOKUP($N427,Capa!$A:$AE,BK$5,0))))</f>
        <v/>
      </c>
      <c r="BL427" s="118" t="str">
        <f>IF(BL$6="","",IF(BL$3="Maior",IFERROR(IF(VLOOKUP($N427,Capa!$A:$AE,BL$5,0)="",0,VLOOKUP($N427,Capa!$A:$AE,BL$5,0)),0),IF(ISERROR(1/VLOOKUP($N427,Capa!$A:$AE,BL$5,0)),0,1/VLOOKUP($N427,Capa!$A:$AE,BL$5,0))))</f>
        <v/>
      </c>
      <c r="BM427" s="118" t="str">
        <f>IF(BM$6="","",IF(BM$3="Maior",IFERROR(IF(VLOOKUP($N427,Capa!$A:$AE,BM$5,0)="",0,VLOOKUP($N427,Capa!$A:$AE,BM$5,0)),0),IF(ISERROR(1/VLOOKUP($N427,Capa!$A:$AE,BM$5,0)),0,1/VLOOKUP($N427,Capa!$A:$AE,BM$5,0))))</f>
        <v/>
      </c>
      <c r="BN427" s="118" t="str">
        <f>IF(BN$6="","",IF(BN$3="Maior",IFERROR(IF(VLOOKUP($N427,Capa!$A:$AE,BN$5,0)="",0,VLOOKUP($N427,Capa!$A:$AE,BN$5,0)),0),IF(ISERROR(1/VLOOKUP($N427,Capa!$A:$AE,BN$5,0)),0,1/VLOOKUP($N427,Capa!$A:$AE,BN$5,0))))</f>
        <v/>
      </c>
      <c r="BO427" s="92"/>
    </row>
    <row r="428">
      <c r="G428" s="11"/>
      <c r="H428" s="11"/>
      <c r="I428" s="8"/>
      <c r="J428" s="132"/>
      <c r="K428" s="11"/>
      <c r="L428" s="11"/>
      <c r="M428" s="11"/>
      <c r="N428" s="10" t="s">
        <v>474</v>
      </c>
      <c r="O428" s="113">
        <f t="shared" si="8"/>
        <v>1719.0174</v>
      </c>
      <c r="P428" s="114">
        <f>VLOOKUP(N428,'Dados StatusInvest'!A:Z,26,0)</f>
        <v>28429.33</v>
      </c>
      <c r="Q428" s="115">
        <f t="shared" si="9"/>
        <v>174.0174</v>
      </c>
      <c r="R428" s="116">
        <f t="shared" ref="R428:AO428" si="431">IF(AQ428="","", RANK(AQ428,AQ$7:AQ$503,0))</f>
        <v>333</v>
      </c>
      <c r="S428" s="115">
        <f t="shared" si="431"/>
        <v>212</v>
      </c>
      <c r="T428" s="115" t="str">
        <f t="shared" si="431"/>
        <v/>
      </c>
      <c r="U428" s="115" t="str">
        <f t="shared" si="431"/>
        <v/>
      </c>
      <c r="V428" s="115" t="str">
        <f t="shared" si="431"/>
        <v/>
      </c>
      <c r="W428" s="115" t="str">
        <f t="shared" si="431"/>
        <v/>
      </c>
      <c r="X428" s="115" t="str">
        <f t="shared" si="431"/>
        <v/>
      </c>
      <c r="Y428" s="115" t="str">
        <f t="shared" si="431"/>
        <v/>
      </c>
      <c r="Z428" s="115" t="str">
        <f t="shared" si="431"/>
        <v/>
      </c>
      <c r="AA428" s="115" t="str">
        <f t="shared" si="431"/>
        <v/>
      </c>
      <c r="AB428" s="115" t="str">
        <f t="shared" si="431"/>
        <v/>
      </c>
      <c r="AC428" s="115" t="str">
        <f t="shared" si="431"/>
        <v/>
      </c>
      <c r="AD428" s="115" t="str">
        <f t="shared" si="431"/>
        <v/>
      </c>
      <c r="AE428" s="115" t="str">
        <f t="shared" si="431"/>
        <v/>
      </c>
      <c r="AF428" s="115" t="str">
        <f t="shared" si="431"/>
        <v/>
      </c>
      <c r="AG428" s="115" t="str">
        <f t="shared" si="431"/>
        <v/>
      </c>
      <c r="AH428" s="115" t="str">
        <f t="shared" si="431"/>
        <v/>
      </c>
      <c r="AI428" s="115" t="str">
        <f t="shared" si="431"/>
        <v/>
      </c>
      <c r="AJ428" s="115" t="str">
        <f t="shared" si="431"/>
        <v/>
      </c>
      <c r="AK428" s="115" t="str">
        <f t="shared" si="431"/>
        <v/>
      </c>
      <c r="AL428" s="115" t="str">
        <f t="shared" si="431"/>
        <v/>
      </c>
      <c r="AM428" s="115" t="str">
        <f t="shared" si="431"/>
        <v/>
      </c>
      <c r="AN428" s="115" t="str">
        <f t="shared" si="431"/>
        <v/>
      </c>
      <c r="AO428" s="115" t="str">
        <f t="shared" si="431"/>
        <v/>
      </c>
      <c r="AP428" s="117">
        <f>IF(AP$6="","",IF(AP$3="Maior",IFERROR(IF(VLOOKUP($N428,Capa!$A:$AE,AP$5,0)="",0,VLOOKUP($N428,Capa!$A:$AE,AP$5,0)),0),IF(ISERROR(1/VLOOKUP($N428,Capa!$A:$AE,AP$5,0)),0,1/VLOOKUP($N428,Capa!$A:$AE,AP$5,0))))</f>
        <v>0.1198537784</v>
      </c>
      <c r="AQ428" s="118">
        <f>IF(AQ$6="","",IF(AQ$3="Maior",IFERROR(IF(VLOOKUP($N428,Capa!$A:$AE,AQ$5,0)="",0,VLOOKUP($N428,Capa!$A:$AE,AQ$5,0)),0),IF(ISERROR(1/VLOOKUP($N428,Capa!$A:$AE,AQ$5,0)),0,1/VLOOKUP($N428,Capa!$A:$AE,AQ$5,0))))</f>
        <v>3.04</v>
      </c>
      <c r="AR428" s="118">
        <f>IF(AR$6="","",IF(AR$3="Maior",IFERROR(IF(VLOOKUP($N428,Capa!$A:$AE,AR$5,0)="",0,VLOOKUP($N428,Capa!$A:$AE,AR$5,0)),0),IF(ISERROR(1/VLOOKUP($N428,Capa!$A:$AE,AR$5,0)),0,1/VLOOKUP($N428,Capa!$A:$AE,AR$5,0))))</f>
        <v>0.43</v>
      </c>
      <c r="AS428" s="118" t="str">
        <f>IF(AS$6="","",IF(AS$3="Maior",IFERROR(IF(VLOOKUP($N428,Capa!$A:$AE,AS$5,0)="",0,VLOOKUP($N428,Capa!$A:$AE,AS$5,0)),0),IF(ISERROR(1/VLOOKUP($N428,Capa!$A:$AE,AS$5,0)),0,1/VLOOKUP($N428,Capa!$A:$AE,AS$5,0))))</f>
        <v/>
      </c>
      <c r="AT428" s="118" t="str">
        <f>IF(AT$6="","",IF(AT$3="Maior",IFERROR(IF(VLOOKUP($N428,Capa!$A:$AE,AT$5,0)="",0,VLOOKUP($N428,Capa!$A:$AE,AT$5,0)),0),IF(ISERROR(1/VLOOKUP($N428,Capa!$A:$AE,AT$5,0)),0,1/VLOOKUP($N428,Capa!$A:$AE,AT$5,0))))</f>
        <v/>
      </c>
      <c r="AU428" s="118" t="str">
        <f>IF(AU$6="","",IF(AU$3="Maior",IFERROR(IF(VLOOKUP($N428,Capa!$A:$AE,AU$5,0)="",0,VLOOKUP($N428,Capa!$A:$AE,AU$5,0)),0),IF(ISERROR(1/VLOOKUP($N428,Capa!$A:$AE,AU$5,0)),0,1/VLOOKUP($N428,Capa!$A:$AE,AU$5,0))))</f>
        <v/>
      </c>
      <c r="AV428" s="118" t="str">
        <f>IF(AV$6="","",IF(AV$3="Maior",IFERROR(IF(VLOOKUP($N428,Capa!$A:$AE,AV$5,0)="",0,VLOOKUP($N428,Capa!$A:$AE,AV$5,0)),0),IF(ISERROR(1/VLOOKUP($N428,Capa!$A:$AE,AV$5,0)),0,1/VLOOKUP($N428,Capa!$A:$AE,AV$5,0))))</f>
        <v/>
      </c>
      <c r="AW428" s="118" t="str">
        <f>IF(AW$6="","",IF(AW$3="Maior",IFERROR(IF(VLOOKUP($N428,Capa!$A:$AE,AW$5,0)="",0,VLOOKUP($N428,Capa!$A:$AE,AW$5,0)),0),IF(ISERROR(1/VLOOKUP($N428,Capa!$A:$AE,AW$5,0)),0,1/VLOOKUP($N428,Capa!$A:$AE,AW$5,0))))</f>
        <v/>
      </c>
      <c r="AX428" s="118" t="str">
        <f>IF(AX$6="","",IF(AX$3="Maior",IFERROR(IF(VLOOKUP($N428,Capa!$A:$AE,AX$5,0)="",0,VLOOKUP($N428,Capa!$A:$AE,AX$5,0)),0),IF(ISERROR(1/VLOOKUP($N428,Capa!$A:$AE,AX$5,0)),0,1/VLOOKUP($N428,Capa!$A:$AE,AX$5,0))))</f>
        <v/>
      </c>
      <c r="AY428" s="118" t="str">
        <f>IF(AY$6="","",IF(AY$3="Maior",IFERROR(IF(VLOOKUP($N428,Capa!$A:$AE,AY$5,0)="",0,VLOOKUP($N428,Capa!$A:$AE,AY$5,0)),0),IF(ISERROR(1/VLOOKUP($N428,Capa!$A:$AE,AY$5,0)),0,1/VLOOKUP($N428,Capa!$A:$AE,AY$5,0))))</f>
        <v/>
      </c>
      <c r="AZ428" s="118" t="str">
        <f>IF(AZ$6="","",IF(AZ$3="Maior",IFERROR(IF(VLOOKUP($N428,Capa!$A:$AE,AZ$5,0)="",0,VLOOKUP($N428,Capa!$A:$AE,AZ$5,0)),0),IF(ISERROR(1/VLOOKUP($N428,Capa!$A:$AE,AZ$5,0)),0,1/VLOOKUP($N428,Capa!$A:$AE,AZ$5,0))))</f>
        <v/>
      </c>
      <c r="BA428" s="118" t="str">
        <f>IF(BA$6="","",IF(BA$3="Maior",IFERROR(IF(VLOOKUP($N428,Capa!$A:$AE,BA$5,0)="",0,VLOOKUP($N428,Capa!$A:$AE,BA$5,0)),0),IF(ISERROR(1/VLOOKUP($N428,Capa!$A:$AE,BA$5,0)),0,1/VLOOKUP($N428,Capa!$A:$AE,BA$5,0))))</f>
        <v/>
      </c>
      <c r="BB428" s="118" t="str">
        <f>IF(BB$6="","",IF(BB$3="Maior",IFERROR(IF(VLOOKUP($N428,Capa!$A:$AE,BB$5,0)="",0,VLOOKUP($N428,Capa!$A:$AE,BB$5,0)),0),IF(ISERROR(1/VLOOKUP($N428,Capa!$A:$AE,BB$5,0)),0,1/VLOOKUP($N428,Capa!$A:$AE,BB$5,0))))</f>
        <v/>
      </c>
      <c r="BC428" s="118" t="str">
        <f>IF(BC$6="","",IF(BC$3="Maior",IFERROR(IF(VLOOKUP($N428,Capa!$A:$AE,BC$5,0)="",0,VLOOKUP($N428,Capa!$A:$AE,BC$5,0)),0),IF(ISERROR(1/VLOOKUP($N428,Capa!$A:$AE,BC$5,0)),0,1/VLOOKUP($N428,Capa!$A:$AE,BC$5,0))))</f>
        <v/>
      </c>
      <c r="BD428" s="118" t="str">
        <f>IF(BD$6="","",IF(BD$3="Maior",IFERROR(IF(VLOOKUP($N428,Capa!$A:$AE,BD$5,0)="",0,VLOOKUP($N428,Capa!$A:$AE,BD$5,0)),0),IF(ISERROR(1/VLOOKUP($N428,Capa!$A:$AE,BD$5,0)),0,1/VLOOKUP($N428,Capa!$A:$AE,BD$5,0))))</f>
        <v/>
      </c>
      <c r="BE428" s="118" t="str">
        <f>IF(BE$6="","",IF(BE$3="Maior",IFERROR(IF(VLOOKUP($N428,Capa!$A:$AE,BE$5,0)="",0,VLOOKUP($N428,Capa!$A:$AE,BE$5,0)),0),IF(ISERROR(1/VLOOKUP($N428,Capa!$A:$AE,BE$5,0)),0,1/VLOOKUP($N428,Capa!$A:$AE,BE$5,0))))</f>
        <v/>
      </c>
      <c r="BF428" s="118" t="str">
        <f>IF(BF$6="","",IF(BF$3="Maior",IFERROR(IF(VLOOKUP($N428,Capa!$A:$AE,BF$5,0)="",0,VLOOKUP($N428,Capa!$A:$AE,BF$5,0)),0),IF(ISERROR(1/VLOOKUP($N428,Capa!$A:$AE,BF$5,0)),0,1/VLOOKUP($N428,Capa!$A:$AE,BF$5,0))))</f>
        <v/>
      </c>
      <c r="BG428" s="118" t="str">
        <f>IF(BG$6="","",IF(BG$3="Maior",IFERROR(IF(VLOOKUP($N428,Capa!$A:$AE,BG$5,0)="",0,VLOOKUP($N428,Capa!$A:$AE,BG$5,0)),0),IF(ISERROR(1/VLOOKUP($N428,Capa!$A:$AE,BG$5,0)),0,1/VLOOKUP($N428,Capa!$A:$AE,BG$5,0))))</f>
        <v/>
      </c>
      <c r="BH428" s="118" t="str">
        <f>IF(BH$6="","",IF(BH$3="Maior",IFERROR(IF(VLOOKUP($N428,Capa!$A:$AE,BH$5,0)="",0,VLOOKUP($N428,Capa!$A:$AE,BH$5,0)),0),IF(ISERROR(1/VLOOKUP($N428,Capa!$A:$AE,BH$5,0)),0,1/VLOOKUP($N428,Capa!$A:$AE,BH$5,0))))</f>
        <v/>
      </c>
      <c r="BI428" s="118" t="str">
        <f>IF(BI$6="","",IF(BI$3="Maior",IFERROR(IF(VLOOKUP($N428,Capa!$A:$AE,BI$5,0)="",0,VLOOKUP($N428,Capa!$A:$AE,BI$5,0)),0),IF(ISERROR(1/VLOOKUP($N428,Capa!$A:$AE,BI$5,0)),0,1/VLOOKUP($N428,Capa!$A:$AE,BI$5,0))))</f>
        <v/>
      </c>
      <c r="BJ428" s="118" t="str">
        <f>IF(BJ$6="","",IF(BJ$3="Maior",IFERROR(IF(VLOOKUP($N428,Capa!$A:$AE,BJ$5,0)="",0,VLOOKUP($N428,Capa!$A:$AE,BJ$5,0)),0),IF(ISERROR(1/VLOOKUP($N428,Capa!$A:$AE,BJ$5,0)),0,1/VLOOKUP($N428,Capa!$A:$AE,BJ$5,0))))</f>
        <v/>
      </c>
      <c r="BK428" s="118" t="str">
        <f>IF(BK$6="","",IF(BK$3="Maior",IFERROR(IF(VLOOKUP($N428,Capa!$A:$AE,BK$5,0)="",0,VLOOKUP($N428,Capa!$A:$AE,BK$5,0)),0),IF(ISERROR(1/VLOOKUP($N428,Capa!$A:$AE,BK$5,0)),0,1/VLOOKUP($N428,Capa!$A:$AE,BK$5,0))))</f>
        <v/>
      </c>
      <c r="BL428" s="118" t="str">
        <f>IF(BL$6="","",IF(BL$3="Maior",IFERROR(IF(VLOOKUP($N428,Capa!$A:$AE,BL$5,0)="",0,VLOOKUP($N428,Capa!$A:$AE,BL$5,0)),0),IF(ISERROR(1/VLOOKUP($N428,Capa!$A:$AE,BL$5,0)),0,1/VLOOKUP($N428,Capa!$A:$AE,BL$5,0))))</f>
        <v/>
      </c>
      <c r="BM428" s="118" t="str">
        <f>IF(BM$6="","",IF(BM$3="Maior",IFERROR(IF(VLOOKUP($N428,Capa!$A:$AE,BM$5,0)="",0,VLOOKUP($N428,Capa!$A:$AE,BM$5,0)),0),IF(ISERROR(1/VLOOKUP($N428,Capa!$A:$AE,BM$5,0)),0,1/VLOOKUP($N428,Capa!$A:$AE,BM$5,0))))</f>
        <v/>
      </c>
      <c r="BN428" s="118" t="str">
        <f>IF(BN$6="","",IF(BN$3="Maior",IFERROR(IF(VLOOKUP($N428,Capa!$A:$AE,BN$5,0)="",0,VLOOKUP($N428,Capa!$A:$AE,BN$5,0)),0),IF(ISERROR(1/VLOOKUP($N428,Capa!$A:$AE,BN$5,0)),0,1/VLOOKUP($N428,Capa!$A:$AE,BN$5,0))))</f>
        <v/>
      </c>
      <c r="BO428" s="92"/>
    </row>
    <row r="429">
      <c r="G429" s="11"/>
      <c r="H429" s="11"/>
      <c r="I429" s="8"/>
      <c r="J429" s="132"/>
      <c r="K429" s="11"/>
      <c r="L429" s="11"/>
      <c r="M429" s="11"/>
      <c r="N429" s="10" t="s">
        <v>475</v>
      </c>
      <c r="O429" s="113">
        <f t="shared" si="8"/>
        <v>2175.0469</v>
      </c>
      <c r="P429" s="114">
        <f>VLOOKUP(N429,'Dados StatusInvest'!A:Z,26,0)</f>
        <v>18089.09</v>
      </c>
      <c r="Q429" s="115">
        <f t="shared" si="9"/>
        <v>469.0469</v>
      </c>
      <c r="R429" s="116">
        <f t="shared" ref="R429:AO429" si="432">IF(AQ429="","", RANK(AQ429,AQ$7:AQ$503,0))</f>
        <v>487</v>
      </c>
      <c r="S429" s="115">
        <f t="shared" si="432"/>
        <v>219</v>
      </c>
      <c r="T429" s="115" t="str">
        <f t="shared" si="432"/>
        <v/>
      </c>
      <c r="U429" s="115" t="str">
        <f t="shared" si="432"/>
        <v/>
      </c>
      <c r="V429" s="115" t="str">
        <f t="shared" si="432"/>
        <v/>
      </c>
      <c r="W429" s="115" t="str">
        <f t="shared" si="432"/>
        <v/>
      </c>
      <c r="X429" s="115" t="str">
        <f t="shared" si="432"/>
        <v/>
      </c>
      <c r="Y429" s="115" t="str">
        <f t="shared" si="432"/>
        <v/>
      </c>
      <c r="Z429" s="115" t="str">
        <f t="shared" si="432"/>
        <v/>
      </c>
      <c r="AA429" s="115" t="str">
        <f t="shared" si="432"/>
        <v/>
      </c>
      <c r="AB429" s="115" t="str">
        <f t="shared" si="432"/>
        <v/>
      </c>
      <c r="AC429" s="115" t="str">
        <f t="shared" si="432"/>
        <v/>
      </c>
      <c r="AD429" s="115" t="str">
        <f t="shared" si="432"/>
        <v/>
      </c>
      <c r="AE429" s="115" t="str">
        <f t="shared" si="432"/>
        <v/>
      </c>
      <c r="AF429" s="115" t="str">
        <f t="shared" si="432"/>
        <v/>
      </c>
      <c r="AG429" s="115" t="str">
        <f t="shared" si="432"/>
        <v/>
      </c>
      <c r="AH429" s="115" t="str">
        <f t="shared" si="432"/>
        <v/>
      </c>
      <c r="AI429" s="115" t="str">
        <f t="shared" si="432"/>
        <v/>
      </c>
      <c r="AJ429" s="115" t="str">
        <f t="shared" si="432"/>
        <v/>
      </c>
      <c r="AK429" s="115" t="str">
        <f t="shared" si="432"/>
        <v/>
      </c>
      <c r="AL429" s="115" t="str">
        <f t="shared" si="432"/>
        <v/>
      </c>
      <c r="AM429" s="115" t="str">
        <f t="shared" si="432"/>
        <v/>
      </c>
      <c r="AN429" s="115" t="str">
        <f t="shared" si="432"/>
        <v/>
      </c>
      <c r="AO429" s="115" t="str">
        <f t="shared" si="432"/>
        <v/>
      </c>
      <c r="AP429" s="117">
        <f>IF(AP$6="","",IF(AP$3="Maior",IFERROR(IF(VLOOKUP($N429,Capa!$A:$AE,AP$5,0)="",0,VLOOKUP($N429,Capa!$A:$AE,AP$5,0)),0),IF(ISERROR(1/VLOOKUP($N429,Capa!$A:$AE,AP$5,0)),0,1/VLOOKUP($N429,Capa!$A:$AE,AP$5,0))))</f>
        <v>-0.1772836021</v>
      </c>
      <c r="AQ429" s="118">
        <f>IF(AQ$6="","",IF(AQ$3="Maior",IFERROR(IF(VLOOKUP($N429,Capa!$A:$AE,AQ$5,0)="",0,VLOOKUP($N429,Capa!$A:$AE,AQ$5,0)),0),IF(ISERROR(1/VLOOKUP($N429,Capa!$A:$AE,AQ$5,0)),0,1/VLOOKUP($N429,Capa!$A:$AE,AQ$5,0))))</f>
        <v>-86.99</v>
      </c>
      <c r="AR429" s="118">
        <f>IF(AR$6="","",IF(AR$3="Maior",IFERROR(IF(VLOOKUP($N429,Capa!$A:$AE,AR$5,0)="",0,VLOOKUP($N429,Capa!$A:$AE,AR$5,0)),0),IF(ISERROR(1/VLOOKUP($N429,Capa!$A:$AE,AR$5,0)),0,1/VLOOKUP($N429,Capa!$A:$AE,AR$5,0))))</f>
        <v>0</v>
      </c>
      <c r="AS429" s="118" t="str">
        <f>IF(AS$6="","",IF(AS$3="Maior",IFERROR(IF(VLOOKUP($N429,Capa!$A:$AE,AS$5,0)="",0,VLOOKUP($N429,Capa!$A:$AE,AS$5,0)),0),IF(ISERROR(1/VLOOKUP($N429,Capa!$A:$AE,AS$5,0)),0,1/VLOOKUP($N429,Capa!$A:$AE,AS$5,0))))</f>
        <v/>
      </c>
      <c r="AT429" s="118" t="str">
        <f>IF(AT$6="","",IF(AT$3="Maior",IFERROR(IF(VLOOKUP($N429,Capa!$A:$AE,AT$5,0)="",0,VLOOKUP($N429,Capa!$A:$AE,AT$5,0)),0),IF(ISERROR(1/VLOOKUP($N429,Capa!$A:$AE,AT$5,0)),0,1/VLOOKUP($N429,Capa!$A:$AE,AT$5,0))))</f>
        <v/>
      </c>
      <c r="AU429" s="118" t="str">
        <f>IF(AU$6="","",IF(AU$3="Maior",IFERROR(IF(VLOOKUP($N429,Capa!$A:$AE,AU$5,0)="",0,VLOOKUP($N429,Capa!$A:$AE,AU$5,0)),0),IF(ISERROR(1/VLOOKUP($N429,Capa!$A:$AE,AU$5,0)),0,1/VLOOKUP($N429,Capa!$A:$AE,AU$5,0))))</f>
        <v/>
      </c>
      <c r="AV429" s="118" t="str">
        <f>IF(AV$6="","",IF(AV$3="Maior",IFERROR(IF(VLOOKUP($N429,Capa!$A:$AE,AV$5,0)="",0,VLOOKUP($N429,Capa!$A:$AE,AV$5,0)),0),IF(ISERROR(1/VLOOKUP($N429,Capa!$A:$AE,AV$5,0)),0,1/VLOOKUP($N429,Capa!$A:$AE,AV$5,0))))</f>
        <v/>
      </c>
      <c r="AW429" s="118" t="str">
        <f>IF(AW$6="","",IF(AW$3="Maior",IFERROR(IF(VLOOKUP($N429,Capa!$A:$AE,AW$5,0)="",0,VLOOKUP($N429,Capa!$A:$AE,AW$5,0)),0),IF(ISERROR(1/VLOOKUP($N429,Capa!$A:$AE,AW$5,0)),0,1/VLOOKUP($N429,Capa!$A:$AE,AW$5,0))))</f>
        <v/>
      </c>
      <c r="AX429" s="118" t="str">
        <f>IF(AX$6="","",IF(AX$3="Maior",IFERROR(IF(VLOOKUP($N429,Capa!$A:$AE,AX$5,0)="",0,VLOOKUP($N429,Capa!$A:$AE,AX$5,0)),0),IF(ISERROR(1/VLOOKUP($N429,Capa!$A:$AE,AX$5,0)),0,1/VLOOKUP($N429,Capa!$A:$AE,AX$5,0))))</f>
        <v/>
      </c>
      <c r="AY429" s="118" t="str">
        <f>IF(AY$6="","",IF(AY$3="Maior",IFERROR(IF(VLOOKUP($N429,Capa!$A:$AE,AY$5,0)="",0,VLOOKUP($N429,Capa!$A:$AE,AY$5,0)),0),IF(ISERROR(1/VLOOKUP($N429,Capa!$A:$AE,AY$5,0)),0,1/VLOOKUP($N429,Capa!$A:$AE,AY$5,0))))</f>
        <v/>
      </c>
      <c r="AZ429" s="118" t="str">
        <f>IF(AZ$6="","",IF(AZ$3="Maior",IFERROR(IF(VLOOKUP($N429,Capa!$A:$AE,AZ$5,0)="",0,VLOOKUP($N429,Capa!$A:$AE,AZ$5,0)),0),IF(ISERROR(1/VLOOKUP($N429,Capa!$A:$AE,AZ$5,0)),0,1/VLOOKUP($N429,Capa!$A:$AE,AZ$5,0))))</f>
        <v/>
      </c>
      <c r="BA429" s="118" t="str">
        <f>IF(BA$6="","",IF(BA$3="Maior",IFERROR(IF(VLOOKUP($N429,Capa!$A:$AE,BA$5,0)="",0,VLOOKUP($N429,Capa!$A:$AE,BA$5,0)),0),IF(ISERROR(1/VLOOKUP($N429,Capa!$A:$AE,BA$5,0)),0,1/VLOOKUP($N429,Capa!$A:$AE,BA$5,0))))</f>
        <v/>
      </c>
      <c r="BB429" s="118" t="str">
        <f>IF(BB$6="","",IF(BB$3="Maior",IFERROR(IF(VLOOKUP($N429,Capa!$A:$AE,BB$5,0)="",0,VLOOKUP($N429,Capa!$A:$AE,BB$5,0)),0),IF(ISERROR(1/VLOOKUP($N429,Capa!$A:$AE,BB$5,0)),0,1/VLOOKUP($N429,Capa!$A:$AE,BB$5,0))))</f>
        <v/>
      </c>
      <c r="BC429" s="118" t="str">
        <f>IF(BC$6="","",IF(BC$3="Maior",IFERROR(IF(VLOOKUP($N429,Capa!$A:$AE,BC$5,0)="",0,VLOOKUP($N429,Capa!$A:$AE,BC$5,0)),0),IF(ISERROR(1/VLOOKUP($N429,Capa!$A:$AE,BC$5,0)),0,1/VLOOKUP($N429,Capa!$A:$AE,BC$5,0))))</f>
        <v/>
      </c>
      <c r="BD429" s="118" t="str">
        <f>IF(BD$6="","",IF(BD$3="Maior",IFERROR(IF(VLOOKUP($N429,Capa!$A:$AE,BD$5,0)="",0,VLOOKUP($N429,Capa!$A:$AE,BD$5,0)),0),IF(ISERROR(1/VLOOKUP($N429,Capa!$A:$AE,BD$5,0)),0,1/VLOOKUP($N429,Capa!$A:$AE,BD$5,0))))</f>
        <v/>
      </c>
      <c r="BE429" s="118" t="str">
        <f>IF(BE$6="","",IF(BE$3="Maior",IFERROR(IF(VLOOKUP($N429,Capa!$A:$AE,BE$5,0)="",0,VLOOKUP($N429,Capa!$A:$AE,BE$5,0)),0),IF(ISERROR(1/VLOOKUP($N429,Capa!$A:$AE,BE$5,0)),0,1/VLOOKUP($N429,Capa!$A:$AE,BE$5,0))))</f>
        <v/>
      </c>
      <c r="BF429" s="118" t="str">
        <f>IF(BF$6="","",IF(BF$3="Maior",IFERROR(IF(VLOOKUP($N429,Capa!$A:$AE,BF$5,0)="",0,VLOOKUP($N429,Capa!$A:$AE,BF$5,0)),0),IF(ISERROR(1/VLOOKUP($N429,Capa!$A:$AE,BF$5,0)),0,1/VLOOKUP($N429,Capa!$A:$AE,BF$5,0))))</f>
        <v/>
      </c>
      <c r="BG429" s="118" t="str">
        <f>IF(BG$6="","",IF(BG$3="Maior",IFERROR(IF(VLOOKUP($N429,Capa!$A:$AE,BG$5,0)="",0,VLOOKUP($N429,Capa!$A:$AE,BG$5,0)),0),IF(ISERROR(1/VLOOKUP($N429,Capa!$A:$AE,BG$5,0)),0,1/VLOOKUP($N429,Capa!$A:$AE,BG$5,0))))</f>
        <v/>
      </c>
      <c r="BH429" s="118" t="str">
        <f>IF(BH$6="","",IF(BH$3="Maior",IFERROR(IF(VLOOKUP($N429,Capa!$A:$AE,BH$5,0)="",0,VLOOKUP($N429,Capa!$A:$AE,BH$5,0)),0),IF(ISERROR(1/VLOOKUP($N429,Capa!$A:$AE,BH$5,0)),0,1/VLOOKUP($N429,Capa!$A:$AE,BH$5,0))))</f>
        <v/>
      </c>
      <c r="BI429" s="118" t="str">
        <f>IF(BI$6="","",IF(BI$3="Maior",IFERROR(IF(VLOOKUP($N429,Capa!$A:$AE,BI$5,0)="",0,VLOOKUP($N429,Capa!$A:$AE,BI$5,0)),0),IF(ISERROR(1/VLOOKUP($N429,Capa!$A:$AE,BI$5,0)),0,1/VLOOKUP($N429,Capa!$A:$AE,BI$5,0))))</f>
        <v/>
      </c>
      <c r="BJ429" s="118" t="str">
        <f>IF(BJ$6="","",IF(BJ$3="Maior",IFERROR(IF(VLOOKUP($N429,Capa!$A:$AE,BJ$5,0)="",0,VLOOKUP($N429,Capa!$A:$AE,BJ$5,0)),0),IF(ISERROR(1/VLOOKUP($N429,Capa!$A:$AE,BJ$5,0)),0,1/VLOOKUP($N429,Capa!$A:$AE,BJ$5,0))))</f>
        <v/>
      </c>
      <c r="BK429" s="118" t="str">
        <f>IF(BK$6="","",IF(BK$3="Maior",IFERROR(IF(VLOOKUP($N429,Capa!$A:$AE,BK$5,0)="",0,VLOOKUP($N429,Capa!$A:$AE,BK$5,0)),0),IF(ISERROR(1/VLOOKUP($N429,Capa!$A:$AE,BK$5,0)),0,1/VLOOKUP($N429,Capa!$A:$AE,BK$5,0))))</f>
        <v/>
      </c>
      <c r="BL429" s="118" t="str">
        <f>IF(BL$6="","",IF(BL$3="Maior",IFERROR(IF(VLOOKUP($N429,Capa!$A:$AE,BL$5,0)="",0,VLOOKUP($N429,Capa!$A:$AE,BL$5,0)),0),IF(ISERROR(1/VLOOKUP($N429,Capa!$A:$AE,BL$5,0)),0,1/VLOOKUP($N429,Capa!$A:$AE,BL$5,0))))</f>
        <v/>
      </c>
      <c r="BM429" s="118" t="str">
        <f>IF(BM$6="","",IF(BM$3="Maior",IFERROR(IF(VLOOKUP($N429,Capa!$A:$AE,BM$5,0)="",0,VLOOKUP($N429,Capa!$A:$AE,BM$5,0)),0),IF(ISERROR(1/VLOOKUP($N429,Capa!$A:$AE,BM$5,0)),0,1/VLOOKUP($N429,Capa!$A:$AE,BM$5,0))))</f>
        <v/>
      </c>
      <c r="BN429" s="118" t="str">
        <f>IF(BN$6="","",IF(BN$3="Maior",IFERROR(IF(VLOOKUP($N429,Capa!$A:$AE,BN$5,0)="",0,VLOOKUP($N429,Capa!$A:$AE,BN$5,0)),0),IF(ISERROR(1/VLOOKUP($N429,Capa!$A:$AE,BN$5,0)),0,1/VLOOKUP($N429,Capa!$A:$AE,BN$5,0))))</f>
        <v/>
      </c>
      <c r="BO429" s="92"/>
    </row>
    <row r="430">
      <c r="G430" s="11"/>
      <c r="H430" s="11"/>
      <c r="I430" s="8"/>
      <c r="J430" s="132"/>
      <c r="K430" s="11"/>
      <c r="L430" s="11"/>
      <c r="M430" s="11"/>
      <c r="N430" s="10" t="s">
        <v>476</v>
      </c>
      <c r="O430" s="113">
        <f t="shared" si="8"/>
        <v>1416.0115</v>
      </c>
      <c r="P430" s="114">
        <f>VLOOKUP(N430,'Dados StatusInvest'!A:Z,26,0)</f>
        <v>18616</v>
      </c>
      <c r="Q430" s="115">
        <f t="shared" si="9"/>
        <v>115.0115</v>
      </c>
      <c r="R430" s="116">
        <f t="shared" ref="R430:AO430" si="433">IF(AQ430="","", RANK(AQ430,AQ$7:AQ$503,0))</f>
        <v>192</v>
      </c>
      <c r="S430" s="115">
        <f t="shared" si="433"/>
        <v>109</v>
      </c>
      <c r="T430" s="115" t="str">
        <f t="shared" si="433"/>
        <v/>
      </c>
      <c r="U430" s="115" t="str">
        <f t="shared" si="433"/>
        <v/>
      </c>
      <c r="V430" s="115" t="str">
        <f t="shared" si="433"/>
        <v/>
      </c>
      <c r="W430" s="115" t="str">
        <f t="shared" si="433"/>
        <v/>
      </c>
      <c r="X430" s="115" t="str">
        <f t="shared" si="433"/>
        <v/>
      </c>
      <c r="Y430" s="115" t="str">
        <f t="shared" si="433"/>
        <v/>
      </c>
      <c r="Z430" s="115" t="str">
        <f t="shared" si="433"/>
        <v/>
      </c>
      <c r="AA430" s="115" t="str">
        <f t="shared" si="433"/>
        <v/>
      </c>
      <c r="AB430" s="115" t="str">
        <f t="shared" si="433"/>
        <v/>
      </c>
      <c r="AC430" s="115" t="str">
        <f t="shared" si="433"/>
        <v/>
      </c>
      <c r="AD430" s="115" t="str">
        <f t="shared" si="433"/>
        <v/>
      </c>
      <c r="AE430" s="115" t="str">
        <f t="shared" si="433"/>
        <v/>
      </c>
      <c r="AF430" s="115" t="str">
        <f t="shared" si="433"/>
        <v/>
      </c>
      <c r="AG430" s="115" t="str">
        <f t="shared" si="433"/>
        <v/>
      </c>
      <c r="AH430" s="115" t="str">
        <f t="shared" si="433"/>
        <v/>
      </c>
      <c r="AI430" s="115" t="str">
        <f t="shared" si="433"/>
        <v/>
      </c>
      <c r="AJ430" s="115" t="str">
        <f t="shared" si="433"/>
        <v/>
      </c>
      <c r="AK430" s="115" t="str">
        <f t="shared" si="433"/>
        <v/>
      </c>
      <c r="AL430" s="115" t="str">
        <f t="shared" si="433"/>
        <v/>
      </c>
      <c r="AM430" s="115" t="str">
        <f t="shared" si="433"/>
        <v/>
      </c>
      <c r="AN430" s="115" t="str">
        <f t="shared" si="433"/>
        <v/>
      </c>
      <c r="AO430" s="115" t="str">
        <f t="shared" si="433"/>
        <v/>
      </c>
      <c r="AP430" s="117">
        <f>IF(AP$6="","",IF(AP$3="Maior",IFERROR(IF(VLOOKUP($N430,Capa!$A:$AE,AP$5,0)="",0,VLOOKUP($N430,Capa!$A:$AE,AP$5,0)),0),IF(ISERROR(1/VLOOKUP($N430,Capa!$A:$AE,AP$5,0)),0,1/VLOOKUP($N430,Capa!$A:$AE,AP$5,0))))</f>
        <v>0.162601626</v>
      </c>
      <c r="AQ430" s="118">
        <f>IF(AQ$6="","",IF(AQ$3="Maior",IFERROR(IF(VLOOKUP($N430,Capa!$A:$AE,AQ$5,0)="",0,VLOOKUP($N430,Capa!$A:$AE,AQ$5,0)),0),IF(ISERROR(1/VLOOKUP($N430,Capa!$A:$AE,AQ$5,0)),0,1/VLOOKUP($N430,Capa!$A:$AE,AQ$5,0))))</f>
        <v>11.29</v>
      </c>
      <c r="AR430" s="118">
        <f>IF(AR$6="","",IF(AR$3="Maior",IFERROR(IF(VLOOKUP($N430,Capa!$A:$AE,AR$5,0)="",0,VLOOKUP($N430,Capa!$A:$AE,AR$5,0)),0),IF(ISERROR(1/VLOOKUP($N430,Capa!$A:$AE,AR$5,0)),0,1/VLOOKUP($N430,Capa!$A:$AE,AR$5,0))))</f>
        <v>24.16</v>
      </c>
      <c r="AS430" s="118" t="str">
        <f>IF(AS$6="","",IF(AS$3="Maior",IFERROR(IF(VLOOKUP($N430,Capa!$A:$AE,AS$5,0)="",0,VLOOKUP($N430,Capa!$A:$AE,AS$5,0)),0),IF(ISERROR(1/VLOOKUP($N430,Capa!$A:$AE,AS$5,0)),0,1/VLOOKUP($N430,Capa!$A:$AE,AS$5,0))))</f>
        <v/>
      </c>
      <c r="AT430" s="118" t="str">
        <f>IF(AT$6="","",IF(AT$3="Maior",IFERROR(IF(VLOOKUP($N430,Capa!$A:$AE,AT$5,0)="",0,VLOOKUP($N430,Capa!$A:$AE,AT$5,0)),0),IF(ISERROR(1/VLOOKUP($N430,Capa!$A:$AE,AT$5,0)),0,1/VLOOKUP($N430,Capa!$A:$AE,AT$5,0))))</f>
        <v/>
      </c>
      <c r="AU430" s="118" t="str">
        <f>IF(AU$6="","",IF(AU$3="Maior",IFERROR(IF(VLOOKUP($N430,Capa!$A:$AE,AU$5,0)="",0,VLOOKUP($N430,Capa!$A:$AE,AU$5,0)),0),IF(ISERROR(1/VLOOKUP($N430,Capa!$A:$AE,AU$5,0)),0,1/VLOOKUP($N430,Capa!$A:$AE,AU$5,0))))</f>
        <v/>
      </c>
      <c r="AV430" s="118" t="str">
        <f>IF(AV$6="","",IF(AV$3="Maior",IFERROR(IF(VLOOKUP($N430,Capa!$A:$AE,AV$5,0)="",0,VLOOKUP($N430,Capa!$A:$AE,AV$5,0)),0),IF(ISERROR(1/VLOOKUP($N430,Capa!$A:$AE,AV$5,0)),0,1/VLOOKUP($N430,Capa!$A:$AE,AV$5,0))))</f>
        <v/>
      </c>
      <c r="AW430" s="118" t="str">
        <f>IF(AW$6="","",IF(AW$3="Maior",IFERROR(IF(VLOOKUP($N430,Capa!$A:$AE,AW$5,0)="",0,VLOOKUP($N430,Capa!$A:$AE,AW$5,0)),0),IF(ISERROR(1/VLOOKUP($N430,Capa!$A:$AE,AW$5,0)),0,1/VLOOKUP($N430,Capa!$A:$AE,AW$5,0))))</f>
        <v/>
      </c>
      <c r="AX430" s="118" t="str">
        <f>IF(AX$6="","",IF(AX$3="Maior",IFERROR(IF(VLOOKUP($N430,Capa!$A:$AE,AX$5,0)="",0,VLOOKUP($N430,Capa!$A:$AE,AX$5,0)),0),IF(ISERROR(1/VLOOKUP($N430,Capa!$A:$AE,AX$5,0)),0,1/VLOOKUP($N430,Capa!$A:$AE,AX$5,0))))</f>
        <v/>
      </c>
      <c r="AY430" s="118" t="str">
        <f>IF(AY$6="","",IF(AY$3="Maior",IFERROR(IF(VLOOKUP($N430,Capa!$A:$AE,AY$5,0)="",0,VLOOKUP($N430,Capa!$A:$AE,AY$5,0)),0),IF(ISERROR(1/VLOOKUP($N430,Capa!$A:$AE,AY$5,0)),0,1/VLOOKUP($N430,Capa!$A:$AE,AY$5,0))))</f>
        <v/>
      </c>
      <c r="AZ430" s="118" t="str">
        <f>IF(AZ$6="","",IF(AZ$3="Maior",IFERROR(IF(VLOOKUP($N430,Capa!$A:$AE,AZ$5,0)="",0,VLOOKUP($N430,Capa!$A:$AE,AZ$5,0)),0),IF(ISERROR(1/VLOOKUP($N430,Capa!$A:$AE,AZ$5,0)),0,1/VLOOKUP($N430,Capa!$A:$AE,AZ$5,0))))</f>
        <v/>
      </c>
      <c r="BA430" s="118" t="str">
        <f>IF(BA$6="","",IF(BA$3="Maior",IFERROR(IF(VLOOKUP($N430,Capa!$A:$AE,BA$5,0)="",0,VLOOKUP($N430,Capa!$A:$AE,BA$5,0)),0),IF(ISERROR(1/VLOOKUP($N430,Capa!$A:$AE,BA$5,0)),0,1/VLOOKUP($N430,Capa!$A:$AE,BA$5,0))))</f>
        <v/>
      </c>
      <c r="BB430" s="118" t="str">
        <f>IF(BB$6="","",IF(BB$3="Maior",IFERROR(IF(VLOOKUP($N430,Capa!$A:$AE,BB$5,0)="",0,VLOOKUP($N430,Capa!$A:$AE,BB$5,0)),0),IF(ISERROR(1/VLOOKUP($N430,Capa!$A:$AE,BB$5,0)),0,1/VLOOKUP($N430,Capa!$A:$AE,BB$5,0))))</f>
        <v/>
      </c>
      <c r="BC430" s="118" t="str">
        <f>IF(BC$6="","",IF(BC$3="Maior",IFERROR(IF(VLOOKUP($N430,Capa!$A:$AE,BC$5,0)="",0,VLOOKUP($N430,Capa!$A:$AE,BC$5,0)),0),IF(ISERROR(1/VLOOKUP($N430,Capa!$A:$AE,BC$5,0)),0,1/VLOOKUP($N430,Capa!$A:$AE,BC$5,0))))</f>
        <v/>
      </c>
      <c r="BD430" s="118" t="str">
        <f>IF(BD$6="","",IF(BD$3="Maior",IFERROR(IF(VLOOKUP($N430,Capa!$A:$AE,BD$5,0)="",0,VLOOKUP($N430,Capa!$A:$AE,BD$5,0)),0),IF(ISERROR(1/VLOOKUP($N430,Capa!$A:$AE,BD$5,0)),0,1/VLOOKUP($N430,Capa!$A:$AE,BD$5,0))))</f>
        <v/>
      </c>
      <c r="BE430" s="118" t="str">
        <f>IF(BE$6="","",IF(BE$3="Maior",IFERROR(IF(VLOOKUP($N430,Capa!$A:$AE,BE$5,0)="",0,VLOOKUP($N430,Capa!$A:$AE,BE$5,0)),0),IF(ISERROR(1/VLOOKUP($N430,Capa!$A:$AE,BE$5,0)),0,1/VLOOKUP($N430,Capa!$A:$AE,BE$5,0))))</f>
        <v/>
      </c>
      <c r="BF430" s="118" t="str">
        <f>IF(BF$6="","",IF(BF$3="Maior",IFERROR(IF(VLOOKUP($N430,Capa!$A:$AE,BF$5,0)="",0,VLOOKUP($N430,Capa!$A:$AE,BF$5,0)),0),IF(ISERROR(1/VLOOKUP($N430,Capa!$A:$AE,BF$5,0)),0,1/VLOOKUP($N430,Capa!$A:$AE,BF$5,0))))</f>
        <v/>
      </c>
      <c r="BG430" s="118" t="str">
        <f>IF(BG$6="","",IF(BG$3="Maior",IFERROR(IF(VLOOKUP($N430,Capa!$A:$AE,BG$5,0)="",0,VLOOKUP($N430,Capa!$A:$AE,BG$5,0)),0),IF(ISERROR(1/VLOOKUP($N430,Capa!$A:$AE,BG$5,0)),0,1/VLOOKUP($N430,Capa!$A:$AE,BG$5,0))))</f>
        <v/>
      </c>
      <c r="BH430" s="118" t="str">
        <f>IF(BH$6="","",IF(BH$3="Maior",IFERROR(IF(VLOOKUP($N430,Capa!$A:$AE,BH$5,0)="",0,VLOOKUP($N430,Capa!$A:$AE,BH$5,0)),0),IF(ISERROR(1/VLOOKUP($N430,Capa!$A:$AE,BH$5,0)),0,1/VLOOKUP($N430,Capa!$A:$AE,BH$5,0))))</f>
        <v/>
      </c>
      <c r="BI430" s="118" t="str">
        <f>IF(BI$6="","",IF(BI$3="Maior",IFERROR(IF(VLOOKUP($N430,Capa!$A:$AE,BI$5,0)="",0,VLOOKUP($N430,Capa!$A:$AE,BI$5,0)),0),IF(ISERROR(1/VLOOKUP($N430,Capa!$A:$AE,BI$5,0)),0,1/VLOOKUP($N430,Capa!$A:$AE,BI$5,0))))</f>
        <v/>
      </c>
      <c r="BJ430" s="118" t="str">
        <f>IF(BJ$6="","",IF(BJ$3="Maior",IFERROR(IF(VLOOKUP($N430,Capa!$A:$AE,BJ$5,0)="",0,VLOOKUP($N430,Capa!$A:$AE,BJ$5,0)),0),IF(ISERROR(1/VLOOKUP($N430,Capa!$A:$AE,BJ$5,0)),0,1/VLOOKUP($N430,Capa!$A:$AE,BJ$5,0))))</f>
        <v/>
      </c>
      <c r="BK430" s="118" t="str">
        <f>IF(BK$6="","",IF(BK$3="Maior",IFERROR(IF(VLOOKUP($N430,Capa!$A:$AE,BK$5,0)="",0,VLOOKUP($N430,Capa!$A:$AE,BK$5,0)),0),IF(ISERROR(1/VLOOKUP($N430,Capa!$A:$AE,BK$5,0)),0,1/VLOOKUP($N430,Capa!$A:$AE,BK$5,0))))</f>
        <v/>
      </c>
      <c r="BL430" s="118" t="str">
        <f>IF(BL$6="","",IF(BL$3="Maior",IFERROR(IF(VLOOKUP($N430,Capa!$A:$AE,BL$5,0)="",0,VLOOKUP($N430,Capa!$A:$AE,BL$5,0)),0),IF(ISERROR(1/VLOOKUP($N430,Capa!$A:$AE,BL$5,0)),0,1/VLOOKUP($N430,Capa!$A:$AE,BL$5,0))))</f>
        <v/>
      </c>
      <c r="BM430" s="118" t="str">
        <f>IF(BM$6="","",IF(BM$3="Maior",IFERROR(IF(VLOOKUP($N430,Capa!$A:$AE,BM$5,0)="",0,VLOOKUP($N430,Capa!$A:$AE,BM$5,0)),0),IF(ISERROR(1/VLOOKUP($N430,Capa!$A:$AE,BM$5,0)),0,1/VLOOKUP($N430,Capa!$A:$AE,BM$5,0))))</f>
        <v/>
      </c>
      <c r="BN430" s="118" t="str">
        <f>IF(BN$6="","",IF(BN$3="Maior",IFERROR(IF(VLOOKUP($N430,Capa!$A:$AE,BN$5,0)="",0,VLOOKUP($N430,Capa!$A:$AE,BN$5,0)),0),IF(ISERROR(1/VLOOKUP($N430,Capa!$A:$AE,BN$5,0)),0,1/VLOOKUP($N430,Capa!$A:$AE,BN$5,0))))</f>
        <v/>
      </c>
      <c r="BO430" s="92"/>
    </row>
    <row r="431">
      <c r="G431" s="11"/>
      <c r="H431" s="11"/>
      <c r="I431" s="8"/>
      <c r="J431" s="132"/>
      <c r="K431" s="11"/>
      <c r="L431" s="11"/>
      <c r="M431" s="11"/>
      <c r="N431" s="10" t="s">
        <v>477</v>
      </c>
      <c r="O431" s="113">
        <f t="shared" si="8"/>
        <v>1969.0375</v>
      </c>
      <c r="P431" s="114">
        <f>VLOOKUP(N431,'Dados StatusInvest'!A:Z,26,0)</f>
        <v>19306</v>
      </c>
      <c r="Q431" s="115">
        <f t="shared" si="9"/>
        <v>375.0375</v>
      </c>
      <c r="R431" s="116">
        <f t="shared" ref="R431:AO431" si="434">IF(AQ431="","", RANK(AQ431,AQ$7:AQ$503,0))</f>
        <v>375</v>
      </c>
      <c r="S431" s="115">
        <f t="shared" si="434"/>
        <v>219</v>
      </c>
      <c r="T431" s="115" t="str">
        <f t="shared" si="434"/>
        <v/>
      </c>
      <c r="U431" s="115" t="str">
        <f t="shared" si="434"/>
        <v/>
      </c>
      <c r="V431" s="115" t="str">
        <f t="shared" si="434"/>
        <v/>
      </c>
      <c r="W431" s="115" t="str">
        <f t="shared" si="434"/>
        <v/>
      </c>
      <c r="X431" s="115" t="str">
        <f t="shared" si="434"/>
        <v/>
      </c>
      <c r="Y431" s="115" t="str">
        <f t="shared" si="434"/>
        <v/>
      </c>
      <c r="Z431" s="115" t="str">
        <f t="shared" si="434"/>
        <v/>
      </c>
      <c r="AA431" s="115" t="str">
        <f t="shared" si="434"/>
        <v/>
      </c>
      <c r="AB431" s="115" t="str">
        <f t="shared" si="434"/>
        <v/>
      </c>
      <c r="AC431" s="115" t="str">
        <f t="shared" si="434"/>
        <v/>
      </c>
      <c r="AD431" s="115" t="str">
        <f t="shared" si="434"/>
        <v/>
      </c>
      <c r="AE431" s="115" t="str">
        <f t="shared" si="434"/>
        <v/>
      </c>
      <c r="AF431" s="115" t="str">
        <f t="shared" si="434"/>
        <v/>
      </c>
      <c r="AG431" s="115" t="str">
        <f t="shared" si="434"/>
        <v/>
      </c>
      <c r="AH431" s="115" t="str">
        <f t="shared" si="434"/>
        <v/>
      </c>
      <c r="AI431" s="115" t="str">
        <f t="shared" si="434"/>
        <v/>
      </c>
      <c r="AJ431" s="115" t="str">
        <f t="shared" si="434"/>
        <v/>
      </c>
      <c r="AK431" s="115" t="str">
        <f t="shared" si="434"/>
        <v/>
      </c>
      <c r="AL431" s="115" t="str">
        <f t="shared" si="434"/>
        <v/>
      </c>
      <c r="AM431" s="115" t="str">
        <f t="shared" si="434"/>
        <v/>
      </c>
      <c r="AN431" s="115" t="str">
        <f t="shared" si="434"/>
        <v/>
      </c>
      <c r="AO431" s="115" t="str">
        <f t="shared" si="434"/>
        <v/>
      </c>
      <c r="AP431" s="117">
        <f>IF(AP$6="","",IF(AP$3="Maior",IFERROR(IF(VLOOKUP($N431,Capa!$A:$AE,AP$5,0)="",0,VLOOKUP($N431,Capa!$A:$AE,AP$5,0)),0),IF(ISERROR(1/VLOOKUP($N431,Capa!$A:$AE,AP$5,0)),0,1/VLOOKUP($N431,Capa!$A:$AE,AP$5,0))))</f>
        <v>0.01797268152</v>
      </c>
      <c r="AQ431" s="118">
        <f>IF(AQ$6="","",IF(AQ$3="Maior",IFERROR(IF(VLOOKUP($N431,Capa!$A:$AE,AQ$5,0)="",0,VLOOKUP($N431,Capa!$A:$AE,AQ$5,0)),0),IF(ISERROR(1/VLOOKUP($N431,Capa!$A:$AE,AQ$5,0)),0,1/VLOOKUP($N431,Capa!$A:$AE,AQ$5,0))))</f>
        <v>0</v>
      </c>
      <c r="AR431" s="118">
        <f>IF(AR$6="","",IF(AR$3="Maior",IFERROR(IF(VLOOKUP($N431,Capa!$A:$AE,AR$5,0)="",0,VLOOKUP($N431,Capa!$A:$AE,AR$5,0)),0),IF(ISERROR(1/VLOOKUP($N431,Capa!$A:$AE,AR$5,0)),0,1/VLOOKUP($N431,Capa!$A:$AE,AR$5,0))))</f>
        <v>0</v>
      </c>
      <c r="AS431" s="118" t="str">
        <f>IF(AS$6="","",IF(AS$3="Maior",IFERROR(IF(VLOOKUP($N431,Capa!$A:$AE,AS$5,0)="",0,VLOOKUP($N431,Capa!$A:$AE,AS$5,0)),0),IF(ISERROR(1/VLOOKUP($N431,Capa!$A:$AE,AS$5,0)),0,1/VLOOKUP($N431,Capa!$A:$AE,AS$5,0))))</f>
        <v/>
      </c>
      <c r="AT431" s="118" t="str">
        <f>IF(AT$6="","",IF(AT$3="Maior",IFERROR(IF(VLOOKUP($N431,Capa!$A:$AE,AT$5,0)="",0,VLOOKUP($N431,Capa!$A:$AE,AT$5,0)),0),IF(ISERROR(1/VLOOKUP($N431,Capa!$A:$AE,AT$5,0)),0,1/VLOOKUP($N431,Capa!$A:$AE,AT$5,0))))</f>
        <v/>
      </c>
      <c r="AU431" s="118" t="str">
        <f>IF(AU$6="","",IF(AU$3="Maior",IFERROR(IF(VLOOKUP($N431,Capa!$A:$AE,AU$5,0)="",0,VLOOKUP($N431,Capa!$A:$AE,AU$5,0)),0),IF(ISERROR(1/VLOOKUP($N431,Capa!$A:$AE,AU$5,0)),0,1/VLOOKUP($N431,Capa!$A:$AE,AU$5,0))))</f>
        <v/>
      </c>
      <c r="AV431" s="118" t="str">
        <f>IF(AV$6="","",IF(AV$3="Maior",IFERROR(IF(VLOOKUP($N431,Capa!$A:$AE,AV$5,0)="",0,VLOOKUP($N431,Capa!$A:$AE,AV$5,0)),0),IF(ISERROR(1/VLOOKUP($N431,Capa!$A:$AE,AV$5,0)),0,1/VLOOKUP($N431,Capa!$A:$AE,AV$5,0))))</f>
        <v/>
      </c>
      <c r="AW431" s="118" t="str">
        <f>IF(AW$6="","",IF(AW$3="Maior",IFERROR(IF(VLOOKUP($N431,Capa!$A:$AE,AW$5,0)="",0,VLOOKUP($N431,Capa!$A:$AE,AW$5,0)),0),IF(ISERROR(1/VLOOKUP($N431,Capa!$A:$AE,AW$5,0)),0,1/VLOOKUP($N431,Capa!$A:$AE,AW$5,0))))</f>
        <v/>
      </c>
      <c r="AX431" s="118" t="str">
        <f>IF(AX$6="","",IF(AX$3="Maior",IFERROR(IF(VLOOKUP($N431,Capa!$A:$AE,AX$5,0)="",0,VLOOKUP($N431,Capa!$A:$AE,AX$5,0)),0),IF(ISERROR(1/VLOOKUP($N431,Capa!$A:$AE,AX$5,0)),0,1/VLOOKUP($N431,Capa!$A:$AE,AX$5,0))))</f>
        <v/>
      </c>
      <c r="AY431" s="118" t="str">
        <f>IF(AY$6="","",IF(AY$3="Maior",IFERROR(IF(VLOOKUP($N431,Capa!$A:$AE,AY$5,0)="",0,VLOOKUP($N431,Capa!$A:$AE,AY$5,0)),0),IF(ISERROR(1/VLOOKUP($N431,Capa!$A:$AE,AY$5,0)),0,1/VLOOKUP($N431,Capa!$A:$AE,AY$5,0))))</f>
        <v/>
      </c>
      <c r="AZ431" s="118" t="str">
        <f>IF(AZ$6="","",IF(AZ$3="Maior",IFERROR(IF(VLOOKUP($N431,Capa!$A:$AE,AZ$5,0)="",0,VLOOKUP($N431,Capa!$A:$AE,AZ$5,0)),0),IF(ISERROR(1/VLOOKUP($N431,Capa!$A:$AE,AZ$5,0)),0,1/VLOOKUP($N431,Capa!$A:$AE,AZ$5,0))))</f>
        <v/>
      </c>
      <c r="BA431" s="118" t="str">
        <f>IF(BA$6="","",IF(BA$3="Maior",IFERROR(IF(VLOOKUP($N431,Capa!$A:$AE,BA$5,0)="",0,VLOOKUP($N431,Capa!$A:$AE,BA$5,0)),0),IF(ISERROR(1/VLOOKUP($N431,Capa!$A:$AE,BA$5,0)),0,1/VLOOKUP($N431,Capa!$A:$AE,BA$5,0))))</f>
        <v/>
      </c>
      <c r="BB431" s="118" t="str">
        <f>IF(BB$6="","",IF(BB$3="Maior",IFERROR(IF(VLOOKUP($N431,Capa!$A:$AE,BB$5,0)="",0,VLOOKUP($N431,Capa!$A:$AE,BB$5,0)),0),IF(ISERROR(1/VLOOKUP($N431,Capa!$A:$AE,BB$5,0)),0,1/VLOOKUP($N431,Capa!$A:$AE,BB$5,0))))</f>
        <v/>
      </c>
      <c r="BC431" s="118" t="str">
        <f>IF(BC$6="","",IF(BC$3="Maior",IFERROR(IF(VLOOKUP($N431,Capa!$A:$AE,BC$5,0)="",0,VLOOKUP($N431,Capa!$A:$AE,BC$5,0)),0),IF(ISERROR(1/VLOOKUP($N431,Capa!$A:$AE,BC$5,0)),0,1/VLOOKUP($N431,Capa!$A:$AE,BC$5,0))))</f>
        <v/>
      </c>
      <c r="BD431" s="118" t="str">
        <f>IF(BD$6="","",IF(BD$3="Maior",IFERROR(IF(VLOOKUP($N431,Capa!$A:$AE,BD$5,0)="",0,VLOOKUP($N431,Capa!$A:$AE,BD$5,0)),0),IF(ISERROR(1/VLOOKUP($N431,Capa!$A:$AE,BD$5,0)),0,1/VLOOKUP($N431,Capa!$A:$AE,BD$5,0))))</f>
        <v/>
      </c>
      <c r="BE431" s="118" t="str">
        <f>IF(BE$6="","",IF(BE$3="Maior",IFERROR(IF(VLOOKUP($N431,Capa!$A:$AE,BE$5,0)="",0,VLOOKUP($N431,Capa!$A:$AE,BE$5,0)),0),IF(ISERROR(1/VLOOKUP($N431,Capa!$A:$AE,BE$5,0)),0,1/VLOOKUP($N431,Capa!$A:$AE,BE$5,0))))</f>
        <v/>
      </c>
      <c r="BF431" s="118" t="str">
        <f>IF(BF$6="","",IF(BF$3="Maior",IFERROR(IF(VLOOKUP($N431,Capa!$A:$AE,BF$5,0)="",0,VLOOKUP($N431,Capa!$A:$AE,BF$5,0)),0),IF(ISERROR(1/VLOOKUP($N431,Capa!$A:$AE,BF$5,0)),0,1/VLOOKUP($N431,Capa!$A:$AE,BF$5,0))))</f>
        <v/>
      </c>
      <c r="BG431" s="118" t="str">
        <f>IF(BG$6="","",IF(BG$3="Maior",IFERROR(IF(VLOOKUP($N431,Capa!$A:$AE,BG$5,0)="",0,VLOOKUP($N431,Capa!$A:$AE,BG$5,0)),0),IF(ISERROR(1/VLOOKUP($N431,Capa!$A:$AE,BG$5,0)),0,1/VLOOKUP($N431,Capa!$A:$AE,BG$5,0))))</f>
        <v/>
      </c>
      <c r="BH431" s="118" t="str">
        <f>IF(BH$6="","",IF(BH$3="Maior",IFERROR(IF(VLOOKUP($N431,Capa!$A:$AE,BH$5,0)="",0,VLOOKUP($N431,Capa!$A:$AE,BH$5,0)),0),IF(ISERROR(1/VLOOKUP($N431,Capa!$A:$AE,BH$5,0)),0,1/VLOOKUP($N431,Capa!$A:$AE,BH$5,0))))</f>
        <v/>
      </c>
      <c r="BI431" s="118" t="str">
        <f>IF(BI$6="","",IF(BI$3="Maior",IFERROR(IF(VLOOKUP($N431,Capa!$A:$AE,BI$5,0)="",0,VLOOKUP($N431,Capa!$A:$AE,BI$5,0)),0),IF(ISERROR(1/VLOOKUP($N431,Capa!$A:$AE,BI$5,0)),0,1/VLOOKUP($N431,Capa!$A:$AE,BI$5,0))))</f>
        <v/>
      </c>
      <c r="BJ431" s="118" t="str">
        <f>IF(BJ$6="","",IF(BJ$3="Maior",IFERROR(IF(VLOOKUP($N431,Capa!$A:$AE,BJ$5,0)="",0,VLOOKUP($N431,Capa!$A:$AE,BJ$5,0)),0),IF(ISERROR(1/VLOOKUP($N431,Capa!$A:$AE,BJ$5,0)),0,1/VLOOKUP($N431,Capa!$A:$AE,BJ$5,0))))</f>
        <v/>
      </c>
      <c r="BK431" s="118" t="str">
        <f>IF(BK$6="","",IF(BK$3="Maior",IFERROR(IF(VLOOKUP($N431,Capa!$A:$AE,BK$5,0)="",0,VLOOKUP($N431,Capa!$A:$AE,BK$5,0)),0),IF(ISERROR(1/VLOOKUP($N431,Capa!$A:$AE,BK$5,0)),0,1/VLOOKUP($N431,Capa!$A:$AE,BK$5,0))))</f>
        <v/>
      </c>
      <c r="BL431" s="118" t="str">
        <f>IF(BL$6="","",IF(BL$3="Maior",IFERROR(IF(VLOOKUP($N431,Capa!$A:$AE,BL$5,0)="",0,VLOOKUP($N431,Capa!$A:$AE,BL$5,0)),0),IF(ISERROR(1/VLOOKUP($N431,Capa!$A:$AE,BL$5,0)),0,1/VLOOKUP($N431,Capa!$A:$AE,BL$5,0))))</f>
        <v/>
      </c>
      <c r="BM431" s="118" t="str">
        <f>IF(BM$6="","",IF(BM$3="Maior",IFERROR(IF(VLOOKUP($N431,Capa!$A:$AE,BM$5,0)="",0,VLOOKUP($N431,Capa!$A:$AE,BM$5,0)),0),IF(ISERROR(1/VLOOKUP($N431,Capa!$A:$AE,BM$5,0)),0,1/VLOOKUP($N431,Capa!$A:$AE,BM$5,0))))</f>
        <v/>
      </c>
      <c r="BN431" s="118" t="str">
        <f>IF(BN$6="","",IF(BN$3="Maior",IFERROR(IF(VLOOKUP($N431,Capa!$A:$AE,BN$5,0)="",0,VLOOKUP($N431,Capa!$A:$AE,BN$5,0)),0),IF(ISERROR(1/VLOOKUP($N431,Capa!$A:$AE,BN$5,0)),0,1/VLOOKUP($N431,Capa!$A:$AE,BN$5,0))))</f>
        <v/>
      </c>
      <c r="BO431" s="92"/>
    </row>
    <row r="432">
      <c r="G432" s="11"/>
      <c r="H432" s="11"/>
      <c r="I432" s="8"/>
      <c r="J432" s="132"/>
      <c r="K432" s="11"/>
      <c r="L432" s="11"/>
      <c r="M432" s="11"/>
      <c r="N432" s="10" t="s">
        <v>478</v>
      </c>
      <c r="O432" s="113">
        <f t="shared" si="8"/>
        <v>1425.0119</v>
      </c>
      <c r="P432" s="114">
        <f>VLOOKUP(N432,'Dados StatusInvest'!A:Z,26,0)</f>
        <v>23155.22</v>
      </c>
      <c r="Q432" s="115">
        <f t="shared" si="9"/>
        <v>119.0119</v>
      </c>
      <c r="R432" s="116">
        <f t="shared" ref="R432:AO432" si="435">IF(AQ432="","", RANK(AQ432,AQ$7:AQ$503,0))</f>
        <v>87</v>
      </c>
      <c r="S432" s="115">
        <f t="shared" si="435"/>
        <v>219</v>
      </c>
      <c r="T432" s="115" t="str">
        <f t="shared" si="435"/>
        <v/>
      </c>
      <c r="U432" s="115" t="str">
        <f t="shared" si="435"/>
        <v/>
      </c>
      <c r="V432" s="115" t="str">
        <f t="shared" si="435"/>
        <v/>
      </c>
      <c r="W432" s="115" t="str">
        <f t="shared" si="435"/>
        <v/>
      </c>
      <c r="X432" s="115" t="str">
        <f t="shared" si="435"/>
        <v/>
      </c>
      <c r="Y432" s="115" t="str">
        <f t="shared" si="435"/>
        <v/>
      </c>
      <c r="Z432" s="115" t="str">
        <f t="shared" si="435"/>
        <v/>
      </c>
      <c r="AA432" s="115" t="str">
        <f t="shared" si="435"/>
        <v/>
      </c>
      <c r="AB432" s="115" t="str">
        <f t="shared" si="435"/>
        <v/>
      </c>
      <c r="AC432" s="115" t="str">
        <f t="shared" si="435"/>
        <v/>
      </c>
      <c r="AD432" s="115" t="str">
        <f t="shared" si="435"/>
        <v/>
      </c>
      <c r="AE432" s="115" t="str">
        <f t="shared" si="435"/>
        <v/>
      </c>
      <c r="AF432" s="115" t="str">
        <f t="shared" si="435"/>
        <v/>
      </c>
      <c r="AG432" s="115" t="str">
        <f t="shared" si="435"/>
        <v/>
      </c>
      <c r="AH432" s="115" t="str">
        <f t="shared" si="435"/>
        <v/>
      </c>
      <c r="AI432" s="115" t="str">
        <f t="shared" si="435"/>
        <v/>
      </c>
      <c r="AJ432" s="115" t="str">
        <f t="shared" si="435"/>
        <v/>
      </c>
      <c r="AK432" s="115" t="str">
        <f t="shared" si="435"/>
        <v/>
      </c>
      <c r="AL432" s="115" t="str">
        <f t="shared" si="435"/>
        <v/>
      </c>
      <c r="AM432" s="115" t="str">
        <f t="shared" si="435"/>
        <v/>
      </c>
      <c r="AN432" s="115" t="str">
        <f t="shared" si="435"/>
        <v/>
      </c>
      <c r="AO432" s="115" t="str">
        <f t="shared" si="435"/>
        <v/>
      </c>
      <c r="AP432" s="117">
        <f>IF(AP$6="","",IF(AP$3="Maior",IFERROR(IF(VLOOKUP($N432,Capa!$A:$AE,AP$5,0)="",0,VLOOKUP($N432,Capa!$A:$AE,AP$5,0)),0),IF(ISERROR(1/VLOOKUP($N432,Capa!$A:$AE,AP$5,0)),0,1/VLOOKUP($N432,Capa!$A:$AE,AP$5,0))))</f>
        <v>0.16</v>
      </c>
      <c r="AQ432" s="118">
        <f>IF(AQ$6="","",IF(AQ$3="Maior",IFERROR(IF(VLOOKUP($N432,Capa!$A:$AE,AQ$5,0)="",0,VLOOKUP($N432,Capa!$A:$AE,AQ$5,0)),0),IF(ISERROR(1/VLOOKUP($N432,Capa!$A:$AE,AQ$5,0)),0,1/VLOOKUP($N432,Capa!$A:$AE,AQ$5,0))))</f>
        <v>19.4</v>
      </c>
      <c r="AR432" s="118">
        <f>IF(AR$6="","",IF(AR$3="Maior",IFERROR(IF(VLOOKUP($N432,Capa!$A:$AE,AR$5,0)="",0,VLOOKUP($N432,Capa!$A:$AE,AR$5,0)),0),IF(ISERROR(1/VLOOKUP($N432,Capa!$A:$AE,AR$5,0)),0,1/VLOOKUP($N432,Capa!$A:$AE,AR$5,0))))</f>
        <v>0</v>
      </c>
      <c r="AS432" s="118" t="str">
        <f>IF(AS$6="","",IF(AS$3="Maior",IFERROR(IF(VLOOKUP($N432,Capa!$A:$AE,AS$5,0)="",0,VLOOKUP($N432,Capa!$A:$AE,AS$5,0)),0),IF(ISERROR(1/VLOOKUP($N432,Capa!$A:$AE,AS$5,0)),0,1/VLOOKUP($N432,Capa!$A:$AE,AS$5,0))))</f>
        <v/>
      </c>
      <c r="AT432" s="118" t="str">
        <f>IF(AT$6="","",IF(AT$3="Maior",IFERROR(IF(VLOOKUP($N432,Capa!$A:$AE,AT$5,0)="",0,VLOOKUP($N432,Capa!$A:$AE,AT$5,0)),0),IF(ISERROR(1/VLOOKUP($N432,Capa!$A:$AE,AT$5,0)),0,1/VLOOKUP($N432,Capa!$A:$AE,AT$5,0))))</f>
        <v/>
      </c>
      <c r="AU432" s="118" t="str">
        <f>IF(AU$6="","",IF(AU$3="Maior",IFERROR(IF(VLOOKUP($N432,Capa!$A:$AE,AU$5,0)="",0,VLOOKUP($N432,Capa!$A:$AE,AU$5,0)),0),IF(ISERROR(1/VLOOKUP($N432,Capa!$A:$AE,AU$5,0)),0,1/VLOOKUP($N432,Capa!$A:$AE,AU$5,0))))</f>
        <v/>
      </c>
      <c r="AV432" s="118" t="str">
        <f>IF(AV$6="","",IF(AV$3="Maior",IFERROR(IF(VLOOKUP($N432,Capa!$A:$AE,AV$5,0)="",0,VLOOKUP($N432,Capa!$A:$AE,AV$5,0)),0),IF(ISERROR(1/VLOOKUP($N432,Capa!$A:$AE,AV$5,0)),0,1/VLOOKUP($N432,Capa!$A:$AE,AV$5,0))))</f>
        <v/>
      </c>
      <c r="AW432" s="118" t="str">
        <f>IF(AW$6="","",IF(AW$3="Maior",IFERROR(IF(VLOOKUP($N432,Capa!$A:$AE,AW$5,0)="",0,VLOOKUP($N432,Capa!$A:$AE,AW$5,0)),0),IF(ISERROR(1/VLOOKUP($N432,Capa!$A:$AE,AW$5,0)),0,1/VLOOKUP($N432,Capa!$A:$AE,AW$5,0))))</f>
        <v/>
      </c>
      <c r="AX432" s="118" t="str">
        <f>IF(AX$6="","",IF(AX$3="Maior",IFERROR(IF(VLOOKUP($N432,Capa!$A:$AE,AX$5,0)="",0,VLOOKUP($N432,Capa!$A:$AE,AX$5,0)),0),IF(ISERROR(1/VLOOKUP($N432,Capa!$A:$AE,AX$5,0)),0,1/VLOOKUP($N432,Capa!$A:$AE,AX$5,0))))</f>
        <v/>
      </c>
      <c r="AY432" s="118" t="str">
        <f>IF(AY$6="","",IF(AY$3="Maior",IFERROR(IF(VLOOKUP($N432,Capa!$A:$AE,AY$5,0)="",0,VLOOKUP($N432,Capa!$A:$AE,AY$5,0)),0),IF(ISERROR(1/VLOOKUP($N432,Capa!$A:$AE,AY$5,0)),0,1/VLOOKUP($N432,Capa!$A:$AE,AY$5,0))))</f>
        <v/>
      </c>
      <c r="AZ432" s="118" t="str">
        <f>IF(AZ$6="","",IF(AZ$3="Maior",IFERROR(IF(VLOOKUP($N432,Capa!$A:$AE,AZ$5,0)="",0,VLOOKUP($N432,Capa!$A:$AE,AZ$5,0)),0),IF(ISERROR(1/VLOOKUP($N432,Capa!$A:$AE,AZ$5,0)),0,1/VLOOKUP($N432,Capa!$A:$AE,AZ$5,0))))</f>
        <v/>
      </c>
      <c r="BA432" s="118" t="str">
        <f>IF(BA$6="","",IF(BA$3="Maior",IFERROR(IF(VLOOKUP($N432,Capa!$A:$AE,BA$5,0)="",0,VLOOKUP($N432,Capa!$A:$AE,BA$5,0)),0),IF(ISERROR(1/VLOOKUP($N432,Capa!$A:$AE,BA$5,0)),0,1/VLOOKUP($N432,Capa!$A:$AE,BA$5,0))))</f>
        <v/>
      </c>
      <c r="BB432" s="118" t="str">
        <f>IF(BB$6="","",IF(BB$3="Maior",IFERROR(IF(VLOOKUP($N432,Capa!$A:$AE,BB$5,0)="",0,VLOOKUP($N432,Capa!$A:$AE,BB$5,0)),0),IF(ISERROR(1/VLOOKUP($N432,Capa!$A:$AE,BB$5,0)),0,1/VLOOKUP($N432,Capa!$A:$AE,BB$5,0))))</f>
        <v/>
      </c>
      <c r="BC432" s="118" t="str">
        <f>IF(BC$6="","",IF(BC$3="Maior",IFERROR(IF(VLOOKUP($N432,Capa!$A:$AE,BC$5,0)="",0,VLOOKUP($N432,Capa!$A:$AE,BC$5,0)),0),IF(ISERROR(1/VLOOKUP($N432,Capa!$A:$AE,BC$5,0)),0,1/VLOOKUP($N432,Capa!$A:$AE,BC$5,0))))</f>
        <v/>
      </c>
      <c r="BD432" s="118" t="str">
        <f>IF(BD$6="","",IF(BD$3="Maior",IFERROR(IF(VLOOKUP($N432,Capa!$A:$AE,BD$5,0)="",0,VLOOKUP($N432,Capa!$A:$AE,BD$5,0)),0),IF(ISERROR(1/VLOOKUP($N432,Capa!$A:$AE,BD$5,0)),0,1/VLOOKUP($N432,Capa!$A:$AE,BD$5,0))))</f>
        <v/>
      </c>
      <c r="BE432" s="118" t="str">
        <f>IF(BE$6="","",IF(BE$3="Maior",IFERROR(IF(VLOOKUP($N432,Capa!$A:$AE,BE$5,0)="",0,VLOOKUP($N432,Capa!$A:$AE,BE$5,0)),0),IF(ISERROR(1/VLOOKUP($N432,Capa!$A:$AE,BE$5,0)),0,1/VLOOKUP($N432,Capa!$A:$AE,BE$5,0))))</f>
        <v/>
      </c>
      <c r="BF432" s="118" t="str">
        <f>IF(BF$6="","",IF(BF$3="Maior",IFERROR(IF(VLOOKUP($N432,Capa!$A:$AE,BF$5,0)="",0,VLOOKUP($N432,Capa!$A:$AE,BF$5,0)),0),IF(ISERROR(1/VLOOKUP($N432,Capa!$A:$AE,BF$5,0)),0,1/VLOOKUP($N432,Capa!$A:$AE,BF$5,0))))</f>
        <v/>
      </c>
      <c r="BG432" s="118" t="str">
        <f>IF(BG$6="","",IF(BG$3="Maior",IFERROR(IF(VLOOKUP($N432,Capa!$A:$AE,BG$5,0)="",0,VLOOKUP($N432,Capa!$A:$AE,BG$5,0)),0),IF(ISERROR(1/VLOOKUP($N432,Capa!$A:$AE,BG$5,0)),0,1/VLOOKUP($N432,Capa!$A:$AE,BG$5,0))))</f>
        <v/>
      </c>
      <c r="BH432" s="118" t="str">
        <f>IF(BH$6="","",IF(BH$3="Maior",IFERROR(IF(VLOOKUP($N432,Capa!$A:$AE,BH$5,0)="",0,VLOOKUP($N432,Capa!$A:$AE,BH$5,0)),0),IF(ISERROR(1/VLOOKUP($N432,Capa!$A:$AE,BH$5,0)),0,1/VLOOKUP($N432,Capa!$A:$AE,BH$5,0))))</f>
        <v/>
      </c>
      <c r="BI432" s="118" t="str">
        <f>IF(BI$6="","",IF(BI$3="Maior",IFERROR(IF(VLOOKUP($N432,Capa!$A:$AE,BI$5,0)="",0,VLOOKUP($N432,Capa!$A:$AE,BI$5,0)),0),IF(ISERROR(1/VLOOKUP($N432,Capa!$A:$AE,BI$5,0)),0,1/VLOOKUP($N432,Capa!$A:$AE,BI$5,0))))</f>
        <v/>
      </c>
      <c r="BJ432" s="118" t="str">
        <f>IF(BJ$6="","",IF(BJ$3="Maior",IFERROR(IF(VLOOKUP($N432,Capa!$A:$AE,BJ$5,0)="",0,VLOOKUP($N432,Capa!$A:$AE,BJ$5,0)),0),IF(ISERROR(1/VLOOKUP($N432,Capa!$A:$AE,BJ$5,0)),0,1/VLOOKUP($N432,Capa!$A:$AE,BJ$5,0))))</f>
        <v/>
      </c>
      <c r="BK432" s="118" t="str">
        <f>IF(BK$6="","",IF(BK$3="Maior",IFERROR(IF(VLOOKUP($N432,Capa!$A:$AE,BK$5,0)="",0,VLOOKUP($N432,Capa!$A:$AE,BK$5,0)),0),IF(ISERROR(1/VLOOKUP($N432,Capa!$A:$AE,BK$5,0)),0,1/VLOOKUP($N432,Capa!$A:$AE,BK$5,0))))</f>
        <v/>
      </c>
      <c r="BL432" s="118" t="str">
        <f>IF(BL$6="","",IF(BL$3="Maior",IFERROR(IF(VLOOKUP($N432,Capa!$A:$AE,BL$5,0)="",0,VLOOKUP($N432,Capa!$A:$AE,BL$5,0)),0),IF(ISERROR(1/VLOOKUP($N432,Capa!$A:$AE,BL$5,0)),0,1/VLOOKUP($N432,Capa!$A:$AE,BL$5,0))))</f>
        <v/>
      </c>
      <c r="BM432" s="118" t="str">
        <f>IF(BM$6="","",IF(BM$3="Maior",IFERROR(IF(VLOOKUP($N432,Capa!$A:$AE,BM$5,0)="",0,VLOOKUP($N432,Capa!$A:$AE,BM$5,0)),0),IF(ISERROR(1/VLOOKUP($N432,Capa!$A:$AE,BM$5,0)),0,1/VLOOKUP($N432,Capa!$A:$AE,BM$5,0))))</f>
        <v/>
      </c>
      <c r="BN432" s="118" t="str">
        <f>IF(BN$6="","",IF(BN$3="Maior",IFERROR(IF(VLOOKUP($N432,Capa!$A:$AE,BN$5,0)="",0,VLOOKUP($N432,Capa!$A:$AE,BN$5,0)),0),IF(ISERROR(1/VLOOKUP($N432,Capa!$A:$AE,BN$5,0)),0,1/VLOOKUP($N432,Capa!$A:$AE,BN$5,0))))</f>
        <v/>
      </c>
      <c r="BO432" s="92"/>
    </row>
    <row r="433">
      <c r="G433" s="11"/>
      <c r="H433" s="11"/>
      <c r="I433" s="8"/>
      <c r="J433" s="132"/>
      <c r="K433" s="11"/>
      <c r="L433" s="11"/>
      <c r="M433" s="11"/>
      <c r="N433" s="10" t="s">
        <v>479</v>
      </c>
      <c r="O433" s="113">
        <f t="shared" si="8"/>
        <v>1848.0299</v>
      </c>
      <c r="P433" s="114">
        <f>VLOOKUP(N433,'Dados StatusInvest'!A:Z,26,0)</f>
        <v>14303</v>
      </c>
      <c r="Q433" s="115">
        <f t="shared" si="9"/>
        <v>299.0299</v>
      </c>
      <c r="R433" s="116">
        <f t="shared" ref="R433:AO433" si="436">IF(AQ433="","", RANK(AQ433,AQ$7:AQ$503,0))</f>
        <v>330</v>
      </c>
      <c r="S433" s="115">
        <f t="shared" si="436"/>
        <v>219</v>
      </c>
      <c r="T433" s="115" t="str">
        <f t="shared" si="436"/>
        <v/>
      </c>
      <c r="U433" s="115" t="str">
        <f t="shared" si="436"/>
        <v/>
      </c>
      <c r="V433" s="115" t="str">
        <f t="shared" si="436"/>
        <v/>
      </c>
      <c r="W433" s="115" t="str">
        <f t="shared" si="436"/>
        <v/>
      </c>
      <c r="X433" s="115" t="str">
        <f t="shared" si="436"/>
        <v/>
      </c>
      <c r="Y433" s="115" t="str">
        <f t="shared" si="436"/>
        <v/>
      </c>
      <c r="Z433" s="115" t="str">
        <f t="shared" si="436"/>
        <v/>
      </c>
      <c r="AA433" s="115" t="str">
        <f t="shared" si="436"/>
        <v/>
      </c>
      <c r="AB433" s="115" t="str">
        <f t="shared" si="436"/>
        <v/>
      </c>
      <c r="AC433" s="115" t="str">
        <f t="shared" si="436"/>
        <v/>
      </c>
      <c r="AD433" s="115" t="str">
        <f t="shared" si="436"/>
        <v/>
      </c>
      <c r="AE433" s="115" t="str">
        <f t="shared" si="436"/>
        <v/>
      </c>
      <c r="AF433" s="115" t="str">
        <f t="shared" si="436"/>
        <v/>
      </c>
      <c r="AG433" s="115" t="str">
        <f t="shared" si="436"/>
        <v/>
      </c>
      <c r="AH433" s="115" t="str">
        <f t="shared" si="436"/>
        <v/>
      </c>
      <c r="AI433" s="115" t="str">
        <f t="shared" si="436"/>
        <v/>
      </c>
      <c r="AJ433" s="115" t="str">
        <f t="shared" si="436"/>
        <v/>
      </c>
      <c r="AK433" s="115" t="str">
        <f t="shared" si="436"/>
        <v/>
      </c>
      <c r="AL433" s="115" t="str">
        <f t="shared" si="436"/>
        <v/>
      </c>
      <c r="AM433" s="115" t="str">
        <f t="shared" si="436"/>
        <v/>
      </c>
      <c r="AN433" s="115" t="str">
        <f t="shared" si="436"/>
        <v/>
      </c>
      <c r="AO433" s="115" t="str">
        <f t="shared" si="436"/>
        <v/>
      </c>
      <c r="AP433" s="117">
        <f>IF(AP$6="","",IF(AP$3="Maior",IFERROR(IF(VLOOKUP($N433,Capa!$A:$AE,AP$5,0)="",0,VLOOKUP($N433,Capa!$A:$AE,AP$5,0)),0),IF(ISERROR(1/VLOOKUP($N433,Capa!$A:$AE,AP$5,0)),0,1/VLOOKUP($N433,Capa!$A:$AE,AP$5,0))))</f>
        <v>0.05313496281</v>
      </c>
      <c r="AQ433" s="118">
        <f>IF(AQ$6="","",IF(AQ$3="Maior",IFERROR(IF(VLOOKUP($N433,Capa!$A:$AE,AQ$5,0)="",0,VLOOKUP($N433,Capa!$A:$AE,AQ$5,0)),0),IF(ISERROR(1/VLOOKUP($N433,Capa!$A:$AE,AQ$5,0)),0,1/VLOOKUP($N433,Capa!$A:$AE,AQ$5,0))))</f>
        <v>3.07</v>
      </c>
      <c r="AR433" s="118">
        <f>IF(AR$6="","",IF(AR$3="Maior",IFERROR(IF(VLOOKUP($N433,Capa!$A:$AE,AR$5,0)="",0,VLOOKUP($N433,Capa!$A:$AE,AR$5,0)),0),IF(ISERROR(1/VLOOKUP($N433,Capa!$A:$AE,AR$5,0)),0,1/VLOOKUP($N433,Capa!$A:$AE,AR$5,0))))</f>
        <v>0</v>
      </c>
      <c r="AS433" s="118" t="str">
        <f>IF(AS$6="","",IF(AS$3="Maior",IFERROR(IF(VLOOKUP($N433,Capa!$A:$AE,AS$5,0)="",0,VLOOKUP($N433,Capa!$A:$AE,AS$5,0)),0),IF(ISERROR(1/VLOOKUP($N433,Capa!$A:$AE,AS$5,0)),0,1/VLOOKUP($N433,Capa!$A:$AE,AS$5,0))))</f>
        <v/>
      </c>
      <c r="AT433" s="118" t="str">
        <f>IF(AT$6="","",IF(AT$3="Maior",IFERROR(IF(VLOOKUP($N433,Capa!$A:$AE,AT$5,0)="",0,VLOOKUP($N433,Capa!$A:$AE,AT$5,0)),0),IF(ISERROR(1/VLOOKUP($N433,Capa!$A:$AE,AT$5,0)),0,1/VLOOKUP($N433,Capa!$A:$AE,AT$5,0))))</f>
        <v/>
      </c>
      <c r="AU433" s="118" t="str">
        <f>IF(AU$6="","",IF(AU$3="Maior",IFERROR(IF(VLOOKUP($N433,Capa!$A:$AE,AU$5,0)="",0,VLOOKUP($N433,Capa!$A:$AE,AU$5,0)),0),IF(ISERROR(1/VLOOKUP($N433,Capa!$A:$AE,AU$5,0)),0,1/VLOOKUP($N433,Capa!$A:$AE,AU$5,0))))</f>
        <v/>
      </c>
      <c r="AV433" s="118" t="str">
        <f>IF(AV$6="","",IF(AV$3="Maior",IFERROR(IF(VLOOKUP($N433,Capa!$A:$AE,AV$5,0)="",0,VLOOKUP($N433,Capa!$A:$AE,AV$5,0)),0),IF(ISERROR(1/VLOOKUP($N433,Capa!$A:$AE,AV$5,0)),0,1/VLOOKUP($N433,Capa!$A:$AE,AV$5,0))))</f>
        <v/>
      </c>
      <c r="AW433" s="118" t="str">
        <f>IF(AW$6="","",IF(AW$3="Maior",IFERROR(IF(VLOOKUP($N433,Capa!$A:$AE,AW$5,0)="",0,VLOOKUP($N433,Capa!$A:$AE,AW$5,0)),0),IF(ISERROR(1/VLOOKUP($N433,Capa!$A:$AE,AW$5,0)),0,1/VLOOKUP($N433,Capa!$A:$AE,AW$5,0))))</f>
        <v/>
      </c>
      <c r="AX433" s="118" t="str">
        <f>IF(AX$6="","",IF(AX$3="Maior",IFERROR(IF(VLOOKUP($N433,Capa!$A:$AE,AX$5,0)="",0,VLOOKUP($N433,Capa!$A:$AE,AX$5,0)),0),IF(ISERROR(1/VLOOKUP($N433,Capa!$A:$AE,AX$5,0)),0,1/VLOOKUP($N433,Capa!$A:$AE,AX$5,0))))</f>
        <v/>
      </c>
      <c r="AY433" s="118" t="str">
        <f>IF(AY$6="","",IF(AY$3="Maior",IFERROR(IF(VLOOKUP($N433,Capa!$A:$AE,AY$5,0)="",0,VLOOKUP($N433,Capa!$A:$AE,AY$5,0)),0),IF(ISERROR(1/VLOOKUP($N433,Capa!$A:$AE,AY$5,0)),0,1/VLOOKUP($N433,Capa!$A:$AE,AY$5,0))))</f>
        <v/>
      </c>
      <c r="AZ433" s="118" t="str">
        <f>IF(AZ$6="","",IF(AZ$3="Maior",IFERROR(IF(VLOOKUP($N433,Capa!$A:$AE,AZ$5,0)="",0,VLOOKUP($N433,Capa!$A:$AE,AZ$5,0)),0),IF(ISERROR(1/VLOOKUP($N433,Capa!$A:$AE,AZ$5,0)),0,1/VLOOKUP($N433,Capa!$A:$AE,AZ$5,0))))</f>
        <v/>
      </c>
      <c r="BA433" s="118" t="str">
        <f>IF(BA$6="","",IF(BA$3="Maior",IFERROR(IF(VLOOKUP($N433,Capa!$A:$AE,BA$5,0)="",0,VLOOKUP($N433,Capa!$A:$AE,BA$5,0)),0),IF(ISERROR(1/VLOOKUP($N433,Capa!$A:$AE,BA$5,0)),0,1/VLOOKUP($N433,Capa!$A:$AE,BA$5,0))))</f>
        <v/>
      </c>
      <c r="BB433" s="118" t="str">
        <f>IF(BB$6="","",IF(BB$3="Maior",IFERROR(IF(VLOOKUP($N433,Capa!$A:$AE,BB$5,0)="",0,VLOOKUP($N433,Capa!$A:$AE,BB$5,0)),0),IF(ISERROR(1/VLOOKUP($N433,Capa!$A:$AE,BB$5,0)),0,1/VLOOKUP($N433,Capa!$A:$AE,BB$5,0))))</f>
        <v/>
      </c>
      <c r="BC433" s="118" t="str">
        <f>IF(BC$6="","",IF(BC$3="Maior",IFERROR(IF(VLOOKUP($N433,Capa!$A:$AE,BC$5,0)="",0,VLOOKUP($N433,Capa!$A:$AE,BC$5,0)),0),IF(ISERROR(1/VLOOKUP($N433,Capa!$A:$AE,BC$5,0)),0,1/VLOOKUP($N433,Capa!$A:$AE,BC$5,0))))</f>
        <v/>
      </c>
      <c r="BD433" s="118" t="str">
        <f>IF(BD$6="","",IF(BD$3="Maior",IFERROR(IF(VLOOKUP($N433,Capa!$A:$AE,BD$5,0)="",0,VLOOKUP($N433,Capa!$A:$AE,BD$5,0)),0),IF(ISERROR(1/VLOOKUP($N433,Capa!$A:$AE,BD$5,0)),0,1/VLOOKUP($N433,Capa!$A:$AE,BD$5,0))))</f>
        <v/>
      </c>
      <c r="BE433" s="118" t="str">
        <f>IF(BE$6="","",IF(BE$3="Maior",IFERROR(IF(VLOOKUP($N433,Capa!$A:$AE,BE$5,0)="",0,VLOOKUP($N433,Capa!$A:$AE,BE$5,0)),0),IF(ISERROR(1/VLOOKUP($N433,Capa!$A:$AE,BE$5,0)),0,1/VLOOKUP($N433,Capa!$A:$AE,BE$5,0))))</f>
        <v/>
      </c>
      <c r="BF433" s="118" t="str">
        <f>IF(BF$6="","",IF(BF$3="Maior",IFERROR(IF(VLOOKUP($N433,Capa!$A:$AE,BF$5,0)="",0,VLOOKUP($N433,Capa!$A:$AE,BF$5,0)),0),IF(ISERROR(1/VLOOKUP($N433,Capa!$A:$AE,BF$5,0)),0,1/VLOOKUP($N433,Capa!$A:$AE,BF$5,0))))</f>
        <v/>
      </c>
      <c r="BG433" s="118" t="str">
        <f>IF(BG$6="","",IF(BG$3="Maior",IFERROR(IF(VLOOKUP($N433,Capa!$A:$AE,BG$5,0)="",0,VLOOKUP($N433,Capa!$A:$AE,BG$5,0)),0),IF(ISERROR(1/VLOOKUP($N433,Capa!$A:$AE,BG$5,0)),0,1/VLOOKUP($N433,Capa!$A:$AE,BG$5,0))))</f>
        <v/>
      </c>
      <c r="BH433" s="118" t="str">
        <f>IF(BH$6="","",IF(BH$3="Maior",IFERROR(IF(VLOOKUP($N433,Capa!$A:$AE,BH$5,0)="",0,VLOOKUP($N433,Capa!$A:$AE,BH$5,0)),0),IF(ISERROR(1/VLOOKUP($N433,Capa!$A:$AE,BH$5,0)),0,1/VLOOKUP($N433,Capa!$A:$AE,BH$5,0))))</f>
        <v/>
      </c>
      <c r="BI433" s="118" t="str">
        <f>IF(BI$6="","",IF(BI$3="Maior",IFERROR(IF(VLOOKUP($N433,Capa!$A:$AE,BI$5,0)="",0,VLOOKUP($N433,Capa!$A:$AE,BI$5,0)),0),IF(ISERROR(1/VLOOKUP($N433,Capa!$A:$AE,BI$5,0)),0,1/VLOOKUP($N433,Capa!$A:$AE,BI$5,0))))</f>
        <v/>
      </c>
      <c r="BJ433" s="118" t="str">
        <f>IF(BJ$6="","",IF(BJ$3="Maior",IFERROR(IF(VLOOKUP($N433,Capa!$A:$AE,BJ$5,0)="",0,VLOOKUP($N433,Capa!$A:$AE,BJ$5,0)),0),IF(ISERROR(1/VLOOKUP($N433,Capa!$A:$AE,BJ$5,0)),0,1/VLOOKUP($N433,Capa!$A:$AE,BJ$5,0))))</f>
        <v/>
      </c>
      <c r="BK433" s="118" t="str">
        <f>IF(BK$6="","",IF(BK$3="Maior",IFERROR(IF(VLOOKUP($N433,Capa!$A:$AE,BK$5,0)="",0,VLOOKUP($N433,Capa!$A:$AE,BK$5,0)),0),IF(ISERROR(1/VLOOKUP($N433,Capa!$A:$AE,BK$5,0)),0,1/VLOOKUP($N433,Capa!$A:$AE,BK$5,0))))</f>
        <v/>
      </c>
      <c r="BL433" s="118" t="str">
        <f>IF(BL$6="","",IF(BL$3="Maior",IFERROR(IF(VLOOKUP($N433,Capa!$A:$AE,BL$5,0)="",0,VLOOKUP($N433,Capa!$A:$AE,BL$5,0)),0),IF(ISERROR(1/VLOOKUP($N433,Capa!$A:$AE,BL$5,0)),0,1/VLOOKUP($N433,Capa!$A:$AE,BL$5,0))))</f>
        <v/>
      </c>
      <c r="BM433" s="118" t="str">
        <f>IF(BM$6="","",IF(BM$3="Maior",IFERROR(IF(VLOOKUP($N433,Capa!$A:$AE,BM$5,0)="",0,VLOOKUP($N433,Capa!$A:$AE,BM$5,0)),0),IF(ISERROR(1/VLOOKUP($N433,Capa!$A:$AE,BM$5,0)),0,1/VLOOKUP($N433,Capa!$A:$AE,BM$5,0))))</f>
        <v/>
      </c>
      <c r="BN433" s="118" t="str">
        <f>IF(BN$6="","",IF(BN$3="Maior",IFERROR(IF(VLOOKUP($N433,Capa!$A:$AE,BN$5,0)="",0,VLOOKUP($N433,Capa!$A:$AE,BN$5,0)),0),IF(ISERROR(1/VLOOKUP($N433,Capa!$A:$AE,BN$5,0)),0,1/VLOOKUP($N433,Capa!$A:$AE,BN$5,0))))</f>
        <v/>
      </c>
      <c r="BO433" s="92"/>
    </row>
    <row r="434">
      <c r="G434" s="11"/>
      <c r="H434" s="11"/>
      <c r="I434" s="8"/>
      <c r="J434" s="132"/>
      <c r="K434" s="11"/>
      <c r="L434" s="11"/>
      <c r="M434" s="11"/>
      <c r="N434" s="10" t="s">
        <v>480</v>
      </c>
      <c r="O434" s="113">
        <f t="shared" si="8"/>
        <v>1705.0148</v>
      </c>
      <c r="P434" s="114">
        <f>VLOOKUP(N434,'Dados StatusInvest'!A:Z,26,0)</f>
        <v>17711.29</v>
      </c>
      <c r="Q434" s="115">
        <f t="shared" si="9"/>
        <v>148.0148</v>
      </c>
      <c r="R434" s="116">
        <f t="shared" ref="R434:AO434" si="437">IF(AQ434="","", RANK(AQ434,AQ$7:AQ$503,0))</f>
        <v>375</v>
      </c>
      <c r="S434" s="115">
        <f t="shared" si="437"/>
        <v>182</v>
      </c>
      <c r="T434" s="115" t="str">
        <f t="shared" si="437"/>
        <v/>
      </c>
      <c r="U434" s="115" t="str">
        <f t="shared" si="437"/>
        <v/>
      </c>
      <c r="V434" s="115" t="str">
        <f t="shared" si="437"/>
        <v/>
      </c>
      <c r="W434" s="115" t="str">
        <f t="shared" si="437"/>
        <v/>
      </c>
      <c r="X434" s="115" t="str">
        <f t="shared" si="437"/>
        <v/>
      </c>
      <c r="Y434" s="115" t="str">
        <f t="shared" si="437"/>
        <v/>
      </c>
      <c r="Z434" s="115" t="str">
        <f t="shared" si="437"/>
        <v/>
      </c>
      <c r="AA434" s="115" t="str">
        <f t="shared" si="437"/>
        <v/>
      </c>
      <c r="AB434" s="115" t="str">
        <f t="shared" si="437"/>
        <v/>
      </c>
      <c r="AC434" s="115" t="str">
        <f t="shared" si="437"/>
        <v/>
      </c>
      <c r="AD434" s="115" t="str">
        <f t="shared" si="437"/>
        <v/>
      </c>
      <c r="AE434" s="115" t="str">
        <f t="shared" si="437"/>
        <v/>
      </c>
      <c r="AF434" s="115" t="str">
        <f t="shared" si="437"/>
        <v/>
      </c>
      <c r="AG434" s="115" t="str">
        <f t="shared" si="437"/>
        <v/>
      </c>
      <c r="AH434" s="115" t="str">
        <f t="shared" si="437"/>
        <v/>
      </c>
      <c r="AI434" s="115" t="str">
        <f t="shared" si="437"/>
        <v/>
      </c>
      <c r="AJ434" s="115" t="str">
        <f t="shared" si="437"/>
        <v/>
      </c>
      <c r="AK434" s="115" t="str">
        <f t="shared" si="437"/>
        <v/>
      </c>
      <c r="AL434" s="115" t="str">
        <f t="shared" si="437"/>
        <v/>
      </c>
      <c r="AM434" s="115" t="str">
        <f t="shared" si="437"/>
        <v/>
      </c>
      <c r="AN434" s="115" t="str">
        <f t="shared" si="437"/>
        <v/>
      </c>
      <c r="AO434" s="115" t="str">
        <f t="shared" si="437"/>
        <v/>
      </c>
      <c r="AP434" s="117">
        <f>IF(AP$6="","",IF(AP$3="Maior",IFERROR(IF(VLOOKUP($N434,Capa!$A:$AE,AP$5,0)="",0,VLOOKUP($N434,Capa!$A:$AE,AP$5,0)),0),IF(ISERROR(1/VLOOKUP($N434,Capa!$A:$AE,AP$5,0)),0,1/VLOOKUP($N434,Capa!$A:$AE,AP$5,0))))</f>
        <v>0.1314411745</v>
      </c>
      <c r="AQ434" s="118">
        <f>IF(AQ$6="","",IF(AQ$3="Maior",IFERROR(IF(VLOOKUP($N434,Capa!$A:$AE,AQ$5,0)="",0,VLOOKUP($N434,Capa!$A:$AE,AQ$5,0)),0),IF(ISERROR(1/VLOOKUP($N434,Capa!$A:$AE,AQ$5,0)),0,1/VLOOKUP($N434,Capa!$A:$AE,AQ$5,0))))</f>
        <v>0</v>
      </c>
      <c r="AR434" s="118">
        <f>IF(AR$6="","",IF(AR$3="Maior",IFERROR(IF(VLOOKUP($N434,Capa!$A:$AE,AR$5,0)="",0,VLOOKUP($N434,Capa!$A:$AE,AR$5,0)),0),IF(ISERROR(1/VLOOKUP($N434,Capa!$A:$AE,AR$5,0)),0,1/VLOOKUP($N434,Capa!$A:$AE,AR$5,0))))</f>
        <v>6.93</v>
      </c>
      <c r="AS434" s="118" t="str">
        <f>IF(AS$6="","",IF(AS$3="Maior",IFERROR(IF(VLOOKUP($N434,Capa!$A:$AE,AS$5,0)="",0,VLOOKUP($N434,Capa!$A:$AE,AS$5,0)),0),IF(ISERROR(1/VLOOKUP($N434,Capa!$A:$AE,AS$5,0)),0,1/VLOOKUP($N434,Capa!$A:$AE,AS$5,0))))</f>
        <v/>
      </c>
      <c r="AT434" s="118" t="str">
        <f>IF(AT$6="","",IF(AT$3="Maior",IFERROR(IF(VLOOKUP($N434,Capa!$A:$AE,AT$5,0)="",0,VLOOKUP($N434,Capa!$A:$AE,AT$5,0)),0),IF(ISERROR(1/VLOOKUP($N434,Capa!$A:$AE,AT$5,0)),0,1/VLOOKUP($N434,Capa!$A:$AE,AT$5,0))))</f>
        <v/>
      </c>
      <c r="AU434" s="118" t="str">
        <f>IF(AU$6="","",IF(AU$3="Maior",IFERROR(IF(VLOOKUP($N434,Capa!$A:$AE,AU$5,0)="",0,VLOOKUP($N434,Capa!$A:$AE,AU$5,0)),0),IF(ISERROR(1/VLOOKUP($N434,Capa!$A:$AE,AU$5,0)),0,1/VLOOKUP($N434,Capa!$A:$AE,AU$5,0))))</f>
        <v/>
      </c>
      <c r="AV434" s="118" t="str">
        <f>IF(AV$6="","",IF(AV$3="Maior",IFERROR(IF(VLOOKUP($N434,Capa!$A:$AE,AV$5,0)="",0,VLOOKUP($N434,Capa!$A:$AE,AV$5,0)),0),IF(ISERROR(1/VLOOKUP($N434,Capa!$A:$AE,AV$5,0)),0,1/VLOOKUP($N434,Capa!$A:$AE,AV$5,0))))</f>
        <v/>
      </c>
      <c r="AW434" s="118" t="str">
        <f>IF(AW$6="","",IF(AW$3="Maior",IFERROR(IF(VLOOKUP($N434,Capa!$A:$AE,AW$5,0)="",0,VLOOKUP($N434,Capa!$A:$AE,AW$5,0)),0),IF(ISERROR(1/VLOOKUP($N434,Capa!$A:$AE,AW$5,0)),0,1/VLOOKUP($N434,Capa!$A:$AE,AW$5,0))))</f>
        <v/>
      </c>
      <c r="AX434" s="118" t="str">
        <f>IF(AX$6="","",IF(AX$3="Maior",IFERROR(IF(VLOOKUP($N434,Capa!$A:$AE,AX$5,0)="",0,VLOOKUP($N434,Capa!$A:$AE,AX$5,0)),0),IF(ISERROR(1/VLOOKUP($N434,Capa!$A:$AE,AX$5,0)),0,1/VLOOKUP($N434,Capa!$A:$AE,AX$5,0))))</f>
        <v/>
      </c>
      <c r="AY434" s="118" t="str">
        <f>IF(AY$6="","",IF(AY$3="Maior",IFERROR(IF(VLOOKUP($N434,Capa!$A:$AE,AY$5,0)="",0,VLOOKUP($N434,Capa!$A:$AE,AY$5,0)),0),IF(ISERROR(1/VLOOKUP($N434,Capa!$A:$AE,AY$5,0)),0,1/VLOOKUP($N434,Capa!$A:$AE,AY$5,0))))</f>
        <v/>
      </c>
      <c r="AZ434" s="118" t="str">
        <f>IF(AZ$6="","",IF(AZ$3="Maior",IFERROR(IF(VLOOKUP($N434,Capa!$A:$AE,AZ$5,0)="",0,VLOOKUP($N434,Capa!$A:$AE,AZ$5,0)),0),IF(ISERROR(1/VLOOKUP($N434,Capa!$A:$AE,AZ$5,0)),0,1/VLOOKUP($N434,Capa!$A:$AE,AZ$5,0))))</f>
        <v/>
      </c>
      <c r="BA434" s="118" t="str">
        <f>IF(BA$6="","",IF(BA$3="Maior",IFERROR(IF(VLOOKUP($N434,Capa!$A:$AE,BA$5,0)="",0,VLOOKUP($N434,Capa!$A:$AE,BA$5,0)),0),IF(ISERROR(1/VLOOKUP($N434,Capa!$A:$AE,BA$5,0)),0,1/VLOOKUP($N434,Capa!$A:$AE,BA$5,0))))</f>
        <v/>
      </c>
      <c r="BB434" s="118" t="str">
        <f>IF(BB$6="","",IF(BB$3="Maior",IFERROR(IF(VLOOKUP($N434,Capa!$A:$AE,BB$5,0)="",0,VLOOKUP($N434,Capa!$A:$AE,BB$5,0)),0),IF(ISERROR(1/VLOOKUP($N434,Capa!$A:$AE,BB$5,0)),0,1/VLOOKUP($N434,Capa!$A:$AE,BB$5,0))))</f>
        <v/>
      </c>
      <c r="BC434" s="118" t="str">
        <f>IF(BC$6="","",IF(BC$3="Maior",IFERROR(IF(VLOOKUP($N434,Capa!$A:$AE,BC$5,0)="",0,VLOOKUP($N434,Capa!$A:$AE,BC$5,0)),0),IF(ISERROR(1/VLOOKUP($N434,Capa!$A:$AE,BC$5,0)),0,1/VLOOKUP($N434,Capa!$A:$AE,BC$5,0))))</f>
        <v/>
      </c>
      <c r="BD434" s="118" t="str">
        <f>IF(BD$6="","",IF(BD$3="Maior",IFERROR(IF(VLOOKUP($N434,Capa!$A:$AE,BD$5,0)="",0,VLOOKUP($N434,Capa!$A:$AE,BD$5,0)),0),IF(ISERROR(1/VLOOKUP($N434,Capa!$A:$AE,BD$5,0)),0,1/VLOOKUP($N434,Capa!$A:$AE,BD$5,0))))</f>
        <v/>
      </c>
      <c r="BE434" s="118" t="str">
        <f>IF(BE$6="","",IF(BE$3="Maior",IFERROR(IF(VLOOKUP($N434,Capa!$A:$AE,BE$5,0)="",0,VLOOKUP($N434,Capa!$A:$AE,BE$5,0)),0),IF(ISERROR(1/VLOOKUP($N434,Capa!$A:$AE,BE$5,0)),0,1/VLOOKUP($N434,Capa!$A:$AE,BE$5,0))))</f>
        <v/>
      </c>
      <c r="BF434" s="118" t="str">
        <f>IF(BF$6="","",IF(BF$3="Maior",IFERROR(IF(VLOOKUP($N434,Capa!$A:$AE,BF$5,0)="",0,VLOOKUP($N434,Capa!$A:$AE,BF$5,0)),0),IF(ISERROR(1/VLOOKUP($N434,Capa!$A:$AE,BF$5,0)),0,1/VLOOKUP($N434,Capa!$A:$AE,BF$5,0))))</f>
        <v/>
      </c>
      <c r="BG434" s="118" t="str">
        <f>IF(BG$6="","",IF(BG$3="Maior",IFERROR(IF(VLOOKUP($N434,Capa!$A:$AE,BG$5,0)="",0,VLOOKUP($N434,Capa!$A:$AE,BG$5,0)),0),IF(ISERROR(1/VLOOKUP($N434,Capa!$A:$AE,BG$5,0)),0,1/VLOOKUP($N434,Capa!$A:$AE,BG$5,0))))</f>
        <v/>
      </c>
      <c r="BH434" s="118" t="str">
        <f>IF(BH$6="","",IF(BH$3="Maior",IFERROR(IF(VLOOKUP($N434,Capa!$A:$AE,BH$5,0)="",0,VLOOKUP($N434,Capa!$A:$AE,BH$5,0)),0),IF(ISERROR(1/VLOOKUP($N434,Capa!$A:$AE,BH$5,0)),0,1/VLOOKUP($N434,Capa!$A:$AE,BH$5,0))))</f>
        <v/>
      </c>
      <c r="BI434" s="118" t="str">
        <f>IF(BI$6="","",IF(BI$3="Maior",IFERROR(IF(VLOOKUP($N434,Capa!$A:$AE,BI$5,0)="",0,VLOOKUP($N434,Capa!$A:$AE,BI$5,0)),0),IF(ISERROR(1/VLOOKUP($N434,Capa!$A:$AE,BI$5,0)),0,1/VLOOKUP($N434,Capa!$A:$AE,BI$5,0))))</f>
        <v/>
      </c>
      <c r="BJ434" s="118" t="str">
        <f>IF(BJ$6="","",IF(BJ$3="Maior",IFERROR(IF(VLOOKUP($N434,Capa!$A:$AE,BJ$5,0)="",0,VLOOKUP($N434,Capa!$A:$AE,BJ$5,0)),0),IF(ISERROR(1/VLOOKUP($N434,Capa!$A:$AE,BJ$5,0)),0,1/VLOOKUP($N434,Capa!$A:$AE,BJ$5,0))))</f>
        <v/>
      </c>
      <c r="BK434" s="118" t="str">
        <f>IF(BK$6="","",IF(BK$3="Maior",IFERROR(IF(VLOOKUP($N434,Capa!$A:$AE,BK$5,0)="",0,VLOOKUP($N434,Capa!$A:$AE,BK$5,0)),0),IF(ISERROR(1/VLOOKUP($N434,Capa!$A:$AE,BK$5,0)),0,1/VLOOKUP($N434,Capa!$A:$AE,BK$5,0))))</f>
        <v/>
      </c>
      <c r="BL434" s="118" t="str">
        <f>IF(BL$6="","",IF(BL$3="Maior",IFERROR(IF(VLOOKUP($N434,Capa!$A:$AE,BL$5,0)="",0,VLOOKUP($N434,Capa!$A:$AE,BL$5,0)),0),IF(ISERROR(1/VLOOKUP($N434,Capa!$A:$AE,BL$5,0)),0,1/VLOOKUP($N434,Capa!$A:$AE,BL$5,0))))</f>
        <v/>
      </c>
      <c r="BM434" s="118" t="str">
        <f>IF(BM$6="","",IF(BM$3="Maior",IFERROR(IF(VLOOKUP($N434,Capa!$A:$AE,BM$5,0)="",0,VLOOKUP($N434,Capa!$A:$AE,BM$5,0)),0),IF(ISERROR(1/VLOOKUP($N434,Capa!$A:$AE,BM$5,0)),0,1/VLOOKUP($N434,Capa!$A:$AE,BM$5,0))))</f>
        <v/>
      </c>
      <c r="BN434" s="118" t="str">
        <f>IF(BN$6="","",IF(BN$3="Maior",IFERROR(IF(VLOOKUP($N434,Capa!$A:$AE,BN$5,0)="",0,VLOOKUP($N434,Capa!$A:$AE,BN$5,0)),0),IF(ISERROR(1/VLOOKUP($N434,Capa!$A:$AE,BN$5,0)),0,1/VLOOKUP($N434,Capa!$A:$AE,BN$5,0))))</f>
        <v/>
      </c>
      <c r="BO434" s="92"/>
    </row>
    <row r="435">
      <c r="G435" s="11"/>
      <c r="H435" s="11"/>
      <c r="I435" s="8"/>
      <c r="J435" s="132"/>
      <c r="K435" s="11"/>
      <c r="L435" s="11"/>
      <c r="M435" s="11"/>
      <c r="N435" s="10" t="s">
        <v>481</v>
      </c>
      <c r="O435" s="113">
        <f t="shared" si="8"/>
        <v>1707.0256</v>
      </c>
      <c r="P435" s="114">
        <f>VLOOKUP(N435,'Dados StatusInvest'!A:Z,26,0)</f>
        <v>15233</v>
      </c>
      <c r="Q435" s="115">
        <f t="shared" si="9"/>
        <v>256.0256</v>
      </c>
      <c r="R435" s="116">
        <f t="shared" ref="R435:AO435" si="438">IF(AQ435="","", RANK(AQ435,AQ$7:AQ$503,0))</f>
        <v>375</v>
      </c>
      <c r="S435" s="115">
        <f t="shared" si="438"/>
        <v>76</v>
      </c>
      <c r="T435" s="115" t="str">
        <f t="shared" si="438"/>
        <v/>
      </c>
      <c r="U435" s="115" t="str">
        <f t="shared" si="438"/>
        <v/>
      </c>
      <c r="V435" s="115" t="str">
        <f t="shared" si="438"/>
        <v/>
      </c>
      <c r="W435" s="115" t="str">
        <f t="shared" si="438"/>
        <v/>
      </c>
      <c r="X435" s="115" t="str">
        <f t="shared" si="438"/>
        <v/>
      </c>
      <c r="Y435" s="115" t="str">
        <f t="shared" si="438"/>
        <v/>
      </c>
      <c r="Z435" s="115" t="str">
        <f t="shared" si="438"/>
        <v/>
      </c>
      <c r="AA435" s="115" t="str">
        <f t="shared" si="438"/>
        <v/>
      </c>
      <c r="AB435" s="115" t="str">
        <f t="shared" si="438"/>
        <v/>
      </c>
      <c r="AC435" s="115" t="str">
        <f t="shared" si="438"/>
        <v/>
      </c>
      <c r="AD435" s="115" t="str">
        <f t="shared" si="438"/>
        <v/>
      </c>
      <c r="AE435" s="115" t="str">
        <f t="shared" si="438"/>
        <v/>
      </c>
      <c r="AF435" s="115" t="str">
        <f t="shared" si="438"/>
        <v/>
      </c>
      <c r="AG435" s="115" t="str">
        <f t="shared" si="438"/>
        <v/>
      </c>
      <c r="AH435" s="115" t="str">
        <f t="shared" si="438"/>
        <v/>
      </c>
      <c r="AI435" s="115" t="str">
        <f t="shared" si="438"/>
        <v/>
      </c>
      <c r="AJ435" s="115" t="str">
        <f t="shared" si="438"/>
        <v/>
      </c>
      <c r="AK435" s="115" t="str">
        <f t="shared" si="438"/>
        <v/>
      </c>
      <c r="AL435" s="115" t="str">
        <f t="shared" si="438"/>
        <v/>
      </c>
      <c r="AM435" s="115" t="str">
        <f t="shared" si="438"/>
        <v/>
      </c>
      <c r="AN435" s="115" t="str">
        <f t="shared" si="438"/>
        <v/>
      </c>
      <c r="AO435" s="115" t="str">
        <f t="shared" si="438"/>
        <v/>
      </c>
      <c r="AP435" s="117">
        <f>IF(AP$6="","",IF(AP$3="Maior",IFERROR(IF(VLOOKUP($N435,Capa!$A:$AE,AP$5,0)="",0,VLOOKUP($N435,Capa!$A:$AE,AP$5,0)),0),IF(ISERROR(1/VLOOKUP($N435,Capa!$A:$AE,AP$5,0)),0,1/VLOOKUP($N435,Capa!$A:$AE,AP$5,0))))</f>
        <v>0.07757638415</v>
      </c>
      <c r="AQ435" s="118">
        <f>IF(AQ$6="","",IF(AQ$3="Maior",IFERROR(IF(VLOOKUP($N435,Capa!$A:$AE,AQ$5,0)="",0,VLOOKUP($N435,Capa!$A:$AE,AQ$5,0)),0),IF(ISERROR(1/VLOOKUP($N435,Capa!$A:$AE,AQ$5,0)),0,1/VLOOKUP($N435,Capa!$A:$AE,AQ$5,0))))</f>
        <v>0</v>
      </c>
      <c r="AR435" s="118">
        <f>IF(AR$6="","",IF(AR$3="Maior",IFERROR(IF(VLOOKUP($N435,Capa!$A:$AE,AR$5,0)="",0,VLOOKUP($N435,Capa!$A:$AE,AR$5,0)),0),IF(ISERROR(1/VLOOKUP($N435,Capa!$A:$AE,AR$5,0)),0,1/VLOOKUP($N435,Capa!$A:$AE,AR$5,0))))</f>
        <v>36.13</v>
      </c>
      <c r="AS435" s="118" t="str">
        <f>IF(AS$6="","",IF(AS$3="Maior",IFERROR(IF(VLOOKUP($N435,Capa!$A:$AE,AS$5,0)="",0,VLOOKUP($N435,Capa!$A:$AE,AS$5,0)),0),IF(ISERROR(1/VLOOKUP($N435,Capa!$A:$AE,AS$5,0)),0,1/VLOOKUP($N435,Capa!$A:$AE,AS$5,0))))</f>
        <v/>
      </c>
      <c r="AT435" s="118" t="str">
        <f>IF(AT$6="","",IF(AT$3="Maior",IFERROR(IF(VLOOKUP($N435,Capa!$A:$AE,AT$5,0)="",0,VLOOKUP($N435,Capa!$A:$AE,AT$5,0)),0),IF(ISERROR(1/VLOOKUP($N435,Capa!$A:$AE,AT$5,0)),0,1/VLOOKUP($N435,Capa!$A:$AE,AT$5,0))))</f>
        <v/>
      </c>
      <c r="AU435" s="118" t="str">
        <f>IF(AU$6="","",IF(AU$3="Maior",IFERROR(IF(VLOOKUP($N435,Capa!$A:$AE,AU$5,0)="",0,VLOOKUP($N435,Capa!$A:$AE,AU$5,0)),0),IF(ISERROR(1/VLOOKUP($N435,Capa!$A:$AE,AU$5,0)),0,1/VLOOKUP($N435,Capa!$A:$AE,AU$5,0))))</f>
        <v/>
      </c>
      <c r="AV435" s="118" t="str">
        <f>IF(AV$6="","",IF(AV$3="Maior",IFERROR(IF(VLOOKUP($N435,Capa!$A:$AE,AV$5,0)="",0,VLOOKUP($N435,Capa!$A:$AE,AV$5,0)),0),IF(ISERROR(1/VLOOKUP($N435,Capa!$A:$AE,AV$5,0)),0,1/VLOOKUP($N435,Capa!$A:$AE,AV$5,0))))</f>
        <v/>
      </c>
      <c r="AW435" s="118" t="str">
        <f>IF(AW$6="","",IF(AW$3="Maior",IFERROR(IF(VLOOKUP($N435,Capa!$A:$AE,AW$5,0)="",0,VLOOKUP($N435,Capa!$A:$AE,AW$5,0)),0),IF(ISERROR(1/VLOOKUP($N435,Capa!$A:$AE,AW$5,0)),0,1/VLOOKUP($N435,Capa!$A:$AE,AW$5,0))))</f>
        <v/>
      </c>
      <c r="AX435" s="118" t="str">
        <f>IF(AX$6="","",IF(AX$3="Maior",IFERROR(IF(VLOOKUP($N435,Capa!$A:$AE,AX$5,0)="",0,VLOOKUP($N435,Capa!$A:$AE,AX$5,0)),0),IF(ISERROR(1/VLOOKUP($N435,Capa!$A:$AE,AX$5,0)),0,1/VLOOKUP($N435,Capa!$A:$AE,AX$5,0))))</f>
        <v/>
      </c>
      <c r="AY435" s="118" t="str">
        <f>IF(AY$6="","",IF(AY$3="Maior",IFERROR(IF(VLOOKUP($N435,Capa!$A:$AE,AY$5,0)="",0,VLOOKUP($N435,Capa!$A:$AE,AY$5,0)),0),IF(ISERROR(1/VLOOKUP($N435,Capa!$A:$AE,AY$5,0)),0,1/VLOOKUP($N435,Capa!$A:$AE,AY$5,0))))</f>
        <v/>
      </c>
      <c r="AZ435" s="118" t="str">
        <f>IF(AZ$6="","",IF(AZ$3="Maior",IFERROR(IF(VLOOKUP($N435,Capa!$A:$AE,AZ$5,0)="",0,VLOOKUP($N435,Capa!$A:$AE,AZ$5,0)),0),IF(ISERROR(1/VLOOKUP($N435,Capa!$A:$AE,AZ$5,0)),0,1/VLOOKUP($N435,Capa!$A:$AE,AZ$5,0))))</f>
        <v/>
      </c>
      <c r="BA435" s="118" t="str">
        <f>IF(BA$6="","",IF(BA$3="Maior",IFERROR(IF(VLOOKUP($N435,Capa!$A:$AE,BA$5,0)="",0,VLOOKUP($N435,Capa!$A:$AE,BA$5,0)),0),IF(ISERROR(1/VLOOKUP($N435,Capa!$A:$AE,BA$5,0)),0,1/VLOOKUP($N435,Capa!$A:$AE,BA$5,0))))</f>
        <v/>
      </c>
      <c r="BB435" s="118" t="str">
        <f>IF(BB$6="","",IF(BB$3="Maior",IFERROR(IF(VLOOKUP($N435,Capa!$A:$AE,BB$5,0)="",0,VLOOKUP($N435,Capa!$A:$AE,BB$5,0)),0),IF(ISERROR(1/VLOOKUP($N435,Capa!$A:$AE,BB$5,0)),0,1/VLOOKUP($N435,Capa!$A:$AE,BB$5,0))))</f>
        <v/>
      </c>
      <c r="BC435" s="118" t="str">
        <f>IF(BC$6="","",IF(BC$3="Maior",IFERROR(IF(VLOOKUP($N435,Capa!$A:$AE,BC$5,0)="",0,VLOOKUP($N435,Capa!$A:$AE,BC$5,0)),0),IF(ISERROR(1/VLOOKUP($N435,Capa!$A:$AE,BC$5,0)),0,1/VLOOKUP($N435,Capa!$A:$AE,BC$5,0))))</f>
        <v/>
      </c>
      <c r="BD435" s="118" t="str">
        <f>IF(BD$6="","",IF(BD$3="Maior",IFERROR(IF(VLOOKUP($N435,Capa!$A:$AE,BD$5,0)="",0,VLOOKUP($N435,Capa!$A:$AE,BD$5,0)),0),IF(ISERROR(1/VLOOKUP($N435,Capa!$A:$AE,BD$5,0)),0,1/VLOOKUP($N435,Capa!$A:$AE,BD$5,0))))</f>
        <v/>
      </c>
      <c r="BE435" s="118" t="str">
        <f>IF(BE$6="","",IF(BE$3="Maior",IFERROR(IF(VLOOKUP($N435,Capa!$A:$AE,BE$5,0)="",0,VLOOKUP($N435,Capa!$A:$AE,BE$5,0)),0),IF(ISERROR(1/VLOOKUP($N435,Capa!$A:$AE,BE$5,0)),0,1/VLOOKUP($N435,Capa!$A:$AE,BE$5,0))))</f>
        <v/>
      </c>
      <c r="BF435" s="118" t="str">
        <f>IF(BF$6="","",IF(BF$3="Maior",IFERROR(IF(VLOOKUP($N435,Capa!$A:$AE,BF$5,0)="",0,VLOOKUP($N435,Capa!$A:$AE,BF$5,0)),0),IF(ISERROR(1/VLOOKUP($N435,Capa!$A:$AE,BF$5,0)),0,1/VLOOKUP($N435,Capa!$A:$AE,BF$5,0))))</f>
        <v/>
      </c>
      <c r="BG435" s="118" t="str">
        <f>IF(BG$6="","",IF(BG$3="Maior",IFERROR(IF(VLOOKUP($N435,Capa!$A:$AE,BG$5,0)="",0,VLOOKUP($N435,Capa!$A:$AE,BG$5,0)),0),IF(ISERROR(1/VLOOKUP($N435,Capa!$A:$AE,BG$5,0)),0,1/VLOOKUP($N435,Capa!$A:$AE,BG$5,0))))</f>
        <v/>
      </c>
      <c r="BH435" s="118" t="str">
        <f>IF(BH$6="","",IF(BH$3="Maior",IFERROR(IF(VLOOKUP($N435,Capa!$A:$AE,BH$5,0)="",0,VLOOKUP($N435,Capa!$A:$AE,BH$5,0)),0),IF(ISERROR(1/VLOOKUP($N435,Capa!$A:$AE,BH$5,0)),0,1/VLOOKUP($N435,Capa!$A:$AE,BH$5,0))))</f>
        <v/>
      </c>
      <c r="BI435" s="118" t="str">
        <f>IF(BI$6="","",IF(BI$3="Maior",IFERROR(IF(VLOOKUP($N435,Capa!$A:$AE,BI$5,0)="",0,VLOOKUP($N435,Capa!$A:$AE,BI$5,0)),0),IF(ISERROR(1/VLOOKUP($N435,Capa!$A:$AE,BI$5,0)),0,1/VLOOKUP($N435,Capa!$A:$AE,BI$5,0))))</f>
        <v/>
      </c>
      <c r="BJ435" s="118" t="str">
        <f>IF(BJ$6="","",IF(BJ$3="Maior",IFERROR(IF(VLOOKUP($N435,Capa!$A:$AE,BJ$5,0)="",0,VLOOKUP($N435,Capa!$A:$AE,BJ$5,0)),0),IF(ISERROR(1/VLOOKUP($N435,Capa!$A:$AE,BJ$5,0)),0,1/VLOOKUP($N435,Capa!$A:$AE,BJ$5,0))))</f>
        <v/>
      </c>
      <c r="BK435" s="118" t="str">
        <f>IF(BK$6="","",IF(BK$3="Maior",IFERROR(IF(VLOOKUP($N435,Capa!$A:$AE,BK$5,0)="",0,VLOOKUP($N435,Capa!$A:$AE,BK$5,0)),0),IF(ISERROR(1/VLOOKUP($N435,Capa!$A:$AE,BK$5,0)),0,1/VLOOKUP($N435,Capa!$A:$AE,BK$5,0))))</f>
        <v/>
      </c>
      <c r="BL435" s="118" t="str">
        <f>IF(BL$6="","",IF(BL$3="Maior",IFERROR(IF(VLOOKUP($N435,Capa!$A:$AE,BL$5,0)="",0,VLOOKUP($N435,Capa!$A:$AE,BL$5,0)),0),IF(ISERROR(1/VLOOKUP($N435,Capa!$A:$AE,BL$5,0)),0,1/VLOOKUP($N435,Capa!$A:$AE,BL$5,0))))</f>
        <v/>
      </c>
      <c r="BM435" s="118" t="str">
        <f>IF(BM$6="","",IF(BM$3="Maior",IFERROR(IF(VLOOKUP($N435,Capa!$A:$AE,BM$5,0)="",0,VLOOKUP($N435,Capa!$A:$AE,BM$5,0)),0),IF(ISERROR(1/VLOOKUP($N435,Capa!$A:$AE,BM$5,0)),0,1/VLOOKUP($N435,Capa!$A:$AE,BM$5,0))))</f>
        <v/>
      </c>
      <c r="BN435" s="118" t="str">
        <f>IF(BN$6="","",IF(BN$3="Maior",IFERROR(IF(VLOOKUP($N435,Capa!$A:$AE,BN$5,0)="",0,VLOOKUP($N435,Capa!$A:$AE,BN$5,0)),0),IF(ISERROR(1/VLOOKUP($N435,Capa!$A:$AE,BN$5,0)),0,1/VLOOKUP($N435,Capa!$A:$AE,BN$5,0))))</f>
        <v/>
      </c>
      <c r="BO435" s="92"/>
    </row>
    <row r="436">
      <c r="G436" s="11"/>
      <c r="H436" s="11"/>
      <c r="I436" s="8"/>
      <c r="J436" s="132"/>
      <c r="K436" s="11"/>
      <c r="L436" s="11"/>
      <c r="M436" s="11"/>
      <c r="N436" s="10" t="s">
        <v>482</v>
      </c>
      <c r="O436" s="113">
        <f t="shared" si="8"/>
        <v>2020.0442</v>
      </c>
      <c r="P436" s="114">
        <f>VLOOKUP(N436,'Dados StatusInvest'!A:Z,26,0)</f>
        <v>19208.72</v>
      </c>
      <c r="Q436" s="115">
        <f t="shared" si="9"/>
        <v>442.0442</v>
      </c>
      <c r="R436" s="116">
        <f t="shared" ref="R436:AO436" si="439">IF(AQ436="","", RANK(AQ436,AQ$7:AQ$503,0))</f>
        <v>359</v>
      </c>
      <c r="S436" s="115">
        <f t="shared" si="439"/>
        <v>219</v>
      </c>
      <c r="T436" s="115" t="str">
        <f t="shared" si="439"/>
        <v/>
      </c>
      <c r="U436" s="115" t="str">
        <f t="shared" si="439"/>
        <v/>
      </c>
      <c r="V436" s="115" t="str">
        <f t="shared" si="439"/>
        <v/>
      </c>
      <c r="W436" s="115" t="str">
        <f t="shared" si="439"/>
        <v/>
      </c>
      <c r="X436" s="115" t="str">
        <f t="shared" si="439"/>
        <v/>
      </c>
      <c r="Y436" s="115" t="str">
        <f t="shared" si="439"/>
        <v/>
      </c>
      <c r="Z436" s="115" t="str">
        <f t="shared" si="439"/>
        <v/>
      </c>
      <c r="AA436" s="115" t="str">
        <f t="shared" si="439"/>
        <v/>
      </c>
      <c r="AB436" s="115" t="str">
        <f t="shared" si="439"/>
        <v/>
      </c>
      <c r="AC436" s="115" t="str">
        <f t="shared" si="439"/>
        <v/>
      </c>
      <c r="AD436" s="115" t="str">
        <f t="shared" si="439"/>
        <v/>
      </c>
      <c r="AE436" s="115" t="str">
        <f t="shared" si="439"/>
        <v/>
      </c>
      <c r="AF436" s="115" t="str">
        <f t="shared" si="439"/>
        <v/>
      </c>
      <c r="AG436" s="115" t="str">
        <f t="shared" si="439"/>
        <v/>
      </c>
      <c r="AH436" s="115" t="str">
        <f t="shared" si="439"/>
        <v/>
      </c>
      <c r="AI436" s="115" t="str">
        <f t="shared" si="439"/>
        <v/>
      </c>
      <c r="AJ436" s="115" t="str">
        <f t="shared" si="439"/>
        <v/>
      </c>
      <c r="AK436" s="115" t="str">
        <f t="shared" si="439"/>
        <v/>
      </c>
      <c r="AL436" s="115" t="str">
        <f t="shared" si="439"/>
        <v/>
      </c>
      <c r="AM436" s="115" t="str">
        <f t="shared" si="439"/>
        <v/>
      </c>
      <c r="AN436" s="115" t="str">
        <f t="shared" si="439"/>
        <v/>
      </c>
      <c r="AO436" s="115" t="str">
        <f t="shared" si="439"/>
        <v/>
      </c>
      <c r="AP436" s="117">
        <f>IF(AP$6="","",IF(AP$3="Maior",IFERROR(IF(VLOOKUP($N436,Capa!$A:$AE,AP$5,0)="",0,VLOOKUP($N436,Capa!$A:$AE,AP$5,0)),0),IF(ISERROR(1/VLOOKUP($N436,Capa!$A:$AE,AP$5,0)),0,1/VLOOKUP($N436,Capa!$A:$AE,AP$5,0))))</f>
        <v>-0.07928837874</v>
      </c>
      <c r="AQ436" s="118">
        <f>IF(AQ$6="","",IF(AQ$3="Maior",IFERROR(IF(VLOOKUP($N436,Capa!$A:$AE,AQ$5,0)="",0,VLOOKUP($N436,Capa!$A:$AE,AQ$5,0)),0),IF(ISERROR(1/VLOOKUP($N436,Capa!$A:$AE,AQ$5,0)),0,1/VLOOKUP($N436,Capa!$A:$AE,AQ$5,0))))</f>
        <v>1.31</v>
      </c>
      <c r="AR436" s="118">
        <f>IF(AR$6="","",IF(AR$3="Maior",IFERROR(IF(VLOOKUP($N436,Capa!$A:$AE,AR$5,0)="",0,VLOOKUP($N436,Capa!$A:$AE,AR$5,0)),0),IF(ISERROR(1/VLOOKUP($N436,Capa!$A:$AE,AR$5,0)),0,1/VLOOKUP($N436,Capa!$A:$AE,AR$5,0))))</f>
        <v>0</v>
      </c>
      <c r="AS436" s="118" t="str">
        <f>IF(AS$6="","",IF(AS$3="Maior",IFERROR(IF(VLOOKUP($N436,Capa!$A:$AE,AS$5,0)="",0,VLOOKUP($N436,Capa!$A:$AE,AS$5,0)),0),IF(ISERROR(1/VLOOKUP($N436,Capa!$A:$AE,AS$5,0)),0,1/VLOOKUP($N436,Capa!$A:$AE,AS$5,0))))</f>
        <v/>
      </c>
      <c r="AT436" s="118" t="str">
        <f>IF(AT$6="","",IF(AT$3="Maior",IFERROR(IF(VLOOKUP($N436,Capa!$A:$AE,AT$5,0)="",0,VLOOKUP($N436,Capa!$A:$AE,AT$5,0)),0),IF(ISERROR(1/VLOOKUP($N436,Capa!$A:$AE,AT$5,0)),0,1/VLOOKUP($N436,Capa!$A:$AE,AT$5,0))))</f>
        <v/>
      </c>
      <c r="AU436" s="118" t="str">
        <f>IF(AU$6="","",IF(AU$3="Maior",IFERROR(IF(VLOOKUP($N436,Capa!$A:$AE,AU$5,0)="",0,VLOOKUP($N436,Capa!$A:$AE,AU$5,0)),0),IF(ISERROR(1/VLOOKUP($N436,Capa!$A:$AE,AU$5,0)),0,1/VLOOKUP($N436,Capa!$A:$AE,AU$5,0))))</f>
        <v/>
      </c>
      <c r="AV436" s="118" t="str">
        <f>IF(AV$6="","",IF(AV$3="Maior",IFERROR(IF(VLOOKUP($N436,Capa!$A:$AE,AV$5,0)="",0,VLOOKUP($N436,Capa!$A:$AE,AV$5,0)),0),IF(ISERROR(1/VLOOKUP($N436,Capa!$A:$AE,AV$5,0)),0,1/VLOOKUP($N436,Capa!$A:$AE,AV$5,0))))</f>
        <v/>
      </c>
      <c r="AW436" s="118" t="str">
        <f>IF(AW$6="","",IF(AW$3="Maior",IFERROR(IF(VLOOKUP($N436,Capa!$A:$AE,AW$5,0)="",0,VLOOKUP($N436,Capa!$A:$AE,AW$5,0)),0),IF(ISERROR(1/VLOOKUP($N436,Capa!$A:$AE,AW$5,0)),0,1/VLOOKUP($N436,Capa!$A:$AE,AW$5,0))))</f>
        <v/>
      </c>
      <c r="AX436" s="118" t="str">
        <f>IF(AX$6="","",IF(AX$3="Maior",IFERROR(IF(VLOOKUP($N436,Capa!$A:$AE,AX$5,0)="",0,VLOOKUP($N436,Capa!$A:$AE,AX$5,0)),0),IF(ISERROR(1/VLOOKUP($N436,Capa!$A:$AE,AX$5,0)),0,1/VLOOKUP($N436,Capa!$A:$AE,AX$5,0))))</f>
        <v/>
      </c>
      <c r="AY436" s="118" t="str">
        <f>IF(AY$6="","",IF(AY$3="Maior",IFERROR(IF(VLOOKUP($N436,Capa!$A:$AE,AY$5,0)="",0,VLOOKUP($N436,Capa!$A:$AE,AY$5,0)),0),IF(ISERROR(1/VLOOKUP($N436,Capa!$A:$AE,AY$5,0)),0,1/VLOOKUP($N436,Capa!$A:$AE,AY$5,0))))</f>
        <v/>
      </c>
      <c r="AZ436" s="118" t="str">
        <f>IF(AZ$6="","",IF(AZ$3="Maior",IFERROR(IF(VLOOKUP($N436,Capa!$A:$AE,AZ$5,0)="",0,VLOOKUP($N436,Capa!$A:$AE,AZ$5,0)),0),IF(ISERROR(1/VLOOKUP($N436,Capa!$A:$AE,AZ$5,0)),0,1/VLOOKUP($N436,Capa!$A:$AE,AZ$5,0))))</f>
        <v/>
      </c>
      <c r="BA436" s="118" t="str">
        <f>IF(BA$6="","",IF(BA$3="Maior",IFERROR(IF(VLOOKUP($N436,Capa!$A:$AE,BA$5,0)="",0,VLOOKUP($N436,Capa!$A:$AE,BA$5,0)),0),IF(ISERROR(1/VLOOKUP($N436,Capa!$A:$AE,BA$5,0)),0,1/VLOOKUP($N436,Capa!$A:$AE,BA$5,0))))</f>
        <v/>
      </c>
      <c r="BB436" s="118" t="str">
        <f>IF(BB$6="","",IF(BB$3="Maior",IFERROR(IF(VLOOKUP($N436,Capa!$A:$AE,BB$5,0)="",0,VLOOKUP($N436,Capa!$A:$AE,BB$5,0)),0),IF(ISERROR(1/VLOOKUP($N436,Capa!$A:$AE,BB$5,0)),0,1/VLOOKUP($N436,Capa!$A:$AE,BB$5,0))))</f>
        <v/>
      </c>
      <c r="BC436" s="118" t="str">
        <f>IF(BC$6="","",IF(BC$3="Maior",IFERROR(IF(VLOOKUP($N436,Capa!$A:$AE,BC$5,0)="",0,VLOOKUP($N436,Capa!$A:$AE,BC$5,0)),0),IF(ISERROR(1/VLOOKUP($N436,Capa!$A:$AE,BC$5,0)),0,1/VLOOKUP($N436,Capa!$A:$AE,BC$5,0))))</f>
        <v/>
      </c>
      <c r="BD436" s="118" t="str">
        <f>IF(BD$6="","",IF(BD$3="Maior",IFERROR(IF(VLOOKUP($N436,Capa!$A:$AE,BD$5,0)="",0,VLOOKUP($N436,Capa!$A:$AE,BD$5,0)),0),IF(ISERROR(1/VLOOKUP($N436,Capa!$A:$AE,BD$5,0)),0,1/VLOOKUP($N436,Capa!$A:$AE,BD$5,0))))</f>
        <v/>
      </c>
      <c r="BE436" s="118" t="str">
        <f>IF(BE$6="","",IF(BE$3="Maior",IFERROR(IF(VLOOKUP($N436,Capa!$A:$AE,BE$5,0)="",0,VLOOKUP($N436,Capa!$A:$AE,BE$5,0)),0),IF(ISERROR(1/VLOOKUP($N436,Capa!$A:$AE,BE$5,0)),0,1/VLOOKUP($N436,Capa!$A:$AE,BE$5,0))))</f>
        <v/>
      </c>
      <c r="BF436" s="118" t="str">
        <f>IF(BF$6="","",IF(BF$3="Maior",IFERROR(IF(VLOOKUP($N436,Capa!$A:$AE,BF$5,0)="",0,VLOOKUP($N436,Capa!$A:$AE,BF$5,0)),0),IF(ISERROR(1/VLOOKUP($N436,Capa!$A:$AE,BF$5,0)),0,1/VLOOKUP($N436,Capa!$A:$AE,BF$5,0))))</f>
        <v/>
      </c>
      <c r="BG436" s="118" t="str">
        <f>IF(BG$6="","",IF(BG$3="Maior",IFERROR(IF(VLOOKUP($N436,Capa!$A:$AE,BG$5,0)="",0,VLOOKUP($N436,Capa!$A:$AE,BG$5,0)),0),IF(ISERROR(1/VLOOKUP($N436,Capa!$A:$AE,BG$5,0)),0,1/VLOOKUP($N436,Capa!$A:$AE,BG$5,0))))</f>
        <v/>
      </c>
      <c r="BH436" s="118" t="str">
        <f>IF(BH$6="","",IF(BH$3="Maior",IFERROR(IF(VLOOKUP($N436,Capa!$A:$AE,BH$5,0)="",0,VLOOKUP($N436,Capa!$A:$AE,BH$5,0)),0),IF(ISERROR(1/VLOOKUP($N436,Capa!$A:$AE,BH$5,0)),0,1/VLOOKUP($N436,Capa!$A:$AE,BH$5,0))))</f>
        <v/>
      </c>
      <c r="BI436" s="118" t="str">
        <f>IF(BI$6="","",IF(BI$3="Maior",IFERROR(IF(VLOOKUP($N436,Capa!$A:$AE,BI$5,0)="",0,VLOOKUP($N436,Capa!$A:$AE,BI$5,0)),0),IF(ISERROR(1/VLOOKUP($N436,Capa!$A:$AE,BI$5,0)),0,1/VLOOKUP($N436,Capa!$A:$AE,BI$5,0))))</f>
        <v/>
      </c>
      <c r="BJ436" s="118" t="str">
        <f>IF(BJ$6="","",IF(BJ$3="Maior",IFERROR(IF(VLOOKUP($N436,Capa!$A:$AE,BJ$5,0)="",0,VLOOKUP($N436,Capa!$A:$AE,BJ$5,0)),0),IF(ISERROR(1/VLOOKUP($N436,Capa!$A:$AE,BJ$5,0)),0,1/VLOOKUP($N436,Capa!$A:$AE,BJ$5,0))))</f>
        <v/>
      </c>
      <c r="BK436" s="118" t="str">
        <f>IF(BK$6="","",IF(BK$3="Maior",IFERROR(IF(VLOOKUP($N436,Capa!$A:$AE,BK$5,0)="",0,VLOOKUP($N436,Capa!$A:$AE,BK$5,0)),0),IF(ISERROR(1/VLOOKUP($N436,Capa!$A:$AE,BK$5,0)),0,1/VLOOKUP($N436,Capa!$A:$AE,BK$5,0))))</f>
        <v/>
      </c>
      <c r="BL436" s="118" t="str">
        <f>IF(BL$6="","",IF(BL$3="Maior",IFERROR(IF(VLOOKUP($N436,Capa!$A:$AE,BL$5,0)="",0,VLOOKUP($N436,Capa!$A:$AE,BL$5,0)),0),IF(ISERROR(1/VLOOKUP($N436,Capa!$A:$AE,BL$5,0)),0,1/VLOOKUP($N436,Capa!$A:$AE,BL$5,0))))</f>
        <v/>
      </c>
      <c r="BM436" s="118" t="str">
        <f>IF(BM$6="","",IF(BM$3="Maior",IFERROR(IF(VLOOKUP($N436,Capa!$A:$AE,BM$5,0)="",0,VLOOKUP($N436,Capa!$A:$AE,BM$5,0)),0),IF(ISERROR(1/VLOOKUP($N436,Capa!$A:$AE,BM$5,0)),0,1/VLOOKUP($N436,Capa!$A:$AE,BM$5,0))))</f>
        <v/>
      </c>
      <c r="BN436" s="118" t="str">
        <f>IF(BN$6="","",IF(BN$3="Maior",IFERROR(IF(VLOOKUP($N436,Capa!$A:$AE,BN$5,0)="",0,VLOOKUP($N436,Capa!$A:$AE,BN$5,0)),0),IF(ISERROR(1/VLOOKUP($N436,Capa!$A:$AE,BN$5,0)),0,1/VLOOKUP($N436,Capa!$A:$AE,BN$5,0))))</f>
        <v/>
      </c>
      <c r="BO436" s="92"/>
    </row>
    <row r="437">
      <c r="G437" s="11"/>
      <c r="H437" s="11"/>
      <c r="I437" s="8"/>
      <c r="J437" s="132"/>
      <c r="K437" s="11"/>
      <c r="L437" s="11"/>
      <c r="M437" s="11"/>
      <c r="N437" s="10" t="s">
        <v>483</v>
      </c>
      <c r="O437" s="113">
        <f t="shared" si="8"/>
        <v>1206.0039</v>
      </c>
      <c r="P437" s="114">
        <f>VLOOKUP(N437,'Dados StatusInvest'!A:Z,26,0)</f>
        <v>16173.07</v>
      </c>
      <c r="Q437" s="115">
        <f t="shared" si="9"/>
        <v>39.0039</v>
      </c>
      <c r="R437" s="116">
        <f t="shared" ref="R437:AO437" si="440">IF(AQ437="","", RANK(AQ437,AQ$7:AQ$503,0))</f>
        <v>45</v>
      </c>
      <c r="S437" s="115">
        <f t="shared" si="440"/>
        <v>122</v>
      </c>
      <c r="T437" s="115" t="str">
        <f t="shared" si="440"/>
        <v/>
      </c>
      <c r="U437" s="115" t="str">
        <f t="shared" si="440"/>
        <v/>
      </c>
      <c r="V437" s="115" t="str">
        <f t="shared" si="440"/>
        <v/>
      </c>
      <c r="W437" s="115" t="str">
        <f t="shared" si="440"/>
        <v/>
      </c>
      <c r="X437" s="115" t="str">
        <f t="shared" si="440"/>
        <v/>
      </c>
      <c r="Y437" s="115" t="str">
        <f t="shared" si="440"/>
        <v/>
      </c>
      <c r="Z437" s="115" t="str">
        <f t="shared" si="440"/>
        <v/>
      </c>
      <c r="AA437" s="115" t="str">
        <f t="shared" si="440"/>
        <v/>
      </c>
      <c r="AB437" s="115" t="str">
        <f t="shared" si="440"/>
        <v/>
      </c>
      <c r="AC437" s="115" t="str">
        <f t="shared" si="440"/>
        <v/>
      </c>
      <c r="AD437" s="115" t="str">
        <f t="shared" si="440"/>
        <v/>
      </c>
      <c r="AE437" s="115" t="str">
        <f t="shared" si="440"/>
        <v/>
      </c>
      <c r="AF437" s="115" t="str">
        <f t="shared" si="440"/>
        <v/>
      </c>
      <c r="AG437" s="115" t="str">
        <f t="shared" si="440"/>
        <v/>
      </c>
      <c r="AH437" s="115" t="str">
        <f t="shared" si="440"/>
        <v/>
      </c>
      <c r="AI437" s="115" t="str">
        <f t="shared" si="440"/>
        <v/>
      </c>
      <c r="AJ437" s="115" t="str">
        <f t="shared" si="440"/>
        <v/>
      </c>
      <c r="AK437" s="115" t="str">
        <f t="shared" si="440"/>
        <v/>
      </c>
      <c r="AL437" s="115" t="str">
        <f t="shared" si="440"/>
        <v/>
      </c>
      <c r="AM437" s="115" t="str">
        <f t="shared" si="440"/>
        <v/>
      </c>
      <c r="AN437" s="115" t="str">
        <f t="shared" si="440"/>
        <v/>
      </c>
      <c r="AO437" s="115" t="str">
        <f t="shared" si="440"/>
        <v/>
      </c>
      <c r="AP437" s="117">
        <f>IF(AP$6="","",IF(AP$3="Maior",IFERROR(IF(VLOOKUP($N437,Capa!$A:$AE,AP$5,0)="",0,VLOOKUP($N437,Capa!$A:$AE,AP$5,0)),0),IF(ISERROR(1/VLOOKUP($N437,Capa!$A:$AE,AP$5,0)),0,1/VLOOKUP($N437,Capa!$A:$AE,AP$5,0))))</f>
        <v>0.2762430939</v>
      </c>
      <c r="AQ437" s="118">
        <f>IF(AQ$6="","",IF(AQ$3="Maior",IFERROR(IF(VLOOKUP($N437,Capa!$A:$AE,AQ$5,0)="",0,VLOOKUP($N437,Capa!$A:$AE,AQ$5,0)),0),IF(ISERROR(1/VLOOKUP($N437,Capa!$A:$AE,AQ$5,0)),0,1/VLOOKUP($N437,Capa!$A:$AE,AQ$5,0))))</f>
        <v>29.14</v>
      </c>
      <c r="AR437" s="118">
        <f>IF(AR$6="","",IF(AR$3="Maior",IFERROR(IF(VLOOKUP($N437,Capa!$A:$AE,AR$5,0)="",0,VLOOKUP($N437,Capa!$A:$AE,AR$5,0)),0),IF(ISERROR(1/VLOOKUP($N437,Capa!$A:$AE,AR$5,0)),0,1/VLOOKUP($N437,Capa!$A:$AE,AR$5,0))))</f>
        <v>22.74</v>
      </c>
      <c r="AS437" s="118" t="str">
        <f>IF(AS$6="","",IF(AS$3="Maior",IFERROR(IF(VLOOKUP($N437,Capa!$A:$AE,AS$5,0)="",0,VLOOKUP($N437,Capa!$A:$AE,AS$5,0)),0),IF(ISERROR(1/VLOOKUP($N437,Capa!$A:$AE,AS$5,0)),0,1/VLOOKUP($N437,Capa!$A:$AE,AS$5,0))))</f>
        <v/>
      </c>
      <c r="AT437" s="118" t="str">
        <f>IF(AT$6="","",IF(AT$3="Maior",IFERROR(IF(VLOOKUP($N437,Capa!$A:$AE,AT$5,0)="",0,VLOOKUP($N437,Capa!$A:$AE,AT$5,0)),0),IF(ISERROR(1/VLOOKUP($N437,Capa!$A:$AE,AT$5,0)),0,1/VLOOKUP($N437,Capa!$A:$AE,AT$5,0))))</f>
        <v/>
      </c>
      <c r="AU437" s="118" t="str">
        <f>IF(AU$6="","",IF(AU$3="Maior",IFERROR(IF(VLOOKUP($N437,Capa!$A:$AE,AU$5,0)="",0,VLOOKUP($N437,Capa!$A:$AE,AU$5,0)),0),IF(ISERROR(1/VLOOKUP($N437,Capa!$A:$AE,AU$5,0)),0,1/VLOOKUP($N437,Capa!$A:$AE,AU$5,0))))</f>
        <v/>
      </c>
      <c r="AV437" s="118" t="str">
        <f>IF(AV$6="","",IF(AV$3="Maior",IFERROR(IF(VLOOKUP($N437,Capa!$A:$AE,AV$5,0)="",0,VLOOKUP($N437,Capa!$A:$AE,AV$5,0)),0),IF(ISERROR(1/VLOOKUP($N437,Capa!$A:$AE,AV$5,0)),0,1/VLOOKUP($N437,Capa!$A:$AE,AV$5,0))))</f>
        <v/>
      </c>
      <c r="AW437" s="118" t="str">
        <f>IF(AW$6="","",IF(AW$3="Maior",IFERROR(IF(VLOOKUP($N437,Capa!$A:$AE,AW$5,0)="",0,VLOOKUP($N437,Capa!$A:$AE,AW$5,0)),0),IF(ISERROR(1/VLOOKUP($N437,Capa!$A:$AE,AW$5,0)),0,1/VLOOKUP($N437,Capa!$A:$AE,AW$5,0))))</f>
        <v/>
      </c>
      <c r="AX437" s="118" t="str">
        <f>IF(AX$6="","",IF(AX$3="Maior",IFERROR(IF(VLOOKUP($N437,Capa!$A:$AE,AX$5,0)="",0,VLOOKUP($N437,Capa!$A:$AE,AX$5,0)),0),IF(ISERROR(1/VLOOKUP($N437,Capa!$A:$AE,AX$5,0)),0,1/VLOOKUP($N437,Capa!$A:$AE,AX$5,0))))</f>
        <v/>
      </c>
      <c r="AY437" s="118" t="str">
        <f>IF(AY$6="","",IF(AY$3="Maior",IFERROR(IF(VLOOKUP($N437,Capa!$A:$AE,AY$5,0)="",0,VLOOKUP($N437,Capa!$A:$AE,AY$5,0)),0),IF(ISERROR(1/VLOOKUP($N437,Capa!$A:$AE,AY$5,0)),0,1/VLOOKUP($N437,Capa!$A:$AE,AY$5,0))))</f>
        <v/>
      </c>
      <c r="AZ437" s="118" t="str">
        <f>IF(AZ$6="","",IF(AZ$3="Maior",IFERROR(IF(VLOOKUP($N437,Capa!$A:$AE,AZ$5,0)="",0,VLOOKUP($N437,Capa!$A:$AE,AZ$5,0)),0),IF(ISERROR(1/VLOOKUP($N437,Capa!$A:$AE,AZ$5,0)),0,1/VLOOKUP($N437,Capa!$A:$AE,AZ$5,0))))</f>
        <v/>
      </c>
      <c r="BA437" s="118" t="str">
        <f>IF(BA$6="","",IF(BA$3="Maior",IFERROR(IF(VLOOKUP($N437,Capa!$A:$AE,BA$5,0)="",0,VLOOKUP($N437,Capa!$A:$AE,BA$5,0)),0),IF(ISERROR(1/VLOOKUP($N437,Capa!$A:$AE,BA$5,0)),0,1/VLOOKUP($N437,Capa!$A:$AE,BA$5,0))))</f>
        <v/>
      </c>
      <c r="BB437" s="118" t="str">
        <f>IF(BB$6="","",IF(BB$3="Maior",IFERROR(IF(VLOOKUP($N437,Capa!$A:$AE,BB$5,0)="",0,VLOOKUP($N437,Capa!$A:$AE,BB$5,0)),0),IF(ISERROR(1/VLOOKUP($N437,Capa!$A:$AE,BB$5,0)),0,1/VLOOKUP($N437,Capa!$A:$AE,BB$5,0))))</f>
        <v/>
      </c>
      <c r="BC437" s="118" t="str">
        <f>IF(BC$6="","",IF(BC$3="Maior",IFERROR(IF(VLOOKUP($N437,Capa!$A:$AE,BC$5,0)="",0,VLOOKUP($N437,Capa!$A:$AE,BC$5,0)),0),IF(ISERROR(1/VLOOKUP($N437,Capa!$A:$AE,BC$5,0)),0,1/VLOOKUP($N437,Capa!$A:$AE,BC$5,0))))</f>
        <v/>
      </c>
      <c r="BD437" s="118" t="str">
        <f>IF(BD$6="","",IF(BD$3="Maior",IFERROR(IF(VLOOKUP($N437,Capa!$A:$AE,BD$5,0)="",0,VLOOKUP($N437,Capa!$A:$AE,BD$5,0)),0),IF(ISERROR(1/VLOOKUP($N437,Capa!$A:$AE,BD$5,0)),0,1/VLOOKUP($N437,Capa!$A:$AE,BD$5,0))))</f>
        <v/>
      </c>
      <c r="BE437" s="118" t="str">
        <f>IF(BE$6="","",IF(BE$3="Maior",IFERROR(IF(VLOOKUP($N437,Capa!$A:$AE,BE$5,0)="",0,VLOOKUP($N437,Capa!$A:$AE,BE$5,0)),0),IF(ISERROR(1/VLOOKUP($N437,Capa!$A:$AE,BE$5,0)),0,1/VLOOKUP($N437,Capa!$A:$AE,BE$5,0))))</f>
        <v/>
      </c>
      <c r="BF437" s="118" t="str">
        <f>IF(BF$6="","",IF(BF$3="Maior",IFERROR(IF(VLOOKUP($N437,Capa!$A:$AE,BF$5,0)="",0,VLOOKUP($N437,Capa!$A:$AE,BF$5,0)),0),IF(ISERROR(1/VLOOKUP($N437,Capa!$A:$AE,BF$5,0)),0,1/VLOOKUP($N437,Capa!$A:$AE,BF$5,0))))</f>
        <v/>
      </c>
      <c r="BG437" s="118" t="str">
        <f>IF(BG$6="","",IF(BG$3="Maior",IFERROR(IF(VLOOKUP($N437,Capa!$A:$AE,BG$5,0)="",0,VLOOKUP($N437,Capa!$A:$AE,BG$5,0)),0),IF(ISERROR(1/VLOOKUP($N437,Capa!$A:$AE,BG$5,0)),0,1/VLOOKUP($N437,Capa!$A:$AE,BG$5,0))))</f>
        <v/>
      </c>
      <c r="BH437" s="118" t="str">
        <f>IF(BH$6="","",IF(BH$3="Maior",IFERROR(IF(VLOOKUP($N437,Capa!$A:$AE,BH$5,0)="",0,VLOOKUP($N437,Capa!$A:$AE,BH$5,0)),0),IF(ISERROR(1/VLOOKUP($N437,Capa!$A:$AE,BH$5,0)),0,1/VLOOKUP($N437,Capa!$A:$AE,BH$5,0))))</f>
        <v/>
      </c>
      <c r="BI437" s="118" t="str">
        <f>IF(BI$6="","",IF(BI$3="Maior",IFERROR(IF(VLOOKUP($N437,Capa!$A:$AE,BI$5,0)="",0,VLOOKUP($N437,Capa!$A:$AE,BI$5,0)),0),IF(ISERROR(1/VLOOKUP($N437,Capa!$A:$AE,BI$5,0)),0,1/VLOOKUP($N437,Capa!$A:$AE,BI$5,0))))</f>
        <v/>
      </c>
      <c r="BJ437" s="118" t="str">
        <f>IF(BJ$6="","",IF(BJ$3="Maior",IFERROR(IF(VLOOKUP($N437,Capa!$A:$AE,BJ$5,0)="",0,VLOOKUP($N437,Capa!$A:$AE,BJ$5,0)),0),IF(ISERROR(1/VLOOKUP($N437,Capa!$A:$AE,BJ$5,0)),0,1/VLOOKUP($N437,Capa!$A:$AE,BJ$5,0))))</f>
        <v/>
      </c>
      <c r="BK437" s="118" t="str">
        <f>IF(BK$6="","",IF(BK$3="Maior",IFERROR(IF(VLOOKUP($N437,Capa!$A:$AE,BK$5,0)="",0,VLOOKUP($N437,Capa!$A:$AE,BK$5,0)),0),IF(ISERROR(1/VLOOKUP($N437,Capa!$A:$AE,BK$5,0)),0,1/VLOOKUP($N437,Capa!$A:$AE,BK$5,0))))</f>
        <v/>
      </c>
      <c r="BL437" s="118" t="str">
        <f>IF(BL$6="","",IF(BL$3="Maior",IFERROR(IF(VLOOKUP($N437,Capa!$A:$AE,BL$5,0)="",0,VLOOKUP($N437,Capa!$A:$AE,BL$5,0)),0),IF(ISERROR(1/VLOOKUP($N437,Capa!$A:$AE,BL$5,0)),0,1/VLOOKUP($N437,Capa!$A:$AE,BL$5,0))))</f>
        <v/>
      </c>
      <c r="BM437" s="118" t="str">
        <f>IF(BM$6="","",IF(BM$3="Maior",IFERROR(IF(VLOOKUP($N437,Capa!$A:$AE,BM$5,0)="",0,VLOOKUP($N437,Capa!$A:$AE,BM$5,0)),0),IF(ISERROR(1/VLOOKUP($N437,Capa!$A:$AE,BM$5,0)),0,1/VLOOKUP($N437,Capa!$A:$AE,BM$5,0))))</f>
        <v/>
      </c>
      <c r="BN437" s="118" t="str">
        <f>IF(BN$6="","",IF(BN$3="Maior",IFERROR(IF(VLOOKUP($N437,Capa!$A:$AE,BN$5,0)="",0,VLOOKUP($N437,Capa!$A:$AE,BN$5,0)),0),IF(ISERROR(1/VLOOKUP($N437,Capa!$A:$AE,BN$5,0)),0,1/VLOOKUP($N437,Capa!$A:$AE,BN$5,0))))</f>
        <v/>
      </c>
      <c r="BO437" s="92"/>
    </row>
    <row r="438">
      <c r="I438" s="73"/>
      <c r="J438" s="74"/>
      <c r="N438" s="10" t="s">
        <v>484</v>
      </c>
      <c r="O438" s="113">
        <f t="shared" si="8"/>
        <v>2132.0427</v>
      </c>
      <c r="P438" s="114">
        <f>VLOOKUP(N438,'Dados StatusInvest'!A:Z,26,0)</f>
        <v>16752.43</v>
      </c>
      <c r="Q438" s="115">
        <f t="shared" si="9"/>
        <v>427.0427</v>
      </c>
      <c r="R438" s="116">
        <f t="shared" ref="R438:AO438" si="441">IF(AQ438="","", RANK(AQ438,AQ$7:AQ$503,0))</f>
        <v>486</v>
      </c>
      <c r="S438" s="115">
        <f t="shared" si="441"/>
        <v>219</v>
      </c>
      <c r="T438" s="115" t="str">
        <f t="shared" si="441"/>
        <v/>
      </c>
      <c r="U438" s="115" t="str">
        <f t="shared" si="441"/>
        <v/>
      </c>
      <c r="V438" s="115" t="str">
        <f t="shared" si="441"/>
        <v/>
      </c>
      <c r="W438" s="115" t="str">
        <f t="shared" si="441"/>
        <v/>
      </c>
      <c r="X438" s="115" t="str">
        <f t="shared" si="441"/>
        <v/>
      </c>
      <c r="Y438" s="115" t="str">
        <f t="shared" si="441"/>
        <v/>
      </c>
      <c r="Z438" s="115" t="str">
        <f t="shared" si="441"/>
        <v/>
      </c>
      <c r="AA438" s="115" t="str">
        <f t="shared" si="441"/>
        <v/>
      </c>
      <c r="AB438" s="115" t="str">
        <f t="shared" si="441"/>
        <v/>
      </c>
      <c r="AC438" s="115" t="str">
        <f t="shared" si="441"/>
        <v/>
      </c>
      <c r="AD438" s="115" t="str">
        <f t="shared" si="441"/>
        <v/>
      </c>
      <c r="AE438" s="115" t="str">
        <f t="shared" si="441"/>
        <v/>
      </c>
      <c r="AF438" s="115" t="str">
        <f t="shared" si="441"/>
        <v/>
      </c>
      <c r="AG438" s="115" t="str">
        <f t="shared" si="441"/>
        <v/>
      </c>
      <c r="AH438" s="115" t="str">
        <f t="shared" si="441"/>
        <v/>
      </c>
      <c r="AI438" s="115" t="str">
        <f t="shared" si="441"/>
        <v/>
      </c>
      <c r="AJ438" s="115" t="str">
        <f t="shared" si="441"/>
        <v/>
      </c>
      <c r="AK438" s="115" t="str">
        <f t="shared" si="441"/>
        <v/>
      </c>
      <c r="AL438" s="115" t="str">
        <f t="shared" si="441"/>
        <v/>
      </c>
      <c r="AM438" s="115" t="str">
        <f t="shared" si="441"/>
        <v/>
      </c>
      <c r="AN438" s="115" t="str">
        <f t="shared" si="441"/>
        <v/>
      </c>
      <c r="AO438" s="115" t="str">
        <f t="shared" si="441"/>
        <v/>
      </c>
      <c r="AP438" s="117">
        <f>IF(AP$6="","",IF(AP$3="Maior",IFERROR(IF(VLOOKUP($N438,Capa!$A:$AE,AP$5,0)="",0,VLOOKUP($N438,Capa!$A:$AE,AP$5,0)),0),IF(ISERROR(1/VLOOKUP($N438,Capa!$A:$AE,AP$5,0)),0,1/VLOOKUP($N438,Capa!$A:$AE,AP$5,0))))</f>
        <v>-0.03298530952</v>
      </c>
      <c r="AQ438" s="118">
        <f>IF(AQ$6="","",IF(AQ$3="Maior",IFERROR(IF(VLOOKUP($N438,Capa!$A:$AE,AQ$5,0)="",0,VLOOKUP($N438,Capa!$A:$AE,AQ$5,0)),0),IF(ISERROR(1/VLOOKUP($N438,Capa!$A:$AE,AQ$5,0)),0,1/VLOOKUP($N438,Capa!$A:$AE,AQ$5,0))))</f>
        <v>-84.82</v>
      </c>
      <c r="AR438" s="118">
        <f>IF(AR$6="","",IF(AR$3="Maior",IFERROR(IF(VLOOKUP($N438,Capa!$A:$AE,AR$5,0)="",0,VLOOKUP($N438,Capa!$A:$AE,AR$5,0)),0),IF(ISERROR(1/VLOOKUP($N438,Capa!$A:$AE,AR$5,0)),0,1/VLOOKUP($N438,Capa!$A:$AE,AR$5,0))))</f>
        <v>0</v>
      </c>
      <c r="AS438" s="118" t="str">
        <f>IF(AS$6="","",IF(AS$3="Maior",IFERROR(IF(VLOOKUP($N438,Capa!$A:$AE,AS$5,0)="",0,VLOOKUP($N438,Capa!$A:$AE,AS$5,0)),0),IF(ISERROR(1/VLOOKUP($N438,Capa!$A:$AE,AS$5,0)),0,1/VLOOKUP($N438,Capa!$A:$AE,AS$5,0))))</f>
        <v/>
      </c>
      <c r="AT438" s="118" t="str">
        <f>IF(AT$6="","",IF(AT$3="Maior",IFERROR(IF(VLOOKUP($N438,Capa!$A:$AE,AT$5,0)="",0,VLOOKUP($N438,Capa!$A:$AE,AT$5,0)),0),IF(ISERROR(1/VLOOKUP($N438,Capa!$A:$AE,AT$5,0)),0,1/VLOOKUP($N438,Capa!$A:$AE,AT$5,0))))</f>
        <v/>
      </c>
      <c r="AU438" s="118" t="str">
        <f>IF(AU$6="","",IF(AU$3="Maior",IFERROR(IF(VLOOKUP($N438,Capa!$A:$AE,AU$5,0)="",0,VLOOKUP($N438,Capa!$A:$AE,AU$5,0)),0),IF(ISERROR(1/VLOOKUP($N438,Capa!$A:$AE,AU$5,0)),0,1/VLOOKUP($N438,Capa!$A:$AE,AU$5,0))))</f>
        <v/>
      </c>
      <c r="AV438" s="118" t="str">
        <f>IF(AV$6="","",IF(AV$3="Maior",IFERROR(IF(VLOOKUP($N438,Capa!$A:$AE,AV$5,0)="",0,VLOOKUP($N438,Capa!$A:$AE,AV$5,0)),0),IF(ISERROR(1/VLOOKUP($N438,Capa!$A:$AE,AV$5,0)),0,1/VLOOKUP($N438,Capa!$A:$AE,AV$5,0))))</f>
        <v/>
      </c>
      <c r="AW438" s="118" t="str">
        <f>IF(AW$6="","",IF(AW$3="Maior",IFERROR(IF(VLOOKUP($N438,Capa!$A:$AE,AW$5,0)="",0,VLOOKUP($N438,Capa!$A:$AE,AW$5,0)),0),IF(ISERROR(1/VLOOKUP($N438,Capa!$A:$AE,AW$5,0)),0,1/VLOOKUP($N438,Capa!$A:$AE,AW$5,0))))</f>
        <v/>
      </c>
      <c r="AX438" s="118" t="str">
        <f>IF(AX$6="","",IF(AX$3="Maior",IFERROR(IF(VLOOKUP($N438,Capa!$A:$AE,AX$5,0)="",0,VLOOKUP($N438,Capa!$A:$AE,AX$5,0)),0),IF(ISERROR(1/VLOOKUP($N438,Capa!$A:$AE,AX$5,0)),0,1/VLOOKUP($N438,Capa!$A:$AE,AX$5,0))))</f>
        <v/>
      </c>
      <c r="AY438" s="118" t="str">
        <f>IF(AY$6="","",IF(AY$3="Maior",IFERROR(IF(VLOOKUP($N438,Capa!$A:$AE,AY$5,0)="",0,VLOOKUP($N438,Capa!$A:$AE,AY$5,0)),0),IF(ISERROR(1/VLOOKUP($N438,Capa!$A:$AE,AY$5,0)),0,1/VLOOKUP($N438,Capa!$A:$AE,AY$5,0))))</f>
        <v/>
      </c>
      <c r="AZ438" s="118" t="str">
        <f>IF(AZ$6="","",IF(AZ$3="Maior",IFERROR(IF(VLOOKUP($N438,Capa!$A:$AE,AZ$5,0)="",0,VLOOKUP($N438,Capa!$A:$AE,AZ$5,0)),0),IF(ISERROR(1/VLOOKUP($N438,Capa!$A:$AE,AZ$5,0)),0,1/VLOOKUP($N438,Capa!$A:$AE,AZ$5,0))))</f>
        <v/>
      </c>
      <c r="BA438" s="118" t="str">
        <f>IF(BA$6="","",IF(BA$3="Maior",IFERROR(IF(VLOOKUP($N438,Capa!$A:$AE,BA$5,0)="",0,VLOOKUP($N438,Capa!$A:$AE,BA$5,0)),0),IF(ISERROR(1/VLOOKUP($N438,Capa!$A:$AE,BA$5,0)),0,1/VLOOKUP($N438,Capa!$A:$AE,BA$5,0))))</f>
        <v/>
      </c>
      <c r="BB438" s="118" t="str">
        <f>IF(BB$6="","",IF(BB$3="Maior",IFERROR(IF(VLOOKUP($N438,Capa!$A:$AE,BB$5,0)="",0,VLOOKUP($N438,Capa!$A:$AE,BB$5,0)),0),IF(ISERROR(1/VLOOKUP($N438,Capa!$A:$AE,BB$5,0)),0,1/VLOOKUP($N438,Capa!$A:$AE,BB$5,0))))</f>
        <v/>
      </c>
      <c r="BC438" s="118" t="str">
        <f>IF(BC$6="","",IF(BC$3="Maior",IFERROR(IF(VLOOKUP($N438,Capa!$A:$AE,BC$5,0)="",0,VLOOKUP($N438,Capa!$A:$AE,BC$5,0)),0),IF(ISERROR(1/VLOOKUP($N438,Capa!$A:$AE,BC$5,0)),0,1/VLOOKUP($N438,Capa!$A:$AE,BC$5,0))))</f>
        <v/>
      </c>
      <c r="BD438" s="118" t="str">
        <f>IF(BD$6="","",IF(BD$3="Maior",IFERROR(IF(VLOOKUP($N438,Capa!$A:$AE,BD$5,0)="",0,VLOOKUP($N438,Capa!$A:$AE,BD$5,0)),0),IF(ISERROR(1/VLOOKUP($N438,Capa!$A:$AE,BD$5,0)),0,1/VLOOKUP($N438,Capa!$A:$AE,BD$5,0))))</f>
        <v/>
      </c>
      <c r="BE438" s="118" t="str">
        <f>IF(BE$6="","",IF(BE$3="Maior",IFERROR(IF(VLOOKUP($N438,Capa!$A:$AE,BE$5,0)="",0,VLOOKUP($N438,Capa!$A:$AE,BE$5,0)),0),IF(ISERROR(1/VLOOKUP($N438,Capa!$A:$AE,BE$5,0)),0,1/VLOOKUP($N438,Capa!$A:$AE,BE$5,0))))</f>
        <v/>
      </c>
      <c r="BF438" s="118" t="str">
        <f>IF(BF$6="","",IF(BF$3="Maior",IFERROR(IF(VLOOKUP($N438,Capa!$A:$AE,BF$5,0)="",0,VLOOKUP($N438,Capa!$A:$AE,BF$5,0)),0),IF(ISERROR(1/VLOOKUP($N438,Capa!$A:$AE,BF$5,0)),0,1/VLOOKUP($N438,Capa!$A:$AE,BF$5,0))))</f>
        <v/>
      </c>
      <c r="BG438" s="118" t="str">
        <f>IF(BG$6="","",IF(BG$3="Maior",IFERROR(IF(VLOOKUP($N438,Capa!$A:$AE,BG$5,0)="",0,VLOOKUP($N438,Capa!$A:$AE,BG$5,0)),0),IF(ISERROR(1/VLOOKUP($N438,Capa!$A:$AE,BG$5,0)),0,1/VLOOKUP($N438,Capa!$A:$AE,BG$5,0))))</f>
        <v/>
      </c>
      <c r="BH438" s="118" t="str">
        <f>IF(BH$6="","",IF(BH$3="Maior",IFERROR(IF(VLOOKUP($N438,Capa!$A:$AE,BH$5,0)="",0,VLOOKUP($N438,Capa!$A:$AE,BH$5,0)),0),IF(ISERROR(1/VLOOKUP($N438,Capa!$A:$AE,BH$5,0)),0,1/VLOOKUP($N438,Capa!$A:$AE,BH$5,0))))</f>
        <v/>
      </c>
      <c r="BI438" s="118" t="str">
        <f>IF(BI$6="","",IF(BI$3="Maior",IFERROR(IF(VLOOKUP($N438,Capa!$A:$AE,BI$5,0)="",0,VLOOKUP($N438,Capa!$A:$AE,BI$5,0)),0),IF(ISERROR(1/VLOOKUP($N438,Capa!$A:$AE,BI$5,0)),0,1/VLOOKUP($N438,Capa!$A:$AE,BI$5,0))))</f>
        <v/>
      </c>
      <c r="BJ438" s="118" t="str">
        <f>IF(BJ$6="","",IF(BJ$3="Maior",IFERROR(IF(VLOOKUP($N438,Capa!$A:$AE,BJ$5,0)="",0,VLOOKUP($N438,Capa!$A:$AE,BJ$5,0)),0),IF(ISERROR(1/VLOOKUP($N438,Capa!$A:$AE,BJ$5,0)),0,1/VLOOKUP($N438,Capa!$A:$AE,BJ$5,0))))</f>
        <v/>
      </c>
      <c r="BK438" s="118" t="str">
        <f>IF(BK$6="","",IF(BK$3="Maior",IFERROR(IF(VLOOKUP($N438,Capa!$A:$AE,BK$5,0)="",0,VLOOKUP($N438,Capa!$A:$AE,BK$5,0)),0),IF(ISERROR(1/VLOOKUP($N438,Capa!$A:$AE,BK$5,0)),0,1/VLOOKUP($N438,Capa!$A:$AE,BK$5,0))))</f>
        <v/>
      </c>
      <c r="BL438" s="118" t="str">
        <f>IF(BL$6="","",IF(BL$3="Maior",IFERROR(IF(VLOOKUP($N438,Capa!$A:$AE,BL$5,0)="",0,VLOOKUP($N438,Capa!$A:$AE,BL$5,0)),0),IF(ISERROR(1/VLOOKUP($N438,Capa!$A:$AE,BL$5,0)),0,1/VLOOKUP($N438,Capa!$A:$AE,BL$5,0))))</f>
        <v/>
      </c>
      <c r="BM438" s="118" t="str">
        <f>IF(BM$6="","",IF(BM$3="Maior",IFERROR(IF(VLOOKUP($N438,Capa!$A:$AE,BM$5,0)="",0,VLOOKUP($N438,Capa!$A:$AE,BM$5,0)),0),IF(ISERROR(1/VLOOKUP($N438,Capa!$A:$AE,BM$5,0)),0,1/VLOOKUP($N438,Capa!$A:$AE,BM$5,0))))</f>
        <v/>
      </c>
      <c r="BN438" s="118" t="str">
        <f>IF(BN$6="","",IF(BN$3="Maior",IFERROR(IF(VLOOKUP($N438,Capa!$A:$AE,BN$5,0)="",0,VLOOKUP($N438,Capa!$A:$AE,BN$5,0)),0),IF(ISERROR(1/VLOOKUP($N438,Capa!$A:$AE,BN$5,0)),0,1/VLOOKUP($N438,Capa!$A:$AE,BN$5,0))))</f>
        <v/>
      </c>
      <c r="BO438" s="92"/>
    </row>
    <row r="439">
      <c r="I439" s="73"/>
      <c r="J439" s="74"/>
      <c r="N439" s="10" t="s">
        <v>485</v>
      </c>
      <c r="O439" s="113">
        <f t="shared" si="8"/>
        <v>1191.0091</v>
      </c>
      <c r="P439" s="114">
        <f>VLOOKUP(N439,'Dados StatusInvest'!A:Z,26,0)</f>
        <v>22723.83</v>
      </c>
      <c r="Q439" s="115">
        <f t="shared" si="9"/>
        <v>91.0091</v>
      </c>
      <c r="R439" s="116">
        <f t="shared" ref="R439:AO439" si="442">IF(AQ439="","", RANK(AQ439,AQ$7:AQ$503,0))</f>
        <v>80</v>
      </c>
      <c r="S439" s="115">
        <f t="shared" si="442"/>
        <v>20</v>
      </c>
      <c r="T439" s="115" t="str">
        <f t="shared" si="442"/>
        <v/>
      </c>
      <c r="U439" s="115" t="str">
        <f t="shared" si="442"/>
        <v/>
      </c>
      <c r="V439" s="115" t="str">
        <f t="shared" si="442"/>
        <v/>
      </c>
      <c r="W439" s="115" t="str">
        <f t="shared" si="442"/>
        <v/>
      </c>
      <c r="X439" s="115" t="str">
        <f t="shared" si="442"/>
        <v/>
      </c>
      <c r="Y439" s="115" t="str">
        <f t="shared" si="442"/>
        <v/>
      </c>
      <c r="Z439" s="115" t="str">
        <f t="shared" si="442"/>
        <v/>
      </c>
      <c r="AA439" s="115" t="str">
        <f t="shared" si="442"/>
        <v/>
      </c>
      <c r="AB439" s="115" t="str">
        <f t="shared" si="442"/>
        <v/>
      </c>
      <c r="AC439" s="115" t="str">
        <f t="shared" si="442"/>
        <v/>
      </c>
      <c r="AD439" s="115" t="str">
        <f t="shared" si="442"/>
        <v/>
      </c>
      <c r="AE439" s="115" t="str">
        <f t="shared" si="442"/>
        <v/>
      </c>
      <c r="AF439" s="115" t="str">
        <f t="shared" si="442"/>
        <v/>
      </c>
      <c r="AG439" s="115" t="str">
        <f t="shared" si="442"/>
        <v/>
      </c>
      <c r="AH439" s="115" t="str">
        <f t="shared" si="442"/>
        <v/>
      </c>
      <c r="AI439" s="115" t="str">
        <f t="shared" si="442"/>
        <v/>
      </c>
      <c r="AJ439" s="115" t="str">
        <f t="shared" si="442"/>
        <v/>
      </c>
      <c r="AK439" s="115" t="str">
        <f t="shared" si="442"/>
        <v/>
      </c>
      <c r="AL439" s="115" t="str">
        <f t="shared" si="442"/>
        <v/>
      </c>
      <c r="AM439" s="115" t="str">
        <f t="shared" si="442"/>
        <v/>
      </c>
      <c r="AN439" s="115" t="str">
        <f t="shared" si="442"/>
        <v/>
      </c>
      <c r="AO439" s="115" t="str">
        <f t="shared" si="442"/>
        <v/>
      </c>
      <c r="AP439" s="117">
        <f>IF(AP$6="","",IF(AP$3="Maior",IFERROR(IF(VLOOKUP($N439,Capa!$A:$AE,AP$5,0)="",0,VLOOKUP($N439,Capa!$A:$AE,AP$5,0)),0),IF(ISERROR(1/VLOOKUP($N439,Capa!$A:$AE,AP$5,0)),0,1/VLOOKUP($N439,Capa!$A:$AE,AP$5,0))))</f>
        <v>0.2032520325</v>
      </c>
      <c r="AQ439" s="118">
        <f>IF(AQ$6="","",IF(AQ$3="Maior",IFERROR(IF(VLOOKUP($N439,Capa!$A:$AE,AQ$5,0)="",0,VLOOKUP($N439,Capa!$A:$AE,AQ$5,0)),0),IF(ISERROR(1/VLOOKUP($N439,Capa!$A:$AE,AQ$5,0)),0,1/VLOOKUP($N439,Capa!$A:$AE,AQ$5,0))))</f>
        <v>20.08</v>
      </c>
      <c r="AR439" s="118">
        <f>IF(AR$6="","",IF(AR$3="Maior",IFERROR(IF(VLOOKUP($N439,Capa!$A:$AE,AR$5,0)="",0,VLOOKUP($N439,Capa!$A:$AE,AR$5,0)),0),IF(ISERROR(1/VLOOKUP($N439,Capa!$A:$AE,AR$5,0)),0,1/VLOOKUP($N439,Capa!$A:$AE,AR$5,0))))</f>
        <v>87.28</v>
      </c>
      <c r="AS439" s="118" t="str">
        <f>IF(AS$6="","",IF(AS$3="Maior",IFERROR(IF(VLOOKUP($N439,Capa!$A:$AE,AS$5,0)="",0,VLOOKUP($N439,Capa!$A:$AE,AS$5,0)),0),IF(ISERROR(1/VLOOKUP($N439,Capa!$A:$AE,AS$5,0)),0,1/VLOOKUP($N439,Capa!$A:$AE,AS$5,0))))</f>
        <v/>
      </c>
      <c r="AT439" s="118" t="str">
        <f>IF(AT$6="","",IF(AT$3="Maior",IFERROR(IF(VLOOKUP($N439,Capa!$A:$AE,AT$5,0)="",0,VLOOKUP($N439,Capa!$A:$AE,AT$5,0)),0),IF(ISERROR(1/VLOOKUP($N439,Capa!$A:$AE,AT$5,0)),0,1/VLOOKUP($N439,Capa!$A:$AE,AT$5,0))))</f>
        <v/>
      </c>
      <c r="AU439" s="118" t="str">
        <f>IF(AU$6="","",IF(AU$3="Maior",IFERROR(IF(VLOOKUP($N439,Capa!$A:$AE,AU$5,0)="",0,VLOOKUP($N439,Capa!$A:$AE,AU$5,0)),0),IF(ISERROR(1/VLOOKUP($N439,Capa!$A:$AE,AU$5,0)),0,1/VLOOKUP($N439,Capa!$A:$AE,AU$5,0))))</f>
        <v/>
      </c>
      <c r="AV439" s="118" t="str">
        <f>IF(AV$6="","",IF(AV$3="Maior",IFERROR(IF(VLOOKUP($N439,Capa!$A:$AE,AV$5,0)="",0,VLOOKUP($N439,Capa!$A:$AE,AV$5,0)),0),IF(ISERROR(1/VLOOKUP($N439,Capa!$A:$AE,AV$5,0)),0,1/VLOOKUP($N439,Capa!$A:$AE,AV$5,0))))</f>
        <v/>
      </c>
      <c r="AW439" s="118" t="str">
        <f>IF(AW$6="","",IF(AW$3="Maior",IFERROR(IF(VLOOKUP($N439,Capa!$A:$AE,AW$5,0)="",0,VLOOKUP($N439,Capa!$A:$AE,AW$5,0)),0),IF(ISERROR(1/VLOOKUP($N439,Capa!$A:$AE,AW$5,0)),0,1/VLOOKUP($N439,Capa!$A:$AE,AW$5,0))))</f>
        <v/>
      </c>
      <c r="AX439" s="118" t="str">
        <f>IF(AX$6="","",IF(AX$3="Maior",IFERROR(IF(VLOOKUP($N439,Capa!$A:$AE,AX$5,0)="",0,VLOOKUP($N439,Capa!$A:$AE,AX$5,0)),0),IF(ISERROR(1/VLOOKUP($N439,Capa!$A:$AE,AX$5,0)),0,1/VLOOKUP($N439,Capa!$A:$AE,AX$5,0))))</f>
        <v/>
      </c>
      <c r="AY439" s="118" t="str">
        <f>IF(AY$6="","",IF(AY$3="Maior",IFERROR(IF(VLOOKUP($N439,Capa!$A:$AE,AY$5,0)="",0,VLOOKUP($N439,Capa!$A:$AE,AY$5,0)),0),IF(ISERROR(1/VLOOKUP($N439,Capa!$A:$AE,AY$5,0)),0,1/VLOOKUP($N439,Capa!$A:$AE,AY$5,0))))</f>
        <v/>
      </c>
      <c r="AZ439" s="118" t="str">
        <f>IF(AZ$6="","",IF(AZ$3="Maior",IFERROR(IF(VLOOKUP($N439,Capa!$A:$AE,AZ$5,0)="",0,VLOOKUP($N439,Capa!$A:$AE,AZ$5,0)),0),IF(ISERROR(1/VLOOKUP($N439,Capa!$A:$AE,AZ$5,0)),0,1/VLOOKUP($N439,Capa!$A:$AE,AZ$5,0))))</f>
        <v/>
      </c>
      <c r="BA439" s="118" t="str">
        <f>IF(BA$6="","",IF(BA$3="Maior",IFERROR(IF(VLOOKUP($N439,Capa!$A:$AE,BA$5,0)="",0,VLOOKUP($N439,Capa!$A:$AE,BA$5,0)),0),IF(ISERROR(1/VLOOKUP($N439,Capa!$A:$AE,BA$5,0)),0,1/VLOOKUP($N439,Capa!$A:$AE,BA$5,0))))</f>
        <v/>
      </c>
      <c r="BB439" s="118" t="str">
        <f>IF(BB$6="","",IF(BB$3="Maior",IFERROR(IF(VLOOKUP($N439,Capa!$A:$AE,BB$5,0)="",0,VLOOKUP($N439,Capa!$A:$AE,BB$5,0)),0),IF(ISERROR(1/VLOOKUP($N439,Capa!$A:$AE,BB$5,0)),0,1/VLOOKUP($N439,Capa!$A:$AE,BB$5,0))))</f>
        <v/>
      </c>
      <c r="BC439" s="118" t="str">
        <f>IF(BC$6="","",IF(BC$3="Maior",IFERROR(IF(VLOOKUP($N439,Capa!$A:$AE,BC$5,0)="",0,VLOOKUP($N439,Capa!$A:$AE,BC$5,0)),0),IF(ISERROR(1/VLOOKUP($N439,Capa!$A:$AE,BC$5,0)),0,1/VLOOKUP($N439,Capa!$A:$AE,BC$5,0))))</f>
        <v/>
      </c>
      <c r="BD439" s="118" t="str">
        <f>IF(BD$6="","",IF(BD$3="Maior",IFERROR(IF(VLOOKUP($N439,Capa!$A:$AE,BD$5,0)="",0,VLOOKUP($N439,Capa!$A:$AE,BD$5,0)),0),IF(ISERROR(1/VLOOKUP($N439,Capa!$A:$AE,BD$5,0)),0,1/VLOOKUP($N439,Capa!$A:$AE,BD$5,0))))</f>
        <v/>
      </c>
      <c r="BE439" s="118" t="str">
        <f>IF(BE$6="","",IF(BE$3="Maior",IFERROR(IF(VLOOKUP($N439,Capa!$A:$AE,BE$5,0)="",0,VLOOKUP($N439,Capa!$A:$AE,BE$5,0)),0),IF(ISERROR(1/VLOOKUP($N439,Capa!$A:$AE,BE$5,0)),0,1/VLOOKUP($N439,Capa!$A:$AE,BE$5,0))))</f>
        <v/>
      </c>
      <c r="BF439" s="118" t="str">
        <f>IF(BF$6="","",IF(BF$3="Maior",IFERROR(IF(VLOOKUP($N439,Capa!$A:$AE,BF$5,0)="",0,VLOOKUP($N439,Capa!$A:$AE,BF$5,0)),0),IF(ISERROR(1/VLOOKUP($N439,Capa!$A:$AE,BF$5,0)),0,1/VLOOKUP($N439,Capa!$A:$AE,BF$5,0))))</f>
        <v/>
      </c>
      <c r="BG439" s="118" t="str">
        <f>IF(BG$6="","",IF(BG$3="Maior",IFERROR(IF(VLOOKUP($N439,Capa!$A:$AE,BG$5,0)="",0,VLOOKUP($N439,Capa!$A:$AE,BG$5,0)),0),IF(ISERROR(1/VLOOKUP($N439,Capa!$A:$AE,BG$5,0)),0,1/VLOOKUP($N439,Capa!$A:$AE,BG$5,0))))</f>
        <v/>
      </c>
      <c r="BH439" s="118" t="str">
        <f>IF(BH$6="","",IF(BH$3="Maior",IFERROR(IF(VLOOKUP($N439,Capa!$A:$AE,BH$5,0)="",0,VLOOKUP($N439,Capa!$A:$AE,BH$5,0)),0),IF(ISERROR(1/VLOOKUP($N439,Capa!$A:$AE,BH$5,0)),0,1/VLOOKUP($N439,Capa!$A:$AE,BH$5,0))))</f>
        <v/>
      </c>
      <c r="BI439" s="118" t="str">
        <f>IF(BI$6="","",IF(BI$3="Maior",IFERROR(IF(VLOOKUP($N439,Capa!$A:$AE,BI$5,0)="",0,VLOOKUP($N439,Capa!$A:$AE,BI$5,0)),0),IF(ISERROR(1/VLOOKUP($N439,Capa!$A:$AE,BI$5,0)),0,1/VLOOKUP($N439,Capa!$A:$AE,BI$5,0))))</f>
        <v/>
      </c>
      <c r="BJ439" s="118" t="str">
        <f>IF(BJ$6="","",IF(BJ$3="Maior",IFERROR(IF(VLOOKUP($N439,Capa!$A:$AE,BJ$5,0)="",0,VLOOKUP($N439,Capa!$A:$AE,BJ$5,0)),0),IF(ISERROR(1/VLOOKUP($N439,Capa!$A:$AE,BJ$5,0)),0,1/VLOOKUP($N439,Capa!$A:$AE,BJ$5,0))))</f>
        <v/>
      </c>
      <c r="BK439" s="118" t="str">
        <f>IF(BK$6="","",IF(BK$3="Maior",IFERROR(IF(VLOOKUP($N439,Capa!$A:$AE,BK$5,0)="",0,VLOOKUP($N439,Capa!$A:$AE,BK$5,0)),0),IF(ISERROR(1/VLOOKUP($N439,Capa!$A:$AE,BK$5,0)),0,1/VLOOKUP($N439,Capa!$A:$AE,BK$5,0))))</f>
        <v/>
      </c>
      <c r="BL439" s="118" t="str">
        <f>IF(BL$6="","",IF(BL$3="Maior",IFERROR(IF(VLOOKUP($N439,Capa!$A:$AE,BL$5,0)="",0,VLOOKUP($N439,Capa!$A:$AE,BL$5,0)),0),IF(ISERROR(1/VLOOKUP($N439,Capa!$A:$AE,BL$5,0)),0,1/VLOOKUP($N439,Capa!$A:$AE,BL$5,0))))</f>
        <v/>
      </c>
      <c r="BM439" s="118" t="str">
        <f>IF(BM$6="","",IF(BM$3="Maior",IFERROR(IF(VLOOKUP($N439,Capa!$A:$AE,BM$5,0)="",0,VLOOKUP($N439,Capa!$A:$AE,BM$5,0)),0),IF(ISERROR(1/VLOOKUP($N439,Capa!$A:$AE,BM$5,0)),0,1/VLOOKUP($N439,Capa!$A:$AE,BM$5,0))))</f>
        <v/>
      </c>
      <c r="BN439" s="118" t="str">
        <f>IF(BN$6="","",IF(BN$3="Maior",IFERROR(IF(VLOOKUP($N439,Capa!$A:$AE,BN$5,0)="",0,VLOOKUP($N439,Capa!$A:$AE,BN$5,0)),0),IF(ISERROR(1/VLOOKUP($N439,Capa!$A:$AE,BN$5,0)),0,1/VLOOKUP($N439,Capa!$A:$AE,BN$5,0))))</f>
        <v/>
      </c>
      <c r="BO439" s="92"/>
    </row>
    <row r="440">
      <c r="I440" s="73"/>
      <c r="J440" s="74"/>
      <c r="N440" s="10" t="s">
        <v>486</v>
      </c>
      <c r="O440" s="113">
        <f t="shared" si="8"/>
        <v>1973.0414</v>
      </c>
      <c r="P440" s="114">
        <f>VLOOKUP(N440,'Dados StatusInvest'!A:Z,26,0)</f>
        <v>14800</v>
      </c>
      <c r="Q440" s="115">
        <f t="shared" si="9"/>
        <v>414.0414</v>
      </c>
      <c r="R440" s="116">
        <f t="shared" ref="R440:AO440" si="443">IF(AQ440="","", RANK(AQ440,AQ$7:AQ$503,0))</f>
        <v>340</v>
      </c>
      <c r="S440" s="115">
        <f t="shared" si="443"/>
        <v>219</v>
      </c>
      <c r="T440" s="115" t="str">
        <f t="shared" si="443"/>
        <v/>
      </c>
      <c r="U440" s="115" t="str">
        <f t="shared" si="443"/>
        <v/>
      </c>
      <c r="V440" s="115" t="str">
        <f t="shared" si="443"/>
        <v/>
      </c>
      <c r="W440" s="115" t="str">
        <f t="shared" si="443"/>
        <v/>
      </c>
      <c r="X440" s="115" t="str">
        <f t="shared" si="443"/>
        <v/>
      </c>
      <c r="Y440" s="115" t="str">
        <f t="shared" si="443"/>
        <v/>
      </c>
      <c r="Z440" s="115" t="str">
        <f t="shared" si="443"/>
        <v/>
      </c>
      <c r="AA440" s="115" t="str">
        <f t="shared" si="443"/>
        <v/>
      </c>
      <c r="AB440" s="115" t="str">
        <f t="shared" si="443"/>
        <v/>
      </c>
      <c r="AC440" s="115" t="str">
        <f t="shared" si="443"/>
        <v/>
      </c>
      <c r="AD440" s="115" t="str">
        <f t="shared" si="443"/>
        <v/>
      </c>
      <c r="AE440" s="115" t="str">
        <f t="shared" si="443"/>
        <v/>
      </c>
      <c r="AF440" s="115" t="str">
        <f t="shared" si="443"/>
        <v/>
      </c>
      <c r="AG440" s="115" t="str">
        <f t="shared" si="443"/>
        <v/>
      </c>
      <c r="AH440" s="115" t="str">
        <f t="shared" si="443"/>
        <v/>
      </c>
      <c r="AI440" s="115" t="str">
        <f t="shared" si="443"/>
        <v/>
      </c>
      <c r="AJ440" s="115" t="str">
        <f t="shared" si="443"/>
        <v/>
      </c>
      <c r="AK440" s="115" t="str">
        <f t="shared" si="443"/>
        <v/>
      </c>
      <c r="AL440" s="115" t="str">
        <f t="shared" si="443"/>
        <v/>
      </c>
      <c r="AM440" s="115" t="str">
        <f t="shared" si="443"/>
        <v/>
      </c>
      <c r="AN440" s="115" t="str">
        <f t="shared" si="443"/>
        <v/>
      </c>
      <c r="AO440" s="115" t="str">
        <f t="shared" si="443"/>
        <v/>
      </c>
      <c r="AP440" s="117">
        <f>IF(AP$6="","",IF(AP$3="Maior",IFERROR(IF(VLOOKUP($N440,Capa!$A:$AE,AP$5,0)="",0,VLOOKUP($N440,Capa!$A:$AE,AP$5,0)),0),IF(ISERROR(1/VLOOKUP($N440,Capa!$A:$AE,AP$5,0)),0,1/VLOOKUP($N440,Capa!$A:$AE,AP$5,0))))</f>
        <v>-0.004442470013</v>
      </c>
      <c r="AQ440" s="118">
        <f>IF(AQ$6="","",IF(AQ$3="Maior",IFERROR(IF(VLOOKUP($N440,Capa!$A:$AE,AQ$5,0)="",0,VLOOKUP($N440,Capa!$A:$AE,AQ$5,0)),0),IF(ISERROR(1/VLOOKUP($N440,Capa!$A:$AE,AQ$5,0)),0,1/VLOOKUP($N440,Capa!$A:$AE,AQ$5,0))))</f>
        <v>2.6</v>
      </c>
      <c r="AR440" s="118">
        <f>IF(AR$6="","",IF(AR$3="Maior",IFERROR(IF(VLOOKUP($N440,Capa!$A:$AE,AR$5,0)="",0,VLOOKUP($N440,Capa!$A:$AE,AR$5,0)),0),IF(ISERROR(1/VLOOKUP($N440,Capa!$A:$AE,AR$5,0)),0,1/VLOOKUP($N440,Capa!$A:$AE,AR$5,0))))</f>
        <v>0</v>
      </c>
      <c r="AS440" s="118" t="str">
        <f>IF(AS$6="","",IF(AS$3="Maior",IFERROR(IF(VLOOKUP($N440,Capa!$A:$AE,AS$5,0)="",0,VLOOKUP($N440,Capa!$A:$AE,AS$5,0)),0),IF(ISERROR(1/VLOOKUP($N440,Capa!$A:$AE,AS$5,0)),0,1/VLOOKUP($N440,Capa!$A:$AE,AS$5,0))))</f>
        <v/>
      </c>
      <c r="AT440" s="118" t="str">
        <f>IF(AT$6="","",IF(AT$3="Maior",IFERROR(IF(VLOOKUP($N440,Capa!$A:$AE,AT$5,0)="",0,VLOOKUP($N440,Capa!$A:$AE,AT$5,0)),0),IF(ISERROR(1/VLOOKUP($N440,Capa!$A:$AE,AT$5,0)),0,1/VLOOKUP($N440,Capa!$A:$AE,AT$5,0))))</f>
        <v/>
      </c>
      <c r="AU440" s="118" t="str">
        <f>IF(AU$6="","",IF(AU$3="Maior",IFERROR(IF(VLOOKUP($N440,Capa!$A:$AE,AU$5,0)="",0,VLOOKUP($N440,Capa!$A:$AE,AU$5,0)),0),IF(ISERROR(1/VLOOKUP($N440,Capa!$A:$AE,AU$5,0)),0,1/VLOOKUP($N440,Capa!$A:$AE,AU$5,0))))</f>
        <v/>
      </c>
      <c r="AV440" s="118" t="str">
        <f>IF(AV$6="","",IF(AV$3="Maior",IFERROR(IF(VLOOKUP($N440,Capa!$A:$AE,AV$5,0)="",0,VLOOKUP($N440,Capa!$A:$AE,AV$5,0)),0),IF(ISERROR(1/VLOOKUP($N440,Capa!$A:$AE,AV$5,0)),0,1/VLOOKUP($N440,Capa!$A:$AE,AV$5,0))))</f>
        <v/>
      </c>
      <c r="AW440" s="118" t="str">
        <f>IF(AW$6="","",IF(AW$3="Maior",IFERROR(IF(VLOOKUP($N440,Capa!$A:$AE,AW$5,0)="",0,VLOOKUP($N440,Capa!$A:$AE,AW$5,0)),0),IF(ISERROR(1/VLOOKUP($N440,Capa!$A:$AE,AW$5,0)),0,1/VLOOKUP($N440,Capa!$A:$AE,AW$5,0))))</f>
        <v/>
      </c>
      <c r="AX440" s="118" t="str">
        <f>IF(AX$6="","",IF(AX$3="Maior",IFERROR(IF(VLOOKUP($N440,Capa!$A:$AE,AX$5,0)="",0,VLOOKUP($N440,Capa!$A:$AE,AX$5,0)),0),IF(ISERROR(1/VLOOKUP($N440,Capa!$A:$AE,AX$5,0)),0,1/VLOOKUP($N440,Capa!$A:$AE,AX$5,0))))</f>
        <v/>
      </c>
      <c r="AY440" s="118" t="str">
        <f>IF(AY$6="","",IF(AY$3="Maior",IFERROR(IF(VLOOKUP($N440,Capa!$A:$AE,AY$5,0)="",0,VLOOKUP($N440,Capa!$A:$AE,AY$5,0)),0),IF(ISERROR(1/VLOOKUP($N440,Capa!$A:$AE,AY$5,0)),0,1/VLOOKUP($N440,Capa!$A:$AE,AY$5,0))))</f>
        <v/>
      </c>
      <c r="AZ440" s="118" t="str">
        <f>IF(AZ$6="","",IF(AZ$3="Maior",IFERROR(IF(VLOOKUP($N440,Capa!$A:$AE,AZ$5,0)="",0,VLOOKUP($N440,Capa!$A:$AE,AZ$5,0)),0),IF(ISERROR(1/VLOOKUP($N440,Capa!$A:$AE,AZ$5,0)),0,1/VLOOKUP($N440,Capa!$A:$AE,AZ$5,0))))</f>
        <v/>
      </c>
      <c r="BA440" s="118" t="str">
        <f>IF(BA$6="","",IF(BA$3="Maior",IFERROR(IF(VLOOKUP($N440,Capa!$A:$AE,BA$5,0)="",0,VLOOKUP($N440,Capa!$A:$AE,BA$5,0)),0),IF(ISERROR(1/VLOOKUP($N440,Capa!$A:$AE,BA$5,0)),0,1/VLOOKUP($N440,Capa!$A:$AE,BA$5,0))))</f>
        <v/>
      </c>
      <c r="BB440" s="118" t="str">
        <f>IF(BB$6="","",IF(BB$3="Maior",IFERROR(IF(VLOOKUP($N440,Capa!$A:$AE,BB$5,0)="",0,VLOOKUP($N440,Capa!$A:$AE,BB$5,0)),0),IF(ISERROR(1/VLOOKUP($N440,Capa!$A:$AE,BB$5,0)),0,1/VLOOKUP($N440,Capa!$A:$AE,BB$5,0))))</f>
        <v/>
      </c>
      <c r="BC440" s="118" t="str">
        <f>IF(BC$6="","",IF(BC$3="Maior",IFERROR(IF(VLOOKUP($N440,Capa!$A:$AE,BC$5,0)="",0,VLOOKUP($N440,Capa!$A:$AE,BC$5,0)),0),IF(ISERROR(1/VLOOKUP($N440,Capa!$A:$AE,BC$5,0)),0,1/VLOOKUP($N440,Capa!$A:$AE,BC$5,0))))</f>
        <v/>
      </c>
      <c r="BD440" s="118" t="str">
        <f>IF(BD$6="","",IF(BD$3="Maior",IFERROR(IF(VLOOKUP($N440,Capa!$A:$AE,BD$5,0)="",0,VLOOKUP($N440,Capa!$A:$AE,BD$5,0)),0),IF(ISERROR(1/VLOOKUP($N440,Capa!$A:$AE,BD$5,0)),0,1/VLOOKUP($N440,Capa!$A:$AE,BD$5,0))))</f>
        <v/>
      </c>
      <c r="BE440" s="118" t="str">
        <f>IF(BE$6="","",IF(BE$3="Maior",IFERROR(IF(VLOOKUP($N440,Capa!$A:$AE,BE$5,0)="",0,VLOOKUP($N440,Capa!$A:$AE,BE$5,0)),0),IF(ISERROR(1/VLOOKUP($N440,Capa!$A:$AE,BE$5,0)),0,1/VLOOKUP($N440,Capa!$A:$AE,BE$5,0))))</f>
        <v/>
      </c>
      <c r="BF440" s="118" t="str">
        <f>IF(BF$6="","",IF(BF$3="Maior",IFERROR(IF(VLOOKUP($N440,Capa!$A:$AE,BF$5,0)="",0,VLOOKUP($N440,Capa!$A:$AE,BF$5,0)),0),IF(ISERROR(1/VLOOKUP($N440,Capa!$A:$AE,BF$5,0)),0,1/VLOOKUP($N440,Capa!$A:$AE,BF$5,0))))</f>
        <v/>
      </c>
      <c r="BG440" s="118" t="str">
        <f>IF(BG$6="","",IF(BG$3="Maior",IFERROR(IF(VLOOKUP($N440,Capa!$A:$AE,BG$5,0)="",0,VLOOKUP($N440,Capa!$A:$AE,BG$5,0)),0),IF(ISERROR(1/VLOOKUP($N440,Capa!$A:$AE,BG$5,0)),0,1/VLOOKUP($N440,Capa!$A:$AE,BG$5,0))))</f>
        <v/>
      </c>
      <c r="BH440" s="118" t="str">
        <f>IF(BH$6="","",IF(BH$3="Maior",IFERROR(IF(VLOOKUP($N440,Capa!$A:$AE,BH$5,0)="",0,VLOOKUP($N440,Capa!$A:$AE,BH$5,0)),0),IF(ISERROR(1/VLOOKUP($N440,Capa!$A:$AE,BH$5,0)),0,1/VLOOKUP($N440,Capa!$A:$AE,BH$5,0))))</f>
        <v/>
      </c>
      <c r="BI440" s="118" t="str">
        <f>IF(BI$6="","",IF(BI$3="Maior",IFERROR(IF(VLOOKUP($N440,Capa!$A:$AE,BI$5,0)="",0,VLOOKUP($N440,Capa!$A:$AE,BI$5,0)),0),IF(ISERROR(1/VLOOKUP($N440,Capa!$A:$AE,BI$5,0)),0,1/VLOOKUP($N440,Capa!$A:$AE,BI$5,0))))</f>
        <v/>
      </c>
      <c r="BJ440" s="118" t="str">
        <f>IF(BJ$6="","",IF(BJ$3="Maior",IFERROR(IF(VLOOKUP($N440,Capa!$A:$AE,BJ$5,0)="",0,VLOOKUP($N440,Capa!$A:$AE,BJ$5,0)),0),IF(ISERROR(1/VLOOKUP($N440,Capa!$A:$AE,BJ$5,0)),0,1/VLOOKUP($N440,Capa!$A:$AE,BJ$5,0))))</f>
        <v/>
      </c>
      <c r="BK440" s="118" t="str">
        <f>IF(BK$6="","",IF(BK$3="Maior",IFERROR(IF(VLOOKUP($N440,Capa!$A:$AE,BK$5,0)="",0,VLOOKUP($N440,Capa!$A:$AE,BK$5,0)),0),IF(ISERROR(1/VLOOKUP($N440,Capa!$A:$AE,BK$5,0)),0,1/VLOOKUP($N440,Capa!$A:$AE,BK$5,0))))</f>
        <v/>
      </c>
      <c r="BL440" s="118" t="str">
        <f>IF(BL$6="","",IF(BL$3="Maior",IFERROR(IF(VLOOKUP($N440,Capa!$A:$AE,BL$5,0)="",0,VLOOKUP($N440,Capa!$A:$AE,BL$5,0)),0),IF(ISERROR(1/VLOOKUP($N440,Capa!$A:$AE,BL$5,0)),0,1/VLOOKUP($N440,Capa!$A:$AE,BL$5,0))))</f>
        <v/>
      </c>
      <c r="BM440" s="118" t="str">
        <f>IF(BM$6="","",IF(BM$3="Maior",IFERROR(IF(VLOOKUP($N440,Capa!$A:$AE,BM$5,0)="",0,VLOOKUP($N440,Capa!$A:$AE,BM$5,0)),0),IF(ISERROR(1/VLOOKUP($N440,Capa!$A:$AE,BM$5,0)),0,1/VLOOKUP($N440,Capa!$A:$AE,BM$5,0))))</f>
        <v/>
      </c>
      <c r="BN440" s="118" t="str">
        <f>IF(BN$6="","",IF(BN$3="Maior",IFERROR(IF(VLOOKUP($N440,Capa!$A:$AE,BN$5,0)="",0,VLOOKUP($N440,Capa!$A:$AE,BN$5,0)),0),IF(ISERROR(1/VLOOKUP($N440,Capa!$A:$AE,BN$5,0)),0,1/VLOOKUP($N440,Capa!$A:$AE,BN$5,0))))</f>
        <v/>
      </c>
      <c r="BO440" s="92"/>
    </row>
    <row r="441">
      <c r="I441" s="73"/>
      <c r="J441" s="74"/>
      <c r="N441" s="10" t="s">
        <v>487</v>
      </c>
      <c r="O441" s="113">
        <f t="shared" si="8"/>
        <v>1207.004</v>
      </c>
      <c r="P441" s="114">
        <f>VLOOKUP(N441,'Dados StatusInvest'!A:Z,26,0)</f>
        <v>12760.55</v>
      </c>
      <c r="Q441" s="115">
        <f t="shared" si="9"/>
        <v>40.004</v>
      </c>
      <c r="R441" s="116">
        <f t="shared" ref="R441:AO441" si="444">IF(AQ441="","", RANK(AQ441,AQ$7:AQ$503,0))</f>
        <v>45</v>
      </c>
      <c r="S441" s="115">
        <f t="shared" si="444"/>
        <v>122</v>
      </c>
      <c r="T441" s="115" t="str">
        <f t="shared" si="444"/>
        <v/>
      </c>
      <c r="U441" s="115" t="str">
        <f t="shared" si="444"/>
        <v/>
      </c>
      <c r="V441" s="115" t="str">
        <f t="shared" si="444"/>
        <v/>
      </c>
      <c r="W441" s="115" t="str">
        <f t="shared" si="444"/>
        <v/>
      </c>
      <c r="X441" s="115" t="str">
        <f t="shared" si="444"/>
        <v/>
      </c>
      <c r="Y441" s="115" t="str">
        <f t="shared" si="444"/>
        <v/>
      </c>
      <c r="Z441" s="115" t="str">
        <f t="shared" si="444"/>
        <v/>
      </c>
      <c r="AA441" s="115" t="str">
        <f t="shared" si="444"/>
        <v/>
      </c>
      <c r="AB441" s="115" t="str">
        <f t="shared" si="444"/>
        <v/>
      </c>
      <c r="AC441" s="115" t="str">
        <f t="shared" si="444"/>
        <v/>
      </c>
      <c r="AD441" s="115" t="str">
        <f t="shared" si="444"/>
        <v/>
      </c>
      <c r="AE441" s="115" t="str">
        <f t="shared" si="444"/>
        <v/>
      </c>
      <c r="AF441" s="115" t="str">
        <f t="shared" si="444"/>
        <v/>
      </c>
      <c r="AG441" s="115" t="str">
        <f t="shared" si="444"/>
        <v/>
      </c>
      <c r="AH441" s="115" t="str">
        <f t="shared" si="444"/>
        <v/>
      </c>
      <c r="AI441" s="115" t="str">
        <f t="shared" si="444"/>
        <v/>
      </c>
      <c r="AJ441" s="115" t="str">
        <f t="shared" si="444"/>
        <v/>
      </c>
      <c r="AK441" s="115" t="str">
        <f t="shared" si="444"/>
        <v/>
      </c>
      <c r="AL441" s="115" t="str">
        <f t="shared" si="444"/>
        <v/>
      </c>
      <c r="AM441" s="115" t="str">
        <f t="shared" si="444"/>
        <v/>
      </c>
      <c r="AN441" s="115" t="str">
        <f t="shared" si="444"/>
        <v/>
      </c>
      <c r="AO441" s="115" t="str">
        <f t="shared" si="444"/>
        <v/>
      </c>
      <c r="AP441" s="117">
        <f>IF(AP$6="","",IF(AP$3="Maior",IFERROR(IF(VLOOKUP($N441,Capa!$A:$AE,AP$5,0)="",0,VLOOKUP($N441,Capa!$A:$AE,AP$5,0)),0),IF(ISERROR(1/VLOOKUP($N441,Capa!$A:$AE,AP$5,0)),0,1/VLOOKUP($N441,Capa!$A:$AE,AP$5,0))))</f>
        <v>0.2732806095</v>
      </c>
      <c r="AQ441" s="118">
        <f>IF(AQ$6="","",IF(AQ$3="Maior",IFERROR(IF(VLOOKUP($N441,Capa!$A:$AE,AQ$5,0)="",0,VLOOKUP($N441,Capa!$A:$AE,AQ$5,0)),0),IF(ISERROR(1/VLOOKUP($N441,Capa!$A:$AE,AQ$5,0)),0,1/VLOOKUP($N441,Capa!$A:$AE,AQ$5,0))))</f>
        <v>29.14</v>
      </c>
      <c r="AR441" s="118">
        <f>IF(AR$6="","",IF(AR$3="Maior",IFERROR(IF(VLOOKUP($N441,Capa!$A:$AE,AR$5,0)="",0,VLOOKUP($N441,Capa!$A:$AE,AR$5,0)),0),IF(ISERROR(1/VLOOKUP($N441,Capa!$A:$AE,AR$5,0)),0,1/VLOOKUP($N441,Capa!$A:$AE,AR$5,0))))</f>
        <v>22.74</v>
      </c>
      <c r="AS441" s="118" t="str">
        <f>IF(AS$6="","",IF(AS$3="Maior",IFERROR(IF(VLOOKUP($N441,Capa!$A:$AE,AS$5,0)="",0,VLOOKUP($N441,Capa!$A:$AE,AS$5,0)),0),IF(ISERROR(1/VLOOKUP($N441,Capa!$A:$AE,AS$5,0)),0,1/VLOOKUP($N441,Capa!$A:$AE,AS$5,0))))</f>
        <v/>
      </c>
      <c r="AT441" s="118" t="str">
        <f>IF(AT$6="","",IF(AT$3="Maior",IFERROR(IF(VLOOKUP($N441,Capa!$A:$AE,AT$5,0)="",0,VLOOKUP($N441,Capa!$A:$AE,AT$5,0)),0),IF(ISERROR(1/VLOOKUP($N441,Capa!$A:$AE,AT$5,0)),0,1/VLOOKUP($N441,Capa!$A:$AE,AT$5,0))))</f>
        <v/>
      </c>
      <c r="AU441" s="118" t="str">
        <f>IF(AU$6="","",IF(AU$3="Maior",IFERROR(IF(VLOOKUP($N441,Capa!$A:$AE,AU$5,0)="",0,VLOOKUP($N441,Capa!$A:$AE,AU$5,0)),0),IF(ISERROR(1/VLOOKUP($N441,Capa!$A:$AE,AU$5,0)),0,1/VLOOKUP($N441,Capa!$A:$AE,AU$5,0))))</f>
        <v/>
      </c>
      <c r="AV441" s="118" t="str">
        <f>IF(AV$6="","",IF(AV$3="Maior",IFERROR(IF(VLOOKUP($N441,Capa!$A:$AE,AV$5,0)="",0,VLOOKUP($N441,Capa!$A:$AE,AV$5,0)),0),IF(ISERROR(1/VLOOKUP($N441,Capa!$A:$AE,AV$5,0)),0,1/VLOOKUP($N441,Capa!$A:$AE,AV$5,0))))</f>
        <v/>
      </c>
      <c r="AW441" s="118" t="str">
        <f>IF(AW$6="","",IF(AW$3="Maior",IFERROR(IF(VLOOKUP($N441,Capa!$A:$AE,AW$5,0)="",0,VLOOKUP($N441,Capa!$A:$AE,AW$5,0)),0),IF(ISERROR(1/VLOOKUP($N441,Capa!$A:$AE,AW$5,0)),0,1/VLOOKUP($N441,Capa!$A:$AE,AW$5,0))))</f>
        <v/>
      </c>
      <c r="AX441" s="118" t="str">
        <f>IF(AX$6="","",IF(AX$3="Maior",IFERROR(IF(VLOOKUP($N441,Capa!$A:$AE,AX$5,0)="",0,VLOOKUP($N441,Capa!$A:$AE,AX$5,0)),0),IF(ISERROR(1/VLOOKUP($N441,Capa!$A:$AE,AX$5,0)),0,1/VLOOKUP($N441,Capa!$A:$AE,AX$5,0))))</f>
        <v/>
      </c>
      <c r="AY441" s="118" t="str">
        <f>IF(AY$6="","",IF(AY$3="Maior",IFERROR(IF(VLOOKUP($N441,Capa!$A:$AE,AY$5,0)="",0,VLOOKUP($N441,Capa!$A:$AE,AY$5,0)),0),IF(ISERROR(1/VLOOKUP($N441,Capa!$A:$AE,AY$5,0)),0,1/VLOOKUP($N441,Capa!$A:$AE,AY$5,0))))</f>
        <v/>
      </c>
      <c r="AZ441" s="118" t="str">
        <f>IF(AZ$6="","",IF(AZ$3="Maior",IFERROR(IF(VLOOKUP($N441,Capa!$A:$AE,AZ$5,0)="",0,VLOOKUP($N441,Capa!$A:$AE,AZ$5,0)),0),IF(ISERROR(1/VLOOKUP($N441,Capa!$A:$AE,AZ$5,0)),0,1/VLOOKUP($N441,Capa!$A:$AE,AZ$5,0))))</f>
        <v/>
      </c>
      <c r="BA441" s="118" t="str">
        <f>IF(BA$6="","",IF(BA$3="Maior",IFERROR(IF(VLOOKUP($N441,Capa!$A:$AE,BA$5,0)="",0,VLOOKUP($N441,Capa!$A:$AE,BA$5,0)),0),IF(ISERROR(1/VLOOKUP($N441,Capa!$A:$AE,BA$5,0)),0,1/VLOOKUP($N441,Capa!$A:$AE,BA$5,0))))</f>
        <v/>
      </c>
      <c r="BB441" s="118" t="str">
        <f>IF(BB$6="","",IF(BB$3="Maior",IFERROR(IF(VLOOKUP($N441,Capa!$A:$AE,BB$5,0)="",0,VLOOKUP($N441,Capa!$A:$AE,BB$5,0)),0),IF(ISERROR(1/VLOOKUP($N441,Capa!$A:$AE,BB$5,0)),0,1/VLOOKUP($N441,Capa!$A:$AE,BB$5,0))))</f>
        <v/>
      </c>
      <c r="BC441" s="118" t="str">
        <f>IF(BC$6="","",IF(BC$3="Maior",IFERROR(IF(VLOOKUP($N441,Capa!$A:$AE,BC$5,0)="",0,VLOOKUP($N441,Capa!$A:$AE,BC$5,0)),0),IF(ISERROR(1/VLOOKUP($N441,Capa!$A:$AE,BC$5,0)),0,1/VLOOKUP($N441,Capa!$A:$AE,BC$5,0))))</f>
        <v/>
      </c>
      <c r="BD441" s="118" t="str">
        <f>IF(BD$6="","",IF(BD$3="Maior",IFERROR(IF(VLOOKUP($N441,Capa!$A:$AE,BD$5,0)="",0,VLOOKUP($N441,Capa!$A:$AE,BD$5,0)),0),IF(ISERROR(1/VLOOKUP($N441,Capa!$A:$AE,BD$5,0)),0,1/VLOOKUP($N441,Capa!$A:$AE,BD$5,0))))</f>
        <v/>
      </c>
      <c r="BE441" s="118" t="str">
        <f>IF(BE$6="","",IF(BE$3="Maior",IFERROR(IF(VLOOKUP($N441,Capa!$A:$AE,BE$5,0)="",0,VLOOKUP($N441,Capa!$A:$AE,BE$5,0)),0),IF(ISERROR(1/VLOOKUP($N441,Capa!$A:$AE,BE$5,0)),0,1/VLOOKUP($N441,Capa!$A:$AE,BE$5,0))))</f>
        <v/>
      </c>
      <c r="BF441" s="118" t="str">
        <f>IF(BF$6="","",IF(BF$3="Maior",IFERROR(IF(VLOOKUP($N441,Capa!$A:$AE,BF$5,0)="",0,VLOOKUP($N441,Capa!$A:$AE,BF$5,0)),0),IF(ISERROR(1/VLOOKUP($N441,Capa!$A:$AE,BF$5,0)),0,1/VLOOKUP($N441,Capa!$A:$AE,BF$5,0))))</f>
        <v/>
      </c>
      <c r="BG441" s="118" t="str">
        <f>IF(BG$6="","",IF(BG$3="Maior",IFERROR(IF(VLOOKUP($N441,Capa!$A:$AE,BG$5,0)="",0,VLOOKUP($N441,Capa!$A:$AE,BG$5,0)),0),IF(ISERROR(1/VLOOKUP($N441,Capa!$A:$AE,BG$5,0)),0,1/VLOOKUP($N441,Capa!$A:$AE,BG$5,0))))</f>
        <v/>
      </c>
      <c r="BH441" s="118" t="str">
        <f>IF(BH$6="","",IF(BH$3="Maior",IFERROR(IF(VLOOKUP($N441,Capa!$A:$AE,BH$5,0)="",0,VLOOKUP($N441,Capa!$A:$AE,BH$5,0)),0),IF(ISERROR(1/VLOOKUP($N441,Capa!$A:$AE,BH$5,0)),0,1/VLOOKUP($N441,Capa!$A:$AE,BH$5,0))))</f>
        <v/>
      </c>
      <c r="BI441" s="118" t="str">
        <f>IF(BI$6="","",IF(BI$3="Maior",IFERROR(IF(VLOOKUP($N441,Capa!$A:$AE,BI$5,0)="",0,VLOOKUP($N441,Capa!$A:$AE,BI$5,0)),0),IF(ISERROR(1/VLOOKUP($N441,Capa!$A:$AE,BI$5,0)),0,1/VLOOKUP($N441,Capa!$A:$AE,BI$5,0))))</f>
        <v/>
      </c>
      <c r="BJ441" s="118" t="str">
        <f>IF(BJ$6="","",IF(BJ$3="Maior",IFERROR(IF(VLOOKUP($N441,Capa!$A:$AE,BJ$5,0)="",0,VLOOKUP($N441,Capa!$A:$AE,BJ$5,0)),0),IF(ISERROR(1/VLOOKUP($N441,Capa!$A:$AE,BJ$5,0)),0,1/VLOOKUP($N441,Capa!$A:$AE,BJ$5,0))))</f>
        <v/>
      </c>
      <c r="BK441" s="118" t="str">
        <f>IF(BK$6="","",IF(BK$3="Maior",IFERROR(IF(VLOOKUP($N441,Capa!$A:$AE,BK$5,0)="",0,VLOOKUP($N441,Capa!$A:$AE,BK$5,0)),0),IF(ISERROR(1/VLOOKUP($N441,Capa!$A:$AE,BK$5,0)),0,1/VLOOKUP($N441,Capa!$A:$AE,BK$5,0))))</f>
        <v/>
      </c>
      <c r="BL441" s="118" t="str">
        <f>IF(BL$6="","",IF(BL$3="Maior",IFERROR(IF(VLOOKUP($N441,Capa!$A:$AE,BL$5,0)="",0,VLOOKUP($N441,Capa!$A:$AE,BL$5,0)),0),IF(ISERROR(1/VLOOKUP($N441,Capa!$A:$AE,BL$5,0)),0,1/VLOOKUP($N441,Capa!$A:$AE,BL$5,0))))</f>
        <v/>
      </c>
      <c r="BM441" s="118" t="str">
        <f>IF(BM$6="","",IF(BM$3="Maior",IFERROR(IF(VLOOKUP($N441,Capa!$A:$AE,BM$5,0)="",0,VLOOKUP($N441,Capa!$A:$AE,BM$5,0)),0),IF(ISERROR(1/VLOOKUP($N441,Capa!$A:$AE,BM$5,0)),0,1/VLOOKUP($N441,Capa!$A:$AE,BM$5,0))))</f>
        <v/>
      </c>
      <c r="BN441" s="118" t="str">
        <f>IF(BN$6="","",IF(BN$3="Maior",IFERROR(IF(VLOOKUP($N441,Capa!$A:$AE,BN$5,0)="",0,VLOOKUP($N441,Capa!$A:$AE,BN$5,0)),0),IF(ISERROR(1/VLOOKUP($N441,Capa!$A:$AE,BN$5,0)),0,1/VLOOKUP($N441,Capa!$A:$AE,BN$5,0))))</f>
        <v/>
      </c>
      <c r="BO441" s="92"/>
    </row>
    <row r="442">
      <c r="I442" s="73"/>
      <c r="J442" s="74"/>
      <c r="N442" s="10" t="s">
        <v>488</v>
      </c>
      <c r="O442" s="113">
        <f t="shared" si="8"/>
        <v>1038.0005</v>
      </c>
      <c r="P442" s="114">
        <f>VLOOKUP(N442,'Dados StatusInvest'!A:Z,26,0)</f>
        <v>12990.1</v>
      </c>
      <c r="Q442" s="115">
        <f t="shared" si="9"/>
        <v>5.0005</v>
      </c>
      <c r="R442" s="116">
        <f t="shared" ref="R442:AO442" si="445">IF(AQ442="","", RANK(AQ442,AQ$7:AQ$503,0))</f>
        <v>8</v>
      </c>
      <c r="S442" s="115">
        <f t="shared" si="445"/>
        <v>25</v>
      </c>
      <c r="T442" s="115" t="str">
        <f t="shared" si="445"/>
        <v/>
      </c>
      <c r="U442" s="115" t="str">
        <f t="shared" si="445"/>
        <v/>
      </c>
      <c r="V442" s="115" t="str">
        <f t="shared" si="445"/>
        <v/>
      </c>
      <c r="W442" s="115" t="str">
        <f t="shared" si="445"/>
        <v/>
      </c>
      <c r="X442" s="115" t="str">
        <f t="shared" si="445"/>
        <v/>
      </c>
      <c r="Y442" s="115" t="str">
        <f t="shared" si="445"/>
        <v/>
      </c>
      <c r="Z442" s="115" t="str">
        <f t="shared" si="445"/>
        <v/>
      </c>
      <c r="AA442" s="115" t="str">
        <f t="shared" si="445"/>
        <v/>
      </c>
      <c r="AB442" s="115" t="str">
        <f t="shared" si="445"/>
        <v/>
      </c>
      <c r="AC442" s="115" t="str">
        <f t="shared" si="445"/>
        <v/>
      </c>
      <c r="AD442" s="115" t="str">
        <f t="shared" si="445"/>
        <v/>
      </c>
      <c r="AE442" s="115" t="str">
        <f t="shared" si="445"/>
        <v/>
      </c>
      <c r="AF442" s="115" t="str">
        <f t="shared" si="445"/>
        <v/>
      </c>
      <c r="AG442" s="115" t="str">
        <f t="shared" si="445"/>
        <v/>
      </c>
      <c r="AH442" s="115" t="str">
        <f t="shared" si="445"/>
        <v/>
      </c>
      <c r="AI442" s="115" t="str">
        <f t="shared" si="445"/>
        <v/>
      </c>
      <c r="AJ442" s="115" t="str">
        <f t="shared" si="445"/>
        <v/>
      </c>
      <c r="AK442" s="115" t="str">
        <f t="shared" si="445"/>
        <v/>
      </c>
      <c r="AL442" s="115" t="str">
        <f t="shared" si="445"/>
        <v/>
      </c>
      <c r="AM442" s="115" t="str">
        <f t="shared" si="445"/>
        <v/>
      </c>
      <c r="AN442" s="115" t="str">
        <f t="shared" si="445"/>
        <v/>
      </c>
      <c r="AO442" s="115" t="str">
        <f t="shared" si="445"/>
        <v/>
      </c>
      <c r="AP442" s="117">
        <f>IF(AP$6="","",IF(AP$3="Maior",IFERROR(IF(VLOOKUP($N442,Capa!$A:$AE,AP$5,0)="",0,VLOOKUP($N442,Capa!$A:$AE,AP$5,0)),0),IF(ISERROR(1/VLOOKUP($N442,Capa!$A:$AE,AP$5,0)),0,1/VLOOKUP($N442,Capa!$A:$AE,AP$5,0))))</f>
        <v>1.246041593</v>
      </c>
      <c r="AQ442" s="118">
        <f>IF(AQ$6="","",IF(AQ$3="Maior",IFERROR(IF(VLOOKUP($N442,Capa!$A:$AE,AQ$5,0)="",0,VLOOKUP($N442,Capa!$A:$AE,AQ$5,0)),0),IF(ISERROR(1/VLOOKUP($N442,Capa!$A:$AE,AQ$5,0)),0,1/VLOOKUP($N442,Capa!$A:$AE,AQ$5,0))))</f>
        <v>81.32</v>
      </c>
      <c r="AR442" s="118">
        <f>IF(AR$6="","",IF(AR$3="Maior",IFERROR(IF(VLOOKUP($N442,Capa!$A:$AE,AR$5,0)="",0,VLOOKUP($N442,Capa!$A:$AE,AR$5,0)),0),IF(ISERROR(1/VLOOKUP($N442,Capa!$A:$AE,AR$5,0)),0,1/VLOOKUP($N442,Capa!$A:$AE,AR$5,0))))</f>
        <v>81.97</v>
      </c>
      <c r="AS442" s="118" t="str">
        <f>IF(AS$6="","",IF(AS$3="Maior",IFERROR(IF(VLOOKUP($N442,Capa!$A:$AE,AS$5,0)="",0,VLOOKUP($N442,Capa!$A:$AE,AS$5,0)),0),IF(ISERROR(1/VLOOKUP($N442,Capa!$A:$AE,AS$5,0)),0,1/VLOOKUP($N442,Capa!$A:$AE,AS$5,0))))</f>
        <v/>
      </c>
      <c r="AT442" s="118" t="str">
        <f>IF(AT$6="","",IF(AT$3="Maior",IFERROR(IF(VLOOKUP($N442,Capa!$A:$AE,AT$5,0)="",0,VLOOKUP($N442,Capa!$A:$AE,AT$5,0)),0),IF(ISERROR(1/VLOOKUP($N442,Capa!$A:$AE,AT$5,0)),0,1/VLOOKUP($N442,Capa!$A:$AE,AT$5,0))))</f>
        <v/>
      </c>
      <c r="AU442" s="118" t="str">
        <f>IF(AU$6="","",IF(AU$3="Maior",IFERROR(IF(VLOOKUP($N442,Capa!$A:$AE,AU$5,0)="",0,VLOOKUP($N442,Capa!$A:$AE,AU$5,0)),0),IF(ISERROR(1/VLOOKUP($N442,Capa!$A:$AE,AU$5,0)),0,1/VLOOKUP($N442,Capa!$A:$AE,AU$5,0))))</f>
        <v/>
      </c>
      <c r="AV442" s="118" t="str">
        <f>IF(AV$6="","",IF(AV$3="Maior",IFERROR(IF(VLOOKUP($N442,Capa!$A:$AE,AV$5,0)="",0,VLOOKUP($N442,Capa!$A:$AE,AV$5,0)),0),IF(ISERROR(1/VLOOKUP($N442,Capa!$A:$AE,AV$5,0)),0,1/VLOOKUP($N442,Capa!$A:$AE,AV$5,0))))</f>
        <v/>
      </c>
      <c r="AW442" s="118" t="str">
        <f>IF(AW$6="","",IF(AW$3="Maior",IFERROR(IF(VLOOKUP($N442,Capa!$A:$AE,AW$5,0)="",0,VLOOKUP($N442,Capa!$A:$AE,AW$5,0)),0),IF(ISERROR(1/VLOOKUP($N442,Capa!$A:$AE,AW$5,0)),0,1/VLOOKUP($N442,Capa!$A:$AE,AW$5,0))))</f>
        <v/>
      </c>
      <c r="AX442" s="118" t="str">
        <f>IF(AX$6="","",IF(AX$3="Maior",IFERROR(IF(VLOOKUP($N442,Capa!$A:$AE,AX$5,0)="",0,VLOOKUP($N442,Capa!$A:$AE,AX$5,0)),0),IF(ISERROR(1/VLOOKUP($N442,Capa!$A:$AE,AX$5,0)),0,1/VLOOKUP($N442,Capa!$A:$AE,AX$5,0))))</f>
        <v/>
      </c>
      <c r="AY442" s="118" t="str">
        <f>IF(AY$6="","",IF(AY$3="Maior",IFERROR(IF(VLOOKUP($N442,Capa!$A:$AE,AY$5,0)="",0,VLOOKUP($N442,Capa!$A:$AE,AY$5,0)),0),IF(ISERROR(1/VLOOKUP($N442,Capa!$A:$AE,AY$5,0)),0,1/VLOOKUP($N442,Capa!$A:$AE,AY$5,0))))</f>
        <v/>
      </c>
      <c r="AZ442" s="118" t="str">
        <f>IF(AZ$6="","",IF(AZ$3="Maior",IFERROR(IF(VLOOKUP($N442,Capa!$A:$AE,AZ$5,0)="",0,VLOOKUP($N442,Capa!$A:$AE,AZ$5,0)),0),IF(ISERROR(1/VLOOKUP($N442,Capa!$A:$AE,AZ$5,0)),0,1/VLOOKUP($N442,Capa!$A:$AE,AZ$5,0))))</f>
        <v/>
      </c>
      <c r="BA442" s="118" t="str">
        <f>IF(BA$6="","",IF(BA$3="Maior",IFERROR(IF(VLOOKUP($N442,Capa!$A:$AE,BA$5,0)="",0,VLOOKUP($N442,Capa!$A:$AE,BA$5,0)),0),IF(ISERROR(1/VLOOKUP($N442,Capa!$A:$AE,BA$5,0)),0,1/VLOOKUP($N442,Capa!$A:$AE,BA$5,0))))</f>
        <v/>
      </c>
      <c r="BB442" s="118" t="str">
        <f>IF(BB$6="","",IF(BB$3="Maior",IFERROR(IF(VLOOKUP($N442,Capa!$A:$AE,BB$5,0)="",0,VLOOKUP($N442,Capa!$A:$AE,BB$5,0)),0),IF(ISERROR(1/VLOOKUP($N442,Capa!$A:$AE,BB$5,0)),0,1/VLOOKUP($N442,Capa!$A:$AE,BB$5,0))))</f>
        <v/>
      </c>
      <c r="BC442" s="118" t="str">
        <f>IF(BC$6="","",IF(BC$3="Maior",IFERROR(IF(VLOOKUP($N442,Capa!$A:$AE,BC$5,0)="",0,VLOOKUP($N442,Capa!$A:$AE,BC$5,0)),0),IF(ISERROR(1/VLOOKUP($N442,Capa!$A:$AE,BC$5,0)),0,1/VLOOKUP($N442,Capa!$A:$AE,BC$5,0))))</f>
        <v/>
      </c>
      <c r="BD442" s="118" t="str">
        <f>IF(BD$6="","",IF(BD$3="Maior",IFERROR(IF(VLOOKUP($N442,Capa!$A:$AE,BD$5,0)="",0,VLOOKUP($N442,Capa!$A:$AE,BD$5,0)),0),IF(ISERROR(1/VLOOKUP($N442,Capa!$A:$AE,BD$5,0)),0,1/VLOOKUP($N442,Capa!$A:$AE,BD$5,0))))</f>
        <v/>
      </c>
      <c r="BE442" s="118" t="str">
        <f>IF(BE$6="","",IF(BE$3="Maior",IFERROR(IF(VLOOKUP($N442,Capa!$A:$AE,BE$5,0)="",0,VLOOKUP($N442,Capa!$A:$AE,BE$5,0)),0),IF(ISERROR(1/VLOOKUP($N442,Capa!$A:$AE,BE$5,0)),0,1/VLOOKUP($N442,Capa!$A:$AE,BE$5,0))))</f>
        <v/>
      </c>
      <c r="BF442" s="118" t="str">
        <f>IF(BF$6="","",IF(BF$3="Maior",IFERROR(IF(VLOOKUP($N442,Capa!$A:$AE,BF$5,0)="",0,VLOOKUP($N442,Capa!$A:$AE,BF$5,0)),0),IF(ISERROR(1/VLOOKUP($N442,Capa!$A:$AE,BF$5,0)),0,1/VLOOKUP($N442,Capa!$A:$AE,BF$5,0))))</f>
        <v/>
      </c>
      <c r="BG442" s="118" t="str">
        <f>IF(BG$6="","",IF(BG$3="Maior",IFERROR(IF(VLOOKUP($N442,Capa!$A:$AE,BG$5,0)="",0,VLOOKUP($N442,Capa!$A:$AE,BG$5,0)),0),IF(ISERROR(1/VLOOKUP($N442,Capa!$A:$AE,BG$5,0)),0,1/VLOOKUP($N442,Capa!$A:$AE,BG$5,0))))</f>
        <v/>
      </c>
      <c r="BH442" s="118" t="str">
        <f>IF(BH$6="","",IF(BH$3="Maior",IFERROR(IF(VLOOKUP($N442,Capa!$A:$AE,BH$5,0)="",0,VLOOKUP($N442,Capa!$A:$AE,BH$5,0)),0),IF(ISERROR(1/VLOOKUP($N442,Capa!$A:$AE,BH$5,0)),0,1/VLOOKUP($N442,Capa!$A:$AE,BH$5,0))))</f>
        <v/>
      </c>
      <c r="BI442" s="118" t="str">
        <f>IF(BI$6="","",IF(BI$3="Maior",IFERROR(IF(VLOOKUP($N442,Capa!$A:$AE,BI$5,0)="",0,VLOOKUP($N442,Capa!$A:$AE,BI$5,0)),0),IF(ISERROR(1/VLOOKUP($N442,Capa!$A:$AE,BI$5,0)),0,1/VLOOKUP($N442,Capa!$A:$AE,BI$5,0))))</f>
        <v/>
      </c>
      <c r="BJ442" s="118" t="str">
        <f>IF(BJ$6="","",IF(BJ$3="Maior",IFERROR(IF(VLOOKUP($N442,Capa!$A:$AE,BJ$5,0)="",0,VLOOKUP($N442,Capa!$A:$AE,BJ$5,0)),0),IF(ISERROR(1/VLOOKUP($N442,Capa!$A:$AE,BJ$5,0)),0,1/VLOOKUP($N442,Capa!$A:$AE,BJ$5,0))))</f>
        <v/>
      </c>
      <c r="BK442" s="118" t="str">
        <f>IF(BK$6="","",IF(BK$3="Maior",IFERROR(IF(VLOOKUP($N442,Capa!$A:$AE,BK$5,0)="",0,VLOOKUP($N442,Capa!$A:$AE,BK$5,0)),0),IF(ISERROR(1/VLOOKUP($N442,Capa!$A:$AE,BK$5,0)),0,1/VLOOKUP($N442,Capa!$A:$AE,BK$5,0))))</f>
        <v/>
      </c>
      <c r="BL442" s="118" t="str">
        <f>IF(BL$6="","",IF(BL$3="Maior",IFERROR(IF(VLOOKUP($N442,Capa!$A:$AE,BL$5,0)="",0,VLOOKUP($N442,Capa!$A:$AE,BL$5,0)),0),IF(ISERROR(1/VLOOKUP($N442,Capa!$A:$AE,BL$5,0)),0,1/VLOOKUP($N442,Capa!$A:$AE,BL$5,0))))</f>
        <v/>
      </c>
      <c r="BM442" s="118" t="str">
        <f>IF(BM$6="","",IF(BM$3="Maior",IFERROR(IF(VLOOKUP($N442,Capa!$A:$AE,BM$5,0)="",0,VLOOKUP($N442,Capa!$A:$AE,BM$5,0)),0),IF(ISERROR(1/VLOOKUP($N442,Capa!$A:$AE,BM$5,0)),0,1/VLOOKUP($N442,Capa!$A:$AE,BM$5,0))))</f>
        <v/>
      </c>
      <c r="BN442" s="118" t="str">
        <f>IF(BN$6="","",IF(BN$3="Maior",IFERROR(IF(VLOOKUP($N442,Capa!$A:$AE,BN$5,0)="",0,VLOOKUP($N442,Capa!$A:$AE,BN$5,0)),0),IF(ISERROR(1/VLOOKUP($N442,Capa!$A:$AE,BN$5,0)),0,1/VLOOKUP($N442,Capa!$A:$AE,BN$5,0))))</f>
        <v/>
      </c>
      <c r="BO442" s="92"/>
    </row>
    <row r="443">
      <c r="I443" s="73"/>
      <c r="J443" s="74"/>
      <c r="N443" s="10" t="s">
        <v>489</v>
      </c>
      <c r="O443" s="113">
        <f t="shared" si="8"/>
        <v>1413.0152</v>
      </c>
      <c r="P443" s="114">
        <f>VLOOKUP(N443,'Dados StatusInvest'!A:Z,26,0)</f>
        <v>8363.75</v>
      </c>
      <c r="Q443" s="115">
        <f t="shared" si="9"/>
        <v>152.0152</v>
      </c>
      <c r="R443" s="116">
        <f t="shared" ref="R443:AO443" si="446">IF(AQ443="","", RANK(AQ443,AQ$7:AQ$503,0))</f>
        <v>125</v>
      </c>
      <c r="S443" s="115">
        <f t="shared" si="446"/>
        <v>136</v>
      </c>
      <c r="T443" s="115" t="str">
        <f t="shared" si="446"/>
        <v/>
      </c>
      <c r="U443" s="115" t="str">
        <f t="shared" si="446"/>
        <v/>
      </c>
      <c r="V443" s="115" t="str">
        <f t="shared" si="446"/>
        <v/>
      </c>
      <c r="W443" s="115" t="str">
        <f t="shared" si="446"/>
        <v/>
      </c>
      <c r="X443" s="115" t="str">
        <f t="shared" si="446"/>
        <v/>
      </c>
      <c r="Y443" s="115" t="str">
        <f t="shared" si="446"/>
        <v/>
      </c>
      <c r="Z443" s="115" t="str">
        <f t="shared" si="446"/>
        <v/>
      </c>
      <c r="AA443" s="115" t="str">
        <f t="shared" si="446"/>
        <v/>
      </c>
      <c r="AB443" s="115" t="str">
        <f t="shared" si="446"/>
        <v/>
      </c>
      <c r="AC443" s="115" t="str">
        <f t="shared" si="446"/>
        <v/>
      </c>
      <c r="AD443" s="115" t="str">
        <f t="shared" si="446"/>
        <v/>
      </c>
      <c r="AE443" s="115" t="str">
        <f t="shared" si="446"/>
        <v/>
      </c>
      <c r="AF443" s="115" t="str">
        <f t="shared" si="446"/>
        <v/>
      </c>
      <c r="AG443" s="115" t="str">
        <f t="shared" si="446"/>
        <v/>
      </c>
      <c r="AH443" s="115" t="str">
        <f t="shared" si="446"/>
        <v/>
      </c>
      <c r="AI443" s="115" t="str">
        <f t="shared" si="446"/>
        <v/>
      </c>
      <c r="AJ443" s="115" t="str">
        <f t="shared" si="446"/>
        <v/>
      </c>
      <c r="AK443" s="115" t="str">
        <f t="shared" si="446"/>
        <v/>
      </c>
      <c r="AL443" s="115" t="str">
        <f t="shared" si="446"/>
        <v/>
      </c>
      <c r="AM443" s="115" t="str">
        <f t="shared" si="446"/>
        <v/>
      </c>
      <c r="AN443" s="115" t="str">
        <f t="shared" si="446"/>
        <v/>
      </c>
      <c r="AO443" s="115" t="str">
        <f t="shared" si="446"/>
        <v/>
      </c>
      <c r="AP443" s="117">
        <f>IF(AP$6="","",IF(AP$3="Maior",IFERROR(IF(VLOOKUP($N443,Capa!$A:$AE,AP$5,0)="",0,VLOOKUP($N443,Capa!$A:$AE,AP$5,0)),0),IF(ISERROR(1/VLOOKUP($N443,Capa!$A:$AE,AP$5,0)),0,1/VLOOKUP($N443,Capa!$A:$AE,AP$5,0))))</f>
        <v>0.1297016861</v>
      </c>
      <c r="AQ443" s="118">
        <f>IF(AQ$6="","",IF(AQ$3="Maior",IFERROR(IF(VLOOKUP($N443,Capa!$A:$AE,AQ$5,0)="",0,VLOOKUP($N443,Capa!$A:$AE,AQ$5,0)),0),IF(ISERROR(1/VLOOKUP($N443,Capa!$A:$AE,AQ$5,0)),0,1/VLOOKUP($N443,Capa!$A:$AE,AQ$5,0))))</f>
        <v>15.28</v>
      </c>
      <c r="AR443" s="118">
        <f>IF(AR$6="","",IF(AR$3="Maior",IFERROR(IF(VLOOKUP($N443,Capa!$A:$AE,AR$5,0)="",0,VLOOKUP($N443,Capa!$A:$AE,AR$5,0)),0),IF(ISERROR(1/VLOOKUP($N443,Capa!$A:$AE,AR$5,0)),0,1/VLOOKUP($N443,Capa!$A:$AE,AR$5,0))))</f>
        <v>18.81</v>
      </c>
      <c r="AS443" s="118" t="str">
        <f>IF(AS$6="","",IF(AS$3="Maior",IFERROR(IF(VLOOKUP($N443,Capa!$A:$AE,AS$5,0)="",0,VLOOKUP($N443,Capa!$A:$AE,AS$5,0)),0),IF(ISERROR(1/VLOOKUP($N443,Capa!$A:$AE,AS$5,0)),0,1/VLOOKUP($N443,Capa!$A:$AE,AS$5,0))))</f>
        <v/>
      </c>
      <c r="AT443" s="118" t="str">
        <f>IF(AT$6="","",IF(AT$3="Maior",IFERROR(IF(VLOOKUP($N443,Capa!$A:$AE,AT$5,0)="",0,VLOOKUP($N443,Capa!$A:$AE,AT$5,0)),0),IF(ISERROR(1/VLOOKUP($N443,Capa!$A:$AE,AT$5,0)),0,1/VLOOKUP($N443,Capa!$A:$AE,AT$5,0))))</f>
        <v/>
      </c>
      <c r="AU443" s="118" t="str">
        <f>IF(AU$6="","",IF(AU$3="Maior",IFERROR(IF(VLOOKUP($N443,Capa!$A:$AE,AU$5,0)="",0,VLOOKUP($N443,Capa!$A:$AE,AU$5,0)),0),IF(ISERROR(1/VLOOKUP($N443,Capa!$A:$AE,AU$5,0)),0,1/VLOOKUP($N443,Capa!$A:$AE,AU$5,0))))</f>
        <v/>
      </c>
      <c r="AV443" s="118" t="str">
        <f>IF(AV$6="","",IF(AV$3="Maior",IFERROR(IF(VLOOKUP($N443,Capa!$A:$AE,AV$5,0)="",0,VLOOKUP($N443,Capa!$A:$AE,AV$5,0)),0),IF(ISERROR(1/VLOOKUP($N443,Capa!$A:$AE,AV$5,0)),0,1/VLOOKUP($N443,Capa!$A:$AE,AV$5,0))))</f>
        <v/>
      </c>
      <c r="AW443" s="118" t="str">
        <f>IF(AW$6="","",IF(AW$3="Maior",IFERROR(IF(VLOOKUP($N443,Capa!$A:$AE,AW$5,0)="",0,VLOOKUP($N443,Capa!$A:$AE,AW$5,0)),0),IF(ISERROR(1/VLOOKUP($N443,Capa!$A:$AE,AW$5,0)),0,1/VLOOKUP($N443,Capa!$A:$AE,AW$5,0))))</f>
        <v/>
      </c>
      <c r="AX443" s="118" t="str">
        <f>IF(AX$6="","",IF(AX$3="Maior",IFERROR(IF(VLOOKUP($N443,Capa!$A:$AE,AX$5,0)="",0,VLOOKUP($N443,Capa!$A:$AE,AX$5,0)),0),IF(ISERROR(1/VLOOKUP($N443,Capa!$A:$AE,AX$5,0)),0,1/VLOOKUP($N443,Capa!$A:$AE,AX$5,0))))</f>
        <v/>
      </c>
      <c r="AY443" s="118" t="str">
        <f>IF(AY$6="","",IF(AY$3="Maior",IFERROR(IF(VLOOKUP($N443,Capa!$A:$AE,AY$5,0)="",0,VLOOKUP($N443,Capa!$A:$AE,AY$5,0)),0),IF(ISERROR(1/VLOOKUP($N443,Capa!$A:$AE,AY$5,0)),0,1/VLOOKUP($N443,Capa!$A:$AE,AY$5,0))))</f>
        <v/>
      </c>
      <c r="AZ443" s="118" t="str">
        <f>IF(AZ$6="","",IF(AZ$3="Maior",IFERROR(IF(VLOOKUP($N443,Capa!$A:$AE,AZ$5,0)="",0,VLOOKUP($N443,Capa!$A:$AE,AZ$5,0)),0),IF(ISERROR(1/VLOOKUP($N443,Capa!$A:$AE,AZ$5,0)),0,1/VLOOKUP($N443,Capa!$A:$AE,AZ$5,0))))</f>
        <v/>
      </c>
      <c r="BA443" s="118" t="str">
        <f>IF(BA$6="","",IF(BA$3="Maior",IFERROR(IF(VLOOKUP($N443,Capa!$A:$AE,BA$5,0)="",0,VLOOKUP($N443,Capa!$A:$AE,BA$5,0)),0),IF(ISERROR(1/VLOOKUP($N443,Capa!$A:$AE,BA$5,0)),0,1/VLOOKUP($N443,Capa!$A:$AE,BA$5,0))))</f>
        <v/>
      </c>
      <c r="BB443" s="118" t="str">
        <f>IF(BB$6="","",IF(BB$3="Maior",IFERROR(IF(VLOOKUP($N443,Capa!$A:$AE,BB$5,0)="",0,VLOOKUP($N443,Capa!$A:$AE,BB$5,0)),0),IF(ISERROR(1/VLOOKUP($N443,Capa!$A:$AE,BB$5,0)),0,1/VLOOKUP($N443,Capa!$A:$AE,BB$5,0))))</f>
        <v/>
      </c>
      <c r="BC443" s="118" t="str">
        <f>IF(BC$6="","",IF(BC$3="Maior",IFERROR(IF(VLOOKUP($N443,Capa!$A:$AE,BC$5,0)="",0,VLOOKUP($N443,Capa!$A:$AE,BC$5,0)),0),IF(ISERROR(1/VLOOKUP($N443,Capa!$A:$AE,BC$5,0)),0,1/VLOOKUP($N443,Capa!$A:$AE,BC$5,0))))</f>
        <v/>
      </c>
      <c r="BD443" s="118" t="str">
        <f>IF(BD$6="","",IF(BD$3="Maior",IFERROR(IF(VLOOKUP($N443,Capa!$A:$AE,BD$5,0)="",0,VLOOKUP($N443,Capa!$A:$AE,BD$5,0)),0),IF(ISERROR(1/VLOOKUP($N443,Capa!$A:$AE,BD$5,0)),0,1/VLOOKUP($N443,Capa!$A:$AE,BD$5,0))))</f>
        <v/>
      </c>
      <c r="BE443" s="118" t="str">
        <f>IF(BE$6="","",IF(BE$3="Maior",IFERROR(IF(VLOOKUP($N443,Capa!$A:$AE,BE$5,0)="",0,VLOOKUP($N443,Capa!$A:$AE,BE$5,0)),0),IF(ISERROR(1/VLOOKUP($N443,Capa!$A:$AE,BE$5,0)),0,1/VLOOKUP($N443,Capa!$A:$AE,BE$5,0))))</f>
        <v/>
      </c>
      <c r="BF443" s="118" t="str">
        <f>IF(BF$6="","",IF(BF$3="Maior",IFERROR(IF(VLOOKUP($N443,Capa!$A:$AE,BF$5,0)="",0,VLOOKUP($N443,Capa!$A:$AE,BF$5,0)),0),IF(ISERROR(1/VLOOKUP($N443,Capa!$A:$AE,BF$5,0)),0,1/VLOOKUP($N443,Capa!$A:$AE,BF$5,0))))</f>
        <v/>
      </c>
      <c r="BG443" s="118" t="str">
        <f>IF(BG$6="","",IF(BG$3="Maior",IFERROR(IF(VLOOKUP($N443,Capa!$A:$AE,BG$5,0)="",0,VLOOKUP($N443,Capa!$A:$AE,BG$5,0)),0),IF(ISERROR(1/VLOOKUP($N443,Capa!$A:$AE,BG$5,0)),0,1/VLOOKUP($N443,Capa!$A:$AE,BG$5,0))))</f>
        <v/>
      </c>
      <c r="BH443" s="118" t="str">
        <f>IF(BH$6="","",IF(BH$3="Maior",IFERROR(IF(VLOOKUP($N443,Capa!$A:$AE,BH$5,0)="",0,VLOOKUP($N443,Capa!$A:$AE,BH$5,0)),0),IF(ISERROR(1/VLOOKUP($N443,Capa!$A:$AE,BH$5,0)),0,1/VLOOKUP($N443,Capa!$A:$AE,BH$5,0))))</f>
        <v/>
      </c>
      <c r="BI443" s="118" t="str">
        <f>IF(BI$6="","",IF(BI$3="Maior",IFERROR(IF(VLOOKUP($N443,Capa!$A:$AE,BI$5,0)="",0,VLOOKUP($N443,Capa!$A:$AE,BI$5,0)),0),IF(ISERROR(1/VLOOKUP($N443,Capa!$A:$AE,BI$5,0)),0,1/VLOOKUP($N443,Capa!$A:$AE,BI$5,0))))</f>
        <v/>
      </c>
      <c r="BJ443" s="118" t="str">
        <f>IF(BJ$6="","",IF(BJ$3="Maior",IFERROR(IF(VLOOKUP($N443,Capa!$A:$AE,BJ$5,0)="",0,VLOOKUP($N443,Capa!$A:$AE,BJ$5,0)),0),IF(ISERROR(1/VLOOKUP($N443,Capa!$A:$AE,BJ$5,0)),0,1/VLOOKUP($N443,Capa!$A:$AE,BJ$5,0))))</f>
        <v/>
      </c>
      <c r="BK443" s="118" t="str">
        <f>IF(BK$6="","",IF(BK$3="Maior",IFERROR(IF(VLOOKUP($N443,Capa!$A:$AE,BK$5,0)="",0,VLOOKUP($N443,Capa!$A:$AE,BK$5,0)),0),IF(ISERROR(1/VLOOKUP($N443,Capa!$A:$AE,BK$5,0)),0,1/VLOOKUP($N443,Capa!$A:$AE,BK$5,0))))</f>
        <v/>
      </c>
      <c r="BL443" s="118" t="str">
        <f>IF(BL$6="","",IF(BL$3="Maior",IFERROR(IF(VLOOKUP($N443,Capa!$A:$AE,BL$5,0)="",0,VLOOKUP($N443,Capa!$A:$AE,BL$5,0)),0),IF(ISERROR(1/VLOOKUP($N443,Capa!$A:$AE,BL$5,0)),0,1/VLOOKUP($N443,Capa!$A:$AE,BL$5,0))))</f>
        <v/>
      </c>
      <c r="BM443" s="118" t="str">
        <f>IF(BM$6="","",IF(BM$3="Maior",IFERROR(IF(VLOOKUP($N443,Capa!$A:$AE,BM$5,0)="",0,VLOOKUP($N443,Capa!$A:$AE,BM$5,0)),0),IF(ISERROR(1/VLOOKUP($N443,Capa!$A:$AE,BM$5,0)),0,1/VLOOKUP($N443,Capa!$A:$AE,BM$5,0))))</f>
        <v/>
      </c>
      <c r="BN443" s="118" t="str">
        <f>IF(BN$6="","",IF(BN$3="Maior",IFERROR(IF(VLOOKUP($N443,Capa!$A:$AE,BN$5,0)="",0,VLOOKUP($N443,Capa!$A:$AE,BN$5,0)),0),IF(ISERROR(1/VLOOKUP($N443,Capa!$A:$AE,BN$5,0)),0,1/VLOOKUP($N443,Capa!$A:$AE,BN$5,0))))</f>
        <v/>
      </c>
      <c r="BO443" s="92"/>
    </row>
    <row r="444">
      <c r="I444" s="73"/>
      <c r="J444" s="74"/>
      <c r="N444" s="10" t="s">
        <v>490</v>
      </c>
      <c r="O444" s="113">
        <f t="shared" si="8"/>
        <v>1729.0439</v>
      </c>
      <c r="P444" s="114">
        <f>VLOOKUP(N444,'Dados StatusInvest'!A:Z,26,0)</f>
        <v>4510.17</v>
      </c>
      <c r="Q444" s="115">
        <f t="shared" si="9"/>
        <v>439.0439</v>
      </c>
      <c r="R444" s="116">
        <f t="shared" ref="R444:AO444" si="447">IF(AQ444="","", RANK(AQ444,AQ$7:AQ$503,0))</f>
        <v>71</v>
      </c>
      <c r="S444" s="115">
        <f t="shared" si="447"/>
        <v>219</v>
      </c>
      <c r="T444" s="115" t="str">
        <f t="shared" si="447"/>
        <v/>
      </c>
      <c r="U444" s="115" t="str">
        <f t="shared" si="447"/>
        <v/>
      </c>
      <c r="V444" s="115" t="str">
        <f t="shared" si="447"/>
        <v/>
      </c>
      <c r="W444" s="115" t="str">
        <f t="shared" si="447"/>
        <v/>
      </c>
      <c r="X444" s="115" t="str">
        <f t="shared" si="447"/>
        <v/>
      </c>
      <c r="Y444" s="115" t="str">
        <f t="shared" si="447"/>
        <v/>
      </c>
      <c r="Z444" s="115" t="str">
        <f t="shared" si="447"/>
        <v/>
      </c>
      <c r="AA444" s="115" t="str">
        <f t="shared" si="447"/>
        <v/>
      </c>
      <c r="AB444" s="115" t="str">
        <f t="shared" si="447"/>
        <v/>
      </c>
      <c r="AC444" s="115" t="str">
        <f t="shared" si="447"/>
        <v/>
      </c>
      <c r="AD444" s="115" t="str">
        <f t="shared" si="447"/>
        <v/>
      </c>
      <c r="AE444" s="115" t="str">
        <f t="shared" si="447"/>
        <v/>
      </c>
      <c r="AF444" s="115" t="str">
        <f t="shared" si="447"/>
        <v/>
      </c>
      <c r="AG444" s="115" t="str">
        <f t="shared" si="447"/>
        <v/>
      </c>
      <c r="AH444" s="115" t="str">
        <f t="shared" si="447"/>
        <v/>
      </c>
      <c r="AI444" s="115" t="str">
        <f t="shared" si="447"/>
        <v/>
      </c>
      <c r="AJ444" s="115" t="str">
        <f t="shared" si="447"/>
        <v/>
      </c>
      <c r="AK444" s="115" t="str">
        <f t="shared" si="447"/>
        <v/>
      </c>
      <c r="AL444" s="115" t="str">
        <f t="shared" si="447"/>
        <v/>
      </c>
      <c r="AM444" s="115" t="str">
        <f t="shared" si="447"/>
        <v/>
      </c>
      <c r="AN444" s="115" t="str">
        <f t="shared" si="447"/>
        <v/>
      </c>
      <c r="AO444" s="115" t="str">
        <f t="shared" si="447"/>
        <v/>
      </c>
      <c r="AP444" s="117">
        <f>IF(AP$6="","",IF(AP$3="Maior",IFERROR(IF(VLOOKUP($N444,Capa!$A:$AE,AP$5,0)="",0,VLOOKUP($N444,Capa!$A:$AE,AP$5,0)),0),IF(ISERROR(1/VLOOKUP($N444,Capa!$A:$AE,AP$5,0)),0,1/VLOOKUP($N444,Capa!$A:$AE,AP$5,0))))</f>
        <v>-0.0736377025</v>
      </c>
      <c r="AQ444" s="118">
        <f>IF(AQ$6="","",IF(AQ$3="Maior",IFERROR(IF(VLOOKUP($N444,Capa!$A:$AE,AQ$5,0)="",0,VLOOKUP($N444,Capa!$A:$AE,AQ$5,0)),0),IF(ISERROR(1/VLOOKUP($N444,Capa!$A:$AE,AQ$5,0)),0,1/VLOOKUP($N444,Capa!$A:$AE,AQ$5,0))))</f>
        <v>20.8</v>
      </c>
      <c r="AR444" s="118">
        <f>IF(AR$6="","",IF(AR$3="Maior",IFERROR(IF(VLOOKUP($N444,Capa!$A:$AE,AR$5,0)="",0,VLOOKUP($N444,Capa!$A:$AE,AR$5,0)),0),IF(ISERROR(1/VLOOKUP($N444,Capa!$A:$AE,AR$5,0)),0,1/VLOOKUP($N444,Capa!$A:$AE,AR$5,0))))</f>
        <v>0</v>
      </c>
      <c r="AS444" s="118" t="str">
        <f>IF(AS$6="","",IF(AS$3="Maior",IFERROR(IF(VLOOKUP($N444,Capa!$A:$AE,AS$5,0)="",0,VLOOKUP($N444,Capa!$A:$AE,AS$5,0)),0),IF(ISERROR(1/VLOOKUP($N444,Capa!$A:$AE,AS$5,0)),0,1/VLOOKUP($N444,Capa!$A:$AE,AS$5,0))))</f>
        <v/>
      </c>
      <c r="AT444" s="118" t="str">
        <f>IF(AT$6="","",IF(AT$3="Maior",IFERROR(IF(VLOOKUP($N444,Capa!$A:$AE,AT$5,0)="",0,VLOOKUP($N444,Capa!$A:$AE,AT$5,0)),0),IF(ISERROR(1/VLOOKUP($N444,Capa!$A:$AE,AT$5,0)),0,1/VLOOKUP($N444,Capa!$A:$AE,AT$5,0))))</f>
        <v/>
      </c>
      <c r="AU444" s="118" t="str">
        <f>IF(AU$6="","",IF(AU$3="Maior",IFERROR(IF(VLOOKUP($N444,Capa!$A:$AE,AU$5,0)="",0,VLOOKUP($N444,Capa!$A:$AE,AU$5,0)),0),IF(ISERROR(1/VLOOKUP($N444,Capa!$A:$AE,AU$5,0)),0,1/VLOOKUP($N444,Capa!$A:$AE,AU$5,0))))</f>
        <v/>
      </c>
      <c r="AV444" s="118" t="str">
        <f>IF(AV$6="","",IF(AV$3="Maior",IFERROR(IF(VLOOKUP($N444,Capa!$A:$AE,AV$5,0)="",0,VLOOKUP($N444,Capa!$A:$AE,AV$5,0)),0),IF(ISERROR(1/VLOOKUP($N444,Capa!$A:$AE,AV$5,0)),0,1/VLOOKUP($N444,Capa!$A:$AE,AV$5,0))))</f>
        <v/>
      </c>
      <c r="AW444" s="118" t="str">
        <f>IF(AW$6="","",IF(AW$3="Maior",IFERROR(IF(VLOOKUP($N444,Capa!$A:$AE,AW$5,0)="",0,VLOOKUP($N444,Capa!$A:$AE,AW$5,0)),0),IF(ISERROR(1/VLOOKUP($N444,Capa!$A:$AE,AW$5,0)),0,1/VLOOKUP($N444,Capa!$A:$AE,AW$5,0))))</f>
        <v/>
      </c>
      <c r="AX444" s="118" t="str">
        <f>IF(AX$6="","",IF(AX$3="Maior",IFERROR(IF(VLOOKUP($N444,Capa!$A:$AE,AX$5,0)="",0,VLOOKUP($N444,Capa!$A:$AE,AX$5,0)),0),IF(ISERROR(1/VLOOKUP($N444,Capa!$A:$AE,AX$5,0)),0,1/VLOOKUP($N444,Capa!$A:$AE,AX$5,0))))</f>
        <v/>
      </c>
      <c r="AY444" s="118" t="str">
        <f>IF(AY$6="","",IF(AY$3="Maior",IFERROR(IF(VLOOKUP($N444,Capa!$A:$AE,AY$5,0)="",0,VLOOKUP($N444,Capa!$A:$AE,AY$5,0)),0),IF(ISERROR(1/VLOOKUP($N444,Capa!$A:$AE,AY$5,0)),0,1/VLOOKUP($N444,Capa!$A:$AE,AY$5,0))))</f>
        <v/>
      </c>
      <c r="AZ444" s="118" t="str">
        <f>IF(AZ$6="","",IF(AZ$3="Maior",IFERROR(IF(VLOOKUP($N444,Capa!$A:$AE,AZ$5,0)="",0,VLOOKUP($N444,Capa!$A:$AE,AZ$5,0)),0),IF(ISERROR(1/VLOOKUP($N444,Capa!$A:$AE,AZ$5,0)),0,1/VLOOKUP($N444,Capa!$A:$AE,AZ$5,0))))</f>
        <v/>
      </c>
      <c r="BA444" s="118" t="str">
        <f>IF(BA$6="","",IF(BA$3="Maior",IFERROR(IF(VLOOKUP($N444,Capa!$A:$AE,BA$5,0)="",0,VLOOKUP($N444,Capa!$A:$AE,BA$5,0)),0),IF(ISERROR(1/VLOOKUP($N444,Capa!$A:$AE,BA$5,0)),0,1/VLOOKUP($N444,Capa!$A:$AE,BA$5,0))))</f>
        <v/>
      </c>
      <c r="BB444" s="118" t="str">
        <f>IF(BB$6="","",IF(BB$3="Maior",IFERROR(IF(VLOOKUP($N444,Capa!$A:$AE,BB$5,0)="",0,VLOOKUP($N444,Capa!$A:$AE,BB$5,0)),0),IF(ISERROR(1/VLOOKUP($N444,Capa!$A:$AE,BB$5,0)),0,1/VLOOKUP($N444,Capa!$A:$AE,BB$5,0))))</f>
        <v/>
      </c>
      <c r="BC444" s="118" t="str">
        <f>IF(BC$6="","",IF(BC$3="Maior",IFERROR(IF(VLOOKUP($N444,Capa!$A:$AE,BC$5,0)="",0,VLOOKUP($N444,Capa!$A:$AE,BC$5,0)),0),IF(ISERROR(1/VLOOKUP($N444,Capa!$A:$AE,BC$5,0)),0,1/VLOOKUP($N444,Capa!$A:$AE,BC$5,0))))</f>
        <v/>
      </c>
      <c r="BD444" s="118" t="str">
        <f>IF(BD$6="","",IF(BD$3="Maior",IFERROR(IF(VLOOKUP($N444,Capa!$A:$AE,BD$5,0)="",0,VLOOKUP($N444,Capa!$A:$AE,BD$5,0)),0),IF(ISERROR(1/VLOOKUP($N444,Capa!$A:$AE,BD$5,0)),0,1/VLOOKUP($N444,Capa!$A:$AE,BD$5,0))))</f>
        <v/>
      </c>
      <c r="BE444" s="118" t="str">
        <f>IF(BE$6="","",IF(BE$3="Maior",IFERROR(IF(VLOOKUP($N444,Capa!$A:$AE,BE$5,0)="",0,VLOOKUP($N444,Capa!$A:$AE,BE$5,0)),0),IF(ISERROR(1/VLOOKUP($N444,Capa!$A:$AE,BE$5,0)),0,1/VLOOKUP($N444,Capa!$A:$AE,BE$5,0))))</f>
        <v/>
      </c>
      <c r="BF444" s="118" t="str">
        <f>IF(BF$6="","",IF(BF$3="Maior",IFERROR(IF(VLOOKUP($N444,Capa!$A:$AE,BF$5,0)="",0,VLOOKUP($N444,Capa!$A:$AE,BF$5,0)),0),IF(ISERROR(1/VLOOKUP($N444,Capa!$A:$AE,BF$5,0)),0,1/VLOOKUP($N444,Capa!$A:$AE,BF$5,0))))</f>
        <v/>
      </c>
      <c r="BG444" s="118" t="str">
        <f>IF(BG$6="","",IF(BG$3="Maior",IFERROR(IF(VLOOKUP($N444,Capa!$A:$AE,BG$5,0)="",0,VLOOKUP($N444,Capa!$A:$AE,BG$5,0)),0),IF(ISERROR(1/VLOOKUP($N444,Capa!$A:$AE,BG$5,0)),0,1/VLOOKUP($N444,Capa!$A:$AE,BG$5,0))))</f>
        <v/>
      </c>
      <c r="BH444" s="118" t="str">
        <f>IF(BH$6="","",IF(BH$3="Maior",IFERROR(IF(VLOOKUP($N444,Capa!$A:$AE,BH$5,0)="",0,VLOOKUP($N444,Capa!$A:$AE,BH$5,0)),0),IF(ISERROR(1/VLOOKUP($N444,Capa!$A:$AE,BH$5,0)),0,1/VLOOKUP($N444,Capa!$A:$AE,BH$5,0))))</f>
        <v/>
      </c>
      <c r="BI444" s="118" t="str">
        <f>IF(BI$6="","",IF(BI$3="Maior",IFERROR(IF(VLOOKUP($N444,Capa!$A:$AE,BI$5,0)="",0,VLOOKUP($N444,Capa!$A:$AE,BI$5,0)),0),IF(ISERROR(1/VLOOKUP($N444,Capa!$A:$AE,BI$5,0)),0,1/VLOOKUP($N444,Capa!$A:$AE,BI$5,0))))</f>
        <v/>
      </c>
      <c r="BJ444" s="118" t="str">
        <f>IF(BJ$6="","",IF(BJ$3="Maior",IFERROR(IF(VLOOKUP($N444,Capa!$A:$AE,BJ$5,0)="",0,VLOOKUP($N444,Capa!$A:$AE,BJ$5,0)),0),IF(ISERROR(1/VLOOKUP($N444,Capa!$A:$AE,BJ$5,0)),0,1/VLOOKUP($N444,Capa!$A:$AE,BJ$5,0))))</f>
        <v/>
      </c>
      <c r="BK444" s="118" t="str">
        <f>IF(BK$6="","",IF(BK$3="Maior",IFERROR(IF(VLOOKUP($N444,Capa!$A:$AE,BK$5,0)="",0,VLOOKUP($N444,Capa!$A:$AE,BK$5,0)),0),IF(ISERROR(1/VLOOKUP($N444,Capa!$A:$AE,BK$5,0)),0,1/VLOOKUP($N444,Capa!$A:$AE,BK$5,0))))</f>
        <v/>
      </c>
      <c r="BL444" s="118" t="str">
        <f>IF(BL$6="","",IF(BL$3="Maior",IFERROR(IF(VLOOKUP($N444,Capa!$A:$AE,BL$5,0)="",0,VLOOKUP($N444,Capa!$A:$AE,BL$5,0)),0),IF(ISERROR(1/VLOOKUP($N444,Capa!$A:$AE,BL$5,0)),0,1/VLOOKUP($N444,Capa!$A:$AE,BL$5,0))))</f>
        <v/>
      </c>
      <c r="BM444" s="118" t="str">
        <f>IF(BM$6="","",IF(BM$3="Maior",IFERROR(IF(VLOOKUP($N444,Capa!$A:$AE,BM$5,0)="",0,VLOOKUP($N444,Capa!$A:$AE,BM$5,0)),0),IF(ISERROR(1/VLOOKUP($N444,Capa!$A:$AE,BM$5,0)),0,1/VLOOKUP($N444,Capa!$A:$AE,BM$5,0))))</f>
        <v/>
      </c>
      <c r="BN444" s="118" t="str">
        <f>IF(BN$6="","",IF(BN$3="Maior",IFERROR(IF(VLOOKUP($N444,Capa!$A:$AE,BN$5,0)="",0,VLOOKUP($N444,Capa!$A:$AE,BN$5,0)),0),IF(ISERROR(1/VLOOKUP($N444,Capa!$A:$AE,BN$5,0)),0,1/VLOOKUP($N444,Capa!$A:$AE,BN$5,0))))</f>
        <v/>
      </c>
      <c r="BO444" s="92"/>
    </row>
    <row r="445">
      <c r="I445" s="73"/>
      <c r="J445" s="74"/>
      <c r="N445" s="10" t="s">
        <v>491</v>
      </c>
      <c r="O445" s="113">
        <f t="shared" si="8"/>
        <v>1902.0225</v>
      </c>
      <c r="P445" s="114">
        <f>VLOOKUP(N445,'Dados StatusInvest'!A:Z,26,0)</f>
        <v>4644.67</v>
      </c>
      <c r="Q445" s="115">
        <f t="shared" si="9"/>
        <v>225.0225</v>
      </c>
      <c r="R445" s="116">
        <f t="shared" ref="R445:AO445" si="448">IF(AQ445="","", RANK(AQ445,AQ$7:AQ$503,0))</f>
        <v>458</v>
      </c>
      <c r="S445" s="115">
        <f t="shared" si="448"/>
        <v>219</v>
      </c>
      <c r="T445" s="115" t="str">
        <f t="shared" si="448"/>
        <v/>
      </c>
      <c r="U445" s="115" t="str">
        <f t="shared" si="448"/>
        <v/>
      </c>
      <c r="V445" s="115" t="str">
        <f t="shared" si="448"/>
        <v/>
      </c>
      <c r="W445" s="115" t="str">
        <f t="shared" si="448"/>
        <v/>
      </c>
      <c r="X445" s="115" t="str">
        <f t="shared" si="448"/>
        <v/>
      </c>
      <c r="Y445" s="115" t="str">
        <f t="shared" si="448"/>
        <v/>
      </c>
      <c r="Z445" s="115" t="str">
        <f t="shared" si="448"/>
        <v/>
      </c>
      <c r="AA445" s="115" t="str">
        <f t="shared" si="448"/>
        <v/>
      </c>
      <c r="AB445" s="115" t="str">
        <f t="shared" si="448"/>
        <v/>
      </c>
      <c r="AC445" s="115" t="str">
        <f t="shared" si="448"/>
        <v/>
      </c>
      <c r="AD445" s="115" t="str">
        <f t="shared" si="448"/>
        <v/>
      </c>
      <c r="AE445" s="115" t="str">
        <f t="shared" si="448"/>
        <v/>
      </c>
      <c r="AF445" s="115" t="str">
        <f t="shared" si="448"/>
        <v/>
      </c>
      <c r="AG445" s="115" t="str">
        <f t="shared" si="448"/>
        <v/>
      </c>
      <c r="AH445" s="115" t="str">
        <f t="shared" si="448"/>
        <v/>
      </c>
      <c r="AI445" s="115" t="str">
        <f t="shared" si="448"/>
        <v/>
      </c>
      <c r="AJ445" s="115" t="str">
        <f t="shared" si="448"/>
        <v/>
      </c>
      <c r="AK445" s="115" t="str">
        <f t="shared" si="448"/>
        <v/>
      </c>
      <c r="AL445" s="115" t="str">
        <f t="shared" si="448"/>
        <v/>
      </c>
      <c r="AM445" s="115" t="str">
        <f t="shared" si="448"/>
        <v/>
      </c>
      <c r="AN445" s="115" t="str">
        <f t="shared" si="448"/>
        <v/>
      </c>
      <c r="AO445" s="115" t="str">
        <f t="shared" si="448"/>
        <v/>
      </c>
      <c r="AP445" s="117">
        <f>IF(AP$6="","",IF(AP$3="Maior",IFERROR(IF(VLOOKUP($N445,Capa!$A:$AE,AP$5,0)="",0,VLOOKUP($N445,Capa!$A:$AE,AP$5,0)),0),IF(ISERROR(1/VLOOKUP($N445,Capa!$A:$AE,AP$5,0)),0,1/VLOOKUP($N445,Capa!$A:$AE,AP$5,0))))</f>
        <v>0.09009009009</v>
      </c>
      <c r="AQ445" s="118">
        <f>IF(AQ$6="","",IF(AQ$3="Maior",IFERROR(IF(VLOOKUP($N445,Capa!$A:$AE,AQ$5,0)="",0,VLOOKUP($N445,Capa!$A:$AE,AQ$5,0)),0),IF(ISERROR(1/VLOOKUP($N445,Capa!$A:$AE,AQ$5,0)),0,1/VLOOKUP($N445,Capa!$A:$AE,AQ$5,0))))</f>
        <v>-8.25</v>
      </c>
      <c r="AR445" s="118">
        <f>IF(AR$6="","",IF(AR$3="Maior",IFERROR(IF(VLOOKUP($N445,Capa!$A:$AE,AR$5,0)="",0,VLOOKUP($N445,Capa!$A:$AE,AR$5,0)),0),IF(ISERROR(1/VLOOKUP($N445,Capa!$A:$AE,AR$5,0)),0,1/VLOOKUP($N445,Capa!$A:$AE,AR$5,0))))</f>
        <v>0</v>
      </c>
      <c r="AS445" s="118" t="str">
        <f>IF(AS$6="","",IF(AS$3="Maior",IFERROR(IF(VLOOKUP($N445,Capa!$A:$AE,AS$5,0)="",0,VLOOKUP($N445,Capa!$A:$AE,AS$5,0)),0),IF(ISERROR(1/VLOOKUP($N445,Capa!$A:$AE,AS$5,0)),0,1/VLOOKUP($N445,Capa!$A:$AE,AS$5,0))))</f>
        <v/>
      </c>
      <c r="AT445" s="118" t="str">
        <f>IF(AT$6="","",IF(AT$3="Maior",IFERROR(IF(VLOOKUP($N445,Capa!$A:$AE,AT$5,0)="",0,VLOOKUP($N445,Capa!$A:$AE,AT$5,0)),0),IF(ISERROR(1/VLOOKUP($N445,Capa!$A:$AE,AT$5,0)),0,1/VLOOKUP($N445,Capa!$A:$AE,AT$5,0))))</f>
        <v/>
      </c>
      <c r="AU445" s="118" t="str">
        <f>IF(AU$6="","",IF(AU$3="Maior",IFERROR(IF(VLOOKUP($N445,Capa!$A:$AE,AU$5,0)="",0,VLOOKUP($N445,Capa!$A:$AE,AU$5,0)),0),IF(ISERROR(1/VLOOKUP($N445,Capa!$A:$AE,AU$5,0)),0,1/VLOOKUP($N445,Capa!$A:$AE,AU$5,0))))</f>
        <v/>
      </c>
      <c r="AV445" s="118" t="str">
        <f>IF(AV$6="","",IF(AV$3="Maior",IFERROR(IF(VLOOKUP($N445,Capa!$A:$AE,AV$5,0)="",0,VLOOKUP($N445,Capa!$A:$AE,AV$5,0)),0),IF(ISERROR(1/VLOOKUP($N445,Capa!$A:$AE,AV$5,0)),0,1/VLOOKUP($N445,Capa!$A:$AE,AV$5,0))))</f>
        <v/>
      </c>
      <c r="AW445" s="118" t="str">
        <f>IF(AW$6="","",IF(AW$3="Maior",IFERROR(IF(VLOOKUP($N445,Capa!$A:$AE,AW$5,0)="",0,VLOOKUP($N445,Capa!$A:$AE,AW$5,0)),0),IF(ISERROR(1/VLOOKUP($N445,Capa!$A:$AE,AW$5,0)),0,1/VLOOKUP($N445,Capa!$A:$AE,AW$5,0))))</f>
        <v/>
      </c>
      <c r="AX445" s="118" t="str">
        <f>IF(AX$6="","",IF(AX$3="Maior",IFERROR(IF(VLOOKUP($N445,Capa!$A:$AE,AX$5,0)="",0,VLOOKUP($N445,Capa!$A:$AE,AX$5,0)),0),IF(ISERROR(1/VLOOKUP($N445,Capa!$A:$AE,AX$5,0)),0,1/VLOOKUP($N445,Capa!$A:$AE,AX$5,0))))</f>
        <v/>
      </c>
      <c r="AY445" s="118" t="str">
        <f>IF(AY$6="","",IF(AY$3="Maior",IFERROR(IF(VLOOKUP($N445,Capa!$A:$AE,AY$5,0)="",0,VLOOKUP($N445,Capa!$A:$AE,AY$5,0)),0),IF(ISERROR(1/VLOOKUP($N445,Capa!$A:$AE,AY$5,0)),0,1/VLOOKUP($N445,Capa!$A:$AE,AY$5,0))))</f>
        <v/>
      </c>
      <c r="AZ445" s="118" t="str">
        <f>IF(AZ$6="","",IF(AZ$3="Maior",IFERROR(IF(VLOOKUP($N445,Capa!$A:$AE,AZ$5,0)="",0,VLOOKUP($N445,Capa!$A:$AE,AZ$5,0)),0),IF(ISERROR(1/VLOOKUP($N445,Capa!$A:$AE,AZ$5,0)),0,1/VLOOKUP($N445,Capa!$A:$AE,AZ$5,0))))</f>
        <v/>
      </c>
      <c r="BA445" s="118" t="str">
        <f>IF(BA$6="","",IF(BA$3="Maior",IFERROR(IF(VLOOKUP($N445,Capa!$A:$AE,BA$5,0)="",0,VLOOKUP($N445,Capa!$A:$AE,BA$5,0)),0),IF(ISERROR(1/VLOOKUP($N445,Capa!$A:$AE,BA$5,0)),0,1/VLOOKUP($N445,Capa!$A:$AE,BA$5,0))))</f>
        <v/>
      </c>
      <c r="BB445" s="118" t="str">
        <f>IF(BB$6="","",IF(BB$3="Maior",IFERROR(IF(VLOOKUP($N445,Capa!$A:$AE,BB$5,0)="",0,VLOOKUP($N445,Capa!$A:$AE,BB$5,0)),0),IF(ISERROR(1/VLOOKUP($N445,Capa!$A:$AE,BB$5,0)),0,1/VLOOKUP($N445,Capa!$A:$AE,BB$5,0))))</f>
        <v/>
      </c>
      <c r="BC445" s="118" t="str">
        <f>IF(BC$6="","",IF(BC$3="Maior",IFERROR(IF(VLOOKUP($N445,Capa!$A:$AE,BC$5,0)="",0,VLOOKUP($N445,Capa!$A:$AE,BC$5,0)),0),IF(ISERROR(1/VLOOKUP($N445,Capa!$A:$AE,BC$5,0)),0,1/VLOOKUP($N445,Capa!$A:$AE,BC$5,0))))</f>
        <v/>
      </c>
      <c r="BD445" s="118" t="str">
        <f>IF(BD$6="","",IF(BD$3="Maior",IFERROR(IF(VLOOKUP($N445,Capa!$A:$AE,BD$5,0)="",0,VLOOKUP($N445,Capa!$A:$AE,BD$5,0)),0),IF(ISERROR(1/VLOOKUP($N445,Capa!$A:$AE,BD$5,0)),0,1/VLOOKUP($N445,Capa!$A:$AE,BD$5,0))))</f>
        <v/>
      </c>
      <c r="BE445" s="118" t="str">
        <f>IF(BE$6="","",IF(BE$3="Maior",IFERROR(IF(VLOOKUP($N445,Capa!$A:$AE,BE$5,0)="",0,VLOOKUP($N445,Capa!$A:$AE,BE$5,0)),0),IF(ISERROR(1/VLOOKUP($N445,Capa!$A:$AE,BE$5,0)),0,1/VLOOKUP($N445,Capa!$A:$AE,BE$5,0))))</f>
        <v/>
      </c>
      <c r="BF445" s="118" t="str">
        <f>IF(BF$6="","",IF(BF$3="Maior",IFERROR(IF(VLOOKUP($N445,Capa!$A:$AE,BF$5,0)="",0,VLOOKUP($N445,Capa!$A:$AE,BF$5,0)),0),IF(ISERROR(1/VLOOKUP($N445,Capa!$A:$AE,BF$5,0)),0,1/VLOOKUP($N445,Capa!$A:$AE,BF$5,0))))</f>
        <v/>
      </c>
      <c r="BG445" s="118" t="str">
        <f>IF(BG$6="","",IF(BG$3="Maior",IFERROR(IF(VLOOKUP($N445,Capa!$A:$AE,BG$5,0)="",0,VLOOKUP($N445,Capa!$A:$AE,BG$5,0)),0),IF(ISERROR(1/VLOOKUP($N445,Capa!$A:$AE,BG$5,0)),0,1/VLOOKUP($N445,Capa!$A:$AE,BG$5,0))))</f>
        <v/>
      </c>
      <c r="BH445" s="118" t="str">
        <f>IF(BH$6="","",IF(BH$3="Maior",IFERROR(IF(VLOOKUP($N445,Capa!$A:$AE,BH$5,0)="",0,VLOOKUP($N445,Capa!$A:$AE,BH$5,0)),0),IF(ISERROR(1/VLOOKUP($N445,Capa!$A:$AE,BH$5,0)),0,1/VLOOKUP($N445,Capa!$A:$AE,BH$5,0))))</f>
        <v/>
      </c>
      <c r="BI445" s="118" t="str">
        <f>IF(BI$6="","",IF(BI$3="Maior",IFERROR(IF(VLOOKUP($N445,Capa!$A:$AE,BI$5,0)="",0,VLOOKUP($N445,Capa!$A:$AE,BI$5,0)),0),IF(ISERROR(1/VLOOKUP($N445,Capa!$A:$AE,BI$5,0)),0,1/VLOOKUP($N445,Capa!$A:$AE,BI$5,0))))</f>
        <v/>
      </c>
      <c r="BJ445" s="118" t="str">
        <f>IF(BJ$6="","",IF(BJ$3="Maior",IFERROR(IF(VLOOKUP($N445,Capa!$A:$AE,BJ$5,0)="",0,VLOOKUP($N445,Capa!$A:$AE,BJ$5,0)),0),IF(ISERROR(1/VLOOKUP($N445,Capa!$A:$AE,BJ$5,0)),0,1/VLOOKUP($N445,Capa!$A:$AE,BJ$5,0))))</f>
        <v/>
      </c>
      <c r="BK445" s="118" t="str">
        <f>IF(BK$6="","",IF(BK$3="Maior",IFERROR(IF(VLOOKUP($N445,Capa!$A:$AE,BK$5,0)="",0,VLOOKUP($N445,Capa!$A:$AE,BK$5,0)),0),IF(ISERROR(1/VLOOKUP($N445,Capa!$A:$AE,BK$5,0)),0,1/VLOOKUP($N445,Capa!$A:$AE,BK$5,0))))</f>
        <v/>
      </c>
      <c r="BL445" s="118" t="str">
        <f>IF(BL$6="","",IF(BL$3="Maior",IFERROR(IF(VLOOKUP($N445,Capa!$A:$AE,BL$5,0)="",0,VLOOKUP($N445,Capa!$A:$AE,BL$5,0)),0),IF(ISERROR(1/VLOOKUP($N445,Capa!$A:$AE,BL$5,0)),0,1/VLOOKUP($N445,Capa!$A:$AE,BL$5,0))))</f>
        <v/>
      </c>
      <c r="BM445" s="118" t="str">
        <f>IF(BM$6="","",IF(BM$3="Maior",IFERROR(IF(VLOOKUP($N445,Capa!$A:$AE,BM$5,0)="",0,VLOOKUP($N445,Capa!$A:$AE,BM$5,0)),0),IF(ISERROR(1/VLOOKUP($N445,Capa!$A:$AE,BM$5,0)),0,1/VLOOKUP($N445,Capa!$A:$AE,BM$5,0))))</f>
        <v/>
      </c>
      <c r="BN445" s="118" t="str">
        <f>IF(BN$6="","",IF(BN$3="Maior",IFERROR(IF(VLOOKUP($N445,Capa!$A:$AE,BN$5,0)="",0,VLOOKUP($N445,Capa!$A:$AE,BN$5,0)),0),IF(ISERROR(1/VLOOKUP($N445,Capa!$A:$AE,BN$5,0)),0,1/VLOOKUP($N445,Capa!$A:$AE,BN$5,0))))</f>
        <v/>
      </c>
      <c r="BO445" s="92"/>
    </row>
    <row r="446">
      <c r="I446" s="73"/>
      <c r="J446" s="74"/>
      <c r="N446" s="10" t="s">
        <v>492</v>
      </c>
      <c r="O446" s="113">
        <f t="shared" si="8"/>
        <v>1799.021</v>
      </c>
      <c r="P446" s="114">
        <f>VLOOKUP(N446,'Dados StatusInvest'!A:Z,26,0)</f>
        <v>13000</v>
      </c>
      <c r="Q446" s="115">
        <f t="shared" si="9"/>
        <v>210.021</v>
      </c>
      <c r="R446" s="116">
        <f t="shared" ref="R446:AO446" si="449">IF(AQ446="","", RANK(AQ446,AQ$7:AQ$503,0))</f>
        <v>375</v>
      </c>
      <c r="S446" s="115">
        <f t="shared" si="449"/>
        <v>214</v>
      </c>
      <c r="T446" s="115" t="str">
        <f t="shared" si="449"/>
        <v/>
      </c>
      <c r="U446" s="115" t="str">
        <f t="shared" si="449"/>
        <v/>
      </c>
      <c r="V446" s="115" t="str">
        <f t="shared" si="449"/>
        <v/>
      </c>
      <c r="W446" s="115" t="str">
        <f t="shared" si="449"/>
        <v/>
      </c>
      <c r="X446" s="115" t="str">
        <f t="shared" si="449"/>
        <v/>
      </c>
      <c r="Y446" s="115" t="str">
        <f t="shared" si="449"/>
        <v/>
      </c>
      <c r="Z446" s="115" t="str">
        <f t="shared" si="449"/>
        <v/>
      </c>
      <c r="AA446" s="115" t="str">
        <f t="shared" si="449"/>
        <v/>
      </c>
      <c r="AB446" s="115" t="str">
        <f t="shared" si="449"/>
        <v/>
      </c>
      <c r="AC446" s="115" t="str">
        <f t="shared" si="449"/>
        <v/>
      </c>
      <c r="AD446" s="115" t="str">
        <f t="shared" si="449"/>
        <v/>
      </c>
      <c r="AE446" s="115" t="str">
        <f t="shared" si="449"/>
        <v/>
      </c>
      <c r="AF446" s="115" t="str">
        <f t="shared" si="449"/>
        <v/>
      </c>
      <c r="AG446" s="115" t="str">
        <f t="shared" si="449"/>
        <v/>
      </c>
      <c r="AH446" s="115" t="str">
        <f t="shared" si="449"/>
        <v/>
      </c>
      <c r="AI446" s="115" t="str">
        <f t="shared" si="449"/>
        <v/>
      </c>
      <c r="AJ446" s="115" t="str">
        <f t="shared" si="449"/>
        <v/>
      </c>
      <c r="AK446" s="115" t="str">
        <f t="shared" si="449"/>
        <v/>
      </c>
      <c r="AL446" s="115" t="str">
        <f t="shared" si="449"/>
        <v/>
      </c>
      <c r="AM446" s="115" t="str">
        <f t="shared" si="449"/>
        <v/>
      </c>
      <c r="AN446" s="115" t="str">
        <f t="shared" si="449"/>
        <v/>
      </c>
      <c r="AO446" s="115" t="str">
        <f t="shared" si="449"/>
        <v/>
      </c>
      <c r="AP446" s="117">
        <f>IF(AP$6="","",IF(AP$3="Maior",IFERROR(IF(VLOOKUP($N446,Capa!$A:$AE,AP$5,0)="",0,VLOOKUP($N446,Capa!$A:$AE,AP$5,0)),0),IF(ISERROR(1/VLOOKUP($N446,Capa!$A:$AE,AP$5,0)),0,1/VLOOKUP($N446,Capa!$A:$AE,AP$5,0))))</f>
        <v>0.1002004008</v>
      </c>
      <c r="AQ446" s="118">
        <f>IF(AQ$6="","",IF(AQ$3="Maior",IFERROR(IF(VLOOKUP($N446,Capa!$A:$AE,AQ$5,0)="",0,VLOOKUP($N446,Capa!$A:$AE,AQ$5,0)),0),IF(ISERROR(1/VLOOKUP($N446,Capa!$A:$AE,AQ$5,0)),0,1/VLOOKUP($N446,Capa!$A:$AE,AQ$5,0))))</f>
        <v>0</v>
      </c>
      <c r="AR446" s="118">
        <f>IF(AR$6="","",IF(AR$3="Maior",IFERROR(IF(VLOOKUP($N446,Capa!$A:$AE,AR$5,0)="",0,VLOOKUP($N446,Capa!$A:$AE,AR$5,0)),0),IF(ISERROR(1/VLOOKUP($N446,Capa!$A:$AE,AR$5,0)),0,1/VLOOKUP($N446,Capa!$A:$AE,AR$5,0))))</f>
        <v>0.35</v>
      </c>
      <c r="AS446" s="118" t="str">
        <f>IF(AS$6="","",IF(AS$3="Maior",IFERROR(IF(VLOOKUP($N446,Capa!$A:$AE,AS$5,0)="",0,VLOOKUP($N446,Capa!$A:$AE,AS$5,0)),0),IF(ISERROR(1/VLOOKUP($N446,Capa!$A:$AE,AS$5,0)),0,1/VLOOKUP($N446,Capa!$A:$AE,AS$5,0))))</f>
        <v/>
      </c>
      <c r="AT446" s="118" t="str">
        <f>IF(AT$6="","",IF(AT$3="Maior",IFERROR(IF(VLOOKUP($N446,Capa!$A:$AE,AT$5,0)="",0,VLOOKUP($N446,Capa!$A:$AE,AT$5,0)),0),IF(ISERROR(1/VLOOKUP($N446,Capa!$A:$AE,AT$5,0)),0,1/VLOOKUP($N446,Capa!$A:$AE,AT$5,0))))</f>
        <v/>
      </c>
      <c r="AU446" s="118" t="str">
        <f>IF(AU$6="","",IF(AU$3="Maior",IFERROR(IF(VLOOKUP($N446,Capa!$A:$AE,AU$5,0)="",0,VLOOKUP($N446,Capa!$A:$AE,AU$5,0)),0),IF(ISERROR(1/VLOOKUP($N446,Capa!$A:$AE,AU$5,0)),0,1/VLOOKUP($N446,Capa!$A:$AE,AU$5,0))))</f>
        <v/>
      </c>
      <c r="AV446" s="118" t="str">
        <f>IF(AV$6="","",IF(AV$3="Maior",IFERROR(IF(VLOOKUP($N446,Capa!$A:$AE,AV$5,0)="",0,VLOOKUP($N446,Capa!$A:$AE,AV$5,0)),0),IF(ISERROR(1/VLOOKUP($N446,Capa!$A:$AE,AV$5,0)),0,1/VLOOKUP($N446,Capa!$A:$AE,AV$5,0))))</f>
        <v/>
      </c>
      <c r="AW446" s="118" t="str">
        <f>IF(AW$6="","",IF(AW$3="Maior",IFERROR(IF(VLOOKUP($N446,Capa!$A:$AE,AW$5,0)="",0,VLOOKUP($N446,Capa!$A:$AE,AW$5,0)),0),IF(ISERROR(1/VLOOKUP($N446,Capa!$A:$AE,AW$5,0)),0,1/VLOOKUP($N446,Capa!$A:$AE,AW$5,0))))</f>
        <v/>
      </c>
      <c r="AX446" s="118" t="str">
        <f>IF(AX$6="","",IF(AX$3="Maior",IFERROR(IF(VLOOKUP($N446,Capa!$A:$AE,AX$5,0)="",0,VLOOKUP($N446,Capa!$A:$AE,AX$5,0)),0),IF(ISERROR(1/VLOOKUP($N446,Capa!$A:$AE,AX$5,0)),0,1/VLOOKUP($N446,Capa!$A:$AE,AX$5,0))))</f>
        <v/>
      </c>
      <c r="AY446" s="118" t="str">
        <f>IF(AY$6="","",IF(AY$3="Maior",IFERROR(IF(VLOOKUP($N446,Capa!$A:$AE,AY$5,0)="",0,VLOOKUP($N446,Capa!$A:$AE,AY$5,0)),0),IF(ISERROR(1/VLOOKUP($N446,Capa!$A:$AE,AY$5,0)),0,1/VLOOKUP($N446,Capa!$A:$AE,AY$5,0))))</f>
        <v/>
      </c>
      <c r="AZ446" s="118" t="str">
        <f>IF(AZ$6="","",IF(AZ$3="Maior",IFERROR(IF(VLOOKUP($N446,Capa!$A:$AE,AZ$5,0)="",0,VLOOKUP($N446,Capa!$A:$AE,AZ$5,0)),0),IF(ISERROR(1/VLOOKUP($N446,Capa!$A:$AE,AZ$5,0)),0,1/VLOOKUP($N446,Capa!$A:$AE,AZ$5,0))))</f>
        <v/>
      </c>
      <c r="BA446" s="118" t="str">
        <f>IF(BA$6="","",IF(BA$3="Maior",IFERROR(IF(VLOOKUP($N446,Capa!$A:$AE,BA$5,0)="",0,VLOOKUP($N446,Capa!$A:$AE,BA$5,0)),0),IF(ISERROR(1/VLOOKUP($N446,Capa!$A:$AE,BA$5,0)),0,1/VLOOKUP($N446,Capa!$A:$AE,BA$5,0))))</f>
        <v/>
      </c>
      <c r="BB446" s="118" t="str">
        <f>IF(BB$6="","",IF(BB$3="Maior",IFERROR(IF(VLOOKUP($N446,Capa!$A:$AE,BB$5,0)="",0,VLOOKUP($N446,Capa!$A:$AE,BB$5,0)),0),IF(ISERROR(1/VLOOKUP($N446,Capa!$A:$AE,BB$5,0)),0,1/VLOOKUP($N446,Capa!$A:$AE,BB$5,0))))</f>
        <v/>
      </c>
      <c r="BC446" s="118" t="str">
        <f>IF(BC$6="","",IF(BC$3="Maior",IFERROR(IF(VLOOKUP($N446,Capa!$A:$AE,BC$5,0)="",0,VLOOKUP($N446,Capa!$A:$AE,BC$5,0)),0),IF(ISERROR(1/VLOOKUP($N446,Capa!$A:$AE,BC$5,0)),0,1/VLOOKUP($N446,Capa!$A:$AE,BC$5,0))))</f>
        <v/>
      </c>
      <c r="BD446" s="118" t="str">
        <f>IF(BD$6="","",IF(BD$3="Maior",IFERROR(IF(VLOOKUP($N446,Capa!$A:$AE,BD$5,0)="",0,VLOOKUP($N446,Capa!$A:$AE,BD$5,0)),0),IF(ISERROR(1/VLOOKUP($N446,Capa!$A:$AE,BD$5,0)),0,1/VLOOKUP($N446,Capa!$A:$AE,BD$5,0))))</f>
        <v/>
      </c>
      <c r="BE446" s="118" t="str">
        <f>IF(BE$6="","",IF(BE$3="Maior",IFERROR(IF(VLOOKUP($N446,Capa!$A:$AE,BE$5,0)="",0,VLOOKUP($N446,Capa!$A:$AE,BE$5,0)),0),IF(ISERROR(1/VLOOKUP($N446,Capa!$A:$AE,BE$5,0)),0,1/VLOOKUP($N446,Capa!$A:$AE,BE$5,0))))</f>
        <v/>
      </c>
      <c r="BF446" s="118" t="str">
        <f>IF(BF$6="","",IF(BF$3="Maior",IFERROR(IF(VLOOKUP($N446,Capa!$A:$AE,BF$5,0)="",0,VLOOKUP($N446,Capa!$A:$AE,BF$5,0)),0),IF(ISERROR(1/VLOOKUP($N446,Capa!$A:$AE,BF$5,0)),0,1/VLOOKUP($N446,Capa!$A:$AE,BF$5,0))))</f>
        <v/>
      </c>
      <c r="BG446" s="118" t="str">
        <f>IF(BG$6="","",IF(BG$3="Maior",IFERROR(IF(VLOOKUP($N446,Capa!$A:$AE,BG$5,0)="",0,VLOOKUP($N446,Capa!$A:$AE,BG$5,0)),0),IF(ISERROR(1/VLOOKUP($N446,Capa!$A:$AE,BG$5,0)),0,1/VLOOKUP($N446,Capa!$A:$AE,BG$5,0))))</f>
        <v/>
      </c>
      <c r="BH446" s="118" t="str">
        <f>IF(BH$6="","",IF(BH$3="Maior",IFERROR(IF(VLOOKUP($N446,Capa!$A:$AE,BH$5,0)="",0,VLOOKUP($N446,Capa!$A:$AE,BH$5,0)),0),IF(ISERROR(1/VLOOKUP($N446,Capa!$A:$AE,BH$5,0)),0,1/VLOOKUP($N446,Capa!$A:$AE,BH$5,0))))</f>
        <v/>
      </c>
      <c r="BI446" s="118" t="str">
        <f>IF(BI$6="","",IF(BI$3="Maior",IFERROR(IF(VLOOKUP($N446,Capa!$A:$AE,BI$5,0)="",0,VLOOKUP($N446,Capa!$A:$AE,BI$5,0)),0),IF(ISERROR(1/VLOOKUP($N446,Capa!$A:$AE,BI$5,0)),0,1/VLOOKUP($N446,Capa!$A:$AE,BI$5,0))))</f>
        <v/>
      </c>
      <c r="BJ446" s="118" t="str">
        <f>IF(BJ$6="","",IF(BJ$3="Maior",IFERROR(IF(VLOOKUP($N446,Capa!$A:$AE,BJ$5,0)="",0,VLOOKUP($N446,Capa!$A:$AE,BJ$5,0)),0),IF(ISERROR(1/VLOOKUP($N446,Capa!$A:$AE,BJ$5,0)),0,1/VLOOKUP($N446,Capa!$A:$AE,BJ$5,0))))</f>
        <v/>
      </c>
      <c r="BK446" s="118" t="str">
        <f>IF(BK$6="","",IF(BK$3="Maior",IFERROR(IF(VLOOKUP($N446,Capa!$A:$AE,BK$5,0)="",0,VLOOKUP($N446,Capa!$A:$AE,BK$5,0)),0),IF(ISERROR(1/VLOOKUP($N446,Capa!$A:$AE,BK$5,0)),0,1/VLOOKUP($N446,Capa!$A:$AE,BK$5,0))))</f>
        <v/>
      </c>
      <c r="BL446" s="118" t="str">
        <f>IF(BL$6="","",IF(BL$3="Maior",IFERROR(IF(VLOOKUP($N446,Capa!$A:$AE,BL$5,0)="",0,VLOOKUP($N446,Capa!$A:$AE,BL$5,0)),0),IF(ISERROR(1/VLOOKUP($N446,Capa!$A:$AE,BL$5,0)),0,1/VLOOKUP($N446,Capa!$A:$AE,BL$5,0))))</f>
        <v/>
      </c>
      <c r="BM446" s="118" t="str">
        <f>IF(BM$6="","",IF(BM$3="Maior",IFERROR(IF(VLOOKUP($N446,Capa!$A:$AE,BM$5,0)="",0,VLOOKUP($N446,Capa!$A:$AE,BM$5,0)),0),IF(ISERROR(1/VLOOKUP($N446,Capa!$A:$AE,BM$5,0)),0,1/VLOOKUP($N446,Capa!$A:$AE,BM$5,0))))</f>
        <v/>
      </c>
      <c r="BN446" s="118" t="str">
        <f>IF(BN$6="","",IF(BN$3="Maior",IFERROR(IF(VLOOKUP($N446,Capa!$A:$AE,BN$5,0)="",0,VLOOKUP($N446,Capa!$A:$AE,BN$5,0)),0),IF(ISERROR(1/VLOOKUP($N446,Capa!$A:$AE,BN$5,0)),0,1/VLOOKUP($N446,Capa!$A:$AE,BN$5,0))))</f>
        <v/>
      </c>
      <c r="BO446" s="92"/>
    </row>
    <row r="447">
      <c r="I447" s="73"/>
      <c r="J447" s="74"/>
      <c r="N447" s="10" t="s">
        <v>493</v>
      </c>
      <c r="O447" s="113">
        <f t="shared" si="8"/>
        <v>1713.0336</v>
      </c>
      <c r="P447" s="114">
        <f>VLOOKUP(N447,'Dados StatusInvest'!A:Z,26,0)</f>
        <v>4478.1</v>
      </c>
      <c r="Q447" s="115">
        <f t="shared" si="9"/>
        <v>336.0336</v>
      </c>
      <c r="R447" s="116">
        <f t="shared" ref="R447:AO447" si="450">IF(AQ447="","", RANK(AQ447,AQ$7:AQ$503,0))</f>
        <v>202</v>
      </c>
      <c r="S447" s="115">
        <f t="shared" si="450"/>
        <v>175</v>
      </c>
      <c r="T447" s="115" t="str">
        <f t="shared" si="450"/>
        <v/>
      </c>
      <c r="U447" s="115" t="str">
        <f t="shared" si="450"/>
        <v/>
      </c>
      <c r="V447" s="115" t="str">
        <f t="shared" si="450"/>
        <v/>
      </c>
      <c r="W447" s="115" t="str">
        <f t="shared" si="450"/>
        <v/>
      </c>
      <c r="X447" s="115" t="str">
        <f t="shared" si="450"/>
        <v/>
      </c>
      <c r="Y447" s="115" t="str">
        <f t="shared" si="450"/>
        <v/>
      </c>
      <c r="Z447" s="115" t="str">
        <f t="shared" si="450"/>
        <v/>
      </c>
      <c r="AA447" s="115" t="str">
        <f t="shared" si="450"/>
        <v/>
      </c>
      <c r="AB447" s="115" t="str">
        <f t="shared" si="450"/>
        <v/>
      </c>
      <c r="AC447" s="115" t="str">
        <f t="shared" si="450"/>
        <v/>
      </c>
      <c r="AD447" s="115" t="str">
        <f t="shared" si="450"/>
        <v/>
      </c>
      <c r="AE447" s="115" t="str">
        <f t="shared" si="450"/>
        <v/>
      </c>
      <c r="AF447" s="115" t="str">
        <f t="shared" si="450"/>
        <v/>
      </c>
      <c r="AG447" s="115" t="str">
        <f t="shared" si="450"/>
        <v/>
      </c>
      <c r="AH447" s="115" t="str">
        <f t="shared" si="450"/>
        <v/>
      </c>
      <c r="AI447" s="115" t="str">
        <f t="shared" si="450"/>
        <v/>
      </c>
      <c r="AJ447" s="115" t="str">
        <f t="shared" si="450"/>
        <v/>
      </c>
      <c r="AK447" s="115" t="str">
        <f t="shared" si="450"/>
        <v/>
      </c>
      <c r="AL447" s="115" t="str">
        <f t="shared" si="450"/>
        <v/>
      </c>
      <c r="AM447" s="115" t="str">
        <f t="shared" si="450"/>
        <v/>
      </c>
      <c r="AN447" s="115" t="str">
        <f t="shared" si="450"/>
        <v/>
      </c>
      <c r="AO447" s="115" t="str">
        <f t="shared" si="450"/>
        <v/>
      </c>
      <c r="AP447" s="117">
        <f>IF(AP$6="","",IF(AP$3="Maior",IFERROR(IF(VLOOKUP($N447,Capa!$A:$AE,AP$5,0)="",0,VLOOKUP($N447,Capa!$A:$AE,AP$5,0)),0),IF(ISERROR(1/VLOOKUP($N447,Capa!$A:$AE,AP$5,0)),0,1/VLOOKUP($N447,Capa!$A:$AE,AP$5,0))))</f>
        <v>0.03872966692</v>
      </c>
      <c r="AQ447" s="118">
        <f>IF(AQ$6="","",IF(AQ$3="Maior",IFERROR(IF(VLOOKUP($N447,Capa!$A:$AE,AQ$5,0)="",0,VLOOKUP($N447,Capa!$A:$AE,AQ$5,0)),0),IF(ISERROR(1/VLOOKUP($N447,Capa!$A:$AE,AQ$5,0)),0,1/VLOOKUP($N447,Capa!$A:$AE,AQ$5,0))))</f>
        <v>11.06</v>
      </c>
      <c r="AR447" s="118">
        <f>IF(AR$6="","",IF(AR$3="Maior",IFERROR(IF(VLOOKUP($N447,Capa!$A:$AE,AR$5,0)="",0,VLOOKUP($N447,Capa!$A:$AE,AR$5,0)),0),IF(ISERROR(1/VLOOKUP($N447,Capa!$A:$AE,AR$5,0)),0,1/VLOOKUP($N447,Capa!$A:$AE,AR$5,0))))</f>
        <v>9.35</v>
      </c>
      <c r="AS447" s="118" t="str">
        <f>IF(AS$6="","",IF(AS$3="Maior",IFERROR(IF(VLOOKUP($N447,Capa!$A:$AE,AS$5,0)="",0,VLOOKUP($N447,Capa!$A:$AE,AS$5,0)),0),IF(ISERROR(1/VLOOKUP($N447,Capa!$A:$AE,AS$5,0)),0,1/VLOOKUP($N447,Capa!$A:$AE,AS$5,0))))</f>
        <v/>
      </c>
      <c r="AT447" s="118" t="str">
        <f>IF(AT$6="","",IF(AT$3="Maior",IFERROR(IF(VLOOKUP($N447,Capa!$A:$AE,AT$5,0)="",0,VLOOKUP($N447,Capa!$A:$AE,AT$5,0)),0),IF(ISERROR(1/VLOOKUP($N447,Capa!$A:$AE,AT$5,0)),0,1/VLOOKUP($N447,Capa!$A:$AE,AT$5,0))))</f>
        <v/>
      </c>
      <c r="AU447" s="118" t="str">
        <f>IF(AU$6="","",IF(AU$3="Maior",IFERROR(IF(VLOOKUP($N447,Capa!$A:$AE,AU$5,0)="",0,VLOOKUP($N447,Capa!$A:$AE,AU$5,0)),0),IF(ISERROR(1/VLOOKUP($N447,Capa!$A:$AE,AU$5,0)),0,1/VLOOKUP($N447,Capa!$A:$AE,AU$5,0))))</f>
        <v/>
      </c>
      <c r="AV447" s="118" t="str">
        <f>IF(AV$6="","",IF(AV$3="Maior",IFERROR(IF(VLOOKUP($N447,Capa!$A:$AE,AV$5,0)="",0,VLOOKUP($N447,Capa!$A:$AE,AV$5,0)),0),IF(ISERROR(1/VLOOKUP($N447,Capa!$A:$AE,AV$5,0)),0,1/VLOOKUP($N447,Capa!$A:$AE,AV$5,0))))</f>
        <v/>
      </c>
      <c r="AW447" s="118" t="str">
        <f>IF(AW$6="","",IF(AW$3="Maior",IFERROR(IF(VLOOKUP($N447,Capa!$A:$AE,AW$5,0)="",0,VLOOKUP($N447,Capa!$A:$AE,AW$5,0)),0),IF(ISERROR(1/VLOOKUP($N447,Capa!$A:$AE,AW$5,0)),0,1/VLOOKUP($N447,Capa!$A:$AE,AW$5,0))))</f>
        <v/>
      </c>
      <c r="AX447" s="118" t="str">
        <f>IF(AX$6="","",IF(AX$3="Maior",IFERROR(IF(VLOOKUP($N447,Capa!$A:$AE,AX$5,0)="",0,VLOOKUP($N447,Capa!$A:$AE,AX$5,0)),0),IF(ISERROR(1/VLOOKUP($N447,Capa!$A:$AE,AX$5,0)),0,1/VLOOKUP($N447,Capa!$A:$AE,AX$5,0))))</f>
        <v/>
      </c>
      <c r="AY447" s="118" t="str">
        <f>IF(AY$6="","",IF(AY$3="Maior",IFERROR(IF(VLOOKUP($N447,Capa!$A:$AE,AY$5,0)="",0,VLOOKUP($N447,Capa!$A:$AE,AY$5,0)),0),IF(ISERROR(1/VLOOKUP($N447,Capa!$A:$AE,AY$5,0)),0,1/VLOOKUP($N447,Capa!$A:$AE,AY$5,0))))</f>
        <v/>
      </c>
      <c r="AZ447" s="118" t="str">
        <f>IF(AZ$6="","",IF(AZ$3="Maior",IFERROR(IF(VLOOKUP($N447,Capa!$A:$AE,AZ$5,0)="",0,VLOOKUP($N447,Capa!$A:$AE,AZ$5,0)),0),IF(ISERROR(1/VLOOKUP($N447,Capa!$A:$AE,AZ$5,0)),0,1/VLOOKUP($N447,Capa!$A:$AE,AZ$5,0))))</f>
        <v/>
      </c>
      <c r="BA447" s="118" t="str">
        <f>IF(BA$6="","",IF(BA$3="Maior",IFERROR(IF(VLOOKUP($N447,Capa!$A:$AE,BA$5,0)="",0,VLOOKUP($N447,Capa!$A:$AE,BA$5,0)),0),IF(ISERROR(1/VLOOKUP($N447,Capa!$A:$AE,BA$5,0)),0,1/VLOOKUP($N447,Capa!$A:$AE,BA$5,0))))</f>
        <v/>
      </c>
      <c r="BB447" s="118" t="str">
        <f>IF(BB$6="","",IF(BB$3="Maior",IFERROR(IF(VLOOKUP($N447,Capa!$A:$AE,BB$5,0)="",0,VLOOKUP($N447,Capa!$A:$AE,BB$5,0)),0),IF(ISERROR(1/VLOOKUP($N447,Capa!$A:$AE,BB$5,0)),0,1/VLOOKUP($N447,Capa!$A:$AE,BB$5,0))))</f>
        <v/>
      </c>
      <c r="BC447" s="118" t="str">
        <f>IF(BC$6="","",IF(BC$3="Maior",IFERROR(IF(VLOOKUP($N447,Capa!$A:$AE,BC$5,0)="",0,VLOOKUP($N447,Capa!$A:$AE,BC$5,0)),0),IF(ISERROR(1/VLOOKUP($N447,Capa!$A:$AE,BC$5,0)),0,1/VLOOKUP($N447,Capa!$A:$AE,BC$5,0))))</f>
        <v/>
      </c>
      <c r="BD447" s="118" t="str">
        <f>IF(BD$6="","",IF(BD$3="Maior",IFERROR(IF(VLOOKUP($N447,Capa!$A:$AE,BD$5,0)="",0,VLOOKUP($N447,Capa!$A:$AE,BD$5,0)),0),IF(ISERROR(1/VLOOKUP($N447,Capa!$A:$AE,BD$5,0)),0,1/VLOOKUP($N447,Capa!$A:$AE,BD$5,0))))</f>
        <v/>
      </c>
      <c r="BE447" s="118" t="str">
        <f>IF(BE$6="","",IF(BE$3="Maior",IFERROR(IF(VLOOKUP($N447,Capa!$A:$AE,BE$5,0)="",0,VLOOKUP($N447,Capa!$A:$AE,BE$5,0)),0),IF(ISERROR(1/VLOOKUP($N447,Capa!$A:$AE,BE$5,0)),0,1/VLOOKUP($N447,Capa!$A:$AE,BE$5,0))))</f>
        <v/>
      </c>
      <c r="BF447" s="118" t="str">
        <f>IF(BF$6="","",IF(BF$3="Maior",IFERROR(IF(VLOOKUP($N447,Capa!$A:$AE,BF$5,0)="",0,VLOOKUP($N447,Capa!$A:$AE,BF$5,0)),0),IF(ISERROR(1/VLOOKUP($N447,Capa!$A:$AE,BF$5,0)),0,1/VLOOKUP($N447,Capa!$A:$AE,BF$5,0))))</f>
        <v/>
      </c>
      <c r="BG447" s="118" t="str">
        <f>IF(BG$6="","",IF(BG$3="Maior",IFERROR(IF(VLOOKUP($N447,Capa!$A:$AE,BG$5,0)="",0,VLOOKUP($N447,Capa!$A:$AE,BG$5,0)),0),IF(ISERROR(1/VLOOKUP($N447,Capa!$A:$AE,BG$5,0)),0,1/VLOOKUP($N447,Capa!$A:$AE,BG$5,0))))</f>
        <v/>
      </c>
      <c r="BH447" s="118" t="str">
        <f>IF(BH$6="","",IF(BH$3="Maior",IFERROR(IF(VLOOKUP($N447,Capa!$A:$AE,BH$5,0)="",0,VLOOKUP($N447,Capa!$A:$AE,BH$5,0)),0),IF(ISERROR(1/VLOOKUP($N447,Capa!$A:$AE,BH$5,0)),0,1/VLOOKUP($N447,Capa!$A:$AE,BH$5,0))))</f>
        <v/>
      </c>
      <c r="BI447" s="118" t="str">
        <f>IF(BI$6="","",IF(BI$3="Maior",IFERROR(IF(VLOOKUP($N447,Capa!$A:$AE,BI$5,0)="",0,VLOOKUP($N447,Capa!$A:$AE,BI$5,0)),0),IF(ISERROR(1/VLOOKUP($N447,Capa!$A:$AE,BI$5,0)),0,1/VLOOKUP($N447,Capa!$A:$AE,BI$5,0))))</f>
        <v/>
      </c>
      <c r="BJ447" s="118" t="str">
        <f>IF(BJ$6="","",IF(BJ$3="Maior",IFERROR(IF(VLOOKUP($N447,Capa!$A:$AE,BJ$5,0)="",0,VLOOKUP($N447,Capa!$A:$AE,BJ$5,0)),0),IF(ISERROR(1/VLOOKUP($N447,Capa!$A:$AE,BJ$5,0)),0,1/VLOOKUP($N447,Capa!$A:$AE,BJ$5,0))))</f>
        <v/>
      </c>
      <c r="BK447" s="118" t="str">
        <f>IF(BK$6="","",IF(BK$3="Maior",IFERROR(IF(VLOOKUP($N447,Capa!$A:$AE,BK$5,0)="",0,VLOOKUP($N447,Capa!$A:$AE,BK$5,0)),0),IF(ISERROR(1/VLOOKUP($N447,Capa!$A:$AE,BK$5,0)),0,1/VLOOKUP($N447,Capa!$A:$AE,BK$5,0))))</f>
        <v/>
      </c>
      <c r="BL447" s="118" t="str">
        <f>IF(BL$6="","",IF(BL$3="Maior",IFERROR(IF(VLOOKUP($N447,Capa!$A:$AE,BL$5,0)="",0,VLOOKUP($N447,Capa!$A:$AE,BL$5,0)),0),IF(ISERROR(1/VLOOKUP($N447,Capa!$A:$AE,BL$5,0)),0,1/VLOOKUP($N447,Capa!$A:$AE,BL$5,0))))</f>
        <v/>
      </c>
      <c r="BM447" s="118" t="str">
        <f>IF(BM$6="","",IF(BM$3="Maior",IFERROR(IF(VLOOKUP($N447,Capa!$A:$AE,BM$5,0)="",0,VLOOKUP($N447,Capa!$A:$AE,BM$5,0)),0),IF(ISERROR(1/VLOOKUP($N447,Capa!$A:$AE,BM$5,0)),0,1/VLOOKUP($N447,Capa!$A:$AE,BM$5,0))))</f>
        <v/>
      </c>
      <c r="BN447" s="118" t="str">
        <f>IF(BN$6="","",IF(BN$3="Maior",IFERROR(IF(VLOOKUP($N447,Capa!$A:$AE,BN$5,0)="",0,VLOOKUP($N447,Capa!$A:$AE,BN$5,0)),0),IF(ISERROR(1/VLOOKUP($N447,Capa!$A:$AE,BN$5,0)),0,1/VLOOKUP($N447,Capa!$A:$AE,BN$5,0))))</f>
        <v/>
      </c>
      <c r="BO447" s="92"/>
    </row>
    <row r="448">
      <c r="I448" s="73"/>
      <c r="J448" s="74"/>
      <c r="N448" s="10" t="s">
        <v>494</v>
      </c>
      <c r="O448" s="113">
        <f t="shared" si="8"/>
        <v>1701.0213</v>
      </c>
      <c r="P448" s="114">
        <f>VLOOKUP(N448,'Dados StatusInvest'!A:Z,26,0)</f>
        <v>12341.67</v>
      </c>
      <c r="Q448" s="115">
        <f t="shared" si="9"/>
        <v>213.0213</v>
      </c>
      <c r="R448" s="116">
        <f t="shared" ref="R448:AO448" si="451">IF(AQ448="","", RANK(AQ448,AQ$7:AQ$503,0))</f>
        <v>269</v>
      </c>
      <c r="S448" s="115">
        <f t="shared" si="451"/>
        <v>219</v>
      </c>
      <c r="T448" s="115" t="str">
        <f t="shared" si="451"/>
        <v/>
      </c>
      <c r="U448" s="115" t="str">
        <f t="shared" si="451"/>
        <v/>
      </c>
      <c r="V448" s="115" t="str">
        <f t="shared" si="451"/>
        <v/>
      </c>
      <c r="W448" s="115" t="str">
        <f t="shared" si="451"/>
        <v/>
      </c>
      <c r="X448" s="115" t="str">
        <f t="shared" si="451"/>
        <v/>
      </c>
      <c r="Y448" s="115" t="str">
        <f t="shared" si="451"/>
        <v/>
      </c>
      <c r="Z448" s="115" t="str">
        <f t="shared" si="451"/>
        <v/>
      </c>
      <c r="AA448" s="115" t="str">
        <f t="shared" si="451"/>
        <v/>
      </c>
      <c r="AB448" s="115" t="str">
        <f t="shared" si="451"/>
        <v/>
      </c>
      <c r="AC448" s="115" t="str">
        <f t="shared" si="451"/>
        <v/>
      </c>
      <c r="AD448" s="115" t="str">
        <f t="shared" si="451"/>
        <v/>
      </c>
      <c r="AE448" s="115" t="str">
        <f t="shared" si="451"/>
        <v/>
      </c>
      <c r="AF448" s="115" t="str">
        <f t="shared" si="451"/>
        <v/>
      </c>
      <c r="AG448" s="115" t="str">
        <f t="shared" si="451"/>
        <v/>
      </c>
      <c r="AH448" s="115" t="str">
        <f t="shared" si="451"/>
        <v/>
      </c>
      <c r="AI448" s="115" t="str">
        <f t="shared" si="451"/>
        <v/>
      </c>
      <c r="AJ448" s="115" t="str">
        <f t="shared" si="451"/>
        <v/>
      </c>
      <c r="AK448" s="115" t="str">
        <f t="shared" si="451"/>
        <v/>
      </c>
      <c r="AL448" s="115" t="str">
        <f t="shared" si="451"/>
        <v/>
      </c>
      <c r="AM448" s="115" t="str">
        <f t="shared" si="451"/>
        <v/>
      </c>
      <c r="AN448" s="115" t="str">
        <f t="shared" si="451"/>
        <v/>
      </c>
      <c r="AO448" s="115" t="str">
        <f t="shared" si="451"/>
        <v/>
      </c>
      <c r="AP448" s="117">
        <f>IF(AP$6="","",IF(AP$3="Maior",IFERROR(IF(VLOOKUP($N448,Capa!$A:$AE,AP$5,0)="",0,VLOOKUP($N448,Capa!$A:$AE,AP$5,0)),0),IF(ISERROR(1/VLOOKUP($N448,Capa!$A:$AE,AP$5,0)),0,1/VLOOKUP($N448,Capa!$A:$AE,AP$5,0))))</f>
        <v>0.1</v>
      </c>
      <c r="AQ448" s="118">
        <f>IF(AQ$6="","",IF(AQ$3="Maior",IFERROR(IF(VLOOKUP($N448,Capa!$A:$AE,AQ$5,0)="",0,VLOOKUP($N448,Capa!$A:$AE,AQ$5,0)),0),IF(ISERROR(1/VLOOKUP($N448,Capa!$A:$AE,AQ$5,0)),0,1/VLOOKUP($N448,Capa!$A:$AE,AQ$5,0))))</f>
        <v>6.92</v>
      </c>
      <c r="AR448" s="118">
        <f>IF(AR$6="","",IF(AR$3="Maior",IFERROR(IF(VLOOKUP($N448,Capa!$A:$AE,AR$5,0)="",0,VLOOKUP($N448,Capa!$A:$AE,AR$5,0)),0),IF(ISERROR(1/VLOOKUP($N448,Capa!$A:$AE,AR$5,0)),0,1/VLOOKUP($N448,Capa!$A:$AE,AR$5,0))))</f>
        <v>0</v>
      </c>
      <c r="AS448" s="118" t="str">
        <f>IF(AS$6="","",IF(AS$3="Maior",IFERROR(IF(VLOOKUP($N448,Capa!$A:$AE,AS$5,0)="",0,VLOOKUP($N448,Capa!$A:$AE,AS$5,0)),0),IF(ISERROR(1/VLOOKUP($N448,Capa!$A:$AE,AS$5,0)),0,1/VLOOKUP($N448,Capa!$A:$AE,AS$5,0))))</f>
        <v/>
      </c>
      <c r="AT448" s="118" t="str">
        <f>IF(AT$6="","",IF(AT$3="Maior",IFERROR(IF(VLOOKUP($N448,Capa!$A:$AE,AT$5,0)="",0,VLOOKUP($N448,Capa!$A:$AE,AT$5,0)),0),IF(ISERROR(1/VLOOKUP($N448,Capa!$A:$AE,AT$5,0)),0,1/VLOOKUP($N448,Capa!$A:$AE,AT$5,0))))</f>
        <v/>
      </c>
      <c r="AU448" s="118" t="str">
        <f>IF(AU$6="","",IF(AU$3="Maior",IFERROR(IF(VLOOKUP($N448,Capa!$A:$AE,AU$5,0)="",0,VLOOKUP($N448,Capa!$A:$AE,AU$5,0)),0),IF(ISERROR(1/VLOOKUP($N448,Capa!$A:$AE,AU$5,0)),0,1/VLOOKUP($N448,Capa!$A:$AE,AU$5,0))))</f>
        <v/>
      </c>
      <c r="AV448" s="118" t="str">
        <f>IF(AV$6="","",IF(AV$3="Maior",IFERROR(IF(VLOOKUP($N448,Capa!$A:$AE,AV$5,0)="",0,VLOOKUP($N448,Capa!$A:$AE,AV$5,0)),0),IF(ISERROR(1/VLOOKUP($N448,Capa!$A:$AE,AV$5,0)),0,1/VLOOKUP($N448,Capa!$A:$AE,AV$5,0))))</f>
        <v/>
      </c>
      <c r="AW448" s="118" t="str">
        <f>IF(AW$6="","",IF(AW$3="Maior",IFERROR(IF(VLOOKUP($N448,Capa!$A:$AE,AW$5,0)="",0,VLOOKUP($N448,Capa!$A:$AE,AW$5,0)),0),IF(ISERROR(1/VLOOKUP($N448,Capa!$A:$AE,AW$5,0)),0,1/VLOOKUP($N448,Capa!$A:$AE,AW$5,0))))</f>
        <v/>
      </c>
      <c r="AX448" s="118" t="str">
        <f>IF(AX$6="","",IF(AX$3="Maior",IFERROR(IF(VLOOKUP($N448,Capa!$A:$AE,AX$5,0)="",0,VLOOKUP($N448,Capa!$A:$AE,AX$5,0)),0),IF(ISERROR(1/VLOOKUP($N448,Capa!$A:$AE,AX$5,0)),0,1/VLOOKUP($N448,Capa!$A:$AE,AX$5,0))))</f>
        <v/>
      </c>
      <c r="AY448" s="118" t="str">
        <f>IF(AY$6="","",IF(AY$3="Maior",IFERROR(IF(VLOOKUP($N448,Capa!$A:$AE,AY$5,0)="",0,VLOOKUP($N448,Capa!$A:$AE,AY$5,0)),0),IF(ISERROR(1/VLOOKUP($N448,Capa!$A:$AE,AY$5,0)),0,1/VLOOKUP($N448,Capa!$A:$AE,AY$5,0))))</f>
        <v/>
      </c>
      <c r="AZ448" s="118" t="str">
        <f>IF(AZ$6="","",IF(AZ$3="Maior",IFERROR(IF(VLOOKUP($N448,Capa!$A:$AE,AZ$5,0)="",0,VLOOKUP($N448,Capa!$A:$AE,AZ$5,0)),0),IF(ISERROR(1/VLOOKUP($N448,Capa!$A:$AE,AZ$5,0)),0,1/VLOOKUP($N448,Capa!$A:$AE,AZ$5,0))))</f>
        <v/>
      </c>
      <c r="BA448" s="118" t="str">
        <f>IF(BA$6="","",IF(BA$3="Maior",IFERROR(IF(VLOOKUP($N448,Capa!$A:$AE,BA$5,0)="",0,VLOOKUP($N448,Capa!$A:$AE,BA$5,0)),0),IF(ISERROR(1/VLOOKUP($N448,Capa!$A:$AE,BA$5,0)),0,1/VLOOKUP($N448,Capa!$A:$AE,BA$5,0))))</f>
        <v/>
      </c>
      <c r="BB448" s="118" t="str">
        <f>IF(BB$6="","",IF(BB$3="Maior",IFERROR(IF(VLOOKUP($N448,Capa!$A:$AE,BB$5,0)="",0,VLOOKUP($N448,Capa!$A:$AE,BB$5,0)),0),IF(ISERROR(1/VLOOKUP($N448,Capa!$A:$AE,BB$5,0)),0,1/VLOOKUP($N448,Capa!$A:$AE,BB$5,0))))</f>
        <v/>
      </c>
      <c r="BC448" s="118" t="str">
        <f>IF(BC$6="","",IF(BC$3="Maior",IFERROR(IF(VLOOKUP($N448,Capa!$A:$AE,BC$5,0)="",0,VLOOKUP($N448,Capa!$A:$AE,BC$5,0)),0),IF(ISERROR(1/VLOOKUP($N448,Capa!$A:$AE,BC$5,0)),0,1/VLOOKUP($N448,Capa!$A:$AE,BC$5,0))))</f>
        <v/>
      </c>
      <c r="BD448" s="118" t="str">
        <f>IF(BD$6="","",IF(BD$3="Maior",IFERROR(IF(VLOOKUP($N448,Capa!$A:$AE,BD$5,0)="",0,VLOOKUP($N448,Capa!$A:$AE,BD$5,0)),0),IF(ISERROR(1/VLOOKUP($N448,Capa!$A:$AE,BD$5,0)),0,1/VLOOKUP($N448,Capa!$A:$AE,BD$5,0))))</f>
        <v/>
      </c>
      <c r="BE448" s="118" t="str">
        <f>IF(BE$6="","",IF(BE$3="Maior",IFERROR(IF(VLOOKUP($N448,Capa!$A:$AE,BE$5,0)="",0,VLOOKUP($N448,Capa!$A:$AE,BE$5,0)),0),IF(ISERROR(1/VLOOKUP($N448,Capa!$A:$AE,BE$5,0)),0,1/VLOOKUP($N448,Capa!$A:$AE,BE$5,0))))</f>
        <v/>
      </c>
      <c r="BF448" s="118" t="str">
        <f>IF(BF$6="","",IF(BF$3="Maior",IFERROR(IF(VLOOKUP($N448,Capa!$A:$AE,BF$5,0)="",0,VLOOKUP($N448,Capa!$A:$AE,BF$5,0)),0),IF(ISERROR(1/VLOOKUP($N448,Capa!$A:$AE,BF$5,0)),0,1/VLOOKUP($N448,Capa!$A:$AE,BF$5,0))))</f>
        <v/>
      </c>
      <c r="BG448" s="118" t="str">
        <f>IF(BG$6="","",IF(BG$3="Maior",IFERROR(IF(VLOOKUP($N448,Capa!$A:$AE,BG$5,0)="",0,VLOOKUP($N448,Capa!$A:$AE,BG$5,0)),0),IF(ISERROR(1/VLOOKUP($N448,Capa!$A:$AE,BG$5,0)),0,1/VLOOKUP($N448,Capa!$A:$AE,BG$5,0))))</f>
        <v/>
      </c>
      <c r="BH448" s="118" t="str">
        <f>IF(BH$6="","",IF(BH$3="Maior",IFERROR(IF(VLOOKUP($N448,Capa!$A:$AE,BH$5,0)="",0,VLOOKUP($N448,Capa!$A:$AE,BH$5,0)),0),IF(ISERROR(1/VLOOKUP($N448,Capa!$A:$AE,BH$5,0)),0,1/VLOOKUP($N448,Capa!$A:$AE,BH$5,0))))</f>
        <v/>
      </c>
      <c r="BI448" s="118" t="str">
        <f>IF(BI$6="","",IF(BI$3="Maior",IFERROR(IF(VLOOKUP($N448,Capa!$A:$AE,BI$5,0)="",0,VLOOKUP($N448,Capa!$A:$AE,BI$5,0)),0),IF(ISERROR(1/VLOOKUP($N448,Capa!$A:$AE,BI$5,0)),0,1/VLOOKUP($N448,Capa!$A:$AE,BI$5,0))))</f>
        <v/>
      </c>
      <c r="BJ448" s="118" t="str">
        <f>IF(BJ$6="","",IF(BJ$3="Maior",IFERROR(IF(VLOOKUP($N448,Capa!$A:$AE,BJ$5,0)="",0,VLOOKUP($N448,Capa!$A:$AE,BJ$5,0)),0),IF(ISERROR(1/VLOOKUP($N448,Capa!$A:$AE,BJ$5,0)),0,1/VLOOKUP($N448,Capa!$A:$AE,BJ$5,0))))</f>
        <v/>
      </c>
      <c r="BK448" s="118" t="str">
        <f>IF(BK$6="","",IF(BK$3="Maior",IFERROR(IF(VLOOKUP($N448,Capa!$A:$AE,BK$5,0)="",0,VLOOKUP($N448,Capa!$A:$AE,BK$5,0)),0),IF(ISERROR(1/VLOOKUP($N448,Capa!$A:$AE,BK$5,0)),0,1/VLOOKUP($N448,Capa!$A:$AE,BK$5,0))))</f>
        <v/>
      </c>
      <c r="BL448" s="118" t="str">
        <f>IF(BL$6="","",IF(BL$3="Maior",IFERROR(IF(VLOOKUP($N448,Capa!$A:$AE,BL$5,0)="",0,VLOOKUP($N448,Capa!$A:$AE,BL$5,0)),0),IF(ISERROR(1/VLOOKUP($N448,Capa!$A:$AE,BL$5,0)),0,1/VLOOKUP($N448,Capa!$A:$AE,BL$5,0))))</f>
        <v/>
      </c>
      <c r="BM448" s="118" t="str">
        <f>IF(BM$6="","",IF(BM$3="Maior",IFERROR(IF(VLOOKUP($N448,Capa!$A:$AE,BM$5,0)="",0,VLOOKUP($N448,Capa!$A:$AE,BM$5,0)),0),IF(ISERROR(1/VLOOKUP($N448,Capa!$A:$AE,BM$5,0)),0,1/VLOOKUP($N448,Capa!$A:$AE,BM$5,0))))</f>
        <v/>
      </c>
      <c r="BN448" s="118" t="str">
        <f>IF(BN$6="","",IF(BN$3="Maior",IFERROR(IF(VLOOKUP($N448,Capa!$A:$AE,BN$5,0)="",0,VLOOKUP($N448,Capa!$A:$AE,BN$5,0)),0),IF(ISERROR(1/VLOOKUP($N448,Capa!$A:$AE,BN$5,0)),0,1/VLOOKUP($N448,Capa!$A:$AE,BN$5,0))))</f>
        <v/>
      </c>
      <c r="BO448" s="92"/>
    </row>
    <row r="449">
      <c r="I449" s="73"/>
      <c r="J449" s="74"/>
      <c r="N449" s="10" t="s">
        <v>495</v>
      </c>
      <c r="O449" s="113">
        <f t="shared" si="8"/>
        <v>1686.0455</v>
      </c>
      <c r="P449" s="114">
        <f>VLOOKUP(N449,'Dados StatusInvest'!A:Z,26,0)</f>
        <v>6912.25</v>
      </c>
      <c r="Q449" s="115">
        <f t="shared" si="9"/>
        <v>455.0455</v>
      </c>
      <c r="R449" s="116">
        <f t="shared" ref="R449:AO449" si="452">IF(AQ449="","", RANK(AQ449,AQ$7:AQ$503,0))</f>
        <v>12</v>
      </c>
      <c r="S449" s="115">
        <f t="shared" si="452"/>
        <v>219</v>
      </c>
      <c r="T449" s="115" t="str">
        <f t="shared" si="452"/>
        <v/>
      </c>
      <c r="U449" s="115" t="str">
        <f t="shared" si="452"/>
        <v/>
      </c>
      <c r="V449" s="115" t="str">
        <f t="shared" si="452"/>
        <v/>
      </c>
      <c r="W449" s="115" t="str">
        <f t="shared" si="452"/>
        <v/>
      </c>
      <c r="X449" s="115" t="str">
        <f t="shared" si="452"/>
        <v/>
      </c>
      <c r="Y449" s="115" t="str">
        <f t="shared" si="452"/>
        <v/>
      </c>
      <c r="Z449" s="115" t="str">
        <f t="shared" si="452"/>
        <v/>
      </c>
      <c r="AA449" s="115" t="str">
        <f t="shared" si="452"/>
        <v/>
      </c>
      <c r="AB449" s="115" t="str">
        <f t="shared" si="452"/>
        <v/>
      </c>
      <c r="AC449" s="115" t="str">
        <f t="shared" si="452"/>
        <v/>
      </c>
      <c r="AD449" s="115" t="str">
        <f t="shared" si="452"/>
        <v/>
      </c>
      <c r="AE449" s="115" t="str">
        <f t="shared" si="452"/>
        <v/>
      </c>
      <c r="AF449" s="115" t="str">
        <f t="shared" si="452"/>
        <v/>
      </c>
      <c r="AG449" s="115" t="str">
        <f t="shared" si="452"/>
        <v/>
      </c>
      <c r="AH449" s="115" t="str">
        <f t="shared" si="452"/>
        <v/>
      </c>
      <c r="AI449" s="115" t="str">
        <f t="shared" si="452"/>
        <v/>
      </c>
      <c r="AJ449" s="115" t="str">
        <f t="shared" si="452"/>
        <v/>
      </c>
      <c r="AK449" s="115" t="str">
        <f t="shared" si="452"/>
        <v/>
      </c>
      <c r="AL449" s="115" t="str">
        <f t="shared" si="452"/>
        <v/>
      </c>
      <c r="AM449" s="115" t="str">
        <f t="shared" si="452"/>
        <v/>
      </c>
      <c r="AN449" s="115" t="str">
        <f t="shared" si="452"/>
        <v/>
      </c>
      <c r="AO449" s="115" t="str">
        <f t="shared" si="452"/>
        <v/>
      </c>
      <c r="AP449" s="117">
        <f>IF(AP$6="","",IF(AP$3="Maior",IFERROR(IF(VLOOKUP($N449,Capa!$A:$AE,AP$5,0)="",0,VLOOKUP($N449,Capa!$A:$AE,AP$5,0)),0),IF(ISERROR(1/VLOOKUP($N449,Capa!$A:$AE,AP$5,0)),0,1/VLOOKUP($N449,Capa!$A:$AE,AP$5,0))))</f>
        <v>-0.135926868</v>
      </c>
      <c r="AQ449" s="118">
        <f>IF(AQ$6="","",IF(AQ$3="Maior",IFERROR(IF(VLOOKUP($N449,Capa!$A:$AE,AQ$5,0)="",0,VLOOKUP($N449,Capa!$A:$AE,AQ$5,0)),0),IF(ISERROR(1/VLOOKUP($N449,Capa!$A:$AE,AQ$5,0)),0,1/VLOOKUP($N449,Capa!$A:$AE,AQ$5,0))))</f>
        <v>73.09</v>
      </c>
      <c r="AR449" s="118">
        <f>IF(AR$6="","",IF(AR$3="Maior",IFERROR(IF(VLOOKUP($N449,Capa!$A:$AE,AR$5,0)="",0,VLOOKUP($N449,Capa!$A:$AE,AR$5,0)),0),IF(ISERROR(1/VLOOKUP($N449,Capa!$A:$AE,AR$5,0)),0,1/VLOOKUP($N449,Capa!$A:$AE,AR$5,0))))</f>
        <v>0</v>
      </c>
      <c r="AS449" s="118" t="str">
        <f>IF(AS$6="","",IF(AS$3="Maior",IFERROR(IF(VLOOKUP($N449,Capa!$A:$AE,AS$5,0)="",0,VLOOKUP($N449,Capa!$A:$AE,AS$5,0)),0),IF(ISERROR(1/VLOOKUP($N449,Capa!$A:$AE,AS$5,0)),0,1/VLOOKUP($N449,Capa!$A:$AE,AS$5,0))))</f>
        <v/>
      </c>
      <c r="AT449" s="118" t="str">
        <f>IF(AT$6="","",IF(AT$3="Maior",IFERROR(IF(VLOOKUP($N449,Capa!$A:$AE,AT$5,0)="",0,VLOOKUP($N449,Capa!$A:$AE,AT$5,0)),0),IF(ISERROR(1/VLOOKUP($N449,Capa!$A:$AE,AT$5,0)),0,1/VLOOKUP($N449,Capa!$A:$AE,AT$5,0))))</f>
        <v/>
      </c>
      <c r="AU449" s="118" t="str">
        <f>IF(AU$6="","",IF(AU$3="Maior",IFERROR(IF(VLOOKUP($N449,Capa!$A:$AE,AU$5,0)="",0,VLOOKUP($N449,Capa!$A:$AE,AU$5,0)),0),IF(ISERROR(1/VLOOKUP($N449,Capa!$A:$AE,AU$5,0)),0,1/VLOOKUP($N449,Capa!$A:$AE,AU$5,0))))</f>
        <v/>
      </c>
      <c r="AV449" s="118" t="str">
        <f>IF(AV$6="","",IF(AV$3="Maior",IFERROR(IF(VLOOKUP($N449,Capa!$A:$AE,AV$5,0)="",0,VLOOKUP($N449,Capa!$A:$AE,AV$5,0)),0),IF(ISERROR(1/VLOOKUP($N449,Capa!$A:$AE,AV$5,0)),0,1/VLOOKUP($N449,Capa!$A:$AE,AV$5,0))))</f>
        <v/>
      </c>
      <c r="AW449" s="118" t="str">
        <f>IF(AW$6="","",IF(AW$3="Maior",IFERROR(IF(VLOOKUP($N449,Capa!$A:$AE,AW$5,0)="",0,VLOOKUP($N449,Capa!$A:$AE,AW$5,0)),0),IF(ISERROR(1/VLOOKUP($N449,Capa!$A:$AE,AW$5,0)),0,1/VLOOKUP($N449,Capa!$A:$AE,AW$5,0))))</f>
        <v/>
      </c>
      <c r="AX449" s="118" t="str">
        <f>IF(AX$6="","",IF(AX$3="Maior",IFERROR(IF(VLOOKUP($N449,Capa!$A:$AE,AX$5,0)="",0,VLOOKUP($N449,Capa!$A:$AE,AX$5,0)),0),IF(ISERROR(1/VLOOKUP($N449,Capa!$A:$AE,AX$5,0)),0,1/VLOOKUP($N449,Capa!$A:$AE,AX$5,0))))</f>
        <v/>
      </c>
      <c r="AY449" s="118" t="str">
        <f>IF(AY$6="","",IF(AY$3="Maior",IFERROR(IF(VLOOKUP($N449,Capa!$A:$AE,AY$5,0)="",0,VLOOKUP($N449,Capa!$A:$AE,AY$5,0)),0),IF(ISERROR(1/VLOOKUP($N449,Capa!$A:$AE,AY$5,0)),0,1/VLOOKUP($N449,Capa!$A:$AE,AY$5,0))))</f>
        <v/>
      </c>
      <c r="AZ449" s="118" t="str">
        <f>IF(AZ$6="","",IF(AZ$3="Maior",IFERROR(IF(VLOOKUP($N449,Capa!$A:$AE,AZ$5,0)="",0,VLOOKUP($N449,Capa!$A:$AE,AZ$5,0)),0),IF(ISERROR(1/VLOOKUP($N449,Capa!$A:$AE,AZ$5,0)),0,1/VLOOKUP($N449,Capa!$A:$AE,AZ$5,0))))</f>
        <v/>
      </c>
      <c r="BA449" s="118" t="str">
        <f>IF(BA$6="","",IF(BA$3="Maior",IFERROR(IF(VLOOKUP($N449,Capa!$A:$AE,BA$5,0)="",0,VLOOKUP($N449,Capa!$A:$AE,BA$5,0)),0),IF(ISERROR(1/VLOOKUP($N449,Capa!$A:$AE,BA$5,0)),0,1/VLOOKUP($N449,Capa!$A:$AE,BA$5,0))))</f>
        <v/>
      </c>
      <c r="BB449" s="118" t="str">
        <f>IF(BB$6="","",IF(BB$3="Maior",IFERROR(IF(VLOOKUP($N449,Capa!$A:$AE,BB$5,0)="",0,VLOOKUP($N449,Capa!$A:$AE,BB$5,0)),0),IF(ISERROR(1/VLOOKUP($N449,Capa!$A:$AE,BB$5,0)),0,1/VLOOKUP($N449,Capa!$A:$AE,BB$5,0))))</f>
        <v/>
      </c>
      <c r="BC449" s="118" t="str">
        <f>IF(BC$6="","",IF(BC$3="Maior",IFERROR(IF(VLOOKUP($N449,Capa!$A:$AE,BC$5,0)="",0,VLOOKUP($N449,Capa!$A:$AE,BC$5,0)),0),IF(ISERROR(1/VLOOKUP($N449,Capa!$A:$AE,BC$5,0)),0,1/VLOOKUP($N449,Capa!$A:$AE,BC$5,0))))</f>
        <v/>
      </c>
      <c r="BD449" s="118" t="str">
        <f>IF(BD$6="","",IF(BD$3="Maior",IFERROR(IF(VLOOKUP($N449,Capa!$A:$AE,BD$5,0)="",0,VLOOKUP($N449,Capa!$A:$AE,BD$5,0)),0),IF(ISERROR(1/VLOOKUP($N449,Capa!$A:$AE,BD$5,0)),0,1/VLOOKUP($N449,Capa!$A:$AE,BD$5,0))))</f>
        <v/>
      </c>
      <c r="BE449" s="118" t="str">
        <f>IF(BE$6="","",IF(BE$3="Maior",IFERROR(IF(VLOOKUP($N449,Capa!$A:$AE,BE$5,0)="",0,VLOOKUP($N449,Capa!$A:$AE,BE$5,0)),0),IF(ISERROR(1/VLOOKUP($N449,Capa!$A:$AE,BE$5,0)),0,1/VLOOKUP($N449,Capa!$A:$AE,BE$5,0))))</f>
        <v/>
      </c>
      <c r="BF449" s="118" t="str">
        <f>IF(BF$6="","",IF(BF$3="Maior",IFERROR(IF(VLOOKUP($N449,Capa!$A:$AE,BF$5,0)="",0,VLOOKUP($N449,Capa!$A:$AE,BF$5,0)),0),IF(ISERROR(1/VLOOKUP($N449,Capa!$A:$AE,BF$5,0)),0,1/VLOOKUP($N449,Capa!$A:$AE,BF$5,0))))</f>
        <v/>
      </c>
      <c r="BG449" s="118" t="str">
        <f>IF(BG$6="","",IF(BG$3="Maior",IFERROR(IF(VLOOKUP($N449,Capa!$A:$AE,BG$5,0)="",0,VLOOKUP($N449,Capa!$A:$AE,BG$5,0)),0),IF(ISERROR(1/VLOOKUP($N449,Capa!$A:$AE,BG$5,0)),0,1/VLOOKUP($N449,Capa!$A:$AE,BG$5,0))))</f>
        <v/>
      </c>
      <c r="BH449" s="118" t="str">
        <f>IF(BH$6="","",IF(BH$3="Maior",IFERROR(IF(VLOOKUP($N449,Capa!$A:$AE,BH$5,0)="",0,VLOOKUP($N449,Capa!$A:$AE,BH$5,0)),0),IF(ISERROR(1/VLOOKUP($N449,Capa!$A:$AE,BH$5,0)),0,1/VLOOKUP($N449,Capa!$A:$AE,BH$5,0))))</f>
        <v/>
      </c>
      <c r="BI449" s="118" t="str">
        <f>IF(BI$6="","",IF(BI$3="Maior",IFERROR(IF(VLOOKUP($N449,Capa!$A:$AE,BI$5,0)="",0,VLOOKUP($N449,Capa!$A:$AE,BI$5,0)),0),IF(ISERROR(1/VLOOKUP($N449,Capa!$A:$AE,BI$5,0)),0,1/VLOOKUP($N449,Capa!$A:$AE,BI$5,0))))</f>
        <v/>
      </c>
      <c r="BJ449" s="118" t="str">
        <f>IF(BJ$6="","",IF(BJ$3="Maior",IFERROR(IF(VLOOKUP($N449,Capa!$A:$AE,BJ$5,0)="",0,VLOOKUP($N449,Capa!$A:$AE,BJ$5,0)),0),IF(ISERROR(1/VLOOKUP($N449,Capa!$A:$AE,BJ$5,0)),0,1/VLOOKUP($N449,Capa!$A:$AE,BJ$5,0))))</f>
        <v/>
      </c>
      <c r="BK449" s="118" t="str">
        <f>IF(BK$6="","",IF(BK$3="Maior",IFERROR(IF(VLOOKUP($N449,Capa!$A:$AE,BK$5,0)="",0,VLOOKUP($N449,Capa!$A:$AE,BK$5,0)),0),IF(ISERROR(1/VLOOKUP($N449,Capa!$A:$AE,BK$5,0)),0,1/VLOOKUP($N449,Capa!$A:$AE,BK$5,0))))</f>
        <v/>
      </c>
      <c r="BL449" s="118" t="str">
        <f>IF(BL$6="","",IF(BL$3="Maior",IFERROR(IF(VLOOKUP($N449,Capa!$A:$AE,BL$5,0)="",0,VLOOKUP($N449,Capa!$A:$AE,BL$5,0)),0),IF(ISERROR(1/VLOOKUP($N449,Capa!$A:$AE,BL$5,0)),0,1/VLOOKUP($N449,Capa!$A:$AE,BL$5,0))))</f>
        <v/>
      </c>
      <c r="BM449" s="118" t="str">
        <f>IF(BM$6="","",IF(BM$3="Maior",IFERROR(IF(VLOOKUP($N449,Capa!$A:$AE,BM$5,0)="",0,VLOOKUP($N449,Capa!$A:$AE,BM$5,0)),0),IF(ISERROR(1/VLOOKUP($N449,Capa!$A:$AE,BM$5,0)),0,1/VLOOKUP($N449,Capa!$A:$AE,BM$5,0))))</f>
        <v/>
      </c>
      <c r="BN449" s="118" t="str">
        <f>IF(BN$6="","",IF(BN$3="Maior",IFERROR(IF(VLOOKUP($N449,Capa!$A:$AE,BN$5,0)="",0,VLOOKUP($N449,Capa!$A:$AE,BN$5,0)),0),IF(ISERROR(1/VLOOKUP($N449,Capa!$A:$AE,BN$5,0)),0,1/VLOOKUP($N449,Capa!$A:$AE,BN$5,0))))</f>
        <v/>
      </c>
      <c r="BO449" s="92"/>
    </row>
    <row r="450">
      <c r="I450" s="73"/>
      <c r="J450" s="74"/>
      <c r="N450" s="10" t="s">
        <v>496</v>
      </c>
      <c r="O450" s="113">
        <f t="shared" si="8"/>
        <v>1969.0375</v>
      </c>
      <c r="P450" s="114">
        <f>VLOOKUP(N450,'Dados StatusInvest'!A:Z,26,0)</f>
        <v>15051</v>
      </c>
      <c r="Q450" s="115">
        <f t="shared" si="9"/>
        <v>375.0375</v>
      </c>
      <c r="R450" s="116">
        <f t="shared" ref="R450:AO450" si="453">IF(AQ450="","", RANK(AQ450,AQ$7:AQ$503,0))</f>
        <v>375</v>
      </c>
      <c r="S450" s="115">
        <f t="shared" si="453"/>
        <v>219</v>
      </c>
      <c r="T450" s="115" t="str">
        <f t="shared" si="453"/>
        <v/>
      </c>
      <c r="U450" s="115" t="str">
        <f t="shared" si="453"/>
        <v/>
      </c>
      <c r="V450" s="115" t="str">
        <f t="shared" si="453"/>
        <v/>
      </c>
      <c r="W450" s="115" t="str">
        <f t="shared" si="453"/>
        <v/>
      </c>
      <c r="X450" s="115" t="str">
        <f t="shared" si="453"/>
        <v/>
      </c>
      <c r="Y450" s="115" t="str">
        <f t="shared" si="453"/>
        <v/>
      </c>
      <c r="Z450" s="115" t="str">
        <f t="shared" si="453"/>
        <v/>
      </c>
      <c r="AA450" s="115" t="str">
        <f t="shared" si="453"/>
        <v/>
      </c>
      <c r="AB450" s="115" t="str">
        <f t="shared" si="453"/>
        <v/>
      </c>
      <c r="AC450" s="115" t="str">
        <f t="shared" si="453"/>
        <v/>
      </c>
      <c r="AD450" s="115" t="str">
        <f t="shared" si="453"/>
        <v/>
      </c>
      <c r="AE450" s="115" t="str">
        <f t="shared" si="453"/>
        <v/>
      </c>
      <c r="AF450" s="115" t="str">
        <f t="shared" si="453"/>
        <v/>
      </c>
      <c r="AG450" s="115" t="str">
        <f t="shared" si="453"/>
        <v/>
      </c>
      <c r="AH450" s="115" t="str">
        <f t="shared" si="453"/>
        <v/>
      </c>
      <c r="AI450" s="115" t="str">
        <f t="shared" si="453"/>
        <v/>
      </c>
      <c r="AJ450" s="115" t="str">
        <f t="shared" si="453"/>
        <v/>
      </c>
      <c r="AK450" s="115" t="str">
        <f t="shared" si="453"/>
        <v/>
      </c>
      <c r="AL450" s="115" t="str">
        <f t="shared" si="453"/>
        <v/>
      </c>
      <c r="AM450" s="115" t="str">
        <f t="shared" si="453"/>
        <v/>
      </c>
      <c r="AN450" s="115" t="str">
        <f t="shared" si="453"/>
        <v/>
      </c>
      <c r="AO450" s="115" t="str">
        <f t="shared" si="453"/>
        <v/>
      </c>
      <c r="AP450" s="117">
        <f>IF(AP$6="","",IF(AP$3="Maior",IFERROR(IF(VLOOKUP($N450,Capa!$A:$AE,AP$5,0)="",0,VLOOKUP($N450,Capa!$A:$AE,AP$5,0)),0),IF(ISERROR(1/VLOOKUP($N450,Capa!$A:$AE,AP$5,0)),0,1/VLOOKUP($N450,Capa!$A:$AE,AP$5,0))))</f>
        <v>0.01797268152</v>
      </c>
      <c r="AQ450" s="118">
        <f>IF(AQ$6="","",IF(AQ$3="Maior",IFERROR(IF(VLOOKUP($N450,Capa!$A:$AE,AQ$5,0)="",0,VLOOKUP($N450,Capa!$A:$AE,AQ$5,0)),0),IF(ISERROR(1/VLOOKUP($N450,Capa!$A:$AE,AQ$5,0)),0,1/VLOOKUP($N450,Capa!$A:$AE,AQ$5,0))))</f>
        <v>0</v>
      </c>
      <c r="AR450" s="118">
        <f>IF(AR$6="","",IF(AR$3="Maior",IFERROR(IF(VLOOKUP($N450,Capa!$A:$AE,AR$5,0)="",0,VLOOKUP($N450,Capa!$A:$AE,AR$5,0)),0),IF(ISERROR(1/VLOOKUP($N450,Capa!$A:$AE,AR$5,0)),0,1/VLOOKUP($N450,Capa!$A:$AE,AR$5,0))))</f>
        <v>0</v>
      </c>
      <c r="AS450" s="118" t="str">
        <f>IF(AS$6="","",IF(AS$3="Maior",IFERROR(IF(VLOOKUP($N450,Capa!$A:$AE,AS$5,0)="",0,VLOOKUP($N450,Capa!$A:$AE,AS$5,0)),0),IF(ISERROR(1/VLOOKUP($N450,Capa!$A:$AE,AS$5,0)),0,1/VLOOKUP($N450,Capa!$A:$AE,AS$5,0))))</f>
        <v/>
      </c>
      <c r="AT450" s="118" t="str">
        <f>IF(AT$6="","",IF(AT$3="Maior",IFERROR(IF(VLOOKUP($N450,Capa!$A:$AE,AT$5,0)="",0,VLOOKUP($N450,Capa!$A:$AE,AT$5,0)),0),IF(ISERROR(1/VLOOKUP($N450,Capa!$A:$AE,AT$5,0)),0,1/VLOOKUP($N450,Capa!$A:$AE,AT$5,0))))</f>
        <v/>
      </c>
      <c r="AU450" s="118" t="str">
        <f>IF(AU$6="","",IF(AU$3="Maior",IFERROR(IF(VLOOKUP($N450,Capa!$A:$AE,AU$5,0)="",0,VLOOKUP($N450,Capa!$A:$AE,AU$5,0)),0),IF(ISERROR(1/VLOOKUP($N450,Capa!$A:$AE,AU$5,0)),0,1/VLOOKUP($N450,Capa!$A:$AE,AU$5,0))))</f>
        <v/>
      </c>
      <c r="AV450" s="118" t="str">
        <f>IF(AV$6="","",IF(AV$3="Maior",IFERROR(IF(VLOOKUP($N450,Capa!$A:$AE,AV$5,0)="",0,VLOOKUP($N450,Capa!$A:$AE,AV$5,0)),0),IF(ISERROR(1/VLOOKUP($N450,Capa!$A:$AE,AV$5,0)),0,1/VLOOKUP($N450,Capa!$A:$AE,AV$5,0))))</f>
        <v/>
      </c>
      <c r="AW450" s="118" t="str">
        <f>IF(AW$6="","",IF(AW$3="Maior",IFERROR(IF(VLOOKUP($N450,Capa!$A:$AE,AW$5,0)="",0,VLOOKUP($N450,Capa!$A:$AE,AW$5,0)),0),IF(ISERROR(1/VLOOKUP($N450,Capa!$A:$AE,AW$5,0)),0,1/VLOOKUP($N450,Capa!$A:$AE,AW$5,0))))</f>
        <v/>
      </c>
      <c r="AX450" s="118" t="str">
        <f>IF(AX$6="","",IF(AX$3="Maior",IFERROR(IF(VLOOKUP($N450,Capa!$A:$AE,AX$5,0)="",0,VLOOKUP($N450,Capa!$A:$AE,AX$5,0)),0),IF(ISERROR(1/VLOOKUP($N450,Capa!$A:$AE,AX$5,0)),0,1/VLOOKUP($N450,Capa!$A:$AE,AX$5,0))))</f>
        <v/>
      </c>
      <c r="AY450" s="118" t="str">
        <f>IF(AY$6="","",IF(AY$3="Maior",IFERROR(IF(VLOOKUP($N450,Capa!$A:$AE,AY$5,0)="",0,VLOOKUP($N450,Capa!$A:$AE,AY$5,0)),0),IF(ISERROR(1/VLOOKUP($N450,Capa!$A:$AE,AY$5,0)),0,1/VLOOKUP($N450,Capa!$A:$AE,AY$5,0))))</f>
        <v/>
      </c>
      <c r="AZ450" s="118" t="str">
        <f>IF(AZ$6="","",IF(AZ$3="Maior",IFERROR(IF(VLOOKUP($N450,Capa!$A:$AE,AZ$5,0)="",0,VLOOKUP($N450,Capa!$A:$AE,AZ$5,0)),0),IF(ISERROR(1/VLOOKUP($N450,Capa!$A:$AE,AZ$5,0)),0,1/VLOOKUP($N450,Capa!$A:$AE,AZ$5,0))))</f>
        <v/>
      </c>
      <c r="BA450" s="118" t="str">
        <f>IF(BA$6="","",IF(BA$3="Maior",IFERROR(IF(VLOOKUP($N450,Capa!$A:$AE,BA$5,0)="",0,VLOOKUP($N450,Capa!$A:$AE,BA$5,0)),0),IF(ISERROR(1/VLOOKUP($N450,Capa!$A:$AE,BA$5,0)),0,1/VLOOKUP($N450,Capa!$A:$AE,BA$5,0))))</f>
        <v/>
      </c>
      <c r="BB450" s="118" t="str">
        <f>IF(BB$6="","",IF(BB$3="Maior",IFERROR(IF(VLOOKUP($N450,Capa!$A:$AE,BB$5,0)="",0,VLOOKUP($N450,Capa!$A:$AE,BB$5,0)),0),IF(ISERROR(1/VLOOKUP($N450,Capa!$A:$AE,BB$5,0)),0,1/VLOOKUP($N450,Capa!$A:$AE,BB$5,0))))</f>
        <v/>
      </c>
      <c r="BC450" s="118" t="str">
        <f>IF(BC$6="","",IF(BC$3="Maior",IFERROR(IF(VLOOKUP($N450,Capa!$A:$AE,BC$5,0)="",0,VLOOKUP($N450,Capa!$A:$AE,BC$5,0)),0),IF(ISERROR(1/VLOOKUP($N450,Capa!$A:$AE,BC$5,0)),0,1/VLOOKUP($N450,Capa!$A:$AE,BC$5,0))))</f>
        <v/>
      </c>
      <c r="BD450" s="118" t="str">
        <f>IF(BD$6="","",IF(BD$3="Maior",IFERROR(IF(VLOOKUP($N450,Capa!$A:$AE,BD$5,0)="",0,VLOOKUP($N450,Capa!$A:$AE,BD$5,0)),0),IF(ISERROR(1/VLOOKUP($N450,Capa!$A:$AE,BD$5,0)),0,1/VLOOKUP($N450,Capa!$A:$AE,BD$5,0))))</f>
        <v/>
      </c>
      <c r="BE450" s="118" t="str">
        <f>IF(BE$6="","",IF(BE$3="Maior",IFERROR(IF(VLOOKUP($N450,Capa!$A:$AE,BE$5,0)="",0,VLOOKUP($N450,Capa!$A:$AE,BE$5,0)),0),IF(ISERROR(1/VLOOKUP($N450,Capa!$A:$AE,BE$5,0)),0,1/VLOOKUP($N450,Capa!$A:$AE,BE$5,0))))</f>
        <v/>
      </c>
      <c r="BF450" s="118" t="str">
        <f>IF(BF$6="","",IF(BF$3="Maior",IFERROR(IF(VLOOKUP($N450,Capa!$A:$AE,BF$5,0)="",0,VLOOKUP($N450,Capa!$A:$AE,BF$5,0)),0),IF(ISERROR(1/VLOOKUP($N450,Capa!$A:$AE,BF$5,0)),0,1/VLOOKUP($N450,Capa!$A:$AE,BF$5,0))))</f>
        <v/>
      </c>
      <c r="BG450" s="118" t="str">
        <f>IF(BG$6="","",IF(BG$3="Maior",IFERROR(IF(VLOOKUP($N450,Capa!$A:$AE,BG$5,0)="",0,VLOOKUP($N450,Capa!$A:$AE,BG$5,0)),0),IF(ISERROR(1/VLOOKUP($N450,Capa!$A:$AE,BG$5,0)),0,1/VLOOKUP($N450,Capa!$A:$AE,BG$5,0))))</f>
        <v/>
      </c>
      <c r="BH450" s="118" t="str">
        <f>IF(BH$6="","",IF(BH$3="Maior",IFERROR(IF(VLOOKUP($N450,Capa!$A:$AE,BH$5,0)="",0,VLOOKUP($N450,Capa!$A:$AE,BH$5,0)),0),IF(ISERROR(1/VLOOKUP($N450,Capa!$A:$AE,BH$5,0)),0,1/VLOOKUP($N450,Capa!$A:$AE,BH$5,0))))</f>
        <v/>
      </c>
      <c r="BI450" s="118" t="str">
        <f>IF(BI$6="","",IF(BI$3="Maior",IFERROR(IF(VLOOKUP($N450,Capa!$A:$AE,BI$5,0)="",0,VLOOKUP($N450,Capa!$A:$AE,BI$5,0)),0),IF(ISERROR(1/VLOOKUP($N450,Capa!$A:$AE,BI$5,0)),0,1/VLOOKUP($N450,Capa!$A:$AE,BI$5,0))))</f>
        <v/>
      </c>
      <c r="BJ450" s="118" t="str">
        <f>IF(BJ$6="","",IF(BJ$3="Maior",IFERROR(IF(VLOOKUP($N450,Capa!$A:$AE,BJ$5,0)="",0,VLOOKUP($N450,Capa!$A:$AE,BJ$5,0)),0),IF(ISERROR(1/VLOOKUP($N450,Capa!$A:$AE,BJ$5,0)),0,1/VLOOKUP($N450,Capa!$A:$AE,BJ$5,0))))</f>
        <v/>
      </c>
      <c r="BK450" s="118" t="str">
        <f>IF(BK$6="","",IF(BK$3="Maior",IFERROR(IF(VLOOKUP($N450,Capa!$A:$AE,BK$5,0)="",0,VLOOKUP($N450,Capa!$A:$AE,BK$5,0)),0),IF(ISERROR(1/VLOOKUP($N450,Capa!$A:$AE,BK$5,0)),0,1/VLOOKUP($N450,Capa!$A:$AE,BK$5,0))))</f>
        <v/>
      </c>
      <c r="BL450" s="118" t="str">
        <f>IF(BL$6="","",IF(BL$3="Maior",IFERROR(IF(VLOOKUP($N450,Capa!$A:$AE,BL$5,0)="",0,VLOOKUP($N450,Capa!$A:$AE,BL$5,0)),0),IF(ISERROR(1/VLOOKUP($N450,Capa!$A:$AE,BL$5,0)),0,1/VLOOKUP($N450,Capa!$A:$AE,BL$5,0))))</f>
        <v/>
      </c>
      <c r="BM450" s="118" t="str">
        <f>IF(BM$6="","",IF(BM$3="Maior",IFERROR(IF(VLOOKUP($N450,Capa!$A:$AE,BM$5,0)="",0,VLOOKUP($N450,Capa!$A:$AE,BM$5,0)),0),IF(ISERROR(1/VLOOKUP($N450,Capa!$A:$AE,BM$5,0)),0,1/VLOOKUP($N450,Capa!$A:$AE,BM$5,0))))</f>
        <v/>
      </c>
      <c r="BN450" s="118" t="str">
        <f>IF(BN$6="","",IF(BN$3="Maior",IFERROR(IF(VLOOKUP($N450,Capa!$A:$AE,BN$5,0)="",0,VLOOKUP($N450,Capa!$A:$AE,BN$5,0)),0),IF(ISERROR(1/VLOOKUP($N450,Capa!$A:$AE,BN$5,0)),0,1/VLOOKUP($N450,Capa!$A:$AE,BN$5,0))))</f>
        <v/>
      </c>
      <c r="BO450" s="92"/>
    </row>
    <row r="451">
      <c r="I451" s="73"/>
      <c r="J451" s="74"/>
      <c r="N451" s="10" t="s">
        <v>497</v>
      </c>
      <c r="O451" s="113">
        <f t="shared" si="8"/>
        <v>1815.0281</v>
      </c>
      <c r="P451" s="114">
        <f>VLOOKUP(N451,'Dados StatusInvest'!A:Z,26,0)</f>
        <v>6522.5</v>
      </c>
      <c r="Q451" s="115">
        <f t="shared" si="9"/>
        <v>281.0281</v>
      </c>
      <c r="R451" s="116">
        <f t="shared" ref="R451:AO451" si="454">IF(AQ451="","", RANK(AQ451,AQ$7:AQ$503,0))</f>
        <v>315</v>
      </c>
      <c r="S451" s="115">
        <f t="shared" si="454"/>
        <v>219</v>
      </c>
      <c r="T451" s="115" t="str">
        <f t="shared" si="454"/>
        <v/>
      </c>
      <c r="U451" s="115" t="str">
        <f t="shared" si="454"/>
        <v/>
      </c>
      <c r="V451" s="115" t="str">
        <f t="shared" si="454"/>
        <v/>
      </c>
      <c r="W451" s="115" t="str">
        <f t="shared" si="454"/>
        <v/>
      </c>
      <c r="X451" s="115" t="str">
        <f t="shared" si="454"/>
        <v/>
      </c>
      <c r="Y451" s="115" t="str">
        <f t="shared" si="454"/>
        <v/>
      </c>
      <c r="Z451" s="115" t="str">
        <f t="shared" si="454"/>
        <v/>
      </c>
      <c r="AA451" s="115" t="str">
        <f t="shared" si="454"/>
        <v/>
      </c>
      <c r="AB451" s="115" t="str">
        <f t="shared" si="454"/>
        <v/>
      </c>
      <c r="AC451" s="115" t="str">
        <f t="shared" si="454"/>
        <v/>
      </c>
      <c r="AD451" s="115" t="str">
        <f t="shared" si="454"/>
        <v/>
      </c>
      <c r="AE451" s="115" t="str">
        <f t="shared" si="454"/>
        <v/>
      </c>
      <c r="AF451" s="115" t="str">
        <f t="shared" si="454"/>
        <v/>
      </c>
      <c r="AG451" s="115" t="str">
        <f t="shared" si="454"/>
        <v/>
      </c>
      <c r="AH451" s="115" t="str">
        <f t="shared" si="454"/>
        <v/>
      </c>
      <c r="AI451" s="115" t="str">
        <f t="shared" si="454"/>
        <v/>
      </c>
      <c r="AJ451" s="115" t="str">
        <f t="shared" si="454"/>
        <v/>
      </c>
      <c r="AK451" s="115" t="str">
        <f t="shared" si="454"/>
        <v/>
      </c>
      <c r="AL451" s="115" t="str">
        <f t="shared" si="454"/>
        <v/>
      </c>
      <c r="AM451" s="115" t="str">
        <f t="shared" si="454"/>
        <v/>
      </c>
      <c r="AN451" s="115" t="str">
        <f t="shared" si="454"/>
        <v/>
      </c>
      <c r="AO451" s="115" t="str">
        <f t="shared" si="454"/>
        <v/>
      </c>
      <c r="AP451" s="117">
        <f>IF(AP$6="","",IF(AP$3="Maior",IFERROR(IF(VLOOKUP($N451,Capa!$A:$AE,AP$5,0)="",0,VLOOKUP($N451,Capa!$A:$AE,AP$5,0)),0),IF(ISERROR(1/VLOOKUP($N451,Capa!$A:$AE,AP$5,0)),0,1/VLOOKUP($N451,Capa!$A:$AE,AP$5,0))))</f>
        <v>0.0641025641</v>
      </c>
      <c r="AQ451" s="118">
        <f>IF(AQ$6="","",IF(AQ$3="Maior",IFERROR(IF(VLOOKUP($N451,Capa!$A:$AE,AQ$5,0)="",0,VLOOKUP($N451,Capa!$A:$AE,AQ$5,0)),0),IF(ISERROR(1/VLOOKUP($N451,Capa!$A:$AE,AQ$5,0)),0,1/VLOOKUP($N451,Capa!$A:$AE,AQ$5,0))))</f>
        <v>3.68</v>
      </c>
      <c r="AR451" s="118">
        <f>IF(AR$6="","",IF(AR$3="Maior",IFERROR(IF(VLOOKUP($N451,Capa!$A:$AE,AR$5,0)="",0,VLOOKUP($N451,Capa!$A:$AE,AR$5,0)),0),IF(ISERROR(1/VLOOKUP($N451,Capa!$A:$AE,AR$5,0)),0,1/VLOOKUP($N451,Capa!$A:$AE,AR$5,0))))</f>
        <v>0</v>
      </c>
      <c r="AS451" s="118" t="str">
        <f>IF(AS$6="","",IF(AS$3="Maior",IFERROR(IF(VLOOKUP($N451,Capa!$A:$AE,AS$5,0)="",0,VLOOKUP($N451,Capa!$A:$AE,AS$5,0)),0),IF(ISERROR(1/VLOOKUP($N451,Capa!$A:$AE,AS$5,0)),0,1/VLOOKUP($N451,Capa!$A:$AE,AS$5,0))))</f>
        <v/>
      </c>
      <c r="AT451" s="118" t="str">
        <f>IF(AT$6="","",IF(AT$3="Maior",IFERROR(IF(VLOOKUP($N451,Capa!$A:$AE,AT$5,0)="",0,VLOOKUP($N451,Capa!$A:$AE,AT$5,0)),0),IF(ISERROR(1/VLOOKUP($N451,Capa!$A:$AE,AT$5,0)),0,1/VLOOKUP($N451,Capa!$A:$AE,AT$5,0))))</f>
        <v/>
      </c>
      <c r="AU451" s="118" t="str">
        <f>IF(AU$6="","",IF(AU$3="Maior",IFERROR(IF(VLOOKUP($N451,Capa!$A:$AE,AU$5,0)="",0,VLOOKUP($N451,Capa!$A:$AE,AU$5,0)),0),IF(ISERROR(1/VLOOKUP($N451,Capa!$A:$AE,AU$5,0)),0,1/VLOOKUP($N451,Capa!$A:$AE,AU$5,0))))</f>
        <v/>
      </c>
      <c r="AV451" s="118" t="str">
        <f>IF(AV$6="","",IF(AV$3="Maior",IFERROR(IF(VLOOKUP($N451,Capa!$A:$AE,AV$5,0)="",0,VLOOKUP($N451,Capa!$A:$AE,AV$5,0)),0),IF(ISERROR(1/VLOOKUP($N451,Capa!$A:$AE,AV$5,0)),0,1/VLOOKUP($N451,Capa!$A:$AE,AV$5,0))))</f>
        <v/>
      </c>
      <c r="AW451" s="118" t="str">
        <f>IF(AW$6="","",IF(AW$3="Maior",IFERROR(IF(VLOOKUP($N451,Capa!$A:$AE,AW$5,0)="",0,VLOOKUP($N451,Capa!$A:$AE,AW$5,0)),0),IF(ISERROR(1/VLOOKUP($N451,Capa!$A:$AE,AW$5,0)),0,1/VLOOKUP($N451,Capa!$A:$AE,AW$5,0))))</f>
        <v/>
      </c>
      <c r="AX451" s="118" t="str">
        <f>IF(AX$6="","",IF(AX$3="Maior",IFERROR(IF(VLOOKUP($N451,Capa!$A:$AE,AX$5,0)="",0,VLOOKUP($N451,Capa!$A:$AE,AX$5,0)),0),IF(ISERROR(1/VLOOKUP($N451,Capa!$A:$AE,AX$5,0)),0,1/VLOOKUP($N451,Capa!$A:$AE,AX$5,0))))</f>
        <v/>
      </c>
      <c r="AY451" s="118" t="str">
        <f>IF(AY$6="","",IF(AY$3="Maior",IFERROR(IF(VLOOKUP($N451,Capa!$A:$AE,AY$5,0)="",0,VLOOKUP($N451,Capa!$A:$AE,AY$5,0)),0),IF(ISERROR(1/VLOOKUP($N451,Capa!$A:$AE,AY$5,0)),0,1/VLOOKUP($N451,Capa!$A:$AE,AY$5,0))))</f>
        <v/>
      </c>
      <c r="AZ451" s="118" t="str">
        <f>IF(AZ$6="","",IF(AZ$3="Maior",IFERROR(IF(VLOOKUP($N451,Capa!$A:$AE,AZ$5,0)="",0,VLOOKUP($N451,Capa!$A:$AE,AZ$5,0)),0),IF(ISERROR(1/VLOOKUP($N451,Capa!$A:$AE,AZ$5,0)),0,1/VLOOKUP($N451,Capa!$A:$AE,AZ$5,0))))</f>
        <v/>
      </c>
      <c r="BA451" s="118" t="str">
        <f>IF(BA$6="","",IF(BA$3="Maior",IFERROR(IF(VLOOKUP($N451,Capa!$A:$AE,BA$5,0)="",0,VLOOKUP($N451,Capa!$A:$AE,BA$5,0)),0),IF(ISERROR(1/VLOOKUP($N451,Capa!$A:$AE,BA$5,0)),0,1/VLOOKUP($N451,Capa!$A:$AE,BA$5,0))))</f>
        <v/>
      </c>
      <c r="BB451" s="118" t="str">
        <f>IF(BB$6="","",IF(BB$3="Maior",IFERROR(IF(VLOOKUP($N451,Capa!$A:$AE,BB$5,0)="",0,VLOOKUP($N451,Capa!$A:$AE,BB$5,0)),0),IF(ISERROR(1/VLOOKUP($N451,Capa!$A:$AE,BB$5,0)),0,1/VLOOKUP($N451,Capa!$A:$AE,BB$5,0))))</f>
        <v/>
      </c>
      <c r="BC451" s="118" t="str">
        <f>IF(BC$6="","",IF(BC$3="Maior",IFERROR(IF(VLOOKUP($N451,Capa!$A:$AE,BC$5,0)="",0,VLOOKUP($N451,Capa!$A:$AE,BC$5,0)),0),IF(ISERROR(1/VLOOKUP($N451,Capa!$A:$AE,BC$5,0)),0,1/VLOOKUP($N451,Capa!$A:$AE,BC$5,0))))</f>
        <v/>
      </c>
      <c r="BD451" s="118" t="str">
        <f>IF(BD$6="","",IF(BD$3="Maior",IFERROR(IF(VLOOKUP($N451,Capa!$A:$AE,BD$5,0)="",0,VLOOKUP($N451,Capa!$A:$AE,BD$5,0)),0),IF(ISERROR(1/VLOOKUP($N451,Capa!$A:$AE,BD$5,0)),0,1/VLOOKUP($N451,Capa!$A:$AE,BD$5,0))))</f>
        <v/>
      </c>
      <c r="BE451" s="118" t="str">
        <f>IF(BE$6="","",IF(BE$3="Maior",IFERROR(IF(VLOOKUP($N451,Capa!$A:$AE,BE$5,0)="",0,VLOOKUP($N451,Capa!$A:$AE,BE$5,0)),0),IF(ISERROR(1/VLOOKUP($N451,Capa!$A:$AE,BE$5,0)),0,1/VLOOKUP($N451,Capa!$A:$AE,BE$5,0))))</f>
        <v/>
      </c>
      <c r="BF451" s="118" t="str">
        <f>IF(BF$6="","",IF(BF$3="Maior",IFERROR(IF(VLOOKUP($N451,Capa!$A:$AE,BF$5,0)="",0,VLOOKUP($N451,Capa!$A:$AE,BF$5,0)),0),IF(ISERROR(1/VLOOKUP($N451,Capa!$A:$AE,BF$5,0)),0,1/VLOOKUP($N451,Capa!$A:$AE,BF$5,0))))</f>
        <v/>
      </c>
      <c r="BG451" s="118" t="str">
        <f>IF(BG$6="","",IF(BG$3="Maior",IFERROR(IF(VLOOKUP($N451,Capa!$A:$AE,BG$5,0)="",0,VLOOKUP($N451,Capa!$A:$AE,BG$5,0)),0),IF(ISERROR(1/VLOOKUP($N451,Capa!$A:$AE,BG$5,0)),0,1/VLOOKUP($N451,Capa!$A:$AE,BG$5,0))))</f>
        <v/>
      </c>
      <c r="BH451" s="118" t="str">
        <f>IF(BH$6="","",IF(BH$3="Maior",IFERROR(IF(VLOOKUP($N451,Capa!$A:$AE,BH$5,0)="",0,VLOOKUP($N451,Capa!$A:$AE,BH$5,0)),0),IF(ISERROR(1/VLOOKUP($N451,Capa!$A:$AE,BH$5,0)),0,1/VLOOKUP($N451,Capa!$A:$AE,BH$5,0))))</f>
        <v/>
      </c>
      <c r="BI451" s="118" t="str">
        <f>IF(BI$6="","",IF(BI$3="Maior",IFERROR(IF(VLOOKUP($N451,Capa!$A:$AE,BI$5,0)="",0,VLOOKUP($N451,Capa!$A:$AE,BI$5,0)),0),IF(ISERROR(1/VLOOKUP($N451,Capa!$A:$AE,BI$5,0)),0,1/VLOOKUP($N451,Capa!$A:$AE,BI$5,0))))</f>
        <v/>
      </c>
      <c r="BJ451" s="118" t="str">
        <f>IF(BJ$6="","",IF(BJ$3="Maior",IFERROR(IF(VLOOKUP($N451,Capa!$A:$AE,BJ$5,0)="",0,VLOOKUP($N451,Capa!$A:$AE,BJ$5,0)),0),IF(ISERROR(1/VLOOKUP($N451,Capa!$A:$AE,BJ$5,0)),0,1/VLOOKUP($N451,Capa!$A:$AE,BJ$5,0))))</f>
        <v/>
      </c>
      <c r="BK451" s="118" t="str">
        <f>IF(BK$6="","",IF(BK$3="Maior",IFERROR(IF(VLOOKUP($N451,Capa!$A:$AE,BK$5,0)="",0,VLOOKUP($N451,Capa!$A:$AE,BK$5,0)),0),IF(ISERROR(1/VLOOKUP($N451,Capa!$A:$AE,BK$5,0)),0,1/VLOOKUP($N451,Capa!$A:$AE,BK$5,0))))</f>
        <v/>
      </c>
      <c r="BL451" s="118" t="str">
        <f>IF(BL$6="","",IF(BL$3="Maior",IFERROR(IF(VLOOKUP($N451,Capa!$A:$AE,BL$5,0)="",0,VLOOKUP($N451,Capa!$A:$AE,BL$5,0)),0),IF(ISERROR(1/VLOOKUP($N451,Capa!$A:$AE,BL$5,0)),0,1/VLOOKUP($N451,Capa!$A:$AE,BL$5,0))))</f>
        <v/>
      </c>
      <c r="BM451" s="118" t="str">
        <f>IF(BM$6="","",IF(BM$3="Maior",IFERROR(IF(VLOOKUP($N451,Capa!$A:$AE,BM$5,0)="",0,VLOOKUP($N451,Capa!$A:$AE,BM$5,0)),0),IF(ISERROR(1/VLOOKUP($N451,Capa!$A:$AE,BM$5,0)),0,1/VLOOKUP($N451,Capa!$A:$AE,BM$5,0))))</f>
        <v/>
      </c>
      <c r="BN451" s="118" t="str">
        <f>IF(BN$6="","",IF(BN$3="Maior",IFERROR(IF(VLOOKUP($N451,Capa!$A:$AE,BN$5,0)="",0,VLOOKUP($N451,Capa!$A:$AE,BN$5,0)),0),IF(ISERROR(1/VLOOKUP($N451,Capa!$A:$AE,BN$5,0)),0,1/VLOOKUP($N451,Capa!$A:$AE,BN$5,0))))</f>
        <v/>
      </c>
      <c r="BO451" s="92"/>
    </row>
    <row r="452">
      <c r="I452" s="73"/>
      <c r="J452" s="74"/>
      <c r="N452" s="10" t="s">
        <v>498</v>
      </c>
      <c r="O452" s="113">
        <f t="shared" si="8"/>
        <v>2204.0474</v>
      </c>
      <c r="P452" s="114">
        <f>VLOOKUP(N452,'Dados StatusInvest'!A:Z,26,0)</f>
        <v>908</v>
      </c>
      <c r="Q452" s="115">
        <f t="shared" si="9"/>
        <v>474.0474</v>
      </c>
      <c r="R452" s="116">
        <f t="shared" ref="R452:AO452" si="455">IF(AQ452="","", RANK(AQ452,AQ$7:AQ$503,0))</f>
        <v>246</v>
      </c>
      <c r="S452" s="115">
        <f t="shared" si="455"/>
        <v>484</v>
      </c>
      <c r="T452" s="115" t="str">
        <f t="shared" si="455"/>
        <v/>
      </c>
      <c r="U452" s="115" t="str">
        <f t="shared" si="455"/>
        <v/>
      </c>
      <c r="V452" s="115" t="str">
        <f t="shared" si="455"/>
        <v/>
      </c>
      <c r="W452" s="115" t="str">
        <f t="shared" si="455"/>
        <v/>
      </c>
      <c r="X452" s="115" t="str">
        <f t="shared" si="455"/>
        <v/>
      </c>
      <c r="Y452" s="115" t="str">
        <f t="shared" si="455"/>
        <v/>
      </c>
      <c r="Z452" s="115" t="str">
        <f t="shared" si="455"/>
        <v/>
      </c>
      <c r="AA452" s="115" t="str">
        <f t="shared" si="455"/>
        <v/>
      </c>
      <c r="AB452" s="115" t="str">
        <f t="shared" si="455"/>
        <v/>
      </c>
      <c r="AC452" s="115" t="str">
        <f t="shared" si="455"/>
        <v/>
      </c>
      <c r="AD452" s="115" t="str">
        <f t="shared" si="455"/>
        <v/>
      </c>
      <c r="AE452" s="115" t="str">
        <f t="shared" si="455"/>
        <v/>
      </c>
      <c r="AF452" s="115" t="str">
        <f t="shared" si="455"/>
        <v/>
      </c>
      <c r="AG452" s="115" t="str">
        <f t="shared" si="455"/>
        <v/>
      </c>
      <c r="AH452" s="115" t="str">
        <f t="shared" si="455"/>
        <v/>
      </c>
      <c r="AI452" s="115" t="str">
        <f t="shared" si="455"/>
        <v/>
      </c>
      <c r="AJ452" s="115" t="str">
        <f t="shared" si="455"/>
        <v/>
      </c>
      <c r="AK452" s="115" t="str">
        <f t="shared" si="455"/>
        <v/>
      </c>
      <c r="AL452" s="115" t="str">
        <f t="shared" si="455"/>
        <v/>
      </c>
      <c r="AM452" s="115" t="str">
        <f t="shared" si="455"/>
        <v/>
      </c>
      <c r="AN452" s="115" t="str">
        <f t="shared" si="455"/>
        <v/>
      </c>
      <c r="AO452" s="115" t="str">
        <f t="shared" si="455"/>
        <v/>
      </c>
      <c r="AP452" s="117">
        <f>IF(AP$6="","",IF(AP$3="Maior",IFERROR(IF(VLOOKUP($N452,Capa!$A:$AE,AP$5,0)="",0,VLOOKUP($N452,Capa!$A:$AE,AP$5,0)),0),IF(ISERROR(1/VLOOKUP($N452,Capa!$A:$AE,AP$5,0)),0,1/VLOOKUP($N452,Capa!$A:$AE,AP$5,0))))</f>
        <v>-0.2057613169</v>
      </c>
      <c r="AQ452" s="118">
        <f>IF(AQ$6="","",IF(AQ$3="Maior",IFERROR(IF(VLOOKUP($N452,Capa!$A:$AE,AQ$5,0)="",0,VLOOKUP($N452,Capa!$A:$AE,AQ$5,0)),0),IF(ISERROR(1/VLOOKUP($N452,Capa!$A:$AE,AQ$5,0)),0,1/VLOOKUP($N452,Capa!$A:$AE,AQ$5,0))))</f>
        <v>8.38</v>
      </c>
      <c r="AR452" s="118">
        <f>IF(AR$6="","",IF(AR$3="Maior",IFERROR(IF(VLOOKUP($N452,Capa!$A:$AE,AR$5,0)="",0,VLOOKUP($N452,Capa!$A:$AE,AR$5,0)),0),IF(ISERROR(1/VLOOKUP($N452,Capa!$A:$AE,AR$5,0)),0,1/VLOOKUP($N452,Capa!$A:$AE,AR$5,0))))</f>
        <v>-16.72</v>
      </c>
      <c r="AS452" s="118" t="str">
        <f>IF(AS$6="","",IF(AS$3="Maior",IFERROR(IF(VLOOKUP($N452,Capa!$A:$AE,AS$5,0)="",0,VLOOKUP($N452,Capa!$A:$AE,AS$5,0)),0),IF(ISERROR(1/VLOOKUP($N452,Capa!$A:$AE,AS$5,0)),0,1/VLOOKUP($N452,Capa!$A:$AE,AS$5,0))))</f>
        <v/>
      </c>
      <c r="AT452" s="118" t="str">
        <f>IF(AT$6="","",IF(AT$3="Maior",IFERROR(IF(VLOOKUP($N452,Capa!$A:$AE,AT$5,0)="",0,VLOOKUP($N452,Capa!$A:$AE,AT$5,0)),0),IF(ISERROR(1/VLOOKUP($N452,Capa!$A:$AE,AT$5,0)),0,1/VLOOKUP($N452,Capa!$A:$AE,AT$5,0))))</f>
        <v/>
      </c>
      <c r="AU452" s="118" t="str">
        <f>IF(AU$6="","",IF(AU$3="Maior",IFERROR(IF(VLOOKUP($N452,Capa!$A:$AE,AU$5,0)="",0,VLOOKUP($N452,Capa!$A:$AE,AU$5,0)),0),IF(ISERROR(1/VLOOKUP($N452,Capa!$A:$AE,AU$5,0)),0,1/VLOOKUP($N452,Capa!$A:$AE,AU$5,0))))</f>
        <v/>
      </c>
      <c r="AV452" s="118" t="str">
        <f>IF(AV$6="","",IF(AV$3="Maior",IFERROR(IF(VLOOKUP($N452,Capa!$A:$AE,AV$5,0)="",0,VLOOKUP($N452,Capa!$A:$AE,AV$5,0)),0),IF(ISERROR(1/VLOOKUP($N452,Capa!$A:$AE,AV$5,0)),0,1/VLOOKUP($N452,Capa!$A:$AE,AV$5,0))))</f>
        <v/>
      </c>
      <c r="AW452" s="118" t="str">
        <f>IF(AW$6="","",IF(AW$3="Maior",IFERROR(IF(VLOOKUP($N452,Capa!$A:$AE,AW$5,0)="",0,VLOOKUP($N452,Capa!$A:$AE,AW$5,0)),0),IF(ISERROR(1/VLOOKUP($N452,Capa!$A:$AE,AW$5,0)),0,1/VLOOKUP($N452,Capa!$A:$AE,AW$5,0))))</f>
        <v/>
      </c>
      <c r="AX452" s="118" t="str">
        <f>IF(AX$6="","",IF(AX$3="Maior",IFERROR(IF(VLOOKUP($N452,Capa!$A:$AE,AX$5,0)="",0,VLOOKUP($N452,Capa!$A:$AE,AX$5,0)),0),IF(ISERROR(1/VLOOKUP($N452,Capa!$A:$AE,AX$5,0)),0,1/VLOOKUP($N452,Capa!$A:$AE,AX$5,0))))</f>
        <v/>
      </c>
      <c r="AY452" s="118" t="str">
        <f>IF(AY$6="","",IF(AY$3="Maior",IFERROR(IF(VLOOKUP($N452,Capa!$A:$AE,AY$5,0)="",0,VLOOKUP($N452,Capa!$A:$AE,AY$5,0)),0),IF(ISERROR(1/VLOOKUP($N452,Capa!$A:$AE,AY$5,0)),0,1/VLOOKUP($N452,Capa!$A:$AE,AY$5,0))))</f>
        <v/>
      </c>
      <c r="AZ452" s="118" t="str">
        <f>IF(AZ$6="","",IF(AZ$3="Maior",IFERROR(IF(VLOOKUP($N452,Capa!$A:$AE,AZ$5,0)="",0,VLOOKUP($N452,Capa!$A:$AE,AZ$5,0)),0),IF(ISERROR(1/VLOOKUP($N452,Capa!$A:$AE,AZ$5,0)),0,1/VLOOKUP($N452,Capa!$A:$AE,AZ$5,0))))</f>
        <v/>
      </c>
      <c r="BA452" s="118" t="str">
        <f>IF(BA$6="","",IF(BA$3="Maior",IFERROR(IF(VLOOKUP($N452,Capa!$A:$AE,BA$5,0)="",0,VLOOKUP($N452,Capa!$A:$AE,BA$5,0)),0),IF(ISERROR(1/VLOOKUP($N452,Capa!$A:$AE,BA$5,0)),0,1/VLOOKUP($N452,Capa!$A:$AE,BA$5,0))))</f>
        <v/>
      </c>
      <c r="BB452" s="118" t="str">
        <f>IF(BB$6="","",IF(BB$3="Maior",IFERROR(IF(VLOOKUP($N452,Capa!$A:$AE,BB$5,0)="",0,VLOOKUP($N452,Capa!$A:$AE,BB$5,0)),0),IF(ISERROR(1/VLOOKUP($N452,Capa!$A:$AE,BB$5,0)),0,1/VLOOKUP($N452,Capa!$A:$AE,BB$5,0))))</f>
        <v/>
      </c>
      <c r="BC452" s="118" t="str">
        <f>IF(BC$6="","",IF(BC$3="Maior",IFERROR(IF(VLOOKUP($N452,Capa!$A:$AE,BC$5,0)="",0,VLOOKUP($N452,Capa!$A:$AE,BC$5,0)),0),IF(ISERROR(1/VLOOKUP($N452,Capa!$A:$AE,BC$5,0)),0,1/VLOOKUP($N452,Capa!$A:$AE,BC$5,0))))</f>
        <v/>
      </c>
      <c r="BD452" s="118" t="str">
        <f>IF(BD$6="","",IF(BD$3="Maior",IFERROR(IF(VLOOKUP($N452,Capa!$A:$AE,BD$5,0)="",0,VLOOKUP($N452,Capa!$A:$AE,BD$5,0)),0),IF(ISERROR(1/VLOOKUP($N452,Capa!$A:$AE,BD$5,0)),0,1/VLOOKUP($N452,Capa!$A:$AE,BD$5,0))))</f>
        <v/>
      </c>
      <c r="BE452" s="118" t="str">
        <f>IF(BE$6="","",IF(BE$3="Maior",IFERROR(IF(VLOOKUP($N452,Capa!$A:$AE,BE$5,0)="",0,VLOOKUP($N452,Capa!$A:$AE,BE$5,0)),0),IF(ISERROR(1/VLOOKUP($N452,Capa!$A:$AE,BE$5,0)),0,1/VLOOKUP($N452,Capa!$A:$AE,BE$5,0))))</f>
        <v/>
      </c>
      <c r="BF452" s="118" t="str">
        <f>IF(BF$6="","",IF(BF$3="Maior",IFERROR(IF(VLOOKUP($N452,Capa!$A:$AE,BF$5,0)="",0,VLOOKUP($N452,Capa!$A:$AE,BF$5,0)),0),IF(ISERROR(1/VLOOKUP($N452,Capa!$A:$AE,BF$5,0)),0,1/VLOOKUP($N452,Capa!$A:$AE,BF$5,0))))</f>
        <v/>
      </c>
      <c r="BG452" s="118" t="str">
        <f>IF(BG$6="","",IF(BG$3="Maior",IFERROR(IF(VLOOKUP($N452,Capa!$A:$AE,BG$5,0)="",0,VLOOKUP($N452,Capa!$A:$AE,BG$5,0)),0),IF(ISERROR(1/VLOOKUP($N452,Capa!$A:$AE,BG$5,0)),0,1/VLOOKUP($N452,Capa!$A:$AE,BG$5,0))))</f>
        <v/>
      </c>
      <c r="BH452" s="118" t="str">
        <f>IF(BH$6="","",IF(BH$3="Maior",IFERROR(IF(VLOOKUP($N452,Capa!$A:$AE,BH$5,0)="",0,VLOOKUP($N452,Capa!$A:$AE,BH$5,0)),0),IF(ISERROR(1/VLOOKUP($N452,Capa!$A:$AE,BH$5,0)),0,1/VLOOKUP($N452,Capa!$A:$AE,BH$5,0))))</f>
        <v/>
      </c>
      <c r="BI452" s="118" t="str">
        <f>IF(BI$6="","",IF(BI$3="Maior",IFERROR(IF(VLOOKUP($N452,Capa!$A:$AE,BI$5,0)="",0,VLOOKUP($N452,Capa!$A:$AE,BI$5,0)),0),IF(ISERROR(1/VLOOKUP($N452,Capa!$A:$AE,BI$5,0)),0,1/VLOOKUP($N452,Capa!$A:$AE,BI$5,0))))</f>
        <v/>
      </c>
      <c r="BJ452" s="118" t="str">
        <f>IF(BJ$6="","",IF(BJ$3="Maior",IFERROR(IF(VLOOKUP($N452,Capa!$A:$AE,BJ$5,0)="",0,VLOOKUP($N452,Capa!$A:$AE,BJ$5,0)),0),IF(ISERROR(1/VLOOKUP($N452,Capa!$A:$AE,BJ$5,0)),0,1/VLOOKUP($N452,Capa!$A:$AE,BJ$5,0))))</f>
        <v/>
      </c>
      <c r="BK452" s="118" t="str">
        <f>IF(BK$6="","",IF(BK$3="Maior",IFERROR(IF(VLOOKUP($N452,Capa!$A:$AE,BK$5,0)="",0,VLOOKUP($N452,Capa!$A:$AE,BK$5,0)),0),IF(ISERROR(1/VLOOKUP($N452,Capa!$A:$AE,BK$5,0)),0,1/VLOOKUP($N452,Capa!$A:$AE,BK$5,0))))</f>
        <v/>
      </c>
      <c r="BL452" s="118" t="str">
        <f>IF(BL$6="","",IF(BL$3="Maior",IFERROR(IF(VLOOKUP($N452,Capa!$A:$AE,BL$5,0)="",0,VLOOKUP($N452,Capa!$A:$AE,BL$5,0)),0),IF(ISERROR(1/VLOOKUP($N452,Capa!$A:$AE,BL$5,0)),0,1/VLOOKUP($N452,Capa!$A:$AE,BL$5,0))))</f>
        <v/>
      </c>
      <c r="BM452" s="118" t="str">
        <f>IF(BM$6="","",IF(BM$3="Maior",IFERROR(IF(VLOOKUP($N452,Capa!$A:$AE,BM$5,0)="",0,VLOOKUP($N452,Capa!$A:$AE,BM$5,0)),0),IF(ISERROR(1/VLOOKUP($N452,Capa!$A:$AE,BM$5,0)),0,1/VLOOKUP($N452,Capa!$A:$AE,BM$5,0))))</f>
        <v/>
      </c>
      <c r="BN452" s="118" t="str">
        <f>IF(BN$6="","",IF(BN$3="Maior",IFERROR(IF(VLOOKUP($N452,Capa!$A:$AE,BN$5,0)="",0,VLOOKUP($N452,Capa!$A:$AE,BN$5,0)),0),IF(ISERROR(1/VLOOKUP($N452,Capa!$A:$AE,BN$5,0)),0,1/VLOOKUP($N452,Capa!$A:$AE,BN$5,0))))</f>
        <v/>
      </c>
      <c r="BO452" s="92"/>
    </row>
    <row r="453">
      <c r="I453" s="73"/>
      <c r="J453" s="74"/>
      <c r="N453" s="10" t="s">
        <v>499</v>
      </c>
      <c r="O453" s="113">
        <f t="shared" si="8"/>
        <v>2176.047</v>
      </c>
      <c r="P453" s="114">
        <f>VLOOKUP(N453,'Dados StatusInvest'!A:Z,26,0)</f>
        <v>9376.68</v>
      </c>
      <c r="Q453" s="115">
        <f t="shared" si="9"/>
        <v>470.047</v>
      </c>
      <c r="R453" s="116">
        <f t="shared" ref="R453:AO453" si="456">IF(AQ453="","", RANK(AQ453,AQ$7:AQ$503,0))</f>
        <v>487</v>
      </c>
      <c r="S453" s="115">
        <f t="shared" si="456"/>
        <v>219</v>
      </c>
      <c r="T453" s="115" t="str">
        <f t="shared" si="456"/>
        <v/>
      </c>
      <c r="U453" s="115" t="str">
        <f t="shared" si="456"/>
        <v/>
      </c>
      <c r="V453" s="115" t="str">
        <f t="shared" si="456"/>
        <v/>
      </c>
      <c r="W453" s="115" t="str">
        <f t="shared" si="456"/>
        <v/>
      </c>
      <c r="X453" s="115" t="str">
        <f t="shared" si="456"/>
        <v/>
      </c>
      <c r="Y453" s="115" t="str">
        <f t="shared" si="456"/>
        <v/>
      </c>
      <c r="Z453" s="115" t="str">
        <f t="shared" si="456"/>
        <v/>
      </c>
      <c r="AA453" s="115" t="str">
        <f t="shared" si="456"/>
        <v/>
      </c>
      <c r="AB453" s="115" t="str">
        <f t="shared" si="456"/>
        <v/>
      </c>
      <c r="AC453" s="115" t="str">
        <f t="shared" si="456"/>
        <v/>
      </c>
      <c r="AD453" s="115" t="str">
        <f t="shared" si="456"/>
        <v/>
      </c>
      <c r="AE453" s="115" t="str">
        <f t="shared" si="456"/>
        <v/>
      </c>
      <c r="AF453" s="115" t="str">
        <f t="shared" si="456"/>
        <v/>
      </c>
      <c r="AG453" s="115" t="str">
        <f t="shared" si="456"/>
        <v/>
      </c>
      <c r="AH453" s="115" t="str">
        <f t="shared" si="456"/>
        <v/>
      </c>
      <c r="AI453" s="115" t="str">
        <f t="shared" si="456"/>
        <v/>
      </c>
      <c r="AJ453" s="115" t="str">
        <f t="shared" si="456"/>
        <v/>
      </c>
      <c r="AK453" s="115" t="str">
        <f t="shared" si="456"/>
        <v/>
      </c>
      <c r="AL453" s="115" t="str">
        <f t="shared" si="456"/>
        <v/>
      </c>
      <c r="AM453" s="115" t="str">
        <f t="shared" si="456"/>
        <v/>
      </c>
      <c r="AN453" s="115" t="str">
        <f t="shared" si="456"/>
        <v/>
      </c>
      <c r="AO453" s="115" t="str">
        <f t="shared" si="456"/>
        <v/>
      </c>
      <c r="AP453" s="117">
        <f>IF(AP$6="","",IF(AP$3="Maior",IFERROR(IF(VLOOKUP($N453,Capa!$A:$AE,AP$5,0)="",0,VLOOKUP($N453,Capa!$A:$AE,AP$5,0)),0),IF(ISERROR(1/VLOOKUP($N453,Capa!$A:$AE,AP$5,0)),0,1/VLOOKUP($N453,Capa!$A:$AE,AP$5,0))))</f>
        <v>-0.1777792276</v>
      </c>
      <c r="AQ453" s="118">
        <f>IF(AQ$6="","",IF(AQ$3="Maior",IFERROR(IF(VLOOKUP($N453,Capa!$A:$AE,AQ$5,0)="",0,VLOOKUP($N453,Capa!$A:$AE,AQ$5,0)),0),IF(ISERROR(1/VLOOKUP($N453,Capa!$A:$AE,AQ$5,0)),0,1/VLOOKUP($N453,Capa!$A:$AE,AQ$5,0))))</f>
        <v>-86.99</v>
      </c>
      <c r="AR453" s="118">
        <f>IF(AR$6="","",IF(AR$3="Maior",IFERROR(IF(VLOOKUP($N453,Capa!$A:$AE,AR$5,0)="",0,VLOOKUP($N453,Capa!$A:$AE,AR$5,0)),0),IF(ISERROR(1/VLOOKUP($N453,Capa!$A:$AE,AR$5,0)),0,1/VLOOKUP($N453,Capa!$A:$AE,AR$5,0))))</f>
        <v>0</v>
      </c>
      <c r="AS453" s="118" t="str">
        <f>IF(AS$6="","",IF(AS$3="Maior",IFERROR(IF(VLOOKUP($N453,Capa!$A:$AE,AS$5,0)="",0,VLOOKUP($N453,Capa!$A:$AE,AS$5,0)),0),IF(ISERROR(1/VLOOKUP($N453,Capa!$A:$AE,AS$5,0)),0,1/VLOOKUP($N453,Capa!$A:$AE,AS$5,0))))</f>
        <v/>
      </c>
      <c r="AT453" s="118" t="str">
        <f>IF(AT$6="","",IF(AT$3="Maior",IFERROR(IF(VLOOKUP($N453,Capa!$A:$AE,AT$5,0)="",0,VLOOKUP($N453,Capa!$A:$AE,AT$5,0)),0),IF(ISERROR(1/VLOOKUP($N453,Capa!$A:$AE,AT$5,0)),0,1/VLOOKUP($N453,Capa!$A:$AE,AT$5,0))))</f>
        <v/>
      </c>
      <c r="AU453" s="118" t="str">
        <f>IF(AU$6="","",IF(AU$3="Maior",IFERROR(IF(VLOOKUP($N453,Capa!$A:$AE,AU$5,0)="",0,VLOOKUP($N453,Capa!$A:$AE,AU$5,0)),0),IF(ISERROR(1/VLOOKUP($N453,Capa!$A:$AE,AU$5,0)),0,1/VLOOKUP($N453,Capa!$A:$AE,AU$5,0))))</f>
        <v/>
      </c>
      <c r="AV453" s="118" t="str">
        <f>IF(AV$6="","",IF(AV$3="Maior",IFERROR(IF(VLOOKUP($N453,Capa!$A:$AE,AV$5,0)="",0,VLOOKUP($N453,Capa!$A:$AE,AV$5,0)),0),IF(ISERROR(1/VLOOKUP($N453,Capa!$A:$AE,AV$5,0)),0,1/VLOOKUP($N453,Capa!$A:$AE,AV$5,0))))</f>
        <v/>
      </c>
      <c r="AW453" s="118" t="str">
        <f>IF(AW$6="","",IF(AW$3="Maior",IFERROR(IF(VLOOKUP($N453,Capa!$A:$AE,AW$5,0)="",0,VLOOKUP($N453,Capa!$A:$AE,AW$5,0)),0),IF(ISERROR(1/VLOOKUP($N453,Capa!$A:$AE,AW$5,0)),0,1/VLOOKUP($N453,Capa!$A:$AE,AW$5,0))))</f>
        <v/>
      </c>
      <c r="AX453" s="118" t="str">
        <f>IF(AX$6="","",IF(AX$3="Maior",IFERROR(IF(VLOOKUP($N453,Capa!$A:$AE,AX$5,0)="",0,VLOOKUP($N453,Capa!$A:$AE,AX$5,0)),0),IF(ISERROR(1/VLOOKUP($N453,Capa!$A:$AE,AX$5,0)),0,1/VLOOKUP($N453,Capa!$A:$AE,AX$5,0))))</f>
        <v/>
      </c>
      <c r="AY453" s="118" t="str">
        <f>IF(AY$6="","",IF(AY$3="Maior",IFERROR(IF(VLOOKUP($N453,Capa!$A:$AE,AY$5,0)="",0,VLOOKUP($N453,Capa!$A:$AE,AY$5,0)),0),IF(ISERROR(1/VLOOKUP($N453,Capa!$A:$AE,AY$5,0)),0,1/VLOOKUP($N453,Capa!$A:$AE,AY$5,0))))</f>
        <v/>
      </c>
      <c r="AZ453" s="118" t="str">
        <f>IF(AZ$6="","",IF(AZ$3="Maior",IFERROR(IF(VLOOKUP($N453,Capa!$A:$AE,AZ$5,0)="",0,VLOOKUP($N453,Capa!$A:$AE,AZ$5,0)),0),IF(ISERROR(1/VLOOKUP($N453,Capa!$A:$AE,AZ$5,0)),0,1/VLOOKUP($N453,Capa!$A:$AE,AZ$5,0))))</f>
        <v/>
      </c>
      <c r="BA453" s="118" t="str">
        <f>IF(BA$6="","",IF(BA$3="Maior",IFERROR(IF(VLOOKUP($N453,Capa!$A:$AE,BA$5,0)="",0,VLOOKUP($N453,Capa!$A:$AE,BA$5,0)),0),IF(ISERROR(1/VLOOKUP($N453,Capa!$A:$AE,BA$5,0)),0,1/VLOOKUP($N453,Capa!$A:$AE,BA$5,0))))</f>
        <v/>
      </c>
      <c r="BB453" s="118" t="str">
        <f>IF(BB$6="","",IF(BB$3="Maior",IFERROR(IF(VLOOKUP($N453,Capa!$A:$AE,BB$5,0)="",0,VLOOKUP($N453,Capa!$A:$AE,BB$5,0)),0),IF(ISERROR(1/VLOOKUP($N453,Capa!$A:$AE,BB$5,0)),0,1/VLOOKUP($N453,Capa!$A:$AE,BB$5,0))))</f>
        <v/>
      </c>
      <c r="BC453" s="118" t="str">
        <f>IF(BC$6="","",IF(BC$3="Maior",IFERROR(IF(VLOOKUP($N453,Capa!$A:$AE,BC$5,0)="",0,VLOOKUP($N453,Capa!$A:$AE,BC$5,0)),0),IF(ISERROR(1/VLOOKUP($N453,Capa!$A:$AE,BC$5,0)),0,1/VLOOKUP($N453,Capa!$A:$AE,BC$5,0))))</f>
        <v/>
      </c>
      <c r="BD453" s="118" t="str">
        <f>IF(BD$6="","",IF(BD$3="Maior",IFERROR(IF(VLOOKUP($N453,Capa!$A:$AE,BD$5,0)="",0,VLOOKUP($N453,Capa!$A:$AE,BD$5,0)),0),IF(ISERROR(1/VLOOKUP($N453,Capa!$A:$AE,BD$5,0)),0,1/VLOOKUP($N453,Capa!$A:$AE,BD$5,0))))</f>
        <v/>
      </c>
      <c r="BE453" s="118" t="str">
        <f>IF(BE$6="","",IF(BE$3="Maior",IFERROR(IF(VLOOKUP($N453,Capa!$A:$AE,BE$5,0)="",0,VLOOKUP($N453,Capa!$A:$AE,BE$5,0)),0),IF(ISERROR(1/VLOOKUP($N453,Capa!$A:$AE,BE$5,0)),0,1/VLOOKUP($N453,Capa!$A:$AE,BE$5,0))))</f>
        <v/>
      </c>
      <c r="BF453" s="118" t="str">
        <f>IF(BF$6="","",IF(BF$3="Maior",IFERROR(IF(VLOOKUP($N453,Capa!$A:$AE,BF$5,0)="",0,VLOOKUP($N453,Capa!$A:$AE,BF$5,0)),0),IF(ISERROR(1/VLOOKUP($N453,Capa!$A:$AE,BF$5,0)),0,1/VLOOKUP($N453,Capa!$A:$AE,BF$5,0))))</f>
        <v/>
      </c>
      <c r="BG453" s="118" t="str">
        <f>IF(BG$6="","",IF(BG$3="Maior",IFERROR(IF(VLOOKUP($N453,Capa!$A:$AE,BG$5,0)="",0,VLOOKUP($N453,Capa!$A:$AE,BG$5,0)),0),IF(ISERROR(1/VLOOKUP($N453,Capa!$A:$AE,BG$5,0)),0,1/VLOOKUP($N453,Capa!$A:$AE,BG$5,0))))</f>
        <v/>
      </c>
      <c r="BH453" s="118" t="str">
        <f>IF(BH$6="","",IF(BH$3="Maior",IFERROR(IF(VLOOKUP($N453,Capa!$A:$AE,BH$5,0)="",0,VLOOKUP($N453,Capa!$A:$AE,BH$5,0)),0),IF(ISERROR(1/VLOOKUP($N453,Capa!$A:$AE,BH$5,0)),0,1/VLOOKUP($N453,Capa!$A:$AE,BH$5,0))))</f>
        <v/>
      </c>
      <c r="BI453" s="118" t="str">
        <f>IF(BI$6="","",IF(BI$3="Maior",IFERROR(IF(VLOOKUP($N453,Capa!$A:$AE,BI$5,0)="",0,VLOOKUP($N453,Capa!$A:$AE,BI$5,0)),0),IF(ISERROR(1/VLOOKUP($N453,Capa!$A:$AE,BI$5,0)),0,1/VLOOKUP($N453,Capa!$A:$AE,BI$5,0))))</f>
        <v/>
      </c>
      <c r="BJ453" s="118" t="str">
        <f>IF(BJ$6="","",IF(BJ$3="Maior",IFERROR(IF(VLOOKUP($N453,Capa!$A:$AE,BJ$5,0)="",0,VLOOKUP($N453,Capa!$A:$AE,BJ$5,0)),0),IF(ISERROR(1/VLOOKUP($N453,Capa!$A:$AE,BJ$5,0)),0,1/VLOOKUP($N453,Capa!$A:$AE,BJ$5,0))))</f>
        <v/>
      </c>
      <c r="BK453" s="118" t="str">
        <f>IF(BK$6="","",IF(BK$3="Maior",IFERROR(IF(VLOOKUP($N453,Capa!$A:$AE,BK$5,0)="",0,VLOOKUP($N453,Capa!$A:$AE,BK$5,0)),0),IF(ISERROR(1/VLOOKUP($N453,Capa!$A:$AE,BK$5,0)),0,1/VLOOKUP($N453,Capa!$A:$AE,BK$5,0))))</f>
        <v/>
      </c>
      <c r="BL453" s="118" t="str">
        <f>IF(BL$6="","",IF(BL$3="Maior",IFERROR(IF(VLOOKUP($N453,Capa!$A:$AE,BL$5,0)="",0,VLOOKUP($N453,Capa!$A:$AE,BL$5,0)),0),IF(ISERROR(1/VLOOKUP($N453,Capa!$A:$AE,BL$5,0)),0,1/VLOOKUP($N453,Capa!$A:$AE,BL$5,0))))</f>
        <v/>
      </c>
      <c r="BM453" s="118" t="str">
        <f>IF(BM$6="","",IF(BM$3="Maior",IFERROR(IF(VLOOKUP($N453,Capa!$A:$AE,BM$5,0)="",0,VLOOKUP($N453,Capa!$A:$AE,BM$5,0)),0),IF(ISERROR(1/VLOOKUP($N453,Capa!$A:$AE,BM$5,0)),0,1/VLOOKUP($N453,Capa!$A:$AE,BM$5,0))))</f>
        <v/>
      </c>
      <c r="BN453" s="118" t="str">
        <f>IF(BN$6="","",IF(BN$3="Maior",IFERROR(IF(VLOOKUP($N453,Capa!$A:$AE,BN$5,0)="",0,VLOOKUP($N453,Capa!$A:$AE,BN$5,0)),0),IF(ISERROR(1/VLOOKUP($N453,Capa!$A:$AE,BN$5,0)),0,1/VLOOKUP($N453,Capa!$A:$AE,BN$5,0))))</f>
        <v/>
      </c>
      <c r="BO453" s="92"/>
    </row>
    <row r="454">
      <c r="I454" s="73"/>
      <c r="J454" s="74"/>
      <c r="N454" s="10" t="s">
        <v>500</v>
      </c>
      <c r="O454" s="113">
        <f t="shared" si="8"/>
        <v>1958.0122</v>
      </c>
      <c r="P454" s="114">
        <f>VLOOKUP(N454,'Dados StatusInvest'!A:Z,26,0)</f>
        <v>15975.65</v>
      </c>
      <c r="Q454" s="115">
        <f t="shared" si="9"/>
        <v>122.0122</v>
      </c>
      <c r="R454" s="116">
        <f t="shared" ref="R454:AO454" si="457">IF(AQ454="","", RANK(AQ454,AQ$7:AQ$503,0))</f>
        <v>375</v>
      </c>
      <c r="S454" s="115">
        <f t="shared" si="457"/>
        <v>461</v>
      </c>
      <c r="T454" s="115" t="str">
        <f t="shared" si="457"/>
        <v/>
      </c>
      <c r="U454" s="115" t="str">
        <f t="shared" si="457"/>
        <v/>
      </c>
      <c r="V454" s="115" t="str">
        <f t="shared" si="457"/>
        <v/>
      </c>
      <c r="W454" s="115" t="str">
        <f t="shared" si="457"/>
        <v/>
      </c>
      <c r="X454" s="115" t="str">
        <f t="shared" si="457"/>
        <v/>
      </c>
      <c r="Y454" s="115" t="str">
        <f t="shared" si="457"/>
        <v/>
      </c>
      <c r="Z454" s="115" t="str">
        <f t="shared" si="457"/>
        <v/>
      </c>
      <c r="AA454" s="115" t="str">
        <f t="shared" si="457"/>
        <v/>
      </c>
      <c r="AB454" s="115" t="str">
        <f t="shared" si="457"/>
        <v/>
      </c>
      <c r="AC454" s="115" t="str">
        <f t="shared" si="457"/>
        <v/>
      </c>
      <c r="AD454" s="115" t="str">
        <f t="shared" si="457"/>
        <v/>
      </c>
      <c r="AE454" s="115" t="str">
        <f t="shared" si="457"/>
        <v/>
      </c>
      <c r="AF454" s="115" t="str">
        <f t="shared" si="457"/>
        <v/>
      </c>
      <c r="AG454" s="115" t="str">
        <f t="shared" si="457"/>
        <v/>
      </c>
      <c r="AH454" s="115" t="str">
        <f t="shared" si="457"/>
        <v/>
      </c>
      <c r="AI454" s="115" t="str">
        <f t="shared" si="457"/>
        <v/>
      </c>
      <c r="AJ454" s="115" t="str">
        <f t="shared" si="457"/>
        <v/>
      </c>
      <c r="AK454" s="115" t="str">
        <f t="shared" si="457"/>
        <v/>
      </c>
      <c r="AL454" s="115" t="str">
        <f t="shared" si="457"/>
        <v/>
      </c>
      <c r="AM454" s="115" t="str">
        <f t="shared" si="457"/>
        <v/>
      </c>
      <c r="AN454" s="115" t="str">
        <f t="shared" si="457"/>
        <v/>
      </c>
      <c r="AO454" s="115" t="str">
        <f t="shared" si="457"/>
        <v/>
      </c>
      <c r="AP454" s="117">
        <f>IF(AP$6="","",IF(AP$3="Maior",IFERROR(IF(VLOOKUP($N454,Capa!$A:$AE,AP$5,0)="",0,VLOOKUP($N454,Capa!$A:$AE,AP$5,0)),0),IF(ISERROR(1/VLOOKUP($N454,Capa!$A:$AE,AP$5,0)),0,1/VLOOKUP($N454,Capa!$A:$AE,AP$5,0))))</f>
        <v>0.1543226787</v>
      </c>
      <c r="AQ454" s="118">
        <f>IF(AQ$6="","",IF(AQ$3="Maior",IFERROR(IF(VLOOKUP($N454,Capa!$A:$AE,AQ$5,0)="",0,VLOOKUP($N454,Capa!$A:$AE,AQ$5,0)),0),IF(ISERROR(1/VLOOKUP($N454,Capa!$A:$AE,AQ$5,0)),0,1/VLOOKUP($N454,Capa!$A:$AE,AQ$5,0))))</f>
        <v>0</v>
      </c>
      <c r="AR454" s="118">
        <f>IF(AR$6="","",IF(AR$3="Maior",IFERROR(IF(VLOOKUP($N454,Capa!$A:$AE,AR$5,0)="",0,VLOOKUP($N454,Capa!$A:$AE,AR$5,0)),0),IF(ISERROR(1/VLOOKUP($N454,Capa!$A:$AE,AR$5,0)),0,1/VLOOKUP($N454,Capa!$A:$AE,AR$5,0))))</f>
        <v>-0.16</v>
      </c>
      <c r="AS454" s="118" t="str">
        <f>IF(AS$6="","",IF(AS$3="Maior",IFERROR(IF(VLOOKUP($N454,Capa!$A:$AE,AS$5,0)="",0,VLOOKUP($N454,Capa!$A:$AE,AS$5,0)),0),IF(ISERROR(1/VLOOKUP($N454,Capa!$A:$AE,AS$5,0)),0,1/VLOOKUP($N454,Capa!$A:$AE,AS$5,0))))</f>
        <v/>
      </c>
      <c r="AT454" s="118" t="str">
        <f>IF(AT$6="","",IF(AT$3="Maior",IFERROR(IF(VLOOKUP($N454,Capa!$A:$AE,AT$5,0)="",0,VLOOKUP($N454,Capa!$A:$AE,AT$5,0)),0),IF(ISERROR(1/VLOOKUP($N454,Capa!$A:$AE,AT$5,0)),0,1/VLOOKUP($N454,Capa!$A:$AE,AT$5,0))))</f>
        <v/>
      </c>
      <c r="AU454" s="118" t="str">
        <f>IF(AU$6="","",IF(AU$3="Maior",IFERROR(IF(VLOOKUP($N454,Capa!$A:$AE,AU$5,0)="",0,VLOOKUP($N454,Capa!$A:$AE,AU$5,0)),0),IF(ISERROR(1/VLOOKUP($N454,Capa!$A:$AE,AU$5,0)),0,1/VLOOKUP($N454,Capa!$A:$AE,AU$5,0))))</f>
        <v/>
      </c>
      <c r="AV454" s="118" t="str">
        <f>IF(AV$6="","",IF(AV$3="Maior",IFERROR(IF(VLOOKUP($N454,Capa!$A:$AE,AV$5,0)="",0,VLOOKUP($N454,Capa!$A:$AE,AV$5,0)),0),IF(ISERROR(1/VLOOKUP($N454,Capa!$A:$AE,AV$5,0)),0,1/VLOOKUP($N454,Capa!$A:$AE,AV$5,0))))</f>
        <v/>
      </c>
      <c r="AW454" s="118" t="str">
        <f>IF(AW$6="","",IF(AW$3="Maior",IFERROR(IF(VLOOKUP($N454,Capa!$A:$AE,AW$5,0)="",0,VLOOKUP($N454,Capa!$A:$AE,AW$5,0)),0),IF(ISERROR(1/VLOOKUP($N454,Capa!$A:$AE,AW$5,0)),0,1/VLOOKUP($N454,Capa!$A:$AE,AW$5,0))))</f>
        <v/>
      </c>
      <c r="AX454" s="118" t="str">
        <f>IF(AX$6="","",IF(AX$3="Maior",IFERROR(IF(VLOOKUP($N454,Capa!$A:$AE,AX$5,0)="",0,VLOOKUP($N454,Capa!$A:$AE,AX$5,0)),0),IF(ISERROR(1/VLOOKUP($N454,Capa!$A:$AE,AX$5,0)),0,1/VLOOKUP($N454,Capa!$A:$AE,AX$5,0))))</f>
        <v/>
      </c>
      <c r="AY454" s="118" t="str">
        <f>IF(AY$6="","",IF(AY$3="Maior",IFERROR(IF(VLOOKUP($N454,Capa!$A:$AE,AY$5,0)="",0,VLOOKUP($N454,Capa!$A:$AE,AY$5,0)),0),IF(ISERROR(1/VLOOKUP($N454,Capa!$A:$AE,AY$5,0)),0,1/VLOOKUP($N454,Capa!$A:$AE,AY$5,0))))</f>
        <v/>
      </c>
      <c r="AZ454" s="118" t="str">
        <f>IF(AZ$6="","",IF(AZ$3="Maior",IFERROR(IF(VLOOKUP($N454,Capa!$A:$AE,AZ$5,0)="",0,VLOOKUP($N454,Capa!$A:$AE,AZ$5,0)),0),IF(ISERROR(1/VLOOKUP($N454,Capa!$A:$AE,AZ$5,0)),0,1/VLOOKUP($N454,Capa!$A:$AE,AZ$5,0))))</f>
        <v/>
      </c>
      <c r="BA454" s="118" t="str">
        <f>IF(BA$6="","",IF(BA$3="Maior",IFERROR(IF(VLOOKUP($N454,Capa!$A:$AE,BA$5,0)="",0,VLOOKUP($N454,Capa!$A:$AE,BA$5,0)),0),IF(ISERROR(1/VLOOKUP($N454,Capa!$A:$AE,BA$5,0)),0,1/VLOOKUP($N454,Capa!$A:$AE,BA$5,0))))</f>
        <v/>
      </c>
      <c r="BB454" s="118" t="str">
        <f>IF(BB$6="","",IF(BB$3="Maior",IFERROR(IF(VLOOKUP($N454,Capa!$A:$AE,BB$5,0)="",0,VLOOKUP($N454,Capa!$A:$AE,BB$5,0)),0),IF(ISERROR(1/VLOOKUP($N454,Capa!$A:$AE,BB$5,0)),0,1/VLOOKUP($N454,Capa!$A:$AE,BB$5,0))))</f>
        <v/>
      </c>
      <c r="BC454" s="118" t="str">
        <f>IF(BC$6="","",IF(BC$3="Maior",IFERROR(IF(VLOOKUP($N454,Capa!$A:$AE,BC$5,0)="",0,VLOOKUP($N454,Capa!$A:$AE,BC$5,0)),0),IF(ISERROR(1/VLOOKUP($N454,Capa!$A:$AE,BC$5,0)),0,1/VLOOKUP($N454,Capa!$A:$AE,BC$5,0))))</f>
        <v/>
      </c>
      <c r="BD454" s="118" t="str">
        <f>IF(BD$6="","",IF(BD$3="Maior",IFERROR(IF(VLOOKUP($N454,Capa!$A:$AE,BD$5,0)="",0,VLOOKUP($N454,Capa!$A:$AE,BD$5,0)),0),IF(ISERROR(1/VLOOKUP($N454,Capa!$A:$AE,BD$5,0)),0,1/VLOOKUP($N454,Capa!$A:$AE,BD$5,0))))</f>
        <v/>
      </c>
      <c r="BE454" s="118" t="str">
        <f>IF(BE$6="","",IF(BE$3="Maior",IFERROR(IF(VLOOKUP($N454,Capa!$A:$AE,BE$5,0)="",0,VLOOKUP($N454,Capa!$A:$AE,BE$5,0)),0),IF(ISERROR(1/VLOOKUP($N454,Capa!$A:$AE,BE$5,0)),0,1/VLOOKUP($N454,Capa!$A:$AE,BE$5,0))))</f>
        <v/>
      </c>
      <c r="BF454" s="118" t="str">
        <f>IF(BF$6="","",IF(BF$3="Maior",IFERROR(IF(VLOOKUP($N454,Capa!$A:$AE,BF$5,0)="",0,VLOOKUP($N454,Capa!$A:$AE,BF$5,0)),0),IF(ISERROR(1/VLOOKUP($N454,Capa!$A:$AE,BF$5,0)),0,1/VLOOKUP($N454,Capa!$A:$AE,BF$5,0))))</f>
        <v/>
      </c>
      <c r="BG454" s="118" t="str">
        <f>IF(BG$6="","",IF(BG$3="Maior",IFERROR(IF(VLOOKUP($N454,Capa!$A:$AE,BG$5,0)="",0,VLOOKUP($N454,Capa!$A:$AE,BG$5,0)),0),IF(ISERROR(1/VLOOKUP($N454,Capa!$A:$AE,BG$5,0)),0,1/VLOOKUP($N454,Capa!$A:$AE,BG$5,0))))</f>
        <v/>
      </c>
      <c r="BH454" s="118" t="str">
        <f>IF(BH$6="","",IF(BH$3="Maior",IFERROR(IF(VLOOKUP($N454,Capa!$A:$AE,BH$5,0)="",0,VLOOKUP($N454,Capa!$A:$AE,BH$5,0)),0),IF(ISERROR(1/VLOOKUP($N454,Capa!$A:$AE,BH$5,0)),0,1/VLOOKUP($N454,Capa!$A:$AE,BH$5,0))))</f>
        <v/>
      </c>
      <c r="BI454" s="118" t="str">
        <f>IF(BI$6="","",IF(BI$3="Maior",IFERROR(IF(VLOOKUP($N454,Capa!$A:$AE,BI$5,0)="",0,VLOOKUP($N454,Capa!$A:$AE,BI$5,0)),0),IF(ISERROR(1/VLOOKUP($N454,Capa!$A:$AE,BI$5,0)),0,1/VLOOKUP($N454,Capa!$A:$AE,BI$5,0))))</f>
        <v/>
      </c>
      <c r="BJ454" s="118" t="str">
        <f>IF(BJ$6="","",IF(BJ$3="Maior",IFERROR(IF(VLOOKUP($N454,Capa!$A:$AE,BJ$5,0)="",0,VLOOKUP($N454,Capa!$A:$AE,BJ$5,0)),0),IF(ISERROR(1/VLOOKUP($N454,Capa!$A:$AE,BJ$5,0)),0,1/VLOOKUP($N454,Capa!$A:$AE,BJ$5,0))))</f>
        <v/>
      </c>
      <c r="BK454" s="118" t="str">
        <f>IF(BK$6="","",IF(BK$3="Maior",IFERROR(IF(VLOOKUP($N454,Capa!$A:$AE,BK$5,0)="",0,VLOOKUP($N454,Capa!$A:$AE,BK$5,0)),0),IF(ISERROR(1/VLOOKUP($N454,Capa!$A:$AE,BK$5,0)),0,1/VLOOKUP($N454,Capa!$A:$AE,BK$5,0))))</f>
        <v/>
      </c>
      <c r="BL454" s="118" t="str">
        <f>IF(BL$6="","",IF(BL$3="Maior",IFERROR(IF(VLOOKUP($N454,Capa!$A:$AE,BL$5,0)="",0,VLOOKUP($N454,Capa!$A:$AE,BL$5,0)),0),IF(ISERROR(1/VLOOKUP($N454,Capa!$A:$AE,BL$5,0)),0,1/VLOOKUP($N454,Capa!$A:$AE,BL$5,0))))</f>
        <v/>
      </c>
      <c r="BM454" s="118" t="str">
        <f>IF(BM$6="","",IF(BM$3="Maior",IFERROR(IF(VLOOKUP($N454,Capa!$A:$AE,BM$5,0)="",0,VLOOKUP($N454,Capa!$A:$AE,BM$5,0)),0),IF(ISERROR(1/VLOOKUP($N454,Capa!$A:$AE,BM$5,0)),0,1/VLOOKUP($N454,Capa!$A:$AE,BM$5,0))))</f>
        <v/>
      </c>
      <c r="BN454" s="118" t="str">
        <f>IF(BN$6="","",IF(BN$3="Maior",IFERROR(IF(VLOOKUP($N454,Capa!$A:$AE,BN$5,0)="",0,VLOOKUP($N454,Capa!$A:$AE,BN$5,0)),0),IF(ISERROR(1/VLOOKUP($N454,Capa!$A:$AE,BN$5,0)),0,1/VLOOKUP($N454,Capa!$A:$AE,BN$5,0))))</f>
        <v/>
      </c>
      <c r="BO454" s="92"/>
    </row>
    <row r="455">
      <c r="I455" s="73"/>
      <c r="J455" s="74"/>
      <c r="N455" s="10" t="s">
        <v>501</v>
      </c>
      <c r="O455" s="113">
        <f t="shared" si="8"/>
        <v>1533.0042</v>
      </c>
      <c r="P455" s="114">
        <f>VLOOKUP(N455,'Dados StatusInvest'!A:Z,26,0)</f>
        <v>7137.18</v>
      </c>
      <c r="Q455" s="115">
        <f t="shared" si="9"/>
        <v>42.0042</v>
      </c>
      <c r="R455" s="116">
        <f t="shared" ref="R455:AO455" si="458">IF(AQ455="","", RANK(AQ455,AQ$7:AQ$503,0))</f>
        <v>375</v>
      </c>
      <c r="S455" s="115">
        <f t="shared" si="458"/>
        <v>116</v>
      </c>
      <c r="T455" s="115" t="str">
        <f t="shared" si="458"/>
        <v/>
      </c>
      <c r="U455" s="115" t="str">
        <f t="shared" si="458"/>
        <v/>
      </c>
      <c r="V455" s="115" t="str">
        <f t="shared" si="458"/>
        <v/>
      </c>
      <c r="W455" s="115" t="str">
        <f t="shared" si="458"/>
        <v/>
      </c>
      <c r="X455" s="115" t="str">
        <f t="shared" si="458"/>
        <v/>
      </c>
      <c r="Y455" s="115" t="str">
        <f t="shared" si="458"/>
        <v/>
      </c>
      <c r="Z455" s="115" t="str">
        <f t="shared" si="458"/>
        <v/>
      </c>
      <c r="AA455" s="115" t="str">
        <f t="shared" si="458"/>
        <v/>
      </c>
      <c r="AB455" s="115" t="str">
        <f t="shared" si="458"/>
        <v/>
      </c>
      <c r="AC455" s="115" t="str">
        <f t="shared" si="458"/>
        <v/>
      </c>
      <c r="AD455" s="115" t="str">
        <f t="shared" si="458"/>
        <v/>
      </c>
      <c r="AE455" s="115" t="str">
        <f t="shared" si="458"/>
        <v/>
      </c>
      <c r="AF455" s="115" t="str">
        <f t="shared" si="458"/>
        <v/>
      </c>
      <c r="AG455" s="115" t="str">
        <f t="shared" si="458"/>
        <v/>
      </c>
      <c r="AH455" s="115" t="str">
        <f t="shared" si="458"/>
        <v/>
      </c>
      <c r="AI455" s="115" t="str">
        <f t="shared" si="458"/>
        <v/>
      </c>
      <c r="AJ455" s="115" t="str">
        <f t="shared" si="458"/>
        <v/>
      </c>
      <c r="AK455" s="115" t="str">
        <f t="shared" si="458"/>
        <v/>
      </c>
      <c r="AL455" s="115" t="str">
        <f t="shared" si="458"/>
        <v/>
      </c>
      <c r="AM455" s="115" t="str">
        <f t="shared" si="458"/>
        <v/>
      </c>
      <c r="AN455" s="115" t="str">
        <f t="shared" si="458"/>
        <v/>
      </c>
      <c r="AO455" s="115" t="str">
        <f t="shared" si="458"/>
        <v/>
      </c>
      <c r="AP455" s="117">
        <f>IF(AP$6="","",IF(AP$3="Maior",IFERROR(IF(VLOOKUP($N455,Capa!$A:$AE,AP$5,0)="",0,VLOOKUP($N455,Capa!$A:$AE,AP$5,0)),0),IF(ISERROR(1/VLOOKUP($N455,Capa!$A:$AE,AP$5,0)),0,1/VLOOKUP($N455,Capa!$A:$AE,AP$5,0))))</f>
        <v>0.2658495885</v>
      </c>
      <c r="AQ455" s="118">
        <f>IF(AQ$6="","",IF(AQ$3="Maior",IFERROR(IF(VLOOKUP($N455,Capa!$A:$AE,AQ$5,0)="",0,VLOOKUP($N455,Capa!$A:$AE,AQ$5,0)),0),IF(ISERROR(1/VLOOKUP($N455,Capa!$A:$AE,AQ$5,0)),0,1/VLOOKUP($N455,Capa!$A:$AE,AQ$5,0))))</f>
        <v>0</v>
      </c>
      <c r="AR455" s="118">
        <f>IF(AR$6="","",IF(AR$3="Maior",IFERROR(IF(VLOOKUP($N455,Capa!$A:$AE,AR$5,0)="",0,VLOOKUP($N455,Capa!$A:$AE,AR$5,0)),0),IF(ISERROR(1/VLOOKUP($N455,Capa!$A:$AE,AR$5,0)),0,1/VLOOKUP($N455,Capa!$A:$AE,AR$5,0))))</f>
        <v>24</v>
      </c>
      <c r="AS455" s="118" t="str">
        <f>IF(AS$6="","",IF(AS$3="Maior",IFERROR(IF(VLOOKUP($N455,Capa!$A:$AE,AS$5,0)="",0,VLOOKUP($N455,Capa!$A:$AE,AS$5,0)),0),IF(ISERROR(1/VLOOKUP($N455,Capa!$A:$AE,AS$5,0)),0,1/VLOOKUP($N455,Capa!$A:$AE,AS$5,0))))</f>
        <v/>
      </c>
      <c r="AT455" s="118" t="str">
        <f>IF(AT$6="","",IF(AT$3="Maior",IFERROR(IF(VLOOKUP($N455,Capa!$A:$AE,AT$5,0)="",0,VLOOKUP($N455,Capa!$A:$AE,AT$5,0)),0),IF(ISERROR(1/VLOOKUP($N455,Capa!$A:$AE,AT$5,0)),0,1/VLOOKUP($N455,Capa!$A:$AE,AT$5,0))))</f>
        <v/>
      </c>
      <c r="AU455" s="118" t="str">
        <f>IF(AU$6="","",IF(AU$3="Maior",IFERROR(IF(VLOOKUP($N455,Capa!$A:$AE,AU$5,0)="",0,VLOOKUP($N455,Capa!$A:$AE,AU$5,0)),0),IF(ISERROR(1/VLOOKUP($N455,Capa!$A:$AE,AU$5,0)),0,1/VLOOKUP($N455,Capa!$A:$AE,AU$5,0))))</f>
        <v/>
      </c>
      <c r="AV455" s="118" t="str">
        <f>IF(AV$6="","",IF(AV$3="Maior",IFERROR(IF(VLOOKUP($N455,Capa!$A:$AE,AV$5,0)="",0,VLOOKUP($N455,Capa!$A:$AE,AV$5,0)),0),IF(ISERROR(1/VLOOKUP($N455,Capa!$A:$AE,AV$5,0)),0,1/VLOOKUP($N455,Capa!$A:$AE,AV$5,0))))</f>
        <v/>
      </c>
      <c r="AW455" s="118" t="str">
        <f>IF(AW$6="","",IF(AW$3="Maior",IFERROR(IF(VLOOKUP($N455,Capa!$A:$AE,AW$5,0)="",0,VLOOKUP($N455,Capa!$A:$AE,AW$5,0)),0),IF(ISERROR(1/VLOOKUP($N455,Capa!$A:$AE,AW$5,0)),0,1/VLOOKUP($N455,Capa!$A:$AE,AW$5,0))))</f>
        <v/>
      </c>
      <c r="AX455" s="118" t="str">
        <f>IF(AX$6="","",IF(AX$3="Maior",IFERROR(IF(VLOOKUP($N455,Capa!$A:$AE,AX$5,0)="",0,VLOOKUP($N455,Capa!$A:$AE,AX$5,0)),0),IF(ISERROR(1/VLOOKUP($N455,Capa!$A:$AE,AX$5,0)),0,1/VLOOKUP($N455,Capa!$A:$AE,AX$5,0))))</f>
        <v/>
      </c>
      <c r="AY455" s="118" t="str">
        <f>IF(AY$6="","",IF(AY$3="Maior",IFERROR(IF(VLOOKUP($N455,Capa!$A:$AE,AY$5,0)="",0,VLOOKUP($N455,Capa!$A:$AE,AY$5,0)),0),IF(ISERROR(1/VLOOKUP($N455,Capa!$A:$AE,AY$5,0)),0,1/VLOOKUP($N455,Capa!$A:$AE,AY$5,0))))</f>
        <v/>
      </c>
      <c r="AZ455" s="118" t="str">
        <f>IF(AZ$6="","",IF(AZ$3="Maior",IFERROR(IF(VLOOKUP($N455,Capa!$A:$AE,AZ$5,0)="",0,VLOOKUP($N455,Capa!$A:$AE,AZ$5,0)),0),IF(ISERROR(1/VLOOKUP($N455,Capa!$A:$AE,AZ$5,0)),0,1/VLOOKUP($N455,Capa!$A:$AE,AZ$5,0))))</f>
        <v/>
      </c>
      <c r="BA455" s="118" t="str">
        <f>IF(BA$6="","",IF(BA$3="Maior",IFERROR(IF(VLOOKUP($N455,Capa!$A:$AE,BA$5,0)="",0,VLOOKUP($N455,Capa!$A:$AE,BA$5,0)),0),IF(ISERROR(1/VLOOKUP($N455,Capa!$A:$AE,BA$5,0)),0,1/VLOOKUP($N455,Capa!$A:$AE,BA$5,0))))</f>
        <v/>
      </c>
      <c r="BB455" s="118" t="str">
        <f>IF(BB$6="","",IF(BB$3="Maior",IFERROR(IF(VLOOKUP($N455,Capa!$A:$AE,BB$5,0)="",0,VLOOKUP($N455,Capa!$A:$AE,BB$5,0)),0),IF(ISERROR(1/VLOOKUP($N455,Capa!$A:$AE,BB$5,0)),0,1/VLOOKUP($N455,Capa!$A:$AE,BB$5,0))))</f>
        <v/>
      </c>
      <c r="BC455" s="118" t="str">
        <f>IF(BC$6="","",IF(BC$3="Maior",IFERROR(IF(VLOOKUP($N455,Capa!$A:$AE,BC$5,0)="",0,VLOOKUP($N455,Capa!$A:$AE,BC$5,0)),0),IF(ISERROR(1/VLOOKUP($N455,Capa!$A:$AE,BC$5,0)),0,1/VLOOKUP($N455,Capa!$A:$AE,BC$5,0))))</f>
        <v/>
      </c>
      <c r="BD455" s="118" t="str">
        <f>IF(BD$6="","",IF(BD$3="Maior",IFERROR(IF(VLOOKUP($N455,Capa!$A:$AE,BD$5,0)="",0,VLOOKUP($N455,Capa!$A:$AE,BD$5,0)),0),IF(ISERROR(1/VLOOKUP($N455,Capa!$A:$AE,BD$5,0)),0,1/VLOOKUP($N455,Capa!$A:$AE,BD$5,0))))</f>
        <v/>
      </c>
      <c r="BE455" s="118" t="str">
        <f>IF(BE$6="","",IF(BE$3="Maior",IFERROR(IF(VLOOKUP($N455,Capa!$A:$AE,BE$5,0)="",0,VLOOKUP($N455,Capa!$A:$AE,BE$5,0)),0),IF(ISERROR(1/VLOOKUP($N455,Capa!$A:$AE,BE$5,0)),0,1/VLOOKUP($N455,Capa!$A:$AE,BE$5,0))))</f>
        <v/>
      </c>
      <c r="BF455" s="118" t="str">
        <f>IF(BF$6="","",IF(BF$3="Maior",IFERROR(IF(VLOOKUP($N455,Capa!$A:$AE,BF$5,0)="",0,VLOOKUP($N455,Capa!$A:$AE,BF$5,0)),0),IF(ISERROR(1/VLOOKUP($N455,Capa!$A:$AE,BF$5,0)),0,1/VLOOKUP($N455,Capa!$A:$AE,BF$5,0))))</f>
        <v/>
      </c>
      <c r="BG455" s="118" t="str">
        <f>IF(BG$6="","",IF(BG$3="Maior",IFERROR(IF(VLOOKUP($N455,Capa!$A:$AE,BG$5,0)="",0,VLOOKUP($N455,Capa!$A:$AE,BG$5,0)),0),IF(ISERROR(1/VLOOKUP($N455,Capa!$A:$AE,BG$5,0)),0,1/VLOOKUP($N455,Capa!$A:$AE,BG$5,0))))</f>
        <v/>
      </c>
      <c r="BH455" s="118" t="str">
        <f>IF(BH$6="","",IF(BH$3="Maior",IFERROR(IF(VLOOKUP($N455,Capa!$A:$AE,BH$5,0)="",0,VLOOKUP($N455,Capa!$A:$AE,BH$5,0)),0),IF(ISERROR(1/VLOOKUP($N455,Capa!$A:$AE,BH$5,0)),0,1/VLOOKUP($N455,Capa!$A:$AE,BH$5,0))))</f>
        <v/>
      </c>
      <c r="BI455" s="118" t="str">
        <f>IF(BI$6="","",IF(BI$3="Maior",IFERROR(IF(VLOOKUP($N455,Capa!$A:$AE,BI$5,0)="",0,VLOOKUP($N455,Capa!$A:$AE,BI$5,0)),0),IF(ISERROR(1/VLOOKUP($N455,Capa!$A:$AE,BI$5,0)),0,1/VLOOKUP($N455,Capa!$A:$AE,BI$5,0))))</f>
        <v/>
      </c>
      <c r="BJ455" s="118" t="str">
        <f>IF(BJ$6="","",IF(BJ$3="Maior",IFERROR(IF(VLOOKUP($N455,Capa!$A:$AE,BJ$5,0)="",0,VLOOKUP($N455,Capa!$A:$AE,BJ$5,0)),0),IF(ISERROR(1/VLOOKUP($N455,Capa!$A:$AE,BJ$5,0)),0,1/VLOOKUP($N455,Capa!$A:$AE,BJ$5,0))))</f>
        <v/>
      </c>
      <c r="BK455" s="118" t="str">
        <f>IF(BK$6="","",IF(BK$3="Maior",IFERROR(IF(VLOOKUP($N455,Capa!$A:$AE,BK$5,0)="",0,VLOOKUP($N455,Capa!$A:$AE,BK$5,0)),0),IF(ISERROR(1/VLOOKUP($N455,Capa!$A:$AE,BK$5,0)),0,1/VLOOKUP($N455,Capa!$A:$AE,BK$5,0))))</f>
        <v/>
      </c>
      <c r="BL455" s="118" t="str">
        <f>IF(BL$6="","",IF(BL$3="Maior",IFERROR(IF(VLOOKUP($N455,Capa!$A:$AE,BL$5,0)="",0,VLOOKUP($N455,Capa!$A:$AE,BL$5,0)),0),IF(ISERROR(1/VLOOKUP($N455,Capa!$A:$AE,BL$5,0)),0,1/VLOOKUP($N455,Capa!$A:$AE,BL$5,0))))</f>
        <v/>
      </c>
      <c r="BM455" s="118" t="str">
        <f>IF(BM$6="","",IF(BM$3="Maior",IFERROR(IF(VLOOKUP($N455,Capa!$A:$AE,BM$5,0)="",0,VLOOKUP($N455,Capa!$A:$AE,BM$5,0)),0),IF(ISERROR(1/VLOOKUP($N455,Capa!$A:$AE,BM$5,0)),0,1/VLOOKUP($N455,Capa!$A:$AE,BM$5,0))))</f>
        <v/>
      </c>
      <c r="BN455" s="118" t="str">
        <f>IF(BN$6="","",IF(BN$3="Maior",IFERROR(IF(VLOOKUP($N455,Capa!$A:$AE,BN$5,0)="",0,VLOOKUP($N455,Capa!$A:$AE,BN$5,0)),0),IF(ISERROR(1/VLOOKUP($N455,Capa!$A:$AE,BN$5,0)),0,1/VLOOKUP($N455,Capa!$A:$AE,BN$5,0))))</f>
        <v/>
      </c>
      <c r="BO455" s="92"/>
    </row>
    <row r="456">
      <c r="I456" s="73"/>
      <c r="J456" s="74"/>
      <c r="N456" s="10" t="s">
        <v>502</v>
      </c>
      <c r="O456" s="113">
        <f t="shared" si="8"/>
        <v>1787.0131</v>
      </c>
      <c r="P456" s="114">
        <f>VLOOKUP(N456,'Dados StatusInvest'!A:Z,26,0)</f>
        <v>9554</v>
      </c>
      <c r="Q456" s="115">
        <f t="shared" si="9"/>
        <v>131.0131</v>
      </c>
      <c r="R456" s="116">
        <f t="shared" ref="R456:AO456" si="459">IF(AQ456="","", RANK(AQ456,AQ$7:AQ$503,0))</f>
        <v>159</v>
      </c>
      <c r="S456" s="115">
        <f t="shared" si="459"/>
        <v>497</v>
      </c>
      <c r="T456" s="115" t="str">
        <f t="shared" si="459"/>
        <v/>
      </c>
      <c r="U456" s="115" t="str">
        <f t="shared" si="459"/>
        <v/>
      </c>
      <c r="V456" s="115" t="str">
        <f t="shared" si="459"/>
        <v/>
      </c>
      <c r="W456" s="115" t="str">
        <f t="shared" si="459"/>
        <v/>
      </c>
      <c r="X456" s="115" t="str">
        <f t="shared" si="459"/>
        <v/>
      </c>
      <c r="Y456" s="115" t="str">
        <f t="shared" si="459"/>
        <v/>
      </c>
      <c r="Z456" s="115" t="str">
        <f t="shared" si="459"/>
        <v/>
      </c>
      <c r="AA456" s="115" t="str">
        <f t="shared" si="459"/>
        <v/>
      </c>
      <c r="AB456" s="115" t="str">
        <f t="shared" si="459"/>
        <v/>
      </c>
      <c r="AC456" s="115" t="str">
        <f t="shared" si="459"/>
        <v/>
      </c>
      <c r="AD456" s="115" t="str">
        <f t="shared" si="459"/>
        <v/>
      </c>
      <c r="AE456" s="115" t="str">
        <f t="shared" si="459"/>
        <v/>
      </c>
      <c r="AF456" s="115" t="str">
        <f t="shared" si="459"/>
        <v/>
      </c>
      <c r="AG456" s="115" t="str">
        <f t="shared" si="459"/>
        <v/>
      </c>
      <c r="AH456" s="115" t="str">
        <f t="shared" si="459"/>
        <v/>
      </c>
      <c r="AI456" s="115" t="str">
        <f t="shared" si="459"/>
        <v/>
      </c>
      <c r="AJ456" s="115" t="str">
        <f t="shared" si="459"/>
        <v/>
      </c>
      <c r="AK456" s="115" t="str">
        <f t="shared" si="459"/>
        <v/>
      </c>
      <c r="AL456" s="115" t="str">
        <f t="shared" si="459"/>
        <v/>
      </c>
      <c r="AM456" s="115" t="str">
        <f t="shared" si="459"/>
        <v/>
      </c>
      <c r="AN456" s="115" t="str">
        <f t="shared" si="459"/>
        <v/>
      </c>
      <c r="AO456" s="115" t="str">
        <f t="shared" si="459"/>
        <v/>
      </c>
      <c r="AP456" s="117">
        <f>IF(AP$6="","",IF(AP$3="Maior",IFERROR(IF(VLOOKUP($N456,Capa!$A:$AE,AP$5,0)="",0,VLOOKUP($N456,Capa!$A:$AE,AP$5,0)),0),IF(ISERROR(1/VLOOKUP($N456,Capa!$A:$AE,AP$5,0)),0,1/VLOOKUP($N456,Capa!$A:$AE,AP$5,0))))</f>
        <v>0.1447178003</v>
      </c>
      <c r="AQ456" s="118">
        <f>IF(AQ$6="","",IF(AQ$3="Maior",IFERROR(IF(VLOOKUP($N456,Capa!$A:$AE,AQ$5,0)="",0,VLOOKUP($N456,Capa!$A:$AE,AQ$5,0)),0),IF(ISERROR(1/VLOOKUP($N456,Capa!$A:$AE,AQ$5,0)),0,1/VLOOKUP($N456,Capa!$A:$AE,AQ$5,0))))</f>
        <v>13.82</v>
      </c>
      <c r="AR456" s="118">
        <f>IF(AR$6="","",IF(AR$3="Maior",IFERROR(IF(VLOOKUP($N456,Capa!$A:$AE,AR$5,0)="",0,VLOOKUP($N456,Capa!$A:$AE,AR$5,0)),0),IF(ISERROR(1/VLOOKUP($N456,Capa!$A:$AE,AR$5,0)),0,1/VLOOKUP($N456,Capa!$A:$AE,AR$5,0))))</f>
        <v>-28.69</v>
      </c>
      <c r="AS456" s="118" t="str">
        <f>IF(AS$6="","",IF(AS$3="Maior",IFERROR(IF(VLOOKUP($N456,Capa!$A:$AE,AS$5,0)="",0,VLOOKUP($N456,Capa!$A:$AE,AS$5,0)),0),IF(ISERROR(1/VLOOKUP($N456,Capa!$A:$AE,AS$5,0)),0,1/VLOOKUP($N456,Capa!$A:$AE,AS$5,0))))</f>
        <v/>
      </c>
      <c r="AT456" s="118" t="str">
        <f>IF(AT$6="","",IF(AT$3="Maior",IFERROR(IF(VLOOKUP($N456,Capa!$A:$AE,AT$5,0)="",0,VLOOKUP($N456,Capa!$A:$AE,AT$5,0)),0),IF(ISERROR(1/VLOOKUP($N456,Capa!$A:$AE,AT$5,0)),0,1/VLOOKUP($N456,Capa!$A:$AE,AT$5,0))))</f>
        <v/>
      </c>
      <c r="AU456" s="118" t="str">
        <f>IF(AU$6="","",IF(AU$3="Maior",IFERROR(IF(VLOOKUP($N456,Capa!$A:$AE,AU$5,0)="",0,VLOOKUP($N456,Capa!$A:$AE,AU$5,0)),0),IF(ISERROR(1/VLOOKUP($N456,Capa!$A:$AE,AU$5,0)),0,1/VLOOKUP($N456,Capa!$A:$AE,AU$5,0))))</f>
        <v/>
      </c>
      <c r="AV456" s="118" t="str">
        <f>IF(AV$6="","",IF(AV$3="Maior",IFERROR(IF(VLOOKUP($N456,Capa!$A:$AE,AV$5,0)="",0,VLOOKUP($N456,Capa!$A:$AE,AV$5,0)),0),IF(ISERROR(1/VLOOKUP($N456,Capa!$A:$AE,AV$5,0)),0,1/VLOOKUP($N456,Capa!$A:$AE,AV$5,0))))</f>
        <v/>
      </c>
      <c r="AW456" s="118" t="str">
        <f>IF(AW$6="","",IF(AW$3="Maior",IFERROR(IF(VLOOKUP($N456,Capa!$A:$AE,AW$5,0)="",0,VLOOKUP($N456,Capa!$A:$AE,AW$5,0)),0),IF(ISERROR(1/VLOOKUP($N456,Capa!$A:$AE,AW$5,0)),0,1/VLOOKUP($N456,Capa!$A:$AE,AW$5,0))))</f>
        <v/>
      </c>
      <c r="AX456" s="118" t="str">
        <f>IF(AX$6="","",IF(AX$3="Maior",IFERROR(IF(VLOOKUP($N456,Capa!$A:$AE,AX$5,0)="",0,VLOOKUP($N456,Capa!$A:$AE,AX$5,0)),0),IF(ISERROR(1/VLOOKUP($N456,Capa!$A:$AE,AX$5,0)),0,1/VLOOKUP($N456,Capa!$A:$AE,AX$5,0))))</f>
        <v/>
      </c>
      <c r="AY456" s="118" t="str">
        <f>IF(AY$6="","",IF(AY$3="Maior",IFERROR(IF(VLOOKUP($N456,Capa!$A:$AE,AY$5,0)="",0,VLOOKUP($N456,Capa!$A:$AE,AY$5,0)),0),IF(ISERROR(1/VLOOKUP($N456,Capa!$A:$AE,AY$5,0)),0,1/VLOOKUP($N456,Capa!$A:$AE,AY$5,0))))</f>
        <v/>
      </c>
      <c r="AZ456" s="118" t="str">
        <f>IF(AZ$6="","",IF(AZ$3="Maior",IFERROR(IF(VLOOKUP($N456,Capa!$A:$AE,AZ$5,0)="",0,VLOOKUP($N456,Capa!$A:$AE,AZ$5,0)),0),IF(ISERROR(1/VLOOKUP($N456,Capa!$A:$AE,AZ$5,0)),0,1/VLOOKUP($N456,Capa!$A:$AE,AZ$5,0))))</f>
        <v/>
      </c>
      <c r="BA456" s="118" t="str">
        <f>IF(BA$6="","",IF(BA$3="Maior",IFERROR(IF(VLOOKUP($N456,Capa!$A:$AE,BA$5,0)="",0,VLOOKUP($N456,Capa!$A:$AE,BA$5,0)),0),IF(ISERROR(1/VLOOKUP($N456,Capa!$A:$AE,BA$5,0)),0,1/VLOOKUP($N456,Capa!$A:$AE,BA$5,0))))</f>
        <v/>
      </c>
      <c r="BB456" s="118" t="str">
        <f>IF(BB$6="","",IF(BB$3="Maior",IFERROR(IF(VLOOKUP($N456,Capa!$A:$AE,BB$5,0)="",0,VLOOKUP($N456,Capa!$A:$AE,BB$5,0)),0),IF(ISERROR(1/VLOOKUP($N456,Capa!$A:$AE,BB$5,0)),0,1/VLOOKUP($N456,Capa!$A:$AE,BB$5,0))))</f>
        <v/>
      </c>
      <c r="BC456" s="118" t="str">
        <f>IF(BC$6="","",IF(BC$3="Maior",IFERROR(IF(VLOOKUP($N456,Capa!$A:$AE,BC$5,0)="",0,VLOOKUP($N456,Capa!$A:$AE,BC$5,0)),0),IF(ISERROR(1/VLOOKUP($N456,Capa!$A:$AE,BC$5,0)),0,1/VLOOKUP($N456,Capa!$A:$AE,BC$5,0))))</f>
        <v/>
      </c>
      <c r="BD456" s="118" t="str">
        <f>IF(BD$6="","",IF(BD$3="Maior",IFERROR(IF(VLOOKUP($N456,Capa!$A:$AE,BD$5,0)="",0,VLOOKUP($N456,Capa!$A:$AE,BD$5,0)),0),IF(ISERROR(1/VLOOKUP($N456,Capa!$A:$AE,BD$5,0)),0,1/VLOOKUP($N456,Capa!$A:$AE,BD$5,0))))</f>
        <v/>
      </c>
      <c r="BE456" s="118" t="str">
        <f>IF(BE$6="","",IF(BE$3="Maior",IFERROR(IF(VLOOKUP($N456,Capa!$A:$AE,BE$5,0)="",0,VLOOKUP($N456,Capa!$A:$AE,BE$5,0)),0),IF(ISERROR(1/VLOOKUP($N456,Capa!$A:$AE,BE$5,0)),0,1/VLOOKUP($N456,Capa!$A:$AE,BE$5,0))))</f>
        <v/>
      </c>
      <c r="BF456" s="118" t="str">
        <f>IF(BF$6="","",IF(BF$3="Maior",IFERROR(IF(VLOOKUP($N456,Capa!$A:$AE,BF$5,0)="",0,VLOOKUP($N456,Capa!$A:$AE,BF$5,0)),0),IF(ISERROR(1/VLOOKUP($N456,Capa!$A:$AE,BF$5,0)),0,1/VLOOKUP($N456,Capa!$A:$AE,BF$5,0))))</f>
        <v/>
      </c>
      <c r="BG456" s="118" t="str">
        <f>IF(BG$6="","",IF(BG$3="Maior",IFERROR(IF(VLOOKUP($N456,Capa!$A:$AE,BG$5,0)="",0,VLOOKUP($N456,Capa!$A:$AE,BG$5,0)),0),IF(ISERROR(1/VLOOKUP($N456,Capa!$A:$AE,BG$5,0)),0,1/VLOOKUP($N456,Capa!$A:$AE,BG$5,0))))</f>
        <v/>
      </c>
      <c r="BH456" s="118" t="str">
        <f>IF(BH$6="","",IF(BH$3="Maior",IFERROR(IF(VLOOKUP($N456,Capa!$A:$AE,BH$5,0)="",0,VLOOKUP($N456,Capa!$A:$AE,BH$5,0)),0),IF(ISERROR(1/VLOOKUP($N456,Capa!$A:$AE,BH$5,0)),0,1/VLOOKUP($N456,Capa!$A:$AE,BH$5,0))))</f>
        <v/>
      </c>
      <c r="BI456" s="118" t="str">
        <f>IF(BI$6="","",IF(BI$3="Maior",IFERROR(IF(VLOOKUP($N456,Capa!$A:$AE,BI$5,0)="",0,VLOOKUP($N456,Capa!$A:$AE,BI$5,0)),0),IF(ISERROR(1/VLOOKUP($N456,Capa!$A:$AE,BI$5,0)),0,1/VLOOKUP($N456,Capa!$A:$AE,BI$5,0))))</f>
        <v/>
      </c>
      <c r="BJ456" s="118" t="str">
        <f>IF(BJ$6="","",IF(BJ$3="Maior",IFERROR(IF(VLOOKUP($N456,Capa!$A:$AE,BJ$5,0)="",0,VLOOKUP($N456,Capa!$A:$AE,BJ$5,0)),0),IF(ISERROR(1/VLOOKUP($N456,Capa!$A:$AE,BJ$5,0)),0,1/VLOOKUP($N456,Capa!$A:$AE,BJ$5,0))))</f>
        <v/>
      </c>
      <c r="BK456" s="118" t="str">
        <f>IF(BK$6="","",IF(BK$3="Maior",IFERROR(IF(VLOOKUP($N456,Capa!$A:$AE,BK$5,0)="",0,VLOOKUP($N456,Capa!$A:$AE,BK$5,0)),0),IF(ISERROR(1/VLOOKUP($N456,Capa!$A:$AE,BK$5,0)),0,1/VLOOKUP($N456,Capa!$A:$AE,BK$5,0))))</f>
        <v/>
      </c>
      <c r="BL456" s="118" t="str">
        <f>IF(BL$6="","",IF(BL$3="Maior",IFERROR(IF(VLOOKUP($N456,Capa!$A:$AE,BL$5,0)="",0,VLOOKUP($N456,Capa!$A:$AE,BL$5,0)),0),IF(ISERROR(1/VLOOKUP($N456,Capa!$A:$AE,BL$5,0)),0,1/VLOOKUP($N456,Capa!$A:$AE,BL$5,0))))</f>
        <v/>
      </c>
      <c r="BM456" s="118" t="str">
        <f>IF(BM$6="","",IF(BM$3="Maior",IFERROR(IF(VLOOKUP($N456,Capa!$A:$AE,BM$5,0)="",0,VLOOKUP($N456,Capa!$A:$AE,BM$5,0)),0),IF(ISERROR(1/VLOOKUP($N456,Capa!$A:$AE,BM$5,0)),0,1/VLOOKUP($N456,Capa!$A:$AE,BM$5,0))))</f>
        <v/>
      </c>
      <c r="BN456" s="118" t="str">
        <f>IF(BN$6="","",IF(BN$3="Maior",IFERROR(IF(VLOOKUP($N456,Capa!$A:$AE,BN$5,0)="",0,VLOOKUP($N456,Capa!$A:$AE,BN$5,0)),0),IF(ISERROR(1/VLOOKUP($N456,Capa!$A:$AE,BN$5,0)),0,1/VLOOKUP($N456,Capa!$A:$AE,BN$5,0))))</f>
        <v/>
      </c>
      <c r="BO456" s="92"/>
    </row>
    <row r="457">
      <c r="I457" s="73"/>
      <c r="J457" s="74"/>
      <c r="N457" s="10" t="s">
        <v>503</v>
      </c>
      <c r="O457" s="113">
        <f t="shared" si="8"/>
        <v>1404.0133</v>
      </c>
      <c r="P457" s="114">
        <f>VLOOKUP(N457,'Dados StatusInvest'!A:Z,26,0)</f>
        <v>9450</v>
      </c>
      <c r="Q457" s="115">
        <f t="shared" si="9"/>
        <v>133.0133</v>
      </c>
      <c r="R457" s="116">
        <f t="shared" ref="R457:AO457" si="460">IF(AQ457="","", RANK(AQ457,AQ$7:AQ$503,0))</f>
        <v>172</v>
      </c>
      <c r="S457" s="115">
        <f t="shared" si="460"/>
        <v>99</v>
      </c>
      <c r="T457" s="115" t="str">
        <f t="shared" si="460"/>
        <v/>
      </c>
      <c r="U457" s="115" t="str">
        <f t="shared" si="460"/>
        <v/>
      </c>
      <c r="V457" s="115" t="str">
        <f t="shared" si="460"/>
        <v/>
      </c>
      <c r="W457" s="115" t="str">
        <f t="shared" si="460"/>
        <v/>
      </c>
      <c r="X457" s="115" t="str">
        <f t="shared" si="460"/>
        <v/>
      </c>
      <c r="Y457" s="115" t="str">
        <f t="shared" si="460"/>
        <v/>
      </c>
      <c r="Z457" s="115" t="str">
        <f t="shared" si="460"/>
        <v/>
      </c>
      <c r="AA457" s="115" t="str">
        <f t="shared" si="460"/>
        <v/>
      </c>
      <c r="AB457" s="115" t="str">
        <f t="shared" si="460"/>
        <v/>
      </c>
      <c r="AC457" s="115" t="str">
        <f t="shared" si="460"/>
        <v/>
      </c>
      <c r="AD457" s="115" t="str">
        <f t="shared" si="460"/>
        <v/>
      </c>
      <c r="AE457" s="115" t="str">
        <f t="shared" si="460"/>
        <v/>
      </c>
      <c r="AF457" s="115" t="str">
        <f t="shared" si="460"/>
        <v/>
      </c>
      <c r="AG457" s="115" t="str">
        <f t="shared" si="460"/>
        <v/>
      </c>
      <c r="AH457" s="115" t="str">
        <f t="shared" si="460"/>
        <v/>
      </c>
      <c r="AI457" s="115" t="str">
        <f t="shared" si="460"/>
        <v/>
      </c>
      <c r="AJ457" s="115" t="str">
        <f t="shared" si="460"/>
        <v/>
      </c>
      <c r="AK457" s="115" t="str">
        <f t="shared" si="460"/>
        <v/>
      </c>
      <c r="AL457" s="115" t="str">
        <f t="shared" si="460"/>
        <v/>
      </c>
      <c r="AM457" s="115" t="str">
        <f t="shared" si="460"/>
        <v/>
      </c>
      <c r="AN457" s="115" t="str">
        <f t="shared" si="460"/>
        <v/>
      </c>
      <c r="AO457" s="115" t="str">
        <f t="shared" si="460"/>
        <v/>
      </c>
      <c r="AP457" s="117">
        <f>IF(AP$6="","",IF(AP$3="Maior",IFERROR(IF(VLOOKUP($N457,Capa!$A:$AE,AP$5,0)="",0,VLOOKUP($N457,Capa!$A:$AE,AP$5,0)),0),IF(ISERROR(1/VLOOKUP($N457,Capa!$A:$AE,AP$5,0)),0,1/VLOOKUP($N457,Capa!$A:$AE,AP$5,0))))</f>
        <v>0.1440524512</v>
      </c>
      <c r="AQ457" s="118">
        <f>IF(AQ$6="","",IF(AQ$3="Maior",IFERROR(IF(VLOOKUP($N457,Capa!$A:$AE,AQ$5,0)="",0,VLOOKUP($N457,Capa!$A:$AE,AQ$5,0)),0),IF(ISERROR(1/VLOOKUP($N457,Capa!$A:$AE,AQ$5,0)),0,1/VLOOKUP($N457,Capa!$A:$AE,AQ$5,0))))</f>
        <v>12.73</v>
      </c>
      <c r="AR457" s="118">
        <f>IF(AR$6="","",IF(AR$3="Maior",IFERROR(IF(VLOOKUP($N457,Capa!$A:$AE,AR$5,0)="",0,VLOOKUP($N457,Capa!$A:$AE,AR$5,0)),0),IF(ISERROR(1/VLOOKUP($N457,Capa!$A:$AE,AR$5,0)),0,1/VLOOKUP($N457,Capa!$A:$AE,AR$5,0))))</f>
        <v>25.65</v>
      </c>
      <c r="AS457" s="118" t="str">
        <f>IF(AS$6="","",IF(AS$3="Maior",IFERROR(IF(VLOOKUP($N457,Capa!$A:$AE,AS$5,0)="",0,VLOOKUP($N457,Capa!$A:$AE,AS$5,0)),0),IF(ISERROR(1/VLOOKUP($N457,Capa!$A:$AE,AS$5,0)),0,1/VLOOKUP($N457,Capa!$A:$AE,AS$5,0))))</f>
        <v/>
      </c>
      <c r="AT457" s="118" t="str">
        <f>IF(AT$6="","",IF(AT$3="Maior",IFERROR(IF(VLOOKUP($N457,Capa!$A:$AE,AT$5,0)="",0,VLOOKUP($N457,Capa!$A:$AE,AT$5,0)),0),IF(ISERROR(1/VLOOKUP($N457,Capa!$A:$AE,AT$5,0)),0,1/VLOOKUP($N457,Capa!$A:$AE,AT$5,0))))</f>
        <v/>
      </c>
      <c r="AU457" s="118" t="str">
        <f>IF(AU$6="","",IF(AU$3="Maior",IFERROR(IF(VLOOKUP($N457,Capa!$A:$AE,AU$5,0)="",0,VLOOKUP($N457,Capa!$A:$AE,AU$5,0)),0),IF(ISERROR(1/VLOOKUP($N457,Capa!$A:$AE,AU$5,0)),0,1/VLOOKUP($N457,Capa!$A:$AE,AU$5,0))))</f>
        <v/>
      </c>
      <c r="AV457" s="118" t="str">
        <f>IF(AV$6="","",IF(AV$3="Maior",IFERROR(IF(VLOOKUP($N457,Capa!$A:$AE,AV$5,0)="",0,VLOOKUP($N457,Capa!$A:$AE,AV$5,0)),0),IF(ISERROR(1/VLOOKUP($N457,Capa!$A:$AE,AV$5,0)),0,1/VLOOKUP($N457,Capa!$A:$AE,AV$5,0))))</f>
        <v/>
      </c>
      <c r="AW457" s="118" t="str">
        <f>IF(AW$6="","",IF(AW$3="Maior",IFERROR(IF(VLOOKUP($N457,Capa!$A:$AE,AW$5,0)="",0,VLOOKUP($N457,Capa!$A:$AE,AW$5,0)),0),IF(ISERROR(1/VLOOKUP($N457,Capa!$A:$AE,AW$5,0)),0,1/VLOOKUP($N457,Capa!$A:$AE,AW$5,0))))</f>
        <v/>
      </c>
      <c r="AX457" s="118" t="str">
        <f>IF(AX$6="","",IF(AX$3="Maior",IFERROR(IF(VLOOKUP($N457,Capa!$A:$AE,AX$5,0)="",0,VLOOKUP($N457,Capa!$A:$AE,AX$5,0)),0),IF(ISERROR(1/VLOOKUP($N457,Capa!$A:$AE,AX$5,0)),0,1/VLOOKUP($N457,Capa!$A:$AE,AX$5,0))))</f>
        <v/>
      </c>
      <c r="AY457" s="118" t="str">
        <f>IF(AY$6="","",IF(AY$3="Maior",IFERROR(IF(VLOOKUP($N457,Capa!$A:$AE,AY$5,0)="",0,VLOOKUP($N457,Capa!$A:$AE,AY$5,0)),0),IF(ISERROR(1/VLOOKUP($N457,Capa!$A:$AE,AY$5,0)),0,1/VLOOKUP($N457,Capa!$A:$AE,AY$5,0))))</f>
        <v/>
      </c>
      <c r="AZ457" s="118" t="str">
        <f>IF(AZ$6="","",IF(AZ$3="Maior",IFERROR(IF(VLOOKUP($N457,Capa!$A:$AE,AZ$5,0)="",0,VLOOKUP($N457,Capa!$A:$AE,AZ$5,0)),0),IF(ISERROR(1/VLOOKUP($N457,Capa!$A:$AE,AZ$5,0)),0,1/VLOOKUP($N457,Capa!$A:$AE,AZ$5,0))))</f>
        <v/>
      </c>
      <c r="BA457" s="118" t="str">
        <f>IF(BA$6="","",IF(BA$3="Maior",IFERROR(IF(VLOOKUP($N457,Capa!$A:$AE,BA$5,0)="",0,VLOOKUP($N457,Capa!$A:$AE,BA$5,0)),0),IF(ISERROR(1/VLOOKUP($N457,Capa!$A:$AE,BA$5,0)),0,1/VLOOKUP($N457,Capa!$A:$AE,BA$5,0))))</f>
        <v/>
      </c>
      <c r="BB457" s="118" t="str">
        <f>IF(BB$6="","",IF(BB$3="Maior",IFERROR(IF(VLOOKUP($N457,Capa!$A:$AE,BB$5,0)="",0,VLOOKUP($N457,Capa!$A:$AE,BB$5,0)),0),IF(ISERROR(1/VLOOKUP($N457,Capa!$A:$AE,BB$5,0)),0,1/VLOOKUP($N457,Capa!$A:$AE,BB$5,0))))</f>
        <v/>
      </c>
      <c r="BC457" s="118" t="str">
        <f>IF(BC$6="","",IF(BC$3="Maior",IFERROR(IF(VLOOKUP($N457,Capa!$A:$AE,BC$5,0)="",0,VLOOKUP($N457,Capa!$A:$AE,BC$5,0)),0),IF(ISERROR(1/VLOOKUP($N457,Capa!$A:$AE,BC$5,0)),0,1/VLOOKUP($N457,Capa!$A:$AE,BC$5,0))))</f>
        <v/>
      </c>
      <c r="BD457" s="118" t="str">
        <f>IF(BD$6="","",IF(BD$3="Maior",IFERROR(IF(VLOOKUP($N457,Capa!$A:$AE,BD$5,0)="",0,VLOOKUP($N457,Capa!$A:$AE,BD$5,0)),0),IF(ISERROR(1/VLOOKUP($N457,Capa!$A:$AE,BD$5,0)),0,1/VLOOKUP($N457,Capa!$A:$AE,BD$5,0))))</f>
        <v/>
      </c>
      <c r="BE457" s="118" t="str">
        <f>IF(BE$6="","",IF(BE$3="Maior",IFERROR(IF(VLOOKUP($N457,Capa!$A:$AE,BE$5,0)="",0,VLOOKUP($N457,Capa!$A:$AE,BE$5,0)),0),IF(ISERROR(1/VLOOKUP($N457,Capa!$A:$AE,BE$5,0)),0,1/VLOOKUP($N457,Capa!$A:$AE,BE$5,0))))</f>
        <v/>
      </c>
      <c r="BF457" s="118" t="str">
        <f>IF(BF$6="","",IF(BF$3="Maior",IFERROR(IF(VLOOKUP($N457,Capa!$A:$AE,BF$5,0)="",0,VLOOKUP($N457,Capa!$A:$AE,BF$5,0)),0),IF(ISERROR(1/VLOOKUP($N457,Capa!$A:$AE,BF$5,0)),0,1/VLOOKUP($N457,Capa!$A:$AE,BF$5,0))))</f>
        <v/>
      </c>
      <c r="BG457" s="118" t="str">
        <f>IF(BG$6="","",IF(BG$3="Maior",IFERROR(IF(VLOOKUP($N457,Capa!$A:$AE,BG$5,0)="",0,VLOOKUP($N457,Capa!$A:$AE,BG$5,0)),0),IF(ISERROR(1/VLOOKUP($N457,Capa!$A:$AE,BG$5,0)),0,1/VLOOKUP($N457,Capa!$A:$AE,BG$5,0))))</f>
        <v/>
      </c>
      <c r="BH457" s="118" t="str">
        <f>IF(BH$6="","",IF(BH$3="Maior",IFERROR(IF(VLOOKUP($N457,Capa!$A:$AE,BH$5,0)="",0,VLOOKUP($N457,Capa!$A:$AE,BH$5,0)),0),IF(ISERROR(1/VLOOKUP($N457,Capa!$A:$AE,BH$5,0)),0,1/VLOOKUP($N457,Capa!$A:$AE,BH$5,0))))</f>
        <v/>
      </c>
      <c r="BI457" s="118" t="str">
        <f>IF(BI$6="","",IF(BI$3="Maior",IFERROR(IF(VLOOKUP($N457,Capa!$A:$AE,BI$5,0)="",0,VLOOKUP($N457,Capa!$A:$AE,BI$5,0)),0),IF(ISERROR(1/VLOOKUP($N457,Capa!$A:$AE,BI$5,0)),0,1/VLOOKUP($N457,Capa!$A:$AE,BI$5,0))))</f>
        <v/>
      </c>
      <c r="BJ457" s="118" t="str">
        <f>IF(BJ$6="","",IF(BJ$3="Maior",IFERROR(IF(VLOOKUP($N457,Capa!$A:$AE,BJ$5,0)="",0,VLOOKUP($N457,Capa!$A:$AE,BJ$5,0)),0),IF(ISERROR(1/VLOOKUP($N457,Capa!$A:$AE,BJ$5,0)),0,1/VLOOKUP($N457,Capa!$A:$AE,BJ$5,0))))</f>
        <v/>
      </c>
      <c r="BK457" s="118" t="str">
        <f>IF(BK$6="","",IF(BK$3="Maior",IFERROR(IF(VLOOKUP($N457,Capa!$A:$AE,BK$5,0)="",0,VLOOKUP($N457,Capa!$A:$AE,BK$5,0)),0),IF(ISERROR(1/VLOOKUP($N457,Capa!$A:$AE,BK$5,0)),0,1/VLOOKUP($N457,Capa!$A:$AE,BK$5,0))))</f>
        <v/>
      </c>
      <c r="BL457" s="118" t="str">
        <f>IF(BL$6="","",IF(BL$3="Maior",IFERROR(IF(VLOOKUP($N457,Capa!$A:$AE,BL$5,0)="",0,VLOOKUP($N457,Capa!$A:$AE,BL$5,0)),0),IF(ISERROR(1/VLOOKUP($N457,Capa!$A:$AE,BL$5,0)),0,1/VLOOKUP($N457,Capa!$A:$AE,BL$5,0))))</f>
        <v/>
      </c>
      <c r="BM457" s="118" t="str">
        <f>IF(BM$6="","",IF(BM$3="Maior",IFERROR(IF(VLOOKUP($N457,Capa!$A:$AE,BM$5,0)="",0,VLOOKUP($N457,Capa!$A:$AE,BM$5,0)),0),IF(ISERROR(1/VLOOKUP($N457,Capa!$A:$AE,BM$5,0)),0,1/VLOOKUP($N457,Capa!$A:$AE,BM$5,0))))</f>
        <v/>
      </c>
      <c r="BN457" s="118" t="str">
        <f>IF(BN$6="","",IF(BN$3="Maior",IFERROR(IF(VLOOKUP($N457,Capa!$A:$AE,BN$5,0)="",0,VLOOKUP($N457,Capa!$A:$AE,BN$5,0)),0),IF(ISERROR(1/VLOOKUP($N457,Capa!$A:$AE,BN$5,0)),0,1/VLOOKUP($N457,Capa!$A:$AE,BN$5,0))))</f>
        <v/>
      </c>
      <c r="BO457" s="92"/>
    </row>
    <row r="458">
      <c r="I458" s="73"/>
      <c r="J458" s="74"/>
      <c r="N458" s="10" t="s">
        <v>504</v>
      </c>
      <c r="O458" s="113">
        <f t="shared" si="8"/>
        <v>1413.0058</v>
      </c>
      <c r="P458" s="114">
        <f>VLOOKUP(N458,'Dados StatusInvest'!A:Z,26,0)</f>
        <v>11990</v>
      </c>
      <c r="Q458" s="115">
        <f t="shared" si="9"/>
        <v>58.0058</v>
      </c>
      <c r="R458" s="116">
        <f t="shared" ref="R458:AO458" si="461">IF(AQ458="","", RANK(AQ458,AQ$7:AQ$503,0))</f>
        <v>136</v>
      </c>
      <c r="S458" s="115">
        <f t="shared" si="461"/>
        <v>219</v>
      </c>
      <c r="T458" s="115" t="str">
        <f t="shared" si="461"/>
        <v/>
      </c>
      <c r="U458" s="115" t="str">
        <f t="shared" si="461"/>
        <v/>
      </c>
      <c r="V458" s="115" t="str">
        <f t="shared" si="461"/>
        <v/>
      </c>
      <c r="W458" s="115" t="str">
        <f t="shared" si="461"/>
        <v/>
      </c>
      <c r="X458" s="115" t="str">
        <f t="shared" si="461"/>
        <v/>
      </c>
      <c r="Y458" s="115" t="str">
        <f t="shared" si="461"/>
        <v/>
      </c>
      <c r="Z458" s="115" t="str">
        <f t="shared" si="461"/>
        <v/>
      </c>
      <c r="AA458" s="115" t="str">
        <f t="shared" si="461"/>
        <v/>
      </c>
      <c r="AB458" s="115" t="str">
        <f t="shared" si="461"/>
        <v/>
      </c>
      <c r="AC458" s="115" t="str">
        <f t="shared" si="461"/>
        <v/>
      </c>
      <c r="AD458" s="115" t="str">
        <f t="shared" si="461"/>
        <v/>
      </c>
      <c r="AE458" s="115" t="str">
        <f t="shared" si="461"/>
        <v/>
      </c>
      <c r="AF458" s="115" t="str">
        <f t="shared" si="461"/>
        <v/>
      </c>
      <c r="AG458" s="115" t="str">
        <f t="shared" si="461"/>
        <v/>
      </c>
      <c r="AH458" s="115" t="str">
        <f t="shared" si="461"/>
        <v/>
      </c>
      <c r="AI458" s="115" t="str">
        <f t="shared" si="461"/>
        <v/>
      </c>
      <c r="AJ458" s="115" t="str">
        <f t="shared" si="461"/>
        <v/>
      </c>
      <c r="AK458" s="115" t="str">
        <f t="shared" si="461"/>
        <v/>
      </c>
      <c r="AL458" s="115" t="str">
        <f t="shared" si="461"/>
        <v/>
      </c>
      <c r="AM458" s="115" t="str">
        <f t="shared" si="461"/>
        <v/>
      </c>
      <c r="AN458" s="115" t="str">
        <f t="shared" si="461"/>
        <v/>
      </c>
      <c r="AO458" s="115" t="str">
        <f t="shared" si="461"/>
        <v/>
      </c>
      <c r="AP458" s="117">
        <f>IF(AP$6="","",IF(AP$3="Maior",IFERROR(IF(VLOOKUP($N458,Capa!$A:$AE,AP$5,0)="",0,VLOOKUP($N458,Capa!$A:$AE,AP$5,0)),0),IF(ISERROR(1/VLOOKUP($N458,Capa!$A:$AE,AP$5,0)),0,1/VLOOKUP($N458,Capa!$A:$AE,AP$5,0))))</f>
        <v>0.234741784</v>
      </c>
      <c r="AQ458" s="118">
        <f>IF(AQ$6="","",IF(AQ$3="Maior",IFERROR(IF(VLOOKUP($N458,Capa!$A:$AE,AQ$5,0)="",0,VLOOKUP($N458,Capa!$A:$AE,AQ$5,0)),0),IF(ISERROR(1/VLOOKUP($N458,Capa!$A:$AE,AQ$5,0)),0,1/VLOOKUP($N458,Capa!$A:$AE,AQ$5,0))))</f>
        <v>14.82</v>
      </c>
      <c r="AR458" s="118">
        <f>IF(AR$6="","",IF(AR$3="Maior",IFERROR(IF(VLOOKUP($N458,Capa!$A:$AE,AR$5,0)="",0,VLOOKUP($N458,Capa!$A:$AE,AR$5,0)),0),IF(ISERROR(1/VLOOKUP($N458,Capa!$A:$AE,AR$5,0)),0,1/VLOOKUP($N458,Capa!$A:$AE,AR$5,0))))</f>
        <v>0</v>
      </c>
      <c r="AS458" s="118" t="str">
        <f>IF(AS$6="","",IF(AS$3="Maior",IFERROR(IF(VLOOKUP($N458,Capa!$A:$AE,AS$5,0)="",0,VLOOKUP($N458,Capa!$A:$AE,AS$5,0)),0),IF(ISERROR(1/VLOOKUP($N458,Capa!$A:$AE,AS$5,0)),0,1/VLOOKUP($N458,Capa!$A:$AE,AS$5,0))))</f>
        <v/>
      </c>
      <c r="AT458" s="118" t="str">
        <f>IF(AT$6="","",IF(AT$3="Maior",IFERROR(IF(VLOOKUP($N458,Capa!$A:$AE,AT$5,0)="",0,VLOOKUP($N458,Capa!$A:$AE,AT$5,0)),0),IF(ISERROR(1/VLOOKUP($N458,Capa!$A:$AE,AT$5,0)),0,1/VLOOKUP($N458,Capa!$A:$AE,AT$5,0))))</f>
        <v/>
      </c>
      <c r="AU458" s="118" t="str">
        <f>IF(AU$6="","",IF(AU$3="Maior",IFERROR(IF(VLOOKUP($N458,Capa!$A:$AE,AU$5,0)="",0,VLOOKUP($N458,Capa!$A:$AE,AU$5,0)),0),IF(ISERROR(1/VLOOKUP($N458,Capa!$A:$AE,AU$5,0)),0,1/VLOOKUP($N458,Capa!$A:$AE,AU$5,0))))</f>
        <v/>
      </c>
      <c r="AV458" s="118" t="str">
        <f>IF(AV$6="","",IF(AV$3="Maior",IFERROR(IF(VLOOKUP($N458,Capa!$A:$AE,AV$5,0)="",0,VLOOKUP($N458,Capa!$A:$AE,AV$5,0)),0),IF(ISERROR(1/VLOOKUP($N458,Capa!$A:$AE,AV$5,0)),0,1/VLOOKUP($N458,Capa!$A:$AE,AV$5,0))))</f>
        <v/>
      </c>
      <c r="AW458" s="118" t="str">
        <f>IF(AW$6="","",IF(AW$3="Maior",IFERROR(IF(VLOOKUP($N458,Capa!$A:$AE,AW$5,0)="",0,VLOOKUP($N458,Capa!$A:$AE,AW$5,0)),0),IF(ISERROR(1/VLOOKUP($N458,Capa!$A:$AE,AW$5,0)),0,1/VLOOKUP($N458,Capa!$A:$AE,AW$5,0))))</f>
        <v/>
      </c>
      <c r="AX458" s="118" t="str">
        <f>IF(AX$6="","",IF(AX$3="Maior",IFERROR(IF(VLOOKUP($N458,Capa!$A:$AE,AX$5,0)="",0,VLOOKUP($N458,Capa!$A:$AE,AX$5,0)),0),IF(ISERROR(1/VLOOKUP($N458,Capa!$A:$AE,AX$5,0)),0,1/VLOOKUP($N458,Capa!$A:$AE,AX$5,0))))</f>
        <v/>
      </c>
      <c r="AY458" s="118" t="str">
        <f>IF(AY$6="","",IF(AY$3="Maior",IFERROR(IF(VLOOKUP($N458,Capa!$A:$AE,AY$5,0)="",0,VLOOKUP($N458,Capa!$A:$AE,AY$5,0)),0),IF(ISERROR(1/VLOOKUP($N458,Capa!$A:$AE,AY$5,0)),0,1/VLOOKUP($N458,Capa!$A:$AE,AY$5,0))))</f>
        <v/>
      </c>
      <c r="AZ458" s="118" t="str">
        <f>IF(AZ$6="","",IF(AZ$3="Maior",IFERROR(IF(VLOOKUP($N458,Capa!$A:$AE,AZ$5,0)="",0,VLOOKUP($N458,Capa!$A:$AE,AZ$5,0)),0),IF(ISERROR(1/VLOOKUP($N458,Capa!$A:$AE,AZ$5,0)),0,1/VLOOKUP($N458,Capa!$A:$AE,AZ$5,0))))</f>
        <v/>
      </c>
      <c r="BA458" s="118" t="str">
        <f>IF(BA$6="","",IF(BA$3="Maior",IFERROR(IF(VLOOKUP($N458,Capa!$A:$AE,BA$5,0)="",0,VLOOKUP($N458,Capa!$A:$AE,BA$5,0)),0),IF(ISERROR(1/VLOOKUP($N458,Capa!$A:$AE,BA$5,0)),0,1/VLOOKUP($N458,Capa!$A:$AE,BA$5,0))))</f>
        <v/>
      </c>
      <c r="BB458" s="118" t="str">
        <f>IF(BB$6="","",IF(BB$3="Maior",IFERROR(IF(VLOOKUP($N458,Capa!$A:$AE,BB$5,0)="",0,VLOOKUP($N458,Capa!$A:$AE,BB$5,0)),0),IF(ISERROR(1/VLOOKUP($N458,Capa!$A:$AE,BB$5,0)),0,1/VLOOKUP($N458,Capa!$A:$AE,BB$5,0))))</f>
        <v/>
      </c>
      <c r="BC458" s="118" t="str">
        <f>IF(BC$6="","",IF(BC$3="Maior",IFERROR(IF(VLOOKUP($N458,Capa!$A:$AE,BC$5,0)="",0,VLOOKUP($N458,Capa!$A:$AE,BC$5,0)),0),IF(ISERROR(1/VLOOKUP($N458,Capa!$A:$AE,BC$5,0)),0,1/VLOOKUP($N458,Capa!$A:$AE,BC$5,0))))</f>
        <v/>
      </c>
      <c r="BD458" s="118" t="str">
        <f>IF(BD$6="","",IF(BD$3="Maior",IFERROR(IF(VLOOKUP($N458,Capa!$A:$AE,BD$5,0)="",0,VLOOKUP($N458,Capa!$A:$AE,BD$5,0)),0),IF(ISERROR(1/VLOOKUP($N458,Capa!$A:$AE,BD$5,0)),0,1/VLOOKUP($N458,Capa!$A:$AE,BD$5,0))))</f>
        <v/>
      </c>
      <c r="BE458" s="118" t="str">
        <f>IF(BE$6="","",IF(BE$3="Maior",IFERROR(IF(VLOOKUP($N458,Capa!$A:$AE,BE$5,0)="",0,VLOOKUP($N458,Capa!$A:$AE,BE$5,0)),0),IF(ISERROR(1/VLOOKUP($N458,Capa!$A:$AE,BE$5,0)),0,1/VLOOKUP($N458,Capa!$A:$AE,BE$5,0))))</f>
        <v/>
      </c>
      <c r="BF458" s="118" t="str">
        <f>IF(BF$6="","",IF(BF$3="Maior",IFERROR(IF(VLOOKUP($N458,Capa!$A:$AE,BF$5,0)="",0,VLOOKUP($N458,Capa!$A:$AE,BF$5,0)),0),IF(ISERROR(1/VLOOKUP($N458,Capa!$A:$AE,BF$5,0)),0,1/VLOOKUP($N458,Capa!$A:$AE,BF$5,0))))</f>
        <v/>
      </c>
      <c r="BG458" s="118" t="str">
        <f>IF(BG$6="","",IF(BG$3="Maior",IFERROR(IF(VLOOKUP($N458,Capa!$A:$AE,BG$5,0)="",0,VLOOKUP($N458,Capa!$A:$AE,BG$5,0)),0),IF(ISERROR(1/VLOOKUP($N458,Capa!$A:$AE,BG$5,0)),0,1/VLOOKUP($N458,Capa!$A:$AE,BG$5,0))))</f>
        <v/>
      </c>
      <c r="BH458" s="118" t="str">
        <f>IF(BH$6="","",IF(BH$3="Maior",IFERROR(IF(VLOOKUP($N458,Capa!$A:$AE,BH$5,0)="",0,VLOOKUP($N458,Capa!$A:$AE,BH$5,0)),0),IF(ISERROR(1/VLOOKUP($N458,Capa!$A:$AE,BH$5,0)),0,1/VLOOKUP($N458,Capa!$A:$AE,BH$5,0))))</f>
        <v/>
      </c>
      <c r="BI458" s="118" t="str">
        <f>IF(BI$6="","",IF(BI$3="Maior",IFERROR(IF(VLOOKUP($N458,Capa!$A:$AE,BI$5,0)="",0,VLOOKUP($N458,Capa!$A:$AE,BI$5,0)),0),IF(ISERROR(1/VLOOKUP($N458,Capa!$A:$AE,BI$5,0)),0,1/VLOOKUP($N458,Capa!$A:$AE,BI$5,0))))</f>
        <v/>
      </c>
      <c r="BJ458" s="118" t="str">
        <f>IF(BJ$6="","",IF(BJ$3="Maior",IFERROR(IF(VLOOKUP($N458,Capa!$A:$AE,BJ$5,0)="",0,VLOOKUP($N458,Capa!$A:$AE,BJ$5,0)),0),IF(ISERROR(1/VLOOKUP($N458,Capa!$A:$AE,BJ$5,0)),0,1/VLOOKUP($N458,Capa!$A:$AE,BJ$5,0))))</f>
        <v/>
      </c>
      <c r="BK458" s="118" t="str">
        <f>IF(BK$6="","",IF(BK$3="Maior",IFERROR(IF(VLOOKUP($N458,Capa!$A:$AE,BK$5,0)="",0,VLOOKUP($N458,Capa!$A:$AE,BK$5,0)),0),IF(ISERROR(1/VLOOKUP($N458,Capa!$A:$AE,BK$5,0)),0,1/VLOOKUP($N458,Capa!$A:$AE,BK$5,0))))</f>
        <v/>
      </c>
      <c r="BL458" s="118" t="str">
        <f>IF(BL$6="","",IF(BL$3="Maior",IFERROR(IF(VLOOKUP($N458,Capa!$A:$AE,BL$5,0)="",0,VLOOKUP($N458,Capa!$A:$AE,BL$5,0)),0),IF(ISERROR(1/VLOOKUP($N458,Capa!$A:$AE,BL$5,0)),0,1/VLOOKUP($N458,Capa!$A:$AE,BL$5,0))))</f>
        <v/>
      </c>
      <c r="BM458" s="118" t="str">
        <f>IF(BM$6="","",IF(BM$3="Maior",IFERROR(IF(VLOOKUP($N458,Capa!$A:$AE,BM$5,0)="",0,VLOOKUP($N458,Capa!$A:$AE,BM$5,0)),0),IF(ISERROR(1/VLOOKUP($N458,Capa!$A:$AE,BM$5,0)),0,1/VLOOKUP($N458,Capa!$A:$AE,BM$5,0))))</f>
        <v/>
      </c>
      <c r="BN458" s="118" t="str">
        <f>IF(BN$6="","",IF(BN$3="Maior",IFERROR(IF(VLOOKUP($N458,Capa!$A:$AE,BN$5,0)="",0,VLOOKUP($N458,Capa!$A:$AE,BN$5,0)),0),IF(ISERROR(1/VLOOKUP($N458,Capa!$A:$AE,BN$5,0)),0,1/VLOOKUP($N458,Capa!$A:$AE,BN$5,0))))</f>
        <v/>
      </c>
      <c r="BO458" s="92"/>
    </row>
    <row r="459">
      <c r="I459" s="73"/>
      <c r="J459" s="74"/>
      <c r="N459" s="10" t="s">
        <v>505</v>
      </c>
      <c r="O459" s="113">
        <f t="shared" si="8"/>
        <v>2022.0248</v>
      </c>
      <c r="P459" s="114">
        <f>VLOOKUP(N459,'Dados StatusInvest'!A:Z,26,0)</f>
        <v>11666.56</v>
      </c>
      <c r="Q459" s="115">
        <f t="shared" si="9"/>
        <v>248.0248</v>
      </c>
      <c r="R459" s="116">
        <f t="shared" ref="R459:AO459" si="462">IF(AQ459="","", RANK(AQ459,AQ$7:AQ$503,0))</f>
        <v>296</v>
      </c>
      <c r="S459" s="115">
        <f t="shared" si="462"/>
        <v>478</v>
      </c>
      <c r="T459" s="115" t="str">
        <f t="shared" si="462"/>
        <v/>
      </c>
      <c r="U459" s="115" t="str">
        <f t="shared" si="462"/>
        <v/>
      </c>
      <c r="V459" s="115" t="str">
        <f t="shared" si="462"/>
        <v/>
      </c>
      <c r="W459" s="115" t="str">
        <f t="shared" si="462"/>
        <v/>
      </c>
      <c r="X459" s="115" t="str">
        <f t="shared" si="462"/>
        <v/>
      </c>
      <c r="Y459" s="115" t="str">
        <f t="shared" si="462"/>
        <v/>
      </c>
      <c r="Z459" s="115" t="str">
        <f t="shared" si="462"/>
        <v/>
      </c>
      <c r="AA459" s="115" t="str">
        <f t="shared" si="462"/>
        <v/>
      </c>
      <c r="AB459" s="115" t="str">
        <f t="shared" si="462"/>
        <v/>
      </c>
      <c r="AC459" s="115" t="str">
        <f t="shared" si="462"/>
        <v/>
      </c>
      <c r="AD459" s="115" t="str">
        <f t="shared" si="462"/>
        <v/>
      </c>
      <c r="AE459" s="115" t="str">
        <f t="shared" si="462"/>
        <v/>
      </c>
      <c r="AF459" s="115" t="str">
        <f t="shared" si="462"/>
        <v/>
      </c>
      <c r="AG459" s="115" t="str">
        <f t="shared" si="462"/>
        <v/>
      </c>
      <c r="AH459" s="115" t="str">
        <f t="shared" si="462"/>
        <v/>
      </c>
      <c r="AI459" s="115" t="str">
        <f t="shared" si="462"/>
        <v/>
      </c>
      <c r="AJ459" s="115" t="str">
        <f t="shared" si="462"/>
        <v/>
      </c>
      <c r="AK459" s="115" t="str">
        <f t="shared" si="462"/>
        <v/>
      </c>
      <c r="AL459" s="115" t="str">
        <f t="shared" si="462"/>
        <v/>
      </c>
      <c r="AM459" s="115" t="str">
        <f t="shared" si="462"/>
        <v/>
      </c>
      <c r="AN459" s="115" t="str">
        <f t="shared" si="462"/>
        <v/>
      </c>
      <c r="AO459" s="115" t="str">
        <f t="shared" si="462"/>
        <v/>
      </c>
      <c r="AP459" s="117">
        <f>IF(AP$6="","",IF(AP$3="Maior",IFERROR(IF(VLOOKUP($N459,Capa!$A:$AE,AP$5,0)="",0,VLOOKUP($N459,Capa!$A:$AE,AP$5,0)),0),IF(ISERROR(1/VLOOKUP($N459,Capa!$A:$AE,AP$5,0)),0,1/VLOOKUP($N459,Capa!$A:$AE,AP$5,0))))</f>
        <v>0.08223481976</v>
      </c>
      <c r="AQ459" s="118">
        <f>IF(AQ$6="","",IF(AQ$3="Maior",IFERROR(IF(VLOOKUP($N459,Capa!$A:$AE,AQ$5,0)="",0,VLOOKUP($N459,Capa!$A:$AE,AQ$5,0)),0),IF(ISERROR(1/VLOOKUP($N459,Capa!$A:$AE,AQ$5,0)),0,1/VLOOKUP($N459,Capa!$A:$AE,AQ$5,0))))</f>
        <v>5.02</v>
      </c>
      <c r="AR459" s="118">
        <f>IF(AR$6="","",IF(AR$3="Maior",IFERROR(IF(VLOOKUP($N459,Capa!$A:$AE,AR$5,0)="",0,VLOOKUP($N459,Capa!$A:$AE,AR$5,0)),0),IF(ISERROR(1/VLOOKUP($N459,Capa!$A:$AE,AR$5,0)),0,1/VLOOKUP($N459,Capa!$A:$AE,AR$5,0))))</f>
        <v>-13.19</v>
      </c>
      <c r="AS459" s="118" t="str">
        <f>IF(AS$6="","",IF(AS$3="Maior",IFERROR(IF(VLOOKUP($N459,Capa!$A:$AE,AS$5,0)="",0,VLOOKUP($N459,Capa!$A:$AE,AS$5,0)),0),IF(ISERROR(1/VLOOKUP($N459,Capa!$A:$AE,AS$5,0)),0,1/VLOOKUP($N459,Capa!$A:$AE,AS$5,0))))</f>
        <v/>
      </c>
      <c r="AT459" s="118" t="str">
        <f>IF(AT$6="","",IF(AT$3="Maior",IFERROR(IF(VLOOKUP($N459,Capa!$A:$AE,AT$5,0)="",0,VLOOKUP($N459,Capa!$A:$AE,AT$5,0)),0),IF(ISERROR(1/VLOOKUP($N459,Capa!$A:$AE,AT$5,0)),0,1/VLOOKUP($N459,Capa!$A:$AE,AT$5,0))))</f>
        <v/>
      </c>
      <c r="AU459" s="118" t="str">
        <f>IF(AU$6="","",IF(AU$3="Maior",IFERROR(IF(VLOOKUP($N459,Capa!$A:$AE,AU$5,0)="",0,VLOOKUP($N459,Capa!$A:$AE,AU$5,0)),0),IF(ISERROR(1/VLOOKUP($N459,Capa!$A:$AE,AU$5,0)),0,1/VLOOKUP($N459,Capa!$A:$AE,AU$5,0))))</f>
        <v/>
      </c>
      <c r="AV459" s="118" t="str">
        <f>IF(AV$6="","",IF(AV$3="Maior",IFERROR(IF(VLOOKUP($N459,Capa!$A:$AE,AV$5,0)="",0,VLOOKUP($N459,Capa!$A:$AE,AV$5,0)),0),IF(ISERROR(1/VLOOKUP($N459,Capa!$A:$AE,AV$5,0)),0,1/VLOOKUP($N459,Capa!$A:$AE,AV$5,0))))</f>
        <v/>
      </c>
      <c r="AW459" s="118" t="str">
        <f>IF(AW$6="","",IF(AW$3="Maior",IFERROR(IF(VLOOKUP($N459,Capa!$A:$AE,AW$5,0)="",0,VLOOKUP($N459,Capa!$A:$AE,AW$5,0)),0),IF(ISERROR(1/VLOOKUP($N459,Capa!$A:$AE,AW$5,0)),0,1/VLOOKUP($N459,Capa!$A:$AE,AW$5,0))))</f>
        <v/>
      </c>
      <c r="AX459" s="118" t="str">
        <f>IF(AX$6="","",IF(AX$3="Maior",IFERROR(IF(VLOOKUP($N459,Capa!$A:$AE,AX$5,0)="",0,VLOOKUP($N459,Capa!$A:$AE,AX$5,0)),0),IF(ISERROR(1/VLOOKUP($N459,Capa!$A:$AE,AX$5,0)),0,1/VLOOKUP($N459,Capa!$A:$AE,AX$5,0))))</f>
        <v/>
      </c>
      <c r="AY459" s="118" t="str">
        <f>IF(AY$6="","",IF(AY$3="Maior",IFERROR(IF(VLOOKUP($N459,Capa!$A:$AE,AY$5,0)="",0,VLOOKUP($N459,Capa!$A:$AE,AY$5,0)),0),IF(ISERROR(1/VLOOKUP($N459,Capa!$A:$AE,AY$5,0)),0,1/VLOOKUP($N459,Capa!$A:$AE,AY$5,0))))</f>
        <v/>
      </c>
      <c r="AZ459" s="118" t="str">
        <f>IF(AZ$6="","",IF(AZ$3="Maior",IFERROR(IF(VLOOKUP($N459,Capa!$A:$AE,AZ$5,0)="",0,VLOOKUP($N459,Capa!$A:$AE,AZ$5,0)),0),IF(ISERROR(1/VLOOKUP($N459,Capa!$A:$AE,AZ$5,0)),0,1/VLOOKUP($N459,Capa!$A:$AE,AZ$5,0))))</f>
        <v/>
      </c>
      <c r="BA459" s="118" t="str">
        <f>IF(BA$6="","",IF(BA$3="Maior",IFERROR(IF(VLOOKUP($N459,Capa!$A:$AE,BA$5,0)="",0,VLOOKUP($N459,Capa!$A:$AE,BA$5,0)),0),IF(ISERROR(1/VLOOKUP($N459,Capa!$A:$AE,BA$5,0)),0,1/VLOOKUP($N459,Capa!$A:$AE,BA$5,0))))</f>
        <v/>
      </c>
      <c r="BB459" s="118" t="str">
        <f>IF(BB$6="","",IF(BB$3="Maior",IFERROR(IF(VLOOKUP($N459,Capa!$A:$AE,BB$5,0)="",0,VLOOKUP($N459,Capa!$A:$AE,BB$5,0)),0),IF(ISERROR(1/VLOOKUP($N459,Capa!$A:$AE,BB$5,0)),0,1/VLOOKUP($N459,Capa!$A:$AE,BB$5,0))))</f>
        <v/>
      </c>
      <c r="BC459" s="118" t="str">
        <f>IF(BC$6="","",IF(BC$3="Maior",IFERROR(IF(VLOOKUP($N459,Capa!$A:$AE,BC$5,0)="",0,VLOOKUP($N459,Capa!$A:$AE,BC$5,0)),0),IF(ISERROR(1/VLOOKUP($N459,Capa!$A:$AE,BC$5,0)),0,1/VLOOKUP($N459,Capa!$A:$AE,BC$5,0))))</f>
        <v/>
      </c>
      <c r="BD459" s="118" t="str">
        <f>IF(BD$6="","",IF(BD$3="Maior",IFERROR(IF(VLOOKUP($N459,Capa!$A:$AE,BD$5,0)="",0,VLOOKUP($N459,Capa!$A:$AE,BD$5,0)),0),IF(ISERROR(1/VLOOKUP($N459,Capa!$A:$AE,BD$5,0)),0,1/VLOOKUP($N459,Capa!$A:$AE,BD$5,0))))</f>
        <v/>
      </c>
      <c r="BE459" s="118" t="str">
        <f>IF(BE$6="","",IF(BE$3="Maior",IFERROR(IF(VLOOKUP($N459,Capa!$A:$AE,BE$5,0)="",0,VLOOKUP($N459,Capa!$A:$AE,BE$5,0)),0),IF(ISERROR(1/VLOOKUP($N459,Capa!$A:$AE,BE$5,0)),0,1/VLOOKUP($N459,Capa!$A:$AE,BE$5,0))))</f>
        <v/>
      </c>
      <c r="BF459" s="118" t="str">
        <f>IF(BF$6="","",IF(BF$3="Maior",IFERROR(IF(VLOOKUP($N459,Capa!$A:$AE,BF$5,0)="",0,VLOOKUP($N459,Capa!$A:$AE,BF$5,0)),0),IF(ISERROR(1/VLOOKUP($N459,Capa!$A:$AE,BF$5,0)),0,1/VLOOKUP($N459,Capa!$A:$AE,BF$5,0))))</f>
        <v/>
      </c>
      <c r="BG459" s="118" t="str">
        <f>IF(BG$6="","",IF(BG$3="Maior",IFERROR(IF(VLOOKUP($N459,Capa!$A:$AE,BG$5,0)="",0,VLOOKUP($N459,Capa!$A:$AE,BG$5,0)),0),IF(ISERROR(1/VLOOKUP($N459,Capa!$A:$AE,BG$5,0)),0,1/VLOOKUP($N459,Capa!$A:$AE,BG$5,0))))</f>
        <v/>
      </c>
      <c r="BH459" s="118" t="str">
        <f>IF(BH$6="","",IF(BH$3="Maior",IFERROR(IF(VLOOKUP($N459,Capa!$A:$AE,BH$5,0)="",0,VLOOKUP($N459,Capa!$A:$AE,BH$5,0)),0),IF(ISERROR(1/VLOOKUP($N459,Capa!$A:$AE,BH$5,0)),0,1/VLOOKUP($N459,Capa!$A:$AE,BH$5,0))))</f>
        <v/>
      </c>
      <c r="BI459" s="118" t="str">
        <f>IF(BI$6="","",IF(BI$3="Maior",IFERROR(IF(VLOOKUP($N459,Capa!$A:$AE,BI$5,0)="",0,VLOOKUP($N459,Capa!$A:$AE,BI$5,0)),0),IF(ISERROR(1/VLOOKUP($N459,Capa!$A:$AE,BI$5,0)),0,1/VLOOKUP($N459,Capa!$A:$AE,BI$5,0))))</f>
        <v/>
      </c>
      <c r="BJ459" s="118" t="str">
        <f>IF(BJ$6="","",IF(BJ$3="Maior",IFERROR(IF(VLOOKUP($N459,Capa!$A:$AE,BJ$5,0)="",0,VLOOKUP($N459,Capa!$A:$AE,BJ$5,0)),0),IF(ISERROR(1/VLOOKUP($N459,Capa!$A:$AE,BJ$5,0)),0,1/VLOOKUP($N459,Capa!$A:$AE,BJ$5,0))))</f>
        <v/>
      </c>
      <c r="BK459" s="118" t="str">
        <f>IF(BK$6="","",IF(BK$3="Maior",IFERROR(IF(VLOOKUP($N459,Capa!$A:$AE,BK$5,0)="",0,VLOOKUP($N459,Capa!$A:$AE,BK$5,0)),0),IF(ISERROR(1/VLOOKUP($N459,Capa!$A:$AE,BK$5,0)),0,1/VLOOKUP($N459,Capa!$A:$AE,BK$5,0))))</f>
        <v/>
      </c>
      <c r="BL459" s="118" t="str">
        <f>IF(BL$6="","",IF(BL$3="Maior",IFERROR(IF(VLOOKUP($N459,Capa!$A:$AE,BL$5,0)="",0,VLOOKUP($N459,Capa!$A:$AE,BL$5,0)),0),IF(ISERROR(1/VLOOKUP($N459,Capa!$A:$AE,BL$5,0)),0,1/VLOOKUP($N459,Capa!$A:$AE,BL$5,0))))</f>
        <v/>
      </c>
      <c r="BM459" s="118" t="str">
        <f>IF(BM$6="","",IF(BM$3="Maior",IFERROR(IF(VLOOKUP($N459,Capa!$A:$AE,BM$5,0)="",0,VLOOKUP($N459,Capa!$A:$AE,BM$5,0)),0),IF(ISERROR(1/VLOOKUP($N459,Capa!$A:$AE,BM$5,0)),0,1/VLOOKUP($N459,Capa!$A:$AE,BM$5,0))))</f>
        <v/>
      </c>
      <c r="BN459" s="118" t="str">
        <f>IF(BN$6="","",IF(BN$3="Maior",IFERROR(IF(VLOOKUP($N459,Capa!$A:$AE,BN$5,0)="",0,VLOOKUP($N459,Capa!$A:$AE,BN$5,0)),0),IF(ISERROR(1/VLOOKUP($N459,Capa!$A:$AE,BN$5,0)),0,1/VLOOKUP($N459,Capa!$A:$AE,BN$5,0))))</f>
        <v/>
      </c>
      <c r="BO459" s="92"/>
    </row>
    <row r="460">
      <c r="I460" s="73"/>
      <c r="J460" s="74"/>
      <c r="N460" s="10" t="s">
        <v>506</v>
      </c>
      <c r="O460" s="113">
        <f t="shared" si="8"/>
        <v>1547.0121</v>
      </c>
      <c r="P460" s="114">
        <f>VLOOKUP(N460,'Dados StatusInvest'!A:Z,26,0)</f>
        <v>10531.71</v>
      </c>
      <c r="Q460" s="115">
        <f t="shared" si="9"/>
        <v>121.0121</v>
      </c>
      <c r="R460" s="116">
        <f t="shared" ref="R460:AO460" si="463">IF(AQ460="","", RANK(AQ460,AQ$7:AQ$503,0))</f>
        <v>207</v>
      </c>
      <c r="S460" s="115">
        <f t="shared" si="463"/>
        <v>219</v>
      </c>
      <c r="T460" s="115" t="str">
        <f t="shared" si="463"/>
        <v/>
      </c>
      <c r="U460" s="115" t="str">
        <f t="shared" si="463"/>
        <v/>
      </c>
      <c r="V460" s="115" t="str">
        <f t="shared" si="463"/>
        <v/>
      </c>
      <c r="W460" s="115" t="str">
        <f t="shared" si="463"/>
        <v/>
      </c>
      <c r="X460" s="115" t="str">
        <f t="shared" si="463"/>
        <v/>
      </c>
      <c r="Y460" s="115" t="str">
        <f t="shared" si="463"/>
        <v/>
      </c>
      <c r="Z460" s="115" t="str">
        <f t="shared" si="463"/>
        <v/>
      </c>
      <c r="AA460" s="115" t="str">
        <f t="shared" si="463"/>
        <v/>
      </c>
      <c r="AB460" s="115" t="str">
        <f t="shared" si="463"/>
        <v/>
      </c>
      <c r="AC460" s="115" t="str">
        <f t="shared" si="463"/>
        <v/>
      </c>
      <c r="AD460" s="115" t="str">
        <f t="shared" si="463"/>
        <v/>
      </c>
      <c r="AE460" s="115" t="str">
        <f t="shared" si="463"/>
        <v/>
      </c>
      <c r="AF460" s="115" t="str">
        <f t="shared" si="463"/>
        <v/>
      </c>
      <c r="AG460" s="115" t="str">
        <f t="shared" si="463"/>
        <v/>
      </c>
      <c r="AH460" s="115" t="str">
        <f t="shared" si="463"/>
        <v/>
      </c>
      <c r="AI460" s="115" t="str">
        <f t="shared" si="463"/>
        <v/>
      </c>
      <c r="AJ460" s="115" t="str">
        <f t="shared" si="463"/>
        <v/>
      </c>
      <c r="AK460" s="115" t="str">
        <f t="shared" si="463"/>
        <v/>
      </c>
      <c r="AL460" s="115" t="str">
        <f t="shared" si="463"/>
        <v/>
      </c>
      <c r="AM460" s="115" t="str">
        <f t="shared" si="463"/>
        <v/>
      </c>
      <c r="AN460" s="115" t="str">
        <f t="shared" si="463"/>
        <v/>
      </c>
      <c r="AO460" s="115" t="str">
        <f t="shared" si="463"/>
        <v/>
      </c>
      <c r="AP460" s="117">
        <f>IF(AP$6="","",IF(AP$3="Maior",IFERROR(IF(VLOOKUP($N460,Capa!$A:$AE,AP$5,0)="",0,VLOOKUP($N460,Capa!$A:$AE,AP$5,0)),0),IF(ISERROR(1/VLOOKUP($N460,Capa!$A:$AE,AP$5,0)),0,1/VLOOKUP($N460,Capa!$A:$AE,AP$5,0))))</f>
        <v>0.1548917338</v>
      </c>
      <c r="AQ460" s="118">
        <f>IF(AQ$6="","",IF(AQ$3="Maior",IFERROR(IF(VLOOKUP($N460,Capa!$A:$AE,AQ$5,0)="",0,VLOOKUP($N460,Capa!$A:$AE,AQ$5,0)),0),IF(ISERROR(1/VLOOKUP($N460,Capa!$A:$AE,AQ$5,0)),0,1/VLOOKUP($N460,Capa!$A:$AE,AQ$5,0))))</f>
        <v>10.82</v>
      </c>
      <c r="AR460" s="118">
        <f>IF(AR$6="","",IF(AR$3="Maior",IFERROR(IF(VLOOKUP($N460,Capa!$A:$AE,AR$5,0)="",0,VLOOKUP($N460,Capa!$A:$AE,AR$5,0)),0),IF(ISERROR(1/VLOOKUP($N460,Capa!$A:$AE,AR$5,0)),0,1/VLOOKUP($N460,Capa!$A:$AE,AR$5,0))))</f>
        <v>0</v>
      </c>
      <c r="AS460" s="118" t="str">
        <f>IF(AS$6="","",IF(AS$3="Maior",IFERROR(IF(VLOOKUP($N460,Capa!$A:$AE,AS$5,0)="",0,VLOOKUP($N460,Capa!$A:$AE,AS$5,0)),0),IF(ISERROR(1/VLOOKUP($N460,Capa!$A:$AE,AS$5,0)),0,1/VLOOKUP($N460,Capa!$A:$AE,AS$5,0))))</f>
        <v/>
      </c>
      <c r="AT460" s="118" t="str">
        <f>IF(AT$6="","",IF(AT$3="Maior",IFERROR(IF(VLOOKUP($N460,Capa!$A:$AE,AT$5,0)="",0,VLOOKUP($N460,Capa!$A:$AE,AT$5,0)),0),IF(ISERROR(1/VLOOKUP($N460,Capa!$A:$AE,AT$5,0)),0,1/VLOOKUP($N460,Capa!$A:$AE,AT$5,0))))</f>
        <v/>
      </c>
      <c r="AU460" s="118" t="str">
        <f>IF(AU$6="","",IF(AU$3="Maior",IFERROR(IF(VLOOKUP($N460,Capa!$A:$AE,AU$5,0)="",0,VLOOKUP($N460,Capa!$A:$AE,AU$5,0)),0),IF(ISERROR(1/VLOOKUP($N460,Capa!$A:$AE,AU$5,0)),0,1/VLOOKUP($N460,Capa!$A:$AE,AU$5,0))))</f>
        <v/>
      </c>
      <c r="AV460" s="118" t="str">
        <f>IF(AV$6="","",IF(AV$3="Maior",IFERROR(IF(VLOOKUP($N460,Capa!$A:$AE,AV$5,0)="",0,VLOOKUP($N460,Capa!$A:$AE,AV$5,0)),0),IF(ISERROR(1/VLOOKUP($N460,Capa!$A:$AE,AV$5,0)),0,1/VLOOKUP($N460,Capa!$A:$AE,AV$5,0))))</f>
        <v/>
      </c>
      <c r="AW460" s="118" t="str">
        <f>IF(AW$6="","",IF(AW$3="Maior",IFERROR(IF(VLOOKUP($N460,Capa!$A:$AE,AW$5,0)="",0,VLOOKUP($N460,Capa!$A:$AE,AW$5,0)),0),IF(ISERROR(1/VLOOKUP($N460,Capa!$A:$AE,AW$5,0)),0,1/VLOOKUP($N460,Capa!$A:$AE,AW$5,0))))</f>
        <v/>
      </c>
      <c r="AX460" s="118" t="str">
        <f>IF(AX$6="","",IF(AX$3="Maior",IFERROR(IF(VLOOKUP($N460,Capa!$A:$AE,AX$5,0)="",0,VLOOKUP($N460,Capa!$A:$AE,AX$5,0)),0),IF(ISERROR(1/VLOOKUP($N460,Capa!$A:$AE,AX$5,0)),0,1/VLOOKUP($N460,Capa!$A:$AE,AX$5,0))))</f>
        <v/>
      </c>
      <c r="AY460" s="118" t="str">
        <f>IF(AY$6="","",IF(AY$3="Maior",IFERROR(IF(VLOOKUP($N460,Capa!$A:$AE,AY$5,0)="",0,VLOOKUP($N460,Capa!$A:$AE,AY$5,0)),0),IF(ISERROR(1/VLOOKUP($N460,Capa!$A:$AE,AY$5,0)),0,1/VLOOKUP($N460,Capa!$A:$AE,AY$5,0))))</f>
        <v/>
      </c>
      <c r="AZ460" s="118" t="str">
        <f>IF(AZ$6="","",IF(AZ$3="Maior",IFERROR(IF(VLOOKUP($N460,Capa!$A:$AE,AZ$5,0)="",0,VLOOKUP($N460,Capa!$A:$AE,AZ$5,0)),0),IF(ISERROR(1/VLOOKUP($N460,Capa!$A:$AE,AZ$5,0)),0,1/VLOOKUP($N460,Capa!$A:$AE,AZ$5,0))))</f>
        <v/>
      </c>
      <c r="BA460" s="118" t="str">
        <f>IF(BA$6="","",IF(BA$3="Maior",IFERROR(IF(VLOOKUP($N460,Capa!$A:$AE,BA$5,0)="",0,VLOOKUP($N460,Capa!$A:$AE,BA$5,0)),0),IF(ISERROR(1/VLOOKUP($N460,Capa!$A:$AE,BA$5,0)),0,1/VLOOKUP($N460,Capa!$A:$AE,BA$5,0))))</f>
        <v/>
      </c>
      <c r="BB460" s="118" t="str">
        <f>IF(BB$6="","",IF(BB$3="Maior",IFERROR(IF(VLOOKUP($N460,Capa!$A:$AE,BB$5,0)="",0,VLOOKUP($N460,Capa!$A:$AE,BB$5,0)),0),IF(ISERROR(1/VLOOKUP($N460,Capa!$A:$AE,BB$5,0)),0,1/VLOOKUP($N460,Capa!$A:$AE,BB$5,0))))</f>
        <v/>
      </c>
      <c r="BC460" s="118" t="str">
        <f>IF(BC$6="","",IF(BC$3="Maior",IFERROR(IF(VLOOKUP($N460,Capa!$A:$AE,BC$5,0)="",0,VLOOKUP($N460,Capa!$A:$AE,BC$5,0)),0),IF(ISERROR(1/VLOOKUP($N460,Capa!$A:$AE,BC$5,0)),0,1/VLOOKUP($N460,Capa!$A:$AE,BC$5,0))))</f>
        <v/>
      </c>
      <c r="BD460" s="118" t="str">
        <f>IF(BD$6="","",IF(BD$3="Maior",IFERROR(IF(VLOOKUP($N460,Capa!$A:$AE,BD$5,0)="",0,VLOOKUP($N460,Capa!$A:$AE,BD$5,0)),0),IF(ISERROR(1/VLOOKUP($N460,Capa!$A:$AE,BD$5,0)),0,1/VLOOKUP($N460,Capa!$A:$AE,BD$5,0))))</f>
        <v/>
      </c>
      <c r="BE460" s="118" t="str">
        <f>IF(BE$6="","",IF(BE$3="Maior",IFERROR(IF(VLOOKUP($N460,Capa!$A:$AE,BE$5,0)="",0,VLOOKUP($N460,Capa!$A:$AE,BE$5,0)),0),IF(ISERROR(1/VLOOKUP($N460,Capa!$A:$AE,BE$5,0)),0,1/VLOOKUP($N460,Capa!$A:$AE,BE$5,0))))</f>
        <v/>
      </c>
      <c r="BF460" s="118" t="str">
        <f>IF(BF$6="","",IF(BF$3="Maior",IFERROR(IF(VLOOKUP($N460,Capa!$A:$AE,BF$5,0)="",0,VLOOKUP($N460,Capa!$A:$AE,BF$5,0)),0),IF(ISERROR(1/VLOOKUP($N460,Capa!$A:$AE,BF$5,0)),0,1/VLOOKUP($N460,Capa!$A:$AE,BF$5,0))))</f>
        <v/>
      </c>
      <c r="BG460" s="118" t="str">
        <f>IF(BG$6="","",IF(BG$3="Maior",IFERROR(IF(VLOOKUP($N460,Capa!$A:$AE,BG$5,0)="",0,VLOOKUP($N460,Capa!$A:$AE,BG$5,0)),0),IF(ISERROR(1/VLOOKUP($N460,Capa!$A:$AE,BG$5,0)),0,1/VLOOKUP($N460,Capa!$A:$AE,BG$5,0))))</f>
        <v/>
      </c>
      <c r="BH460" s="118" t="str">
        <f>IF(BH$6="","",IF(BH$3="Maior",IFERROR(IF(VLOOKUP($N460,Capa!$A:$AE,BH$5,0)="",0,VLOOKUP($N460,Capa!$A:$AE,BH$5,0)),0),IF(ISERROR(1/VLOOKUP($N460,Capa!$A:$AE,BH$5,0)),0,1/VLOOKUP($N460,Capa!$A:$AE,BH$5,0))))</f>
        <v/>
      </c>
      <c r="BI460" s="118" t="str">
        <f>IF(BI$6="","",IF(BI$3="Maior",IFERROR(IF(VLOOKUP($N460,Capa!$A:$AE,BI$5,0)="",0,VLOOKUP($N460,Capa!$A:$AE,BI$5,0)),0),IF(ISERROR(1/VLOOKUP($N460,Capa!$A:$AE,BI$5,0)),0,1/VLOOKUP($N460,Capa!$A:$AE,BI$5,0))))</f>
        <v/>
      </c>
      <c r="BJ460" s="118" t="str">
        <f>IF(BJ$6="","",IF(BJ$3="Maior",IFERROR(IF(VLOOKUP($N460,Capa!$A:$AE,BJ$5,0)="",0,VLOOKUP($N460,Capa!$A:$AE,BJ$5,0)),0),IF(ISERROR(1/VLOOKUP($N460,Capa!$A:$AE,BJ$5,0)),0,1/VLOOKUP($N460,Capa!$A:$AE,BJ$5,0))))</f>
        <v/>
      </c>
      <c r="BK460" s="118" t="str">
        <f>IF(BK$6="","",IF(BK$3="Maior",IFERROR(IF(VLOOKUP($N460,Capa!$A:$AE,BK$5,0)="",0,VLOOKUP($N460,Capa!$A:$AE,BK$5,0)),0),IF(ISERROR(1/VLOOKUP($N460,Capa!$A:$AE,BK$5,0)),0,1/VLOOKUP($N460,Capa!$A:$AE,BK$5,0))))</f>
        <v/>
      </c>
      <c r="BL460" s="118" t="str">
        <f>IF(BL$6="","",IF(BL$3="Maior",IFERROR(IF(VLOOKUP($N460,Capa!$A:$AE,BL$5,0)="",0,VLOOKUP($N460,Capa!$A:$AE,BL$5,0)),0),IF(ISERROR(1/VLOOKUP($N460,Capa!$A:$AE,BL$5,0)),0,1/VLOOKUP($N460,Capa!$A:$AE,BL$5,0))))</f>
        <v/>
      </c>
      <c r="BM460" s="118" t="str">
        <f>IF(BM$6="","",IF(BM$3="Maior",IFERROR(IF(VLOOKUP($N460,Capa!$A:$AE,BM$5,0)="",0,VLOOKUP($N460,Capa!$A:$AE,BM$5,0)),0),IF(ISERROR(1/VLOOKUP($N460,Capa!$A:$AE,BM$5,0)),0,1/VLOOKUP($N460,Capa!$A:$AE,BM$5,0))))</f>
        <v/>
      </c>
      <c r="BN460" s="118" t="str">
        <f>IF(BN$6="","",IF(BN$3="Maior",IFERROR(IF(VLOOKUP($N460,Capa!$A:$AE,BN$5,0)="",0,VLOOKUP($N460,Capa!$A:$AE,BN$5,0)),0),IF(ISERROR(1/VLOOKUP($N460,Capa!$A:$AE,BN$5,0)),0,1/VLOOKUP($N460,Capa!$A:$AE,BN$5,0))))</f>
        <v/>
      </c>
      <c r="BO460" s="92"/>
    </row>
    <row r="461">
      <c r="I461" s="73"/>
      <c r="J461" s="74"/>
      <c r="N461" s="10" t="s">
        <v>507</v>
      </c>
      <c r="O461" s="113">
        <f t="shared" si="8"/>
        <v>1723.0008</v>
      </c>
      <c r="P461" s="114">
        <f>VLOOKUP(N461,'Dados StatusInvest'!A:Z,26,0)</f>
        <v>5175</v>
      </c>
      <c r="Q461" s="115">
        <f t="shared" si="9"/>
        <v>8.0008</v>
      </c>
      <c r="R461" s="116">
        <f t="shared" ref="R461:AO461" si="464">IF(AQ461="","", RANK(AQ461,AQ$7:AQ$503,0))</f>
        <v>496</v>
      </c>
      <c r="S461" s="115">
        <f t="shared" si="464"/>
        <v>219</v>
      </c>
      <c r="T461" s="115" t="str">
        <f t="shared" si="464"/>
        <v/>
      </c>
      <c r="U461" s="115" t="str">
        <f t="shared" si="464"/>
        <v/>
      </c>
      <c r="V461" s="115" t="str">
        <f t="shared" si="464"/>
        <v/>
      </c>
      <c r="W461" s="115" t="str">
        <f t="shared" si="464"/>
        <v/>
      </c>
      <c r="X461" s="115" t="str">
        <f t="shared" si="464"/>
        <v/>
      </c>
      <c r="Y461" s="115" t="str">
        <f t="shared" si="464"/>
        <v/>
      </c>
      <c r="Z461" s="115" t="str">
        <f t="shared" si="464"/>
        <v/>
      </c>
      <c r="AA461" s="115" t="str">
        <f t="shared" si="464"/>
        <v/>
      </c>
      <c r="AB461" s="115" t="str">
        <f t="shared" si="464"/>
        <v/>
      </c>
      <c r="AC461" s="115" t="str">
        <f t="shared" si="464"/>
        <v/>
      </c>
      <c r="AD461" s="115" t="str">
        <f t="shared" si="464"/>
        <v/>
      </c>
      <c r="AE461" s="115" t="str">
        <f t="shared" si="464"/>
        <v/>
      </c>
      <c r="AF461" s="115" t="str">
        <f t="shared" si="464"/>
        <v/>
      </c>
      <c r="AG461" s="115" t="str">
        <f t="shared" si="464"/>
        <v/>
      </c>
      <c r="AH461" s="115" t="str">
        <f t="shared" si="464"/>
        <v/>
      </c>
      <c r="AI461" s="115" t="str">
        <f t="shared" si="464"/>
        <v/>
      </c>
      <c r="AJ461" s="115" t="str">
        <f t="shared" si="464"/>
        <v/>
      </c>
      <c r="AK461" s="115" t="str">
        <f t="shared" si="464"/>
        <v/>
      </c>
      <c r="AL461" s="115" t="str">
        <f t="shared" si="464"/>
        <v/>
      </c>
      <c r="AM461" s="115" t="str">
        <f t="shared" si="464"/>
        <v/>
      </c>
      <c r="AN461" s="115" t="str">
        <f t="shared" si="464"/>
        <v/>
      </c>
      <c r="AO461" s="115" t="str">
        <f t="shared" si="464"/>
        <v/>
      </c>
      <c r="AP461" s="117">
        <f>IF(AP$6="","",IF(AP$3="Maior",IFERROR(IF(VLOOKUP($N461,Capa!$A:$AE,AP$5,0)="",0,VLOOKUP($N461,Capa!$A:$AE,AP$5,0)),0),IF(ISERROR(1/VLOOKUP($N461,Capa!$A:$AE,AP$5,0)),0,1/VLOOKUP($N461,Capa!$A:$AE,AP$5,0))))</f>
        <v>0.8849557522</v>
      </c>
      <c r="AQ461" s="118">
        <f>IF(AQ$6="","",IF(AQ$3="Maior",IFERROR(IF(VLOOKUP($N461,Capa!$A:$AE,AQ$5,0)="",0,VLOOKUP($N461,Capa!$A:$AE,AQ$5,0)),0),IF(ISERROR(1/VLOOKUP($N461,Capa!$A:$AE,AQ$5,0)),0,1/VLOOKUP($N461,Capa!$A:$AE,AQ$5,0))))</f>
        <v>-3731.67</v>
      </c>
      <c r="AR461" s="118">
        <f>IF(AR$6="","",IF(AR$3="Maior",IFERROR(IF(VLOOKUP($N461,Capa!$A:$AE,AR$5,0)="",0,VLOOKUP($N461,Capa!$A:$AE,AR$5,0)),0),IF(ISERROR(1/VLOOKUP($N461,Capa!$A:$AE,AR$5,0)),0,1/VLOOKUP($N461,Capa!$A:$AE,AR$5,0))))</f>
        <v>0</v>
      </c>
      <c r="AS461" s="118" t="str">
        <f>IF(AS$6="","",IF(AS$3="Maior",IFERROR(IF(VLOOKUP($N461,Capa!$A:$AE,AS$5,0)="",0,VLOOKUP($N461,Capa!$A:$AE,AS$5,0)),0),IF(ISERROR(1/VLOOKUP($N461,Capa!$A:$AE,AS$5,0)),0,1/VLOOKUP($N461,Capa!$A:$AE,AS$5,0))))</f>
        <v/>
      </c>
      <c r="AT461" s="118" t="str">
        <f>IF(AT$6="","",IF(AT$3="Maior",IFERROR(IF(VLOOKUP($N461,Capa!$A:$AE,AT$5,0)="",0,VLOOKUP($N461,Capa!$A:$AE,AT$5,0)),0),IF(ISERROR(1/VLOOKUP($N461,Capa!$A:$AE,AT$5,0)),0,1/VLOOKUP($N461,Capa!$A:$AE,AT$5,0))))</f>
        <v/>
      </c>
      <c r="AU461" s="118" t="str">
        <f>IF(AU$6="","",IF(AU$3="Maior",IFERROR(IF(VLOOKUP($N461,Capa!$A:$AE,AU$5,0)="",0,VLOOKUP($N461,Capa!$A:$AE,AU$5,0)),0),IF(ISERROR(1/VLOOKUP($N461,Capa!$A:$AE,AU$5,0)),0,1/VLOOKUP($N461,Capa!$A:$AE,AU$5,0))))</f>
        <v/>
      </c>
      <c r="AV461" s="118" t="str">
        <f>IF(AV$6="","",IF(AV$3="Maior",IFERROR(IF(VLOOKUP($N461,Capa!$A:$AE,AV$5,0)="",0,VLOOKUP($N461,Capa!$A:$AE,AV$5,0)),0),IF(ISERROR(1/VLOOKUP($N461,Capa!$A:$AE,AV$5,0)),0,1/VLOOKUP($N461,Capa!$A:$AE,AV$5,0))))</f>
        <v/>
      </c>
      <c r="AW461" s="118" t="str">
        <f>IF(AW$6="","",IF(AW$3="Maior",IFERROR(IF(VLOOKUP($N461,Capa!$A:$AE,AW$5,0)="",0,VLOOKUP($N461,Capa!$A:$AE,AW$5,0)),0),IF(ISERROR(1/VLOOKUP($N461,Capa!$A:$AE,AW$5,0)),0,1/VLOOKUP($N461,Capa!$A:$AE,AW$5,0))))</f>
        <v/>
      </c>
      <c r="AX461" s="118" t="str">
        <f>IF(AX$6="","",IF(AX$3="Maior",IFERROR(IF(VLOOKUP($N461,Capa!$A:$AE,AX$5,0)="",0,VLOOKUP($N461,Capa!$A:$AE,AX$5,0)),0),IF(ISERROR(1/VLOOKUP($N461,Capa!$A:$AE,AX$5,0)),0,1/VLOOKUP($N461,Capa!$A:$AE,AX$5,0))))</f>
        <v/>
      </c>
      <c r="AY461" s="118" t="str">
        <f>IF(AY$6="","",IF(AY$3="Maior",IFERROR(IF(VLOOKUP($N461,Capa!$A:$AE,AY$5,0)="",0,VLOOKUP($N461,Capa!$A:$AE,AY$5,0)),0),IF(ISERROR(1/VLOOKUP($N461,Capa!$A:$AE,AY$5,0)),0,1/VLOOKUP($N461,Capa!$A:$AE,AY$5,0))))</f>
        <v/>
      </c>
      <c r="AZ461" s="118" t="str">
        <f>IF(AZ$6="","",IF(AZ$3="Maior",IFERROR(IF(VLOOKUP($N461,Capa!$A:$AE,AZ$5,0)="",0,VLOOKUP($N461,Capa!$A:$AE,AZ$5,0)),0),IF(ISERROR(1/VLOOKUP($N461,Capa!$A:$AE,AZ$5,0)),0,1/VLOOKUP($N461,Capa!$A:$AE,AZ$5,0))))</f>
        <v/>
      </c>
      <c r="BA461" s="118" t="str">
        <f>IF(BA$6="","",IF(BA$3="Maior",IFERROR(IF(VLOOKUP($N461,Capa!$A:$AE,BA$5,0)="",0,VLOOKUP($N461,Capa!$A:$AE,BA$5,0)),0),IF(ISERROR(1/VLOOKUP($N461,Capa!$A:$AE,BA$5,0)),0,1/VLOOKUP($N461,Capa!$A:$AE,BA$5,0))))</f>
        <v/>
      </c>
      <c r="BB461" s="118" t="str">
        <f>IF(BB$6="","",IF(BB$3="Maior",IFERROR(IF(VLOOKUP($N461,Capa!$A:$AE,BB$5,0)="",0,VLOOKUP($N461,Capa!$A:$AE,BB$5,0)),0),IF(ISERROR(1/VLOOKUP($N461,Capa!$A:$AE,BB$5,0)),0,1/VLOOKUP($N461,Capa!$A:$AE,BB$5,0))))</f>
        <v/>
      </c>
      <c r="BC461" s="118" t="str">
        <f>IF(BC$6="","",IF(BC$3="Maior",IFERROR(IF(VLOOKUP($N461,Capa!$A:$AE,BC$5,0)="",0,VLOOKUP($N461,Capa!$A:$AE,BC$5,0)),0),IF(ISERROR(1/VLOOKUP($N461,Capa!$A:$AE,BC$5,0)),0,1/VLOOKUP($N461,Capa!$A:$AE,BC$5,0))))</f>
        <v/>
      </c>
      <c r="BD461" s="118" t="str">
        <f>IF(BD$6="","",IF(BD$3="Maior",IFERROR(IF(VLOOKUP($N461,Capa!$A:$AE,BD$5,0)="",0,VLOOKUP($N461,Capa!$A:$AE,BD$5,0)),0),IF(ISERROR(1/VLOOKUP($N461,Capa!$A:$AE,BD$5,0)),0,1/VLOOKUP($N461,Capa!$A:$AE,BD$5,0))))</f>
        <v/>
      </c>
      <c r="BE461" s="118" t="str">
        <f>IF(BE$6="","",IF(BE$3="Maior",IFERROR(IF(VLOOKUP($N461,Capa!$A:$AE,BE$5,0)="",0,VLOOKUP($N461,Capa!$A:$AE,BE$5,0)),0),IF(ISERROR(1/VLOOKUP($N461,Capa!$A:$AE,BE$5,0)),0,1/VLOOKUP($N461,Capa!$A:$AE,BE$5,0))))</f>
        <v/>
      </c>
      <c r="BF461" s="118" t="str">
        <f>IF(BF$6="","",IF(BF$3="Maior",IFERROR(IF(VLOOKUP($N461,Capa!$A:$AE,BF$5,0)="",0,VLOOKUP($N461,Capa!$A:$AE,BF$5,0)),0),IF(ISERROR(1/VLOOKUP($N461,Capa!$A:$AE,BF$5,0)),0,1/VLOOKUP($N461,Capa!$A:$AE,BF$5,0))))</f>
        <v/>
      </c>
      <c r="BG461" s="118" t="str">
        <f>IF(BG$6="","",IF(BG$3="Maior",IFERROR(IF(VLOOKUP($N461,Capa!$A:$AE,BG$5,0)="",0,VLOOKUP($N461,Capa!$A:$AE,BG$5,0)),0),IF(ISERROR(1/VLOOKUP($N461,Capa!$A:$AE,BG$5,0)),0,1/VLOOKUP($N461,Capa!$A:$AE,BG$5,0))))</f>
        <v/>
      </c>
      <c r="BH461" s="118" t="str">
        <f>IF(BH$6="","",IF(BH$3="Maior",IFERROR(IF(VLOOKUP($N461,Capa!$A:$AE,BH$5,0)="",0,VLOOKUP($N461,Capa!$A:$AE,BH$5,0)),0),IF(ISERROR(1/VLOOKUP($N461,Capa!$A:$AE,BH$5,0)),0,1/VLOOKUP($N461,Capa!$A:$AE,BH$5,0))))</f>
        <v/>
      </c>
      <c r="BI461" s="118" t="str">
        <f>IF(BI$6="","",IF(BI$3="Maior",IFERROR(IF(VLOOKUP($N461,Capa!$A:$AE,BI$5,0)="",0,VLOOKUP($N461,Capa!$A:$AE,BI$5,0)),0),IF(ISERROR(1/VLOOKUP($N461,Capa!$A:$AE,BI$5,0)),0,1/VLOOKUP($N461,Capa!$A:$AE,BI$5,0))))</f>
        <v/>
      </c>
      <c r="BJ461" s="118" t="str">
        <f>IF(BJ$6="","",IF(BJ$3="Maior",IFERROR(IF(VLOOKUP($N461,Capa!$A:$AE,BJ$5,0)="",0,VLOOKUP($N461,Capa!$A:$AE,BJ$5,0)),0),IF(ISERROR(1/VLOOKUP($N461,Capa!$A:$AE,BJ$5,0)),0,1/VLOOKUP($N461,Capa!$A:$AE,BJ$5,0))))</f>
        <v/>
      </c>
      <c r="BK461" s="118" t="str">
        <f>IF(BK$6="","",IF(BK$3="Maior",IFERROR(IF(VLOOKUP($N461,Capa!$A:$AE,BK$5,0)="",0,VLOOKUP($N461,Capa!$A:$AE,BK$5,0)),0),IF(ISERROR(1/VLOOKUP($N461,Capa!$A:$AE,BK$5,0)),0,1/VLOOKUP($N461,Capa!$A:$AE,BK$5,0))))</f>
        <v/>
      </c>
      <c r="BL461" s="118" t="str">
        <f>IF(BL$6="","",IF(BL$3="Maior",IFERROR(IF(VLOOKUP($N461,Capa!$A:$AE,BL$5,0)="",0,VLOOKUP($N461,Capa!$A:$AE,BL$5,0)),0),IF(ISERROR(1/VLOOKUP($N461,Capa!$A:$AE,BL$5,0)),0,1/VLOOKUP($N461,Capa!$A:$AE,BL$5,0))))</f>
        <v/>
      </c>
      <c r="BM461" s="118" t="str">
        <f>IF(BM$6="","",IF(BM$3="Maior",IFERROR(IF(VLOOKUP($N461,Capa!$A:$AE,BM$5,0)="",0,VLOOKUP($N461,Capa!$A:$AE,BM$5,0)),0),IF(ISERROR(1/VLOOKUP($N461,Capa!$A:$AE,BM$5,0)),0,1/VLOOKUP($N461,Capa!$A:$AE,BM$5,0))))</f>
        <v/>
      </c>
      <c r="BN461" s="118" t="str">
        <f>IF(BN$6="","",IF(BN$3="Maior",IFERROR(IF(VLOOKUP($N461,Capa!$A:$AE,BN$5,0)="",0,VLOOKUP($N461,Capa!$A:$AE,BN$5,0)),0),IF(ISERROR(1/VLOOKUP($N461,Capa!$A:$AE,BN$5,0)),0,1/VLOOKUP($N461,Capa!$A:$AE,BN$5,0))))</f>
        <v/>
      </c>
      <c r="BO461" s="92"/>
    </row>
    <row r="462">
      <c r="I462" s="73"/>
      <c r="J462" s="74"/>
      <c r="N462" s="10" t="s">
        <v>508</v>
      </c>
      <c r="O462" s="113">
        <f t="shared" si="8"/>
        <v>1429.0188</v>
      </c>
      <c r="P462" s="114">
        <f>VLOOKUP(N462,'Dados StatusInvest'!A:Z,26,0)</f>
        <v>6473.71</v>
      </c>
      <c r="Q462" s="115">
        <f t="shared" si="9"/>
        <v>188.0188</v>
      </c>
      <c r="R462" s="116">
        <f t="shared" ref="R462:AO462" si="465">IF(AQ462="","", RANK(AQ462,AQ$7:AQ$503,0))</f>
        <v>239</v>
      </c>
      <c r="S462" s="115">
        <f t="shared" si="465"/>
        <v>2</v>
      </c>
      <c r="T462" s="115" t="str">
        <f t="shared" si="465"/>
        <v/>
      </c>
      <c r="U462" s="115" t="str">
        <f t="shared" si="465"/>
        <v/>
      </c>
      <c r="V462" s="115" t="str">
        <f t="shared" si="465"/>
        <v/>
      </c>
      <c r="W462" s="115" t="str">
        <f t="shared" si="465"/>
        <v/>
      </c>
      <c r="X462" s="115" t="str">
        <f t="shared" si="465"/>
        <v/>
      </c>
      <c r="Y462" s="115" t="str">
        <f t="shared" si="465"/>
        <v/>
      </c>
      <c r="Z462" s="115" t="str">
        <f t="shared" si="465"/>
        <v/>
      </c>
      <c r="AA462" s="115" t="str">
        <f t="shared" si="465"/>
        <v/>
      </c>
      <c r="AB462" s="115" t="str">
        <f t="shared" si="465"/>
        <v/>
      </c>
      <c r="AC462" s="115" t="str">
        <f t="shared" si="465"/>
        <v/>
      </c>
      <c r="AD462" s="115" t="str">
        <f t="shared" si="465"/>
        <v/>
      </c>
      <c r="AE462" s="115" t="str">
        <f t="shared" si="465"/>
        <v/>
      </c>
      <c r="AF462" s="115" t="str">
        <f t="shared" si="465"/>
        <v/>
      </c>
      <c r="AG462" s="115" t="str">
        <f t="shared" si="465"/>
        <v/>
      </c>
      <c r="AH462" s="115" t="str">
        <f t="shared" si="465"/>
        <v/>
      </c>
      <c r="AI462" s="115" t="str">
        <f t="shared" si="465"/>
        <v/>
      </c>
      <c r="AJ462" s="115" t="str">
        <f t="shared" si="465"/>
        <v/>
      </c>
      <c r="AK462" s="115" t="str">
        <f t="shared" si="465"/>
        <v/>
      </c>
      <c r="AL462" s="115" t="str">
        <f t="shared" si="465"/>
        <v/>
      </c>
      <c r="AM462" s="115" t="str">
        <f t="shared" si="465"/>
        <v/>
      </c>
      <c r="AN462" s="115" t="str">
        <f t="shared" si="465"/>
        <v/>
      </c>
      <c r="AO462" s="115" t="str">
        <f t="shared" si="465"/>
        <v/>
      </c>
      <c r="AP462" s="117">
        <f>IF(AP$6="","",IF(AP$3="Maior",IFERROR(IF(VLOOKUP($N462,Capa!$A:$AE,AP$5,0)="",0,VLOOKUP($N462,Capa!$A:$AE,AP$5,0)),0),IF(ISERROR(1/VLOOKUP($N462,Capa!$A:$AE,AP$5,0)),0,1/VLOOKUP($N462,Capa!$A:$AE,AP$5,0))))</f>
        <v>0.1129927805</v>
      </c>
      <c r="AQ462" s="118">
        <f>IF(AQ$6="","",IF(AQ$3="Maior",IFERROR(IF(VLOOKUP($N462,Capa!$A:$AE,AQ$5,0)="",0,VLOOKUP($N462,Capa!$A:$AE,AQ$5,0)),0),IF(ISERROR(1/VLOOKUP($N462,Capa!$A:$AE,AQ$5,0)),0,1/VLOOKUP($N462,Capa!$A:$AE,AQ$5,0))))</f>
        <v>8.56</v>
      </c>
      <c r="AR462" s="118">
        <f>IF(AR$6="","",IF(AR$3="Maior",IFERROR(IF(VLOOKUP($N462,Capa!$A:$AE,AR$5,0)="",0,VLOOKUP($N462,Capa!$A:$AE,AR$5,0)),0),IF(ISERROR(1/VLOOKUP($N462,Capa!$A:$AE,AR$5,0)),0,1/VLOOKUP($N462,Capa!$A:$AE,AR$5,0))))</f>
        <v>196.51</v>
      </c>
      <c r="AS462" s="118" t="str">
        <f>IF(AS$6="","",IF(AS$3="Maior",IFERROR(IF(VLOOKUP($N462,Capa!$A:$AE,AS$5,0)="",0,VLOOKUP($N462,Capa!$A:$AE,AS$5,0)),0),IF(ISERROR(1/VLOOKUP($N462,Capa!$A:$AE,AS$5,0)),0,1/VLOOKUP($N462,Capa!$A:$AE,AS$5,0))))</f>
        <v/>
      </c>
      <c r="AT462" s="118" t="str">
        <f>IF(AT$6="","",IF(AT$3="Maior",IFERROR(IF(VLOOKUP($N462,Capa!$A:$AE,AT$5,0)="",0,VLOOKUP($N462,Capa!$A:$AE,AT$5,0)),0),IF(ISERROR(1/VLOOKUP($N462,Capa!$A:$AE,AT$5,0)),0,1/VLOOKUP($N462,Capa!$A:$AE,AT$5,0))))</f>
        <v/>
      </c>
      <c r="AU462" s="118" t="str">
        <f>IF(AU$6="","",IF(AU$3="Maior",IFERROR(IF(VLOOKUP($N462,Capa!$A:$AE,AU$5,0)="",0,VLOOKUP($N462,Capa!$A:$AE,AU$5,0)),0),IF(ISERROR(1/VLOOKUP($N462,Capa!$A:$AE,AU$5,0)),0,1/VLOOKUP($N462,Capa!$A:$AE,AU$5,0))))</f>
        <v/>
      </c>
      <c r="AV462" s="118" t="str">
        <f>IF(AV$6="","",IF(AV$3="Maior",IFERROR(IF(VLOOKUP($N462,Capa!$A:$AE,AV$5,0)="",0,VLOOKUP($N462,Capa!$A:$AE,AV$5,0)),0),IF(ISERROR(1/VLOOKUP($N462,Capa!$A:$AE,AV$5,0)),0,1/VLOOKUP($N462,Capa!$A:$AE,AV$5,0))))</f>
        <v/>
      </c>
      <c r="AW462" s="118" t="str">
        <f>IF(AW$6="","",IF(AW$3="Maior",IFERROR(IF(VLOOKUP($N462,Capa!$A:$AE,AW$5,0)="",0,VLOOKUP($N462,Capa!$A:$AE,AW$5,0)),0),IF(ISERROR(1/VLOOKUP($N462,Capa!$A:$AE,AW$5,0)),0,1/VLOOKUP($N462,Capa!$A:$AE,AW$5,0))))</f>
        <v/>
      </c>
      <c r="AX462" s="118" t="str">
        <f>IF(AX$6="","",IF(AX$3="Maior",IFERROR(IF(VLOOKUP($N462,Capa!$A:$AE,AX$5,0)="",0,VLOOKUP($N462,Capa!$A:$AE,AX$5,0)),0),IF(ISERROR(1/VLOOKUP($N462,Capa!$A:$AE,AX$5,0)),0,1/VLOOKUP($N462,Capa!$A:$AE,AX$5,0))))</f>
        <v/>
      </c>
      <c r="AY462" s="118" t="str">
        <f>IF(AY$6="","",IF(AY$3="Maior",IFERROR(IF(VLOOKUP($N462,Capa!$A:$AE,AY$5,0)="",0,VLOOKUP($N462,Capa!$A:$AE,AY$5,0)),0),IF(ISERROR(1/VLOOKUP($N462,Capa!$A:$AE,AY$5,0)),0,1/VLOOKUP($N462,Capa!$A:$AE,AY$5,0))))</f>
        <v/>
      </c>
      <c r="AZ462" s="118" t="str">
        <f>IF(AZ$6="","",IF(AZ$3="Maior",IFERROR(IF(VLOOKUP($N462,Capa!$A:$AE,AZ$5,0)="",0,VLOOKUP($N462,Capa!$A:$AE,AZ$5,0)),0),IF(ISERROR(1/VLOOKUP($N462,Capa!$A:$AE,AZ$5,0)),0,1/VLOOKUP($N462,Capa!$A:$AE,AZ$5,0))))</f>
        <v/>
      </c>
      <c r="BA462" s="118" t="str">
        <f>IF(BA$6="","",IF(BA$3="Maior",IFERROR(IF(VLOOKUP($N462,Capa!$A:$AE,BA$5,0)="",0,VLOOKUP($N462,Capa!$A:$AE,BA$5,0)),0),IF(ISERROR(1/VLOOKUP($N462,Capa!$A:$AE,BA$5,0)),0,1/VLOOKUP($N462,Capa!$A:$AE,BA$5,0))))</f>
        <v/>
      </c>
      <c r="BB462" s="118" t="str">
        <f>IF(BB$6="","",IF(BB$3="Maior",IFERROR(IF(VLOOKUP($N462,Capa!$A:$AE,BB$5,0)="",0,VLOOKUP($N462,Capa!$A:$AE,BB$5,0)),0),IF(ISERROR(1/VLOOKUP($N462,Capa!$A:$AE,BB$5,0)),0,1/VLOOKUP($N462,Capa!$A:$AE,BB$5,0))))</f>
        <v/>
      </c>
      <c r="BC462" s="118" t="str">
        <f>IF(BC$6="","",IF(BC$3="Maior",IFERROR(IF(VLOOKUP($N462,Capa!$A:$AE,BC$5,0)="",0,VLOOKUP($N462,Capa!$A:$AE,BC$5,0)),0),IF(ISERROR(1/VLOOKUP($N462,Capa!$A:$AE,BC$5,0)),0,1/VLOOKUP($N462,Capa!$A:$AE,BC$5,0))))</f>
        <v/>
      </c>
      <c r="BD462" s="118" t="str">
        <f>IF(BD$6="","",IF(BD$3="Maior",IFERROR(IF(VLOOKUP($N462,Capa!$A:$AE,BD$5,0)="",0,VLOOKUP($N462,Capa!$A:$AE,BD$5,0)),0),IF(ISERROR(1/VLOOKUP($N462,Capa!$A:$AE,BD$5,0)),0,1/VLOOKUP($N462,Capa!$A:$AE,BD$5,0))))</f>
        <v/>
      </c>
      <c r="BE462" s="118" t="str">
        <f>IF(BE$6="","",IF(BE$3="Maior",IFERROR(IF(VLOOKUP($N462,Capa!$A:$AE,BE$5,0)="",0,VLOOKUP($N462,Capa!$A:$AE,BE$5,0)),0),IF(ISERROR(1/VLOOKUP($N462,Capa!$A:$AE,BE$5,0)),0,1/VLOOKUP($N462,Capa!$A:$AE,BE$5,0))))</f>
        <v/>
      </c>
      <c r="BF462" s="118" t="str">
        <f>IF(BF$6="","",IF(BF$3="Maior",IFERROR(IF(VLOOKUP($N462,Capa!$A:$AE,BF$5,0)="",0,VLOOKUP($N462,Capa!$A:$AE,BF$5,0)),0),IF(ISERROR(1/VLOOKUP($N462,Capa!$A:$AE,BF$5,0)),0,1/VLOOKUP($N462,Capa!$A:$AE,BF$5,0))))</f>
        <v/>
      </c>
      <c r="BG462" s="118" t="str">
        <f>IF(BG$6="","",IF(BG$3="Maior",IFERROR(IF(VLOOKUP($N462,Capa!$A:$AE,BG$5,0)="",0,VLOOKUP($N462,Capa!$A:$AE,BG$5,0)),0),IF(ISERROR(1/VLOOKUP($N462,Capa!$A:$AE,BG$5,0)),0,1/VLOOKUP($N462,Capa!$A:$AE,BG$5,0))))</f>
        <v/>
      </c>
      <c r="BH462" s="118" t="str">
        <f>IF(BH$6="","",IF(BH$3="Maior",IFERROR(IF(VLOOKUP($N462,Capa!$A:$AE,BH$5,0)="",0,VLOOKUP($N462,Capa!$A:$AE,BH$5,0)),0),IF(ISERROR(1/VLOOKUP($N462,Capa!$A:$AE,BH$5,0)),0,1/VLOOKUP($N462,Capa!$A:$AE,BH$5,0))))</f>
        <v/>
      </c>
      <c r="BI462" s="118" t="str">
        <f>IF(BI$6="","",IF(BI$3="Maior",IFERROR(IF(VLOOKUP($N462,Capa!$A:$AE,BI$5,0)="",0,VLOOKUP($N462,Capa!$A:$AE,BI$5,0)),0),IF(ISERROR(1/VLOOKUP($N462,Capa!$A:$AE,BI$5,0)),0,1/VLOOKUP($N462,Capa!$A:$AE,BI$5,0))))</f>
        <v/>
      </c>
      <c r="BJ462" s="118" t="str">
        <f>IF(BJ$6="","",IF(BJ$3="Maior",IFERROR(IF(VLOOKUP($N462,Capa!$A:$AE,BJ$5,0)="",0,VLOOKUP($N462,Capa!$A:$AE,BJ$5,0)),0),IF(ISERROR(1/VLOOKUP($N462,Capa!$A:$AE,BJ$5,0)),0,1/VLOOKUP($N462,Capa!$A:$AE,BJ$5,0))))</f>
        <v/>
      </c>
      <c r="BK462" s="118" t="str">
        <f>IF(BK$6="","",IF(BK$3="Maior",IFERROR(IF(VLOOKUP($N462,Capa!$A:$AE,BK$5,0)="",0,VLOOKUP($N462,Capa!$A:$AE,BK$5,0)),0),IF(ISERROR(1/VLOOKUP($N462,Capa!$A:$AE,BK$5,0)),0,1/VLOOKUP($N462,Capa!$A:$AE,BK$5,0))))</f>
        <v/>
      </c>
      <c r="BL462" s="118" t="str">
        <f>IF(BL$6="","",IF(BL$3="Maior",IFERROR(IF(VLOOKUP($N462,Capa!$A:$AE,BL$5,0)="",0,VLOOKUP($N462,Capa!$A:$AE,BL$5,0)),0),IF(ISERROR(1/VLOOKUP($N462,Capa!$A:$AE,BL$5,0)),0,1/VLOOKUP($N462,Capa!$A:$AE,BL$5,0))))</f>
        <v/>
      </c>
      <c r="BM462" s="118" t="str">
        <f>IF(BM$6="","",IF(BM$3="Maior",IFERROR(IF(VLOOKUP($N462,Capa!$A:$AE,BM$5,0)="",0,VLOOKUP($N462,Capa!$A:$AE,BM$5,0)),0),IF(ISERROR(1/VLOOKUP($N462,Capa!$A:$AE,BM$5,0)),0,1/VLOOKUP($N462,Capa!$A:$AE,BM$5,0))))</f>
        <v/>
      </c>
      <c r="BN462" s="118" t="str">
        <f>IF(BN$6="","",IF(BN$3="Maior",IFERROR(IF(VLOOKUP($N462,Capa!$A:$AE,BN$5,0)="",0,VLOOKUP($N462,Capa!$A:$AE,BN$5,0)),0),IF(ISERROR(1/VLOOKUP($N462,Capa!$A:$AE,BN$5,0)),0,1/VLOOKUP($N462,Capa!$A:$AE,BN$5,0))))</f>
        <v/>
      </c>
      <c r="BO462" s="92"/>
    </row>
    <row r="463">
      <c r="I463" s="73"/>
      <c r="J463" s="74"/>
      <c r="N463" s="10" t="s">
        <v>509</v>
      </c>
      <c r="O463" s="113">
        <f t="shared" si="8"/>
        <v>2138.0451</v>
      </c>
      <c r="P463" s="114">
        <f>VLOOKUP(N463,'Dados StatusInvest'!A:Z,26,0)</f>
        <v>15978</v>
      </c>
      <c r="Q463" s="115">
        <f t="shared" si="9"/>
        <v>451.0451</v>
      </c>
      <c r="R463" s="116">
        <f t="shared" ref="R463:AO463" si="466">IF(AQ463="","", RANK(AQ463,AQ$7:AQ$503,0))</f>
        <v>468</v>
      </c>
      <c r="S463" s="115">
        <f t="shared" si="466"/>
        <v>219</v>
      </c>
      <c r="T463" s="115" t="str">
        <f t="shared" si="466"/>
        <v/>
      </c>
      <c r="U463" s="115" t="str">
        <f t="shared" si="466"/>
        <v/>
      </c>
      <c r="V463" s="115" t="str">
        <f t="shared" si="466"/>
        <v/>
      </c>
      <c r="W463" s="115" t="str">
        <f t="shared" si="466"/>
        <v/>
      </c>
      <c r="X463" s="115" t="str">
        <f t="shared" si="466"/>
        <v/>
      </c>
      <c r="Y463" s="115" t="str">
        <f t="shared" si="466"/>
        <v/>
      </c>
      <c r="Z463" s="115" t="str">
        <f t="shared" si="466"/>
        <v/>
      </c>
      <c r="AA463" s="115" t="str">
        <f t="shared" si="466"/>
        <v/>
      </c>
      <c r="AB463" s="115" t="str">
        <f t="shared" si="466"/>
        <v/>
      </c>
      <c r="AC463" s="115" t="str">
        <f t="shared" si="466"/>
        <v/>
      </c>
      <c r="AD463" s="115" t="str">
        <f t="shared" si="466"/>
        <v/>
      </c>
      <c r="AE463" s="115" t="str">
        <f t="shared" si="466"/>
        <v/>
      </c>
      <c r="AF463" s="115" t="str">
        <f t="shared" si="466"/>
        <v/>
      </c>
      <c r="AG463" s="115" t="str">
        <f t="shared" si="466"/>
        <v/>
      </c>
      <c r="AH463" s="115" t="str">
        <f t="shared" si="466"/>
        <v/>
      </c>
      <c r="AI463" s="115" t="str">
        <f t="shared" si="466"/>
        <v/>
      </c>
      <c r="AJ463" s="115" t="str">
        <f t="shared" si="466"/>
        <v/>
      </c>
      <c r="AK463" s="115" t="str">
        <f t="shared" si="466"/>
        <v/>
      </c>
      <c r="AL463" s="115" t="str">
        <f t="shared" si="466"/>
        <v/>
      </c>
      <c r="AM463" s="115" t="str">
        <f t="shared" si="466"/>
        <v/>
      </c>
      <c r="AN463" s="115" t="str">
        <f t="shared" si="466"/>
        <v/>
      </c>
      <c r="AO463" s="115" t="str">
        <f t="shared" si="466"/>
        <v/>
      </c>
      <c r="AP463" s="117">
        <f>IF(AP$6="","",IF(AP$3="Maior",IFERROR(IF(VLOOKUP($N463,Capa!$A:$AE,AP$5,0)="",0,VLOOKUP($N463,Capa!$A:$AE,AP$5,0)),0),IF(ISERROR(1/VLOOKUP($N463,Capa!$A:$AE,AP$5,0)),0,1/VLOOKUP($N463,Capa!$A:$AE,AP$5,0))))</f>
        <v>-0.1209189843</v>
      </c>
      <c r="AQ463" s="118">
        <f>IF(AQ$6="","",IF(AQ$3="Maior",IFERROR(IF(VLOOKUP($N463,Capa!$A:$AE,AQ$5,0)="",0,VLOOKUP($N463,Capa!$A:$AE,AQ$5,0)),0),IF(ISERROR(1/VLOOKUP($N463,Capa!$A:$AE,AQ$5,0)),0,1/VLOOKUP($N463,Capa!$A:$AE,AQ$5,0))))</f>
        <v>-13.38</v>
      </c>
      <c r="AR463" s="118">
        <f>IF(AR$6="","",IF(AR$3="Maior",IFERROR(IF(VLOOKUP($N463,Capa!$A:$AE,AR$5,0)="",0,VLOOKUP($N463,Capa!$A:$AE,AR$5,0)),0),IF(ISERROR(1/VLOOKUP($N463,Capa!$A:$AE,AR$5,0)),0,1/VLOOKUP($N463,Capa!$A:$AE,AR$5,0))))</f>
        <v>0</v>
      </c>
      <c r="AS463" s="118" t="str">
        <f>IF(AS$6="","",IF(AS$3="Maior",IFERROR(IF(VLOOKUP($N463,Capa!$A:$AE,AS$5,0)="",0,VLOOKUP($N463,Capa!$A:$AE,AS$5,0)),0),IF(ISERROR(1/VLOOKUP($N463,Capa!$A:$AE,AS$5,0)),0,1/VLOOKUP($N463,Capa!$A:$AE,AS$5,0))))</f>
        <v/>
      </c>
      <c r="AT463" s="118" t="str">
        <f>IF(AT$6="","",IF(AT$3="Maior",IFERROR(IF(VLOOKUP($N463,Capa!$A:$AE,AT$5,0)="",0,VLOOKUP($N463,Capa!$A:$AE,AT$5,0)),0),IF(ISERROR(1/VLOOKUP($N463,Capa!$A:$AE,AT$5,0)),0,1/VLOOKUP($N463,Capa!$A:$AE,AT$5,0))))</f>
        <v/>
      </c>
      <c r="AU463" s="118" t="str">
        <f>IF(AU$6="","",IF(AU$3="Maior",IFERROR(IF(VLOOKUP($N463,Capa!$A:$AE,AU$5,0)="",0,VLOOKUP($N463,Capa!$A:$AE,AU$5,0)),0),IF(ISERROR(1/VLOOKUP($N463,Capa!$A:$AE,AU$5,0)),0,1/VLOOKUP($N463,Capa!$A:$AE,AU$5,0))))</f>
        <v/>
      </c>
      <c r="AV463" s="118" t="str">
        <f>IF(AV$6="","",IF(AV$3="Maior",IFERROR(IF(VLOOKUP($N463,Capa!$A:$AE,AV$5,0)="",0,VLOOKUP($N463,Capa!$A:$AE,AV$5,0)),0),IF(ISERROR(1/VLOOKUP($N463,Capa!$A:$AE,AV$5,0)),0,1/VLOOKUP($N463,Capa!$A:$AE,AV$5,0))))</f>
        <v/>
      </c>
      <c r="AW463" s="118" t="str">
        <f>IF(AW$6="","",IF(AW$3="Maior",IFERROR(IF(VLOOKUP($N463,Capa!$A:$AE,AW$5,0)="",0,VLOOKUP($N463,Capa!$A:$AE,AW$5,0)),0),IF(ISERROR(1/VLOOKUP($N463,Capa!$A:$AE,AW$5,0)),0,1/VLOOKUP($N463,Capa!$A:$AE,AW$5,0))))</f>
        <v/>
      </c>
      <c r="AX463" s="118" t="str">
        <f>IF(AX$6="","",IF(AX$3="Maior",IFERROR(IF(VLOOKUP($N463,Capa!$A:$AE,AX$5,0)="",0,VLOOKUP($N463,Capa!$A:$AE,AX$5,0)),0),IF(ISERROR(1/VLOOKUP($N463,Capa!$A:$AE,AX$5,0)),0,1/VLOOKUP($N463,Capa!$A:$AE,AX$5,0))))</f>
        <v/>
      </c>
      <c r="AY463" s="118" t="str">
        <f>IF(AY$6="","",IF(AY$3="Maior",IFERROR(IF(VLOOKUP($N463,Capa!$A:$AE,AY$5,0)="",0,VLOOKUP($N463,Capa!$A:$AE,AY$5,0)),0),IF(ISERROR(1/VLOOKUP($N463,Capa!$A:$AE,AY$5,0)),0,1/VLOOKUP($N463,Capa!$A:$AE,AY$5,0))))</f>
        <v/>
      </c>
      <c r="AZ463" s="118" t="str">
        <f>IF(AZ$6="","",IF(AZ$3="Maior",IFERROR(IF(VLOOKUP($N463,Capa!$A:$AE,AZ$5,0)="",0,VLOOKUP($N463,Capa!$A:$AE,AZ$5,0)),0),IF(ISERROR(1/VLOOKUP($N463,Capa!$A:$AE,AZ$5,0)),0,1/VLOOKUP($N463,Capa!$A:$AE,AZ$5,0))))</f>
        <v/>
      </c>
      <c r="BA463" s="118" t="str">
        <f>IF(BA$6="","",IF(BA$3="Maior",IFERROR(IF(VLOOKUP($N463,Capa!$A:$AE,BA$5,0)="",0,VLOOKUP($N463,Capa!$A:$AE,BA$5,0)),0),IF(ISERROR(1/VLOOKUP($N463,Capa!$A:$AE,BA$5,0)),0,1/VLOOKUP($N463,Capa!$A:$AE,BA$5,0))))</f>
        <v/>
      </c>
      <c r="BB463" s="118" t="str">
        <f>IF(BB$6="","",IF(BB$3="Maior",IFERROR(IF(VLOOKUP($N463,Capa!$A:$AE,BB$5,0)="",0,VLOOKUP($N463,Capa!$A:$AE,BB$5,0)),0),IF(ISERROR(1/VLOOKUP($N463,Capa!$A:$AE,BB$5,0)),0,1/VLOOKUP($N463,Capa!$A:$AE,BB$5,0))))</f>
        <v/>
      </c>
      <c r="BC463" s="118" t="str">
        <f>IF(BC$6="","",IF(BC$3="Maior",IFERROR(IF(VLOOKUP($N463,Capa!$A:$AE,BC$5,0)="",0,VLOOKUP($N463,Capa!$A:$AE,BC$5,0)),0),IF(ISERROR(1/VLOOKUP($N463,Capa!$A:$AE,BC$5,0)),0,1/VLOOKUP($N463,Capa!$A:$AE,BC$5,0))))</f>
        <v/>
      </c>
      <c r="BD463" s="118" t="str">
        <f>IF(BD$6="","",IF(BD$3="Maior",IFERROR(IF(VLOOKUP($N463,Capa!$A:$AE,BD$5,0)="",0,VLOOKUP($N463,Capa!$A:$AE,BD$5,0)),0),IF(ISERROR(1/VLOOKUP($N463,Capa!$A:$AE,BD$5,0)),0,1/VLOOKUP($N463,Capa!$A:$AE,BD$5,0))))</f>
        <v/>
      </c>
      <c r="BE463" s="118" t="str">
        <f>IF(BE$6="","",IF(BE$3="Maior",IFERROR(IF(VLOOKUP($N463,Capa!$A:$AE,BE$5,0)="",0,VLOOKUP($N463,Capa!$A:$AE,BE$5,0)),0),IF(ISERROR(1/VLOOKUP($N463,Capa!$A:$AE,BE$5,0)),0,1/VLOOKUP($N463,Capa!$A:$AE,BE$5,0))))</f>
        <v/>
      </c>
      <c r="BF463" s="118" t="str">
        <f>IF(BF$6="","",IF(BF$3="Maior",IFERROR(IF(VLOOKUP($N463,Capa!$A:$AE,BF$5,0)="",0,VLOOKUP($N463,Capa!$A:$AE,BF$5,0)),0),IF(ISERROR(1/VLOOKUP($N463,Capa!$A:$AE,BF$5,0)),0,1/VLOOKUP($N463,Capa!$A:$AE,BF$5,0))))</f>
        <v/>
      </c>
      <c r="BG463" s="118" t="str">
        <f>IF(BG$6="","",IF(BG$3="Maior",IFERROR(IF(VLOOKUP($N463,Capa!$A:$AE,BG$5,0)="",0,VLOOKUP($N463,Capa!$A:$AE,BG$5,0)),0),IF(ISERROR(1/VLOOKUP($N463,Capa!$A:$AE,BG$5,0)),0,1/VLOOKUP($N463,Capa!$A:$AE,BG$5,0))))</f>
        <v/>
      </c>
      <c r="BH463" s="118" t="str">
        <f>IF(BH$6="","",IF(BH$3="Maior",IFERROR(IF(VLOOKUP($N463,Capa!$A:$AE,BH$5,0)="",0,VLOOKUP($N463,Capa!$A:$AE,BH$5,0)),0),IF(ISERROR(1/VLOOKUP($N463,Capa!$A:$AE,BH$5,0)),0,1/VLOOKUP($N463,Capa!$A:$AE,BH$5,0))))</f>
        <v/>
      </c>
      <c r="BI463" s="118" t="str">
        <f>IF(BI$6="","",IF(BI$3="Maior",IFERROR(IF(VLOOKUP($N463,Capa!$A:$AE,BI$5,0)="",0,VLOOKUP($N463,Capa!$A:$AE,BI$5,0)),0),IF(ISERROR(1/VLOOKUP($N463,Capa!$A:$AE,BI$5,0)),0,1/VLOOKUP($N463,Capa!$A:$AE,BI$5,0))))</f>
        <v/>
      </c>
      <c r="BJ463" s="118" t="str">
        <f>IF(BJ$6="","",IF(BJ$3="Maior",IFERROR(IF(VLOOKUP($N463,Capa!$A:$AE,BJ$5,0)="",0,VLOOKUP($N463,Capa!$A:$AE,BJ$5,0)),0),IF(ISERROR(1/VLOOKUP($N463,Capa!$A:$AE,BJ$5,0)),0,1/VLOOKUP($N463,Capa!$A:$AE,BJ$5,0))))</f>
        <v/>
      </c>
      <c r="BK463" s="118" t="str">
        <f>IF(BK$6="","",IF(BK$3="Maior",IFERROR(IF(VLOOKUP($N463,Capa!$A:$AE,BK$5,0)="",0,VLOOKUP($N463,Capa!$A:$AE,BK$5,0)),0),IF(ISERROR(1/VLOOKUP($N463,Capa!$A:$AE,BK$5,0)),0,1/VLOOKUP($N463,Capa!$A:$AE,BK$5,0))))</f>
        <v/>
      </c>
      <c r="BL463" s="118" t="str">
        <f>IF(BL$6="","",IF(BL$3="Maior",IFERROR(IF(VLOOKUP($N463,Capa!$A:$AE,BL$5,0)="",0,VLOOKUP($N463,Capa!$A:$AE,BL$5,0)),0),IF(ISERROR(1/VLOOKUP($N463,Capa!$A:$AE,BL$5,0)),0,1/VLOOKUP($N463,Capa!$A:$AE,BL$5,0))))</f>
        <v/>
      </c>
      <c r="BM463" s="118" t="str">
        <f>IF(BM$6="","",IF(BM$3="Maior",IFERROR(IF(VLOOKUP($N463,Capa!$A:$AE,BM$5,0)="",0,VLOOKUP($N463,Capa!$A:$AE,BM$5,0)),0),IF(ISERROR(1/VLOOKUP($N463,Capa!$A:$AE,BM$5,0)),0,1/VLOOKUP($N463,Capa!$A:$AE,BM$5,0))))</f>
        <v/>
      </c>
      <c r="BN463" s="118" t="str">
        <f>IF(BN$6="","",IF(BN$3="Maior",IFERROR(IF(VLOOKUP($N463,Capa!$A:$AE,BN$5,0)="",0,VLOOKUP($N463,Capa!$A:$AE,BN$5,0)),0),IF(ISERROR(1/VLOOKUP($N463,Capa!$A:$AE,BN$5,0)),0,1/VLOOKUP($N463,Capa!$A:$AE,BN$5,0))))</f>
        <v/>
      </c>
      <c r="BO463" s="92"/>
    </row>
    <row r="464">
      <c r="I464" s="73"/>
      <c r="J464" s="74"/>
      <c r="N464" s="10" t="s">
        <v>510</v>
      </c>
      <c r="O464" s="113">
        <f t="shared" si="8"/>
        <v>1722.0238</v>
      </c>
      <c r="P464" s="114">
        <f>VLOOKUP(N464,'Dados StatusInvest'!A:Z,26,0)</f>
        <v>6590</v>
      </c>
      <c r="Q464" s="115">
        <f t="shared" si="9"/>
        <v>238.0238</v>
      </c>
      <c r="R464" s="116">
        <f t="shared" ref="R464:AO464" si="467">IF(AQ464="","", RANK(AQ464,AQ$7:AQ$503,0))</f>
        <v>287</v>
      </c>
      <c r="S464" s="115">
        <f t="shared" si="467"/>
        <v>197</v>
      </c>
      <c r="T464" s="115" t="str">
        <f t="shared" si="467"/>
        <v/>
      </c>
      <c r="U464" s="115" t="str">
        <f t="shared" si="467"/>
        <v/>
      </c>
      <c r="V464" s="115" t="str">
        <f t="shared" si="467"/>
        <v/>
      </c>
      <c r="W464" s="115" t="str">
        <f t="shared" si="467"/>
        <v/>
      </c>
      <c r="X464" s="115" t="str">
        <f t="shared" si="467"/>
        <v/>
      </c>
      <c r="Y464" s="115" t="str">
        <f t="shared" si="467"/>
        <v/>
      </c>
      <c r="Z464" s="115" t="str">
        <f t="shared" si="467"/>
        <v/>
      </c>
      <c r="AA464" s="115" t="str">
        <f t="shared" si="467"/>
        <v/>
      </c>
      <c r="AB464" s="115" t="str">
        <f t="shared" si="467"/>
        <v/>
      </c>
      <c r="AC464" s="115" t="str">
        <f t="shared" si="467"/>
        <v/>
      </c>
      <c r="AD464" s="115" t="str">
        <f t="shared" si="467"/>
        <v/>
      </c>
      <c r="AE464" s="115" t="str">
        <f t="shared" si="467"/>
        <v/>
      </c>
      <c r="AF464" s="115" t="str">
        <f t="shared" si="467"/>
        <v/>
      </c>
      <c r="AG464" s="115" t="str">
        <f t="shared" si="467"/>
        <v/>
      </c>
      <c r="AH464" s="115" t="str">
        <f t="shared" si="467"/>
        <v/>
      </c>
      <c r="AI464" s="115" t="str">
        <f t="shared" si="467"/>
        <v/>
      </c>
      <c r="AJ464" s="115" t="str">
        <f t="shared" si="467"/>
        <v/>
      </c>
      <c r="AK464" s="115" t="str">
        <f t="shared" si="467"/>
        <v/>
      </c>
      <c r="AL464" s="115" t="str">
        <f t="shared" si="467"/>
        <v/>
      </c>
      <c r="AM464" s="115" t="str">
        <f t="shared" si="467"/>
        <v/>
      </c>
      <c r="AN464" s="115" t="str">
        <f t="shared" si="467"/>
        <v/>
      </c>
      <c r="AO464" s="115" t="str">
        <f t="shared" si="467"/>
        <v/>
      </c>
      <c r="AP464" s="117">
        <f>IF(AP$6="","",IF(AP$3="Maior",IFERROR(IF(VLOOKUP($N464,Capa!$A:$AE,AP$5,0)="",0,VLOOKUP($N464,Capa!$A:$AE,AP$5,0)),0),IF(ISERROR(1/VLOOKUP($N464,Capa!$A:$AE,AP$5,0)),0,1/VLOOKUP($N464,Capa!$A:$AE,AP$5,0))))</f>
        <v>0.0849617672</v>
      </c>
      <c r="AQ464" s="118">
        <f>IF(AQ$6="","",IF(AQ$3="Maior",IFERROR(IF(VLOOKUP($N464,Capa!$A:$AE,AQ$5,0)="",0,VLOOKUP($N464,Capa!$A:$AE,AQ$5,0)),0),IF(ISERROR(1/VLOOKUP($N464,Capa!$A:$AE,AQ$5,0)),0,1/VLOOKUP($N464,Capa!$A:$AE,AQ$5,0))))</f>
        <v>5.86</v>
      </c>
      <c r="AR464" s="118">
        <f>IF(AR$6="","",IF(AR$3="Maior",IFERROR(IF(VLOOKUP($N464,Capa!$A:$AE,AR$5,0)="",0,VLOOKUP($N464,Capa!$A:$AE,AR$5,0)),0),IF(ISERROR(1/VLOOKUP($N464,Capa!$A:$AE,AR$5,0)),0,1/VLOOKUP($N464,Capa!$A:$AE,AR$5,0))))</f>
        <v>3.57</v>
      </c>
      <c r="AS464" s="118" t="str">
        <f>IF(AS$6="","",IF(AS$3="Maior",IFERROR(IF(VLOOKUP($N464,Capa!$A:$AE,AS$5,0)="",0,VLOOKUP($N464,Capa!$A:$AE,AS$5,0)),0),IF(ISERROR(1/VLOOKUP($N464,Capa!$A:$AE,AS$5,0)),0,1/VLOOKUP($N464,Capa!$A:$AE,AS$5,0))))</f>
        <v/>
      </c>
      <c r="AT464" s="118" t="str">
        <f>IF(AT$6="","",IF(AT$3="Maior",IFERROR(IF(VLOOKUP($N464,Capa!$A:$AE,AT$5,0)="",0,VLOOKUP($N464,Capa!$A:$AE,AT$5,0)),0),IF(ISERROR(1/VLOOKUP($N464,Capa!$A:$AE,AT$5,0)),0,1/VLOOKUP($N464,Capa!$A:$AE,AT$5,0))))</f>
        <v/>
      </c>
      <c r="AU464" s="118" t="str">
        <f>IF(AU$6="","",IF(AU$3="Maior",IFERROR(IF(VLOOKUP($N464,Capa!$A:$AE,AU$5,0)="",0,VLOOKUP($N464,Capa!$A:$AE,AU$5,0)),0),IF(ISERROR(1/VLOOKUP($N464,Capa!$A:$AE,AU$5,0)),0,1/VLOOKUP($N464,Capa!$A:$AE,AU$5,0))))</f>
        <v/>
      </c>
      <c r="AV464" s="118" t="str">
        <f>IF(AV$6="","",IF(AV$3="Maior",IFERROR(IF(VLOOKUP($N464,Capa!$A:$AE,AV$5,0)="",0,VLOOKUP($N464,Capa!$A:$AE,AV$5,0)),0),IF(ISERROR(1/VLOOKUP($N464,Capa!$A:$AE,AV$5,0)),0,1/VLOOKUP($N464,Capa!$A:$AE,AV$5,0))))</f>
        <v/>
      </c>
      <c r="AW464" s="118" t="str">
        <f>IF(AW$6="","",IF(AW$3="Maior",IFERROR(IF(VLOOKUP($N464,Capa!$A:$AE,AW$5,0)="",0,VLOOKUP($N464,Capa!$A:$AE,AW$5,0)),0),IF(ISERROR(1/VLOOKUP($N464,Capa!$A:$AE,AW$5,0)),0,1/VLOOKUP($N464,Capa!$A:$AE,AW$5,0))))</f>
        <v/>
      </c>
      <c r="AX464" s="118" t="str">
        <f>IF(AX$6="","",IF(AX$3="Maior",IFERROR(IF(VLOOKUP($N464,Capa!$A:$AE,AX$5,0)="",0,VLOOKUP($N464,Capa!$A:$AE,AX$5,0)),0),IF(ISERROR(1/VLOOKUP($N464,Capa!$A:$AE,AX$5,0)),0,1/VLOOKUP($N464,Capa!$A:$AE,AX$5,0))))</f>
        <v/>
      </c>
      <c r="AY464" s="118" t="str">
        <f>IF(AY$6="","",IF(AY$3="Maior",IFERROR(IF(VLOOKUP($N464,Capa!$A:$AE,AY$5,0)="",0,VLOOKUP($N464,Capa!$A:$AE,AY$5,0)),0),IF(ISERROR(1/VLOOKUP($N464,Capa!$A:$AE,AY$5,0)),0,1/VLOOKUP($N464,Capa!$A:$AE,AY$5,0))))</f>
        <v/>
      </c>
      <c r="AZ464" s="118" t="str">
        <f>IF(AZ$6="","",IF(AZ$3="Maior",IFERROR(IF(VLOOKUP($N464,Capa!$A:$AE,AZ$5,0)="",0,VLOOKUP($N464,Capa!$A:$AE,AZ$5,0)),0),IF(ISERROR(1/VLOOKUP($N464,Capa!$A:$AE,AZ$5,0)),0,1/VLOOKUP($N464,Capa!$A:$AE,AZ$5,0))))</f>
        <v/>
      </c>
      <c r="BA464" s="118" t="str">
        <f>IF(BA$6="","",IF(BA$3="Maior",IFERROR(IF(VLOOKUP($N464,Capa!$A:$AE,BA$5,0)="",0,VLOOKUP($N464,Capa!$A:$AE,BA$5,0)),0),IF(ISERROR(1/VLOOKUP($N464,Capa!$A:$AE,BA$5,0)),0,1/VLOOKUP($N464,Capa!$A:$AE,BA$5,0))))</f>
        <v/>
      </c>
      <c r="BB464" s="118" t="str">
        <f>IF(BB$6="","",IF(BB$3="Maior",IFERROR(IF(VLOOKUP($N464,Capa!$A:$AE,BB$5,0)="",0,VLOOKUP($N464,Capa!$A:$AE,BB$5,0)),0),IF(ISERROR(1/VLOOKUP($N464,Capa!$A:$AE,BB$5,0)),0,1/VLOOKUP($N464,Capa!$A:$AE,BB$5,0))))</f>
        <v/>
      </c>
      <c r="BC464" s="118" t="str">
        <f>IF(BC$6="","",IF(BC$3="Maior",IFERROR(IF(VLOOKUP($N464,Capa!$A:$AE,BC$5,0)="",0,VLOOKUP($N464,Capa!$A:$AE,BC$5,0)),0),IF(ISERROR(1/VLOOKUP($N464,Capa!$A:$AE,BC$5,0)),0,1/VLOOKUP($N464,Capa!$A:$AE,BC$5,0))))</f>
        <v/>
      </c>
      <c r="BD464" s="118" t="str">
        <f>IF(BD$6="","",IF(BD$3="Maior",IFERROR(IF(VLOOKUP($N464,Capa!$A:$AE,BD$5,0)="",0,VLOOKUP($N464,Capa!$A:$AE,BD$5,0)),0),IF(ISERROR(1/VLOOKUP($N464,Capa!$A:$AE,BD$5,0)),0,1/VLOOKUP($N464,Capa!$A:$AE,BD$5,0))))</f>
        <v/>
      </c>
      <c r="BE464" s="118" t="str">
        <f>IF(BE$6="","",IF(BE$3="Maior",IFERROR(IF(VLOOKUP($N464,Capa!$A:$AE,BE$5,0)="",0,VLOOKUP($N464,Capa!$A:$AE,BE$5,0)),0),IF(ISERROR(1/VLOOKUP($N464,Capa!$A:$AE,BE$5,0)),0,1/VLOOKUP($N464,Capa!$A:$AE,BE$5,0))))</f>
        <v/>
      </c>
      <c r="BF464" s="118" t="str">
        <f>IF(BF$6="","",IF(BF$3="Maior",IFERROR(IF(VLOOKUP($N464,Capa!$A:$AE,BF$5,0)="",0,VLOOKUP($N464,Capa!$A:$AE,BF$5,0)),0),IF(ISERROR(1/VLOOKUP($N464,Capa!$A:$AE,BF$5,0)),0,1/VLOOKUP($N464,Capa!$A:$AE,BF$5,0))))</f>
        <v/>
      </c>
      <c r="BG464" s="118" t="str">
        <f>IF(BG$6="","",IF(BG$3="Maior",IFERROR(IF(VLOOKUP($N464,Capa!$A:$AE,BG$5,0)="",0,VLOOKUP($N464,Capa!$A:$AE,BG$5,0)),0),IF(ISERROR(1/VLOOKUP($N464,Capa!$A:$AE,BG$5,0)),0,1/VLOOKUP($N464,Capa!$A:$AE,BG$5,0))))</f>
        <v/>
      </c>
      <c r="BH464" s="118" t="str">
        <f>IF(BH$6="","",IF(BH$3="Maior",IFERROR(IF(VLOOKUP($N464,Capa!$A:$AE,BH$5,0)="",0,VLOOKUP($N464,Capa!$A:$AE,BH$5,0)),0),IF(ISERROR(1/VLOOKUP($N464,Capa!$A:$AE,BH$5,0)),0,1/VLOOKUP($N464,Capa!$A:$AE,BH$5,0))))</f>
        <v/>
      </c>
      <c r="BI464" s="118" t="str">
        <f>IF(BI$6="","",IF(BI$3="Maior",IFERROR(IF(VLOOKUP($N464,Capa!$A:$AE,BI$5,0)="",0,VLOOKUP($N464,Capa!$A:$AE,BI$5,0)),0),IF(ISERROR(1/VLOOKUP($N464,Capa!$A:$AE,BI$5,0)),0,1/VLOOKUP($N464,Capa!$A:$AE,BI$5,0))))</f>
        <v/>
      </c>
      <c r="BJ464" s="118" t="str">
        <f>IF(BJ$6="","",IF(BJ$3="Maior",IFERROR(IF(VLOOKUP($N464,Capa!$A:$AE,BJ$5,0)="",0,VLOOKUP($N464,Capa!$A:$AE,BJ$5,0)),0),IF(ISERROR(1/VLOOKUP($N464,Capa!$A:$AE,BJ$5,0)),0,1/VLOOKUP($N464,Capa!$A:$AE,BJ$5,0))))</f>
        <v/>
      </c>
      <c r="BK464" s="118" t="str">
        <f>IF(BK$6="","",IF(BK$3="Maior",IFERROR(IF(VLOOKUP($N464,Capa!$A:$AE,BK$5,0)="",0,VLOOKUP($N464,Capa!$A:$AE,BK$5,0)),0),IF(ISERROR(1/VLOOKUP($N464,Capa!$A:$AE,BK$5,0)),0,1/VLOOKUP($N464,Capa!$A:$AE,BK$5,0))))</f>
        <v/>
      </c>
      <c r="BL464" s="118" t="str">
        <f>IF(BL$6="","",IF(BL$3="Maior",IFERROR(IF(VLOOKUP($N464,Capa!$A:$AE,BL$5,0)="",0,VLOOKUP($N464,Capa!$A:$AE,BL$5,0)),0),IF(ISERROR(1/VLOOKUP($N464,Capa!$A:$AE,BL$5,0)),0,1/VLOOKUP($N464,Capa!$A:$AE,BL$5,0))))</f>
        <v/>
      </c>
      <c r="BM464" s="118" t="str">
        <f>IF(BM$6="","",IF(BM$3="Maior",IFERROR(IF(VLOOKUP($N464,Capa!$A:$AE,BM$5,0)="",0,VLOOKUP($N464,Capa!$A:$AE,BM$5,0)),0),IF(ISERROR(1/VLOOKUP($N464,Capa!$A:$AE,BM$5,0)),0,1/VLOOKUP($N464,Capa!$A:$AE,BM$5,0))))</f>
        <v/>
      </c>
      <c r="BN464" s="118" t="str">
        <f>IF(BN$6="","",IF(BN$3="Maior",IFERROR(IF(VLOOKUP($N464,Capa!$A:$AE,BN$5,0)="",0,VLOOKUP($N464,Capa!$A:$AE,BN$5,0)),0),IF(ISERROR(1/VLOOKUP($N464,Capa!$A:$AE,BN$5,0)),0,1/VLOOKUP($N464,Capa!$A:$AE,BN$5,0))))</f>
        <v/>
      </c>
      <c r="BO464" s="92"/>
    </row>
    <row r="465">
      <c r="I465" s="73"/>
      <c r="J465" s="74"/>
      <c r="N465" s="10" t="s">
        <v>511</v>
      </c>
      <c r="O465" s="113">
        <f t="shared" si="8"/>
        <v>1974.0415</v>
      </c>
      <c r="P465" s="114">
        <f>VLOOKUP(N465,'Dados StatusInvest'!A:Z,26,0)</f>
        <v>7545</v>
      </c>
      <c r="Q465" s="115">
        <f t="shared" si="9"/>
        <v>415.0415</v>
      </c>
      <c r="R465" s="116">
        <f t="shared" ref="R465:AO465" si="468">IF(AQ465="","", RANK(AQ465,AQ$7:AQ$503,0))</f>
        <v>340</v>
      </c>
      <c r="S465" s="115">
        <f t="shared" si="468"/>
        <v>219</v>
      </c>
      <c r="T465" s="115" t="str">
        <f t="shared" si="468"/>
        <v/>
      </c>
      <c r="U465" s="115" t="str">
        <f t="shared" si="468"/>
        <v/>
      </c>
      <c r="V465" s="115" t="str">
        <f t="shared" si="468"/>
        <v/>
      </c>
      <c r="W465" s="115" t="str">
        <f t="shared" si="468"/>
        <v/>
      </c>
      <c r="X465" s="115" t="str">
        <f t="shared" si="468"/>
        <v/>
      </c>
      <c r="Y465" s="115" t="str">
        <f t="shared" si="468"/>
        <v/>
      </c>
      <c r="Z465" s="115" t="str">
        <f t="shared" si="468"/>
        <v/>
      </c>
      <c r="AA465" s="115" t="str">
        <f t="shared" si="468"/>
        <v/>
      </c>
      <c r="AB465" s="115" t="str">
        <f t="shared" si="468"/>
        <v/>
      </c>
      <c r="AC465" s="115" t="str">
        <f t="shared" si="468"/>
        <v/>
      </c>
      <c r="AD465" s="115" t="str">
        <f t="shared" si="468"/>
        <v/>
      </c>
      <c r="AE465" s="115" t="str">
        <f t="shared" si="468"/>
        <v/>
      </c>
      <c r="AF465" s="115" t="str">
        <f t="shared" si="468"/>
        <v/>
      </c>
      <c r="AG465" s="115" t="str">
        <f t="shared" si="468"/>
        <v/>
      </c>
      <c r="AH465" s="115" t="str">
        <f t="shared" si="468"/>
        <v/>
      </c>
      <c r="AI465" s="115" t="str">
        <f t="shared" si="468"/>
        <v/>
      </c>
      <c r="AJ465" s="115" t="str">
        <f t="shared" si="468"/>
        <v/>
      </c>
      <c r="AK465" s="115" t="str">
        <f t="shared" si="468"/>
        <v/>
      </c>
      <c r="AL465" s="115" t="str">
        <f t="shared" si="468"/>
        <v/>
      </c>
      <c r="AM465" s="115" t="str">
        <f t="shared" si="468"/>
        <v/>
      </c>
      <c r="AN465" s="115" t="str">
        <f t="shared" si="468"/>
        <v/>
      </c>
      <c r="AO465" s="115" t="str">
        <f t="shared" si="468"/>
        <v/>
      </c>
      <c r="AP465" s="117">
        <f>IF(AP$6="","",IF(AP$3="Maior",IFERROR(IF(VLOOKUP($N465,Capa!$A:$AE,AP$5,0)="",0,VLOOKUP($N465,Capa!$A:$AE,AP$5,0)),0),IF(ISERROR(1/VLOOKUP($N465,Capa!$A:$AE,AP$5,0)),0,1/VLOOKUP($N465,Capa!$A:$AE,AP$5,0))))</f>
        <v>-0.004442470013</v>
      </c>
      <c r="AQ465" s="118">
        <f>IF(AQ$6="","",IF(AQ$3="Maior",IFERROR(IF(VLOOKUP($N465,Capa!$A:$AE,AQ$5,0)="",0,VLOOKUP($N465,Capa!$A:$AE,AQ$5,0)),0),IF(ISERROR(1/VLOOKUP($N465,Capa!$A:$AE,AQ$5,0)),0,1/VLOOKUP($N465,Capa!$A:$AE,AQ$5,0))))</f>
        <v>2.6</v>
      </c>
      <c r="AR465" s="118">
        <f>IF(AR$6="","",IF(AR$3="Maior",IFERROR(IF(VLOOKUP($N465,Capa!$A:$AE,AR$5,0)="",0,VLOOKUP($N465,Capa!$A:$AE,AR$5,0)),0),IF(ISERROR(1/VLOOKUP($N465,Capa!$A:$AE,AR$5,0)),0,1/VLOOKUP($N465,Capa!$A:$AE,AR$5,0))))</f>
        <v>0</v>
      </c>
      <c r="AS465" s="118" t="str">
        <f>IF(AS$6="","",IF(AS$3="Maior",IFERROR(IF(VLOOKUP($N465,Capa!$A:$AE,AS$5,0)="",0,VLOOKUP($N465,Capa!$A:$AE,AS$5,0)),0),IF(ISERROR(1/VLOOKUP($N465,Capa!$A:$AE,AS$5,0)),0,1/VLOOKUP($N465,Capa!$A:$AE,AS$5,0))))</f>
        <v/>
      </c>
      <c r="AT465" s="118" t="str">
        <f>IF(AT$6="","",IF(AT$3="Maior",IFERROR(IF(VLOOKUP($N465,Capa!$A:$AE,AT$5,0)="",0,VLOOKUP($N465,Capa!$A:$AE,AT$5,0)),0),IF(ISERROR(1/VLOOKUP($N465,Capa!$A:$AE,AT$5,0)),0,1/VLOOKUP($N465,Capa!$A:$AE,AT$5,0))))</f>
        <v/>
      </c>
      <c r="AU465" s="118" t="str">
        <f>IF(AU$6="","",IF(AU$3="Maior",IFERROR(IF(VLOOKUP($N465,Capa!$A:$AE,AU$5,0)="",0,VLOOKUP($N465,Capa!$A:$AE,AU$5,0)),0),IF(ISERROR(1/VLOOKUP($N465,Capa!$A:$AE,AU$5,0)),0,1/VLOOKUP($N465,Capa!$A:$AE,AU$5,0))))</f>
        <v/>
      </c>
      <c r="AV465" s="118" t="str">
        <f>IF(AV$6="","",IF(AV$3="Maior",IFERROR(IF(VLOOKUP($N465,Capa!$A:$AE,AV$5,0)="",0,VLOOKUP($N465,Capa!$A:$AE,AV$5,0)),0),IF(ISERROR(1/VLOOKUP($N465,Capa!$A:$AE,AV$5,0)),0,1/VLOOKUP($N465,Capa!$A:$AE,AV$5,0))))</f>
        <v/>
      </c>
      <c r="AW465" s="118" t="str">
        <f>IF(AW$6="","",IF(AW$3="Maior",IFERROR(IF(VLOOKUP($N465,Capa!$A:$AE,AW$5,0)="",0,VLOOKUP($N465,Capa!$A:$AE,AW$5,0)),0),IF(ISERROR(1/VLOOKUP($N465,Capa!$A:$AE,AW$5,0)),0,1/VLOOKUP($N465,Capa!$A:$AE,AW$5,0))))</f>
        <v/>
      </c>
      <c r="AX465" s="118" t="str">
        <f>IF(AX$6="","",IF(AX$3="Maior",IFERROR(IF(VLOOKUP($N465,Capa!$A:$AE,AX$5,0)="",0,VLOOKUP($N465,Capa!$A:$AE,AX$5,0)),0),IF(ISERROR(1/VLOOKUP($N465,Capa!$A:$AE,AX$5,0)),0,1/VLOOKUP($N465,Capa!$A:$AE,AX$5,0))))</f>
        <v/>
      </c>
      <c r="AY465" s="118" t="str">
        <f>IF(AY$6="","",IF(AY$3="Maior",IFERROR(IF(VLOOKUP($N465,Capa!$A:$AE,AY$5,0)="",0,VLOOKUP($N465,Capa!$A:$AE,AY$5,0)),0),IF(ISERROR(1/VLOOKUP($N465,Capa!$A:$AE,AY$5,0)),0,1/VLOOKUP($N465,Capa!$A:$AE,AY$5,0))))</f>
        <v/>
      </c>
      <c r="AZ465" s="118" t="str">
        <f>IF(AZ$6="","",IF(AZ$3="Maior",IFERROR(IF(VLOOKUP($N465,Capa!$A:$AE,AZ$5,0)="",0,VLOOKUP($N465,Capa!$A:$AE,AZ$5,0)),0),IF(ISERROR(1/VLOOKUP($N465,Capa!$A:$AE,AZ$5,0)),0,1/VLOOKUP($N465,Capa!$A:$AE,AZ$5,0))))</f>
        <v/>
      </c>
      <c r="BA465" s="118" t="str">
        <f>IF(BA$6="","",IF(BA$3="Maior",IFERROR(IF(VLOOKUP($N465,Capa!$A:$AE,BA$5,0)="",0,VLOOKUP($N465,Capa!$A:$AE,BA$5,0)),0),IF(ISERROR(1/VLOOKUP($N465,Capa!$A:$AE,BA$5,0)),0,1/VLOOKUP($N465,Capa!$A:$AE,BA$5,0))))</f>
        <v/>
      </c>
      <c r="BB465" s="118" t="str">
        <f>IF(BB$6="","",IF(BB$3="Maior",IFERROR(IF(VLOOKUP($N465,Capa!$A:$AE,BB$5,0)="",0,VLOOKUP($N465,Capa!$A:$AE,BB$5,0)),0),IF(ISERROR(1/VLOOKUP($N465,Capa!$A:$AE,BB$5,0)),0,1/VLOOKUP($N465,Capa!$A:$AE,BB$5,0))))</f>
        <v/>
      </c>
      <c r="BC465" s="118" t="str">
        <f>IF(BC$6="","",IF(BC$3="Maior",IFERROR(IF(VLOOKUP($N465,Capa!$A:$AE,BC$5,0)="",0,VLOOKUP($N465,Capa!$A:$AE,BC$5,0)),0),IF(ISERROR(1/VLOOKUP($N465,Capa!$A:$AE,BC$5,0)),0,1/VLOOKUP($N465,Capa!$A:$AE,BC$5,0))))</f>
        <v/>
      </c>
      <c r="BD465" s="118" t="str">
        <f>IF(BD$6="","",IF(BD$3="Maior",IFERROR(IF(VLOOKUP($N465,Capa!$A:$AE,BD$5,0)="",0,VLOOKUP($N465,Capa!$A:$AE,BD$5,0)),0),IF(ISERROR(1/VLOOKUP($N465,Capa!$A:$AE,BD$5,0)),0,1/VLOOKUP($N465,Capa!$A:$AE,BD$5,0))))</f>
        <v/>
      </c>
      <c r="BE465" s="118" t="str">
        <f>IF(BE$6="","",IF(BE$3="Maior",IFERROR(IF(VLOOKUP($N465,Capa!$A:$AE,BE$5,0)="",0,VLOOKUP($N465,Capa!$A:$AE,BE$5,0)),0),IF(ISERROR(1/VLOOKUP($N465,Capa!$A:$AE,BE$5,0)),0,1/VLOOKUP($N465,Capa!$A:$AE,BE$5,0))))</f>
        <v/>
      </c>
      <c r="BF465" s="118" t="str">
        <f>IF(BF$6="","",IF(BF$3="Maior",IFERROR(IF(VLOOKUP($N465,Capa!$A:$AE,BF$5,0)="",0,VLOOKUP($N465,Capa!$A:$AE,BF$5,0)),0),IF(ISERROR(1/VLOOKUP($N465,Capa!$A:$AE,BF$5,0)),0,1/VLOOKUP($N465,Capa!$A:$AE,BF$5,0))))</f>
        <v/>
      </c>
      <c r="BG465" s="118" t="str">
        <f>IF(BG$6="","",IF(BG$3="Maior",IFERROR(IF(VLOOKUP($N465,Capa!$A:$AE,BG$5,0)="",0,VLOOKUP($N465,Capa!$A:$AE,BG$5,0)),0),IF(ISERROR(1/VLOOKUP($N465,Capa!$A:$AE,BG$5,0)),0,1/VLOOKUP($N465,Capa!$A:$AE,BG$5,0))))</f>
        <v/>
      </c>
      <c r="BH465" s="118" t="str">
        <f>IF(BH$6="","",IF(BH$3="Maior",IFERROR(IF(VLOOKUP($N465,Capa!$A:$AE,BH$5,0)="",0,VLOOKUP($N465,Capa!$A:$AE,BH$5,0)),0),IF(ISERROR(1/VLOOKUP($N465,Capa!$A:$AE,BH$5,0)),0,1/VLOOKUP($N465,Capa!$A:$AE,BH$5,0))))</f>
        <v/>
      </c>
      <c r="BI465" s="118" t="str">
        <f>IF(BI$6="","",IF(BI$3="Maior",IFERROR(IF(VLOOKUP($N465,Capa!$A:$AE,BI$5,0)="",0,VLOOKUP($N465,Capa!$A:$AE,BI$5,0)),0),IF(ISERROR(1/VLOOKUP($N465,Capa!$A:$AE,BI$5,0)),0,1/VLOOKUP($N465,Capa!$A:$AE,BI$5,0))))</f>
        <v/>
      </c>
      <c r="BJ465" s="118" t="str">
        <f>IF(BJ$6="","",IF(BJ$3="Maior",IFERROR(IF(VLOOKUP($N465,Capa!$A:$AE,BJ$5,0)="",0,VLOOKUP($N465,Capa!$A:$AE,BJ$5,0)),0),IF(ISERROR(1/VLOOKUP($N465,Capa!$A:$AE,BJ$5,0)),0,1/VLOOKUP($N465,Capa!$A:$AE,BJ$5,0))))</f>
        <v/>
      </c>
      <c r="BK465" s="118" t="str">
        <f>IF(BK$6="","",IF(BK$3="Maior",IFERROR(IF(VLOOKUP($N465,Capa!$A:$AE,BK$5,0)="",0,VLOOKUP($N465,Capa!$A:$AE,BK$5,0)),0),IF(ISERROR(1/VLOOKUP($N465,Capa!$A:$AE,BK$5,0)),0,1/VLOOKUP($N465,Capa!$A:$AE,BK$5,0))))</f>
        <v/>
      </c>
      <c r="BL465" s="118" t="str">
        <f>IF(BL$6="","",IF(BL$3="Maior",IFERROR(IF(VLOOKUP($N465,Capa!$A:$AE,BL$5,0)="",0,VLOOKUP($N465,Capa!$A:$AE,BL$5,0)),0),IF(ISERROR(1/VLOOKUP($N465,Capa!$A:$AE,BL$5,0)),0,1/VLOOKUP($N465,Capa!$A:$AE,BL$5,0))))</f>
        <v/>
      </c>
      <c r="BM465" s="118" t="str">
        <f>IF(BM$6="","",IF(BM$3="Maior",IFERROR(IF(VLOOKUP($N465,Capa!$A:$AE,BM$5,0)="",0,VLOOKUP($N465,Capa!$A:$AE,BM$5,0)),0),IF(ISERROR(1/VLOOKUP($N465,Capa!$A:$AE,BM$5,0)),0,1/VLOOKUP($N465,Capa!$A:$AE,BM$5,0))))</f>
        <v/>
      </c>
      <c r="BN465" s="118" t="str">
        <f>IF(BN$6="","",IF(BN$3="Maior",IFERROR(IF(VLOOKUP($N465,Capa!$A:$AE,BN$5,0)="",0,VLOOKUP($N465,Capa!$A:$AE,BN$5,0)),0),IF(ISERROR(1/VLOOKUP($N465,Capa!$A:$AE,BN$5,0)),0,1/VLOOKUP($N465,Capa!$A:$AE,BN$5,0))))</f>
        <v/>
      </c>
      <c r="BO465" s="92"/>
    </row>
    <row r="466">
      <c r="I466" s="73"/>
      <c r="J466" s="74"/>
      <c r="N466" s="10" t="s">
        <v>512</v>
      </c>
      <c r="O466" s="113">
        <f t="shared" si="8"/>
        <v>2178.0344</v>
      </c>
      <c r="P466" s="114">
        <f>VLOOKUP(N466,'Dados StatusInvest'!A:Z,26,0)</f>
        <v>2303.13</v>
      </c>
      <c r="Q466" s="115">
        <f t="shared" si="9"/>
        <v>344.0344</v>
      </c>
      <c r="R466" s="116">
        <f t="shared" ref="R466:AO466" si="469">IF(AQ466="","", RANK(AQ466,AQ$7:AQ$503,0))</f>
        <v>353</v>
      </c>
      <c r="S466" s="115">
        <f t="shared" si="469"/>
        <v>481</v>
      </c>
      <c r="T466" s="115" t="str">
        <f t="shared" si="469"/>
        <v/>
      </c>
      <c r="U466" s="115" t="str">
        <f t="shared" si="469"/>
        <v/>
      </c>
      <c r="V466" s="115" t="str">
        <f t="shared" si="469"/>
        <v/>
      </c>
      <c r="W466" s="115" t="str">
        <f t="shared" si="469"/>
        <v/>
      </c>
      <c r="X466" s="115" t="str">
        <f t="shared" si="469"/>
        <v/>
      </c>
      <c r="Y466" s="115" t="str">
        <f t="shared" si="469"/>
        <v/>
      </c>
      <c r="Z466" s="115" t="str">
        <f t="shared" si="469"/>
        <v/>
      </c>
      <c r="AA466" s="115" t="str">
        <f t="shared" si="469"/>
        <v/>
      </c>
      <c r="AB466" s="115" t="str">
        <f t="shared" si="469"/>
        <v/>
      </c>
      <c r="AC466" s="115" t="str">
        <f t="shared" si="469"/>
        <v/>
      </c>
      <c r="AD466" s="115" t="str">
        <f t="shared" si="469"/>
        <v/>
      </c>
      <c r="AE466" s="115" t="str">
        <f t="shared" si="469"/>
        <v/>
      </c>
      <c r="AF466" s="115" t="str">
        <f t="shared" si="469"/>
        <v/>
      </c>
      <c r="AG466" s="115" t="str">
        <f t="shared" si="469"/>
        <v/>
      </c>
      <c r="AH466" s="115" t="str">
        <f t="shared" si="469"/>
        <v/>
      </c>
      <c r="AI466" s="115" t="str">
        <f t="shared" si="469"/>
        <v/>
      </c>
      <c r="AJ466" s="115" t="str">
        <f t="shared" si="469"/>
        <v/>
      </c>
      <c r="AK466" s="115" t="str">
        <f t="shared" si="469"/>
        <v/>
      </c>
      <c r="AL466" s="115" t="str">
        <f t="shared" si="469"/>
        <v/>
      </c>
      <c r="AM466" s="115" t="str">
        <f t="shared" si="469"/>
        <v/>
      </c>
      <c r="AN466" s="115" t="str">
        <f t="shared" si="469"/>
        <v/>
      </c>
      <c r="AO466" s="115" t="str">
        <f t="shared" si="469"/>
        <v/>
      </c>
      <c r="AP466" s="117">
        <f>IF(AP$6="","",IF(AP$3="Maior",IFERROR(IF(VLOOKUP($N466,Capa!$A:$AE,AP$5,0)="",0,VLOOKUP($N466,Capa!$A:$AE,AP$5,0)),0),IF(ISERROR(1/VLOOKUP($N466,Capa!$A:$AE,AP$5,0)),0,1/VLOOKUP($N466,Capa!$A:$AE,AP$5,0))))</f>
        <v>0.03231165895</v>
      </c>
      <c r="AQ466" s="118">
        <f>IF(AQ$6="","",IF(AQ$3="Maior",IFERROR(IF(VLOOKUP($N466,Capa!$A:$AE,AQ$5,0)="",0,VLOOKUP($N466,Capa!$A:$AE,AQ$5,0)),0),IF(ISERROR(1/VLOOKUP($N466,Capa!$A:$AE,AQ$5,0)),0,1/VLOOKUP($N466,Capa!$A:$AE,AQ$5,0))))</f>
        <v>2.04</v>
      </c>
      <c r="AR466" s="118">
        <f>IF(AR$6="","",IF(AR$3="Maior",IFERROR(IF(VLOOKUP($N466,Capa!$A:$AE,AR$5,0)="",0,VLOOKUP($N466,Capa!$A:$AE,AR$5,0)),0),IF(ISERROR(1/VLOOKUP($N466,Capa!$A:$AE,AR$5,0)),0,1/VLOOKUP($N466,Capa!$A:$AE,AR$5,0))))</f>
        <v>-16.37</v>
      </c>
      <c r="AS466" s="118" t="str">
        <f>IF(AS$6="","",IF(AS$3="Maior",IFERROR(IF(VLOOKUP($N466,Capa!$A:$AE,AS$5,0)="",0,VLOOKUP($N466,Capa!$A:$AE,AS$5,0)),0),IF(ISERROR(1/VLOOKUP($N466,Capa!$A:$AE,AS$5,0)),0,1/VLOOKUP($N466,Capa!$A:$AE,AS$5,0))))</f>
        <v/>
      </c>
      <c r="AT466" s="118" t="str">
        <f>IF(AT$6="","",IF(AT$3="Maior",IFERROR(IF(VLOOKUP($N466,Capa!$A:$AE,AT$5,0)="",0,VLOOKUP($N466,Capa!$A:$AE,AT$5,0)),0),IF(ISERROR(1/VLOOKUP($N466,Capa!$A:$AE,AT$5,0)),0,1/VLOOKUP($N466,Capa!$A:$AE,AT$5,0))))</f>
        <v/>
      </c>
      <c r="AU466" s="118" t="str">
        <f>IF(AU$6="","",IF(AU$3="Maior",IFERROR(IF(VLOOKUP($N466,Capa!$A:$AE,AU$5,0)="",0,VLOOKUP($N466,Capa!$A:$AE,AU$5,0)),0),IF(ISERROR(1/VLOOKUP($N466,Capa!$A:$AE,AU$5,0)),0,1/VLOOKUP($N466,Capa!$A:$AE,AU$5,0))))</f>
        <v/>
      </c>
      <c r="AV466" s="118" t="str">
        <f>IF(AV$6="","",IF(AV$3="Maior",IFERROR(IF(VLOOKUP($N466,Capa!$A:$AE,AV$5,0)="",0,VLOOKUP($N466,Capa!$A:$AE,AV$5,0)),0),IF(ISERROR(1/VLOOKUP($N466,Capa!$A:$AE,AV$5,0)),0,1/VLOOKUP($N466,Capa!$A:$AE,AV$5,0))))</f>
        <v/>
      </c>
      <c r="AW466" s="118" t="str">
        <f>IF(AW$6="","",IF(AW$3="Maior",IFERROR(IF(VLOOKUP($N466,Capa!$A:$AE,AW$5,0)="",0,VLOOKUP($N466,Capa!$A:$AE,AW$5,0)),0),IF(ISERROR(1/VLOOKUP($N466,Capa!$A:$AE,AW$5,0)),0,1/VLOOKUP($N466,Capa!$A:$AE,AW$5,0))))</f>
        <v/>
      </c>
      <c r="AX466" s="118" t="str">
        <f>IF(AX$6="","",IF(AX$3="Maior",IFERROR(IF(VLOOKUP($N466,Capa!$A:$AE,AX$5,0)="",0,VLOOKUP($N466,Capa!$A:$AE,AX$5,0)),0),IF(ISERROR(1/VLOOKUP($N466,Capa!$A:$AE,AX$5,0)),0,1/VLOOKUP($N466,Capa!$A:$AE,AX$5,0))))</f>
        <v/>
      </c>
      <c r="AY466" s="118" t="str">
        <f>IF(AY$6="","",IF(AY$3="Maior",IFERROR(IF(VLOOKUP($N466,Capa!$A:$AE,AY$5,0)="",0,VLOOKUP($N466,Capa!$A:$AE,AY$5,0)),0),IF(ISERROR(1/VLOOKUP($N466,Capa!$A:$AE,AY$5,0)),0,1/VLOOKUP($N466,Capa!$A:$AE,AY$5,0))))</f>
        <v/>
      </c>
      <c r="AZ466" s="118" t="str">
        <f>IF(AZ$6="","",IF(AZ$3="Maior",IFERROR(IF(VLOOKUP($N466,Capa!$A:$AE,AZ$5,0)="",0,VLOOKUP($N466,Capa!$A:$AE,AZ$5,0)),0),IF(ISERROR(1/VLOOKUP($N466,Capa!$A:$AE,AZ$5,0)),0,1/VLOOKUP($N466,Capa!$A:$AE,AZ$5,0))))</f>
        <v/>
      </c>
      <c r="BA466" s="118" t="str">
        <f>IF(BA$6="","",IF(BA$3="Maior",IFERROR(IF(VLOOKUP($N466,Capa!$A:$AE,BA$5,0)="",0,VLOOKUP($N466,Capa!$A:$AE,BA$5,0)),0),IF(ISERROR(1/VLOOKUP($N466,Capa!$A:$AE,BA$5,0)),0,1/VLOOKUP($N466,Capa!$A:$AE,BA$5,0))))</f>
        <v/>
      </c>
      <c r="BB466" s="118" t="str">
        <f>IF(BB$6="","",IF(BB$3="Maior",IFERROR(IF(VLOOKUP($N466,Capa!$A:$AE,BB$5,0)="",0,VLOOKUP($N466,Capa!$A:$AE,BB$5,0)),0),IF(ISERROR(1/VLOOKUP($N466,Capa!$A:$AE,BB$5,0)),0,1/VLOOKUP($N466,Capa!$A:$AE,BB$5,0))))</f>
        <v/>
      </c>
      <c r="BC466" s="118" t="str">
        <f>IF(BC$6="","",IF(BC$3="Maior",IFERROR(IF(VLOOKUP($N466,Capa!$A:$AE,BC$5,0)="",0,VLOOKUP($N466,Capa!$A:$AE,BC$5,0)),0),IF(ISERROR(1/VLOOKUP($N466,Capa!$A:$AE,BC$5,0)),0,1/VLOOKUP($N466,Capa!$A:$AE,BC$5,0))))</f>
        <v/>
      </c>
      <c r="BD466" s="118" t="str">
        <f>IF(BD$6="","",IF(BD$3="Maior",IFERROR(IF(VLOOKUP($N466,Capa!$A:$AE,BD$5,0)="",0,VLOOKUP($N466,Capa!$A:$AE,BD$5,0)),0),IF(ISERROR(1/VLOOKUP($N466,Capa!$A:$AE,BD$5,0)),0,1/VLOOKUP($N466,Capa!$A:$AE,BD$5,0))))</f>
        <v/>
      </c>
      <c r="BE466" s="118" t="str">
        <f>IF(BE$6="","",IF(BE$3="Maior",IFERROR(IF(VLOOKUP($N466,Capa!$A:$AE,BE$5,0)="",0,VLOOKUP($N466,Capa!$A:$AE,BE$5,0)),0),IF(ISERROR(1/VLOOKUP($N466,Capa!$A:$AE,BE$5,0)),0,1/VLOOKUP($N466,Capa!$A:$AE,BE$5,0))))</f>
        <v/>
      </c>
      <c r="BF466" s="118" t="str">
        <f>IF(BF$6="","",IF(BF$3="Maior",IFERROR(IF(VLOOKUP($N466,Capa!$A:$AE,BF$5,0)="",0,VLOOKUP($N466,Capa!$A:$AE,BF$5,0)),0),IF(ISERROR(1/VLOOKUP($N466,Capa!$A:$AE,BF$5,0)),0,1/VLOOKUP($N466,Capa!$A:$AE,BF$5,0))))</f>
        <v/>
      </c>
      <c r="BG466" s="118" t="str">
        <f>IF(BG$6="","",IF(BG$3="Maior",IFERROR(IF(VLOOKUP($N466,Capa!$A:$AE,BG$5,0)="",0,VLOOKUP($N466,Capa!$A:$AE,BG$5,0)),0),IF(ISERROR(1/VLOOKUP($N466,Capa!$A:$AE,BG$5,0)),0,1/VLOOKUP($N466,Capa!$A:$AE,BG$5,0))))</f>
        <v/>
      </c>
      <c r="BH466" s="118" t="str">
        <f>IF(BH$6="","",IF(BH$3="Maior",IFERROR(IF(VLOOKUP($N466,Capa!$A:$AE,BH$5,0)="",0,VLOOKUP($N466,Capa!$A:$AE,BH$5,0)),0),IF(ISERROR(1/VLOOKUP($N466,Capa!$A:$AE,BH$5,0)),0,1/VLOOKUP($N466,Capa!$A:$AE,BH$5,0))))</f>
        <v/>
      </c>
      <c r="BI466" s="118" t="str">
        <f>IF(BI$6="","",IF(BI$3="Maior",IFERROR(IF(VLOOKUP($N466,Capa!$A:$AE,BI$5,0)="",0,VLOOKUP($N466,Capa!$A:$AE,BI$5,0)),0),IF(ISERROR(1/VLOOKUP($N466,Capa!$A:$AE,BI$5,0)),0,1/VLOOKUP($N466,Capa!$A:$AE,BI$5,0))))</f>
        <v/>
      </c>
      <c r="BJ466" s="118" t="str">
        <f>IF(BJ$6="","",IF(BJ$3="Maior",IFERROR(IF(VLOOKUP($N466,Capa!$A:$AE,BJ$5,0)="",0,VLOOKUP($N466,Capa!$A:$AE,BJ$5,0)),0),IF(ISERROR(1/VLOOKUP($N466,Capa!$A:$AE,BJ$5,0)),0,1/VLOOKUP($N466,Capa!$A:$AE,BJ$5,0))))</f>
        <v/>
      </c>
      <c r="BK466" s="118" t="str">
        <f>IF(BK$6="","",IF(BK$3="Maior",IFERROR(IF(VLOOKUP($N466,Capa!$A:$AE,BK$5,0)="",0,VLOOKUP($N466,Capa!$A:$AE,BK$5,0)),0),IF(ISERROR(1/VLOOKUP($N466,Capa!$A:$AE,BK$5,0)),0,1/VLOOKUP($N466,Capa!$A:$AE,BK$5,0))))</f>
        <v/>
      </c>
      <c r="BL466" s="118" t="str">
        <f>IF(BL$6="","",IF(BL$3="Maior",IFERROR(IF(VLOOKUP($N466,Capa!$A:$AE,BL$5,0)="",0,VLOOKUP($N466,Capa!$A:$AE,BL$5,0)),0),IF(ISERROR(1/VLOOKUP($N466,Capa!$A:$AE,BL$5,0)),0,1/VLOOKUP($N466,Capa!$A:$AE,BL$5,0))))</f>
        <v/>
      </c>
      <c r="BM466" s="118" t="str">
        <f>IF(BM$6="","",IF(BM$3="Maior",IFERROR(IF(VLOOKUP($N466,Capa!$A:$AE,BM$5,0)="",0,VLOOKUP($N466,Capa!$A:$AE,BM$5,0)),0),IF(ISERROR(1/VLOOKUP($N466,Capa!$A:$AE,BM$5,0)),0,1/VLOOKUP($N466,Capa!$A:$AE,BM$5,0))))</f>
        <v/>
      </c>
      <c r="BN466" s="118" t="str">
        <f>IF(BN$6="","",IF(BN$3="Maior",IFERROR(IF(VLOOKUP($N466,Capa!$A:$AE,BN$5,0)="",0,VLOOKUP($N466,Capa!$A:$AE,BN$5,0)),0),IF(ISERROR(1/VLOOKUP($N466,Capa!$A:$AE,BN$5,0)),0,1/VLOOKUP($N466,Capa!$A:$AE,BN$5,0))))</f>
        <v/>
      </c>
      <c r="BO466" s="92"/>
    </row>
    <row r="467">
      <c r="I467" s="73"/>
      <c r="J467" s="74"/>
      <c r="N467" s="10" t="s">
        <v>513</v>
      </c>
      <c r="O467" s="113">
        <f t="shared" si="8"/>
        <v>1428.0185</v>
      </c>
      <c r="P467" s="114">
        <f>VLOOKUP(N467,'Dados StatusInvest'!A:Z,26,0)</f>
        <v>7000</v>
      </c>
      <c r="Q467" s="115">
        <f t="shared" si="9"/>
        <v>185.0185</v>
      </c>
      <c r="R467" s="116">
        <f t="shared" ref="R467:AO467" si="470">IF(AQ467="","", RANK(AQ467,AQ$7:AQ$503,0))</f>
        <v>130</v>
      </c>
      <c r="S467" s="115">
        <f t="shared" si="470"/>
        <v>113</v>
      </c>
      <c r="T467" s="115" t="str">
        <f t="shared" si="470"/>
        <v/>
      </c>
      <c r="U467" s="115" t="str">
        <f t="shared" si="470"/>
        <v/>
      </c>
      <c r="V467" s="115" t="str">
        <f t="shared" si="470"/>
        <v/>
      </c>
      <c r="W467" s="115" t="str">
        <f t="shared" si="470"/>
        <v/>
      </c>
      <c r="X467" s="115" t="str">
        <f t="shared" si="470"/>
        <v/>
      </c>
      <c r="Y467" s="115" t="str">
        <f t="shared" si="470"/>
        <v/>
      </c>
      <c r="Z467" s="115" t="str">
        <f t="shared" si="470"/>
        <v/>
      </c>
      <c r="AA467" s="115" t="str">
        <f t="shared" si="470"/>
        <v/>
      </c>
      <c r="AB467" s="115" t="str">
        <f t="shared" si="470"/>
        <v/>
      </c>
      <c r="AC467" s="115" t="str">
        <f t="shared" si="470"/>
        <v/>
      </c>
      <c r="AD467" s="115" t="str">
        <f t="shared" si="470"/>
        <v/>
      </c>
      <c r="AE467" s="115" t="str">
        <f t="shared" si="470"/>
        <v/>
      </c>
      <c r="AF467" s="115" t="str">
        <f t="shared" si="470"/>
        <v/>
      </c>
      <c r="AG467" s="115" t="str">
        <f t="shared" si="470"/>
        <v/>
      </c>
      <c r="AH467" s="115" t="str">
        <f t="shared" si="470"/>
        <v/>
      </c>
      <c r="AI467" s="115" t="str">
        <f t="shared" si="470"/>
        <v/>
      </c>
      <c r="AJ467" s="115" t="str">
        <f t="shared" si="470"/>
        <v/>
      </c>
      <c r="AK467" s="115" t="str">
        <f t="shared" si="470"/>
        <v/>
      </c>
      <c r="AL467" s="115" t="str">
        <f t="shared" si="470"/>
        <v/>
      </c>
      <c r="AM467" s="115" t="str">
        <f t="shared" si="470"/>
        <v/>
      </c>
      <c r="AN467" s="115" t="str">
        <f t="shared" si="470"/>
        <v/>
      </c>
      <c r="AO467" s="115" t="str">
        <f t="shared" si="470"/>
        <v/>
      </c>
      <c r="AP467" s="117">
        <f>IF(AP$6="","",IF(AP$3="Maior",IFERROR(IF(VLOOKUP($N467,Capa!$A:$AE,AP$5,0)="",0,VLOOKUP($N467,Capa!$A:$AE,AP$5,0)),0),IF(ISERROR(1/VLOOKUP($N467,Capa!$A:$AE,AP$5,0)),0,1/VLOOKUP($N467,Capa!$A:$AE,AP$5,0))))</f>
        <v>0.1140250855</v>
      </c>
      <c r="AQ467" s="118">
        <f>IF(AQ$6="","",IF(AQ$3="Maior",IFERROR(IF(VLOOKUP($N467,Capa!$A:$AE,AQ$5,0)="",0,VLOOKUP($N467,Capa!$A:$AE,AQ$5,0)),0),IF(ISERROR(1/VLOOKUP($N467,Capa!$A:$AE,AQ$5,0)),0,1/VLOOKUP($N467,Capa!$A:$AE,AQ$5,0))))</f>
        <v>15.18</v>
      </c>
      <c r="AR467" s="118">
        <f>IF(AR$6="","",IF(AR$3="Maior",IFERROR(IF(VLOOKUP($N467,Capa!$A:$AE,AR$5,0)="",0,VLOOKUP($N467,Capa!$A:$AE,AR$5,0)),0),IF(ISERROR(1/VLOOKUP($N467,Capa!$A:$AE,AR$5,0)),0,1/VLOOKUP($N467,Capa!$A:$AE,AR$5,0))))</f>
        <v>24.12</v>
      </c>
      <c r="AS467" s="118" t="str">
        <f>IF(AS$6="","",IF(AS$3="Maior",IFERROR(IF(VLOOKUP($N467,Capa!$A:$AE,AS$5,0)="",0,VLOOKUP($N467,Capa!$A:$AE,AS$5,0)),0),IF(ISERROR(1/VLOOKUP($N467,Capa!$A:$AE,AS$5,0)),0,1/VLOOKUP($N467,Capa!$A:$AE,AS$5,0))))</f>
        <v/>
      </c>
      <c r="AT467" s="118" t="str">
        <f>IF(AT$6="","",IF(AT$3="Maior",IFERROR(IF(VLOOKUP($N467,Capa!$A:$AE,AT$5,0)="",0,VLOOKUP($N467,Capa!$A:$AE,AT$5,0)),0),IF(ISERROR(1/VLOOKUP($N467,Capa!$A:$AE,AT$5,0)),0,1/VLOOKUP($N467,Capa!$A:$AE,AT$5,0))))</f>
        <v/>
      </c>
      <c r="AU467" s="118" t="str">
        <f>IF(AU$6="","",IF(AU$3="Maior",IFERROR(IF(VLOOKUP($N467,Capa!$A:$AE,AU$5,0)="",0,VLOOKUP($N467,Capa!$A:$AE,AU$5,0)),0),IF(ISERROR(1/VLOOKUP($N467,Capa!$A:$AE,AU$5,0)),0,1/VLOOKUP($N467,Capa!$A:$AE,AU$5,0))))</f>
        <v/>
      </c>
      <c r="AV467" s="118" t="str">
        <f>IF(AV$6="","",IF(AV$3="Maior",IFERROR(IF(VLOOKUP($N467,Capa!$A:$AE,AV$5,0)="",0,VLOOKUP($N467,Capa!$A:$AE,AV$5,0)),0),IF(ISERROR(1/VLOOKUP($N467,Capa!$A:$AE,AV$5,0)),0,1/VLOOKUP($N467,Capa!$A:$AE,AV$5,0))))</f>
        <v/>
      </c>
      <c r="AW467" s="118" t="str">
        <f>IF(AW$6="","",IF(AW$3="Maior",IFERROR(IF(VLOOKUP($N467,Capa!$A:$AE,AW$5,0)="",0,VLOOKUP($N467,Capa!$A:$AE,AW$5,0)),0),IF(ISERROR(1/VLOOKUP($N467,Capa!$A:$AE,AW$5,0)),0,1/VLOOKUP($N467,Capa!$A:$AE,AW$5,0))))</f>
        <v/>
      </c>
      <c r="AX467" s="118" t="str">
        <f>IF(AX$6="","",IF(AX$3="Maior",IFERROR(IF(VLOOKUP($N467,Capa!$A:$AE,AX$5,0)="",0,VLOOKUP($N467,Capa!$A:$AE,AX$5,0)),0),IF(ISERROR(1/VLOOKUP($N467,Capa!$A:$AE,AX$5,0)),0,1/VLOOKUP($N467,Capa!$A:$AE,AX$5,0))))</f>
        <v/>
      </c>
      <c r="AY467" s="118" t="str">
        <f>IF(AY$6="","",IF(AY$3="Maior",IFERROR(IF(VLOOKUP($N467,Capa!$A:$AE,AY$5,0)="",0,VLOOKUP($N467,Capa!$A:$AE,AY$5,0)),0),IF(ISERROR(1/VLOOKUP($N467,Capa!$A:$AE,AY$5,0)),0,1/VLOOKUP($N467,Capa!$A:$AE,AY$5,0))))</f>
        <v/>
      </c>
      <c r="AZ467" s="118" t="str">
        <f>IF(AZ$6="","",IF(AZ$3="Maior",IFERROR(IF(VLOOKUP($N467,Capa!$A:$AE,AZ$5,0)="",0,VLOOKUP($N467,Capa!$A:$AE,AZ$5,0)),0),IF(ISERROR(1/VLOOKUP($N467,Capa!$A:$AE,AZ$5,0)),0,1/VLOOKUP($N467,Capa!$A:$AE,AZ$5,0))))</f>
        <v/>
      </c>
      <c r="BA467" s="118" t="str">
        <f>IF(BA$6="","",IF(BA$3="Maior",IFERROR(IF(VLOOKUP($N467,Capa!$A:$AE,BA$5,0)="",0,VLOOKUP($N467,Capa!$A:$AE,BA$5,0)),0),IF(ISERROR(1/VLOOKUP($N467,Capa!$A:$AE,BA$5,0)),0,1/VLOOKUP($N467,Capa!$A:$AE,BA$5,0))))</f>
        <v/>
      </c>
      <c r="BB467" s="118" t="str">
        <f>IF(BB$6="","",IF(BB$3="Maior",IFERROR(IF(VLOOKUP($N467,Capa!$A:$AE,BB$5,0)="",0,VLOOKUP($N467,Capa!$A:$AE,BB$5,0)),0),IF(ISERROR(1/VLOOKUP($N467,Capa!$A:$AE,BB$5,0)),0,1/VLOOKUP($N467,Capa!$A:$AE,BB$5,0))))</f>
        <v/>
      </c>
      <c r="BC467" s="118" t="str">
        <f>IF(BC$6="","",IF(BC$3="Maior",IFERROR(IF(VLOOKUP($N467,Capa!$A:$AE,BC$5,0)="",0,VLOOKUP($N467,Capa!$A:$AE,BC$5,0)),0),IF(ISERROR(1/VLOOKUP($N467,Capa!$A:$AE,BC$5,0)),0,1/VLOOKUP($N467,Capa!$A:$AE,BC$5,0))))</f>
        <v/>
      </c>
      <c r="BD467" s="118" t="str">
        <f>IF(BD$6="","",IF(BD$3="Maior",IFERROR(IF(VLOOKUP($N467,Capa!$A:$AE,BD$5,0)="",0,VLOOKUP($N467,Capa!$A:$AE,BD$5,0)),0),IF(ISERROR(1/VLOOKUP($N467,Capa!$A:$AE,BD$5,0)),0,1/VLOOKUP($N467,Capa!$A:$AE,BD$5,0))))</f>
        <v/>
      </c>
      <c r="BE467" s="118" t="str">
        <f>IF(BE$6="","",IF(BE$3="Maior",IFERROR(IF(VLOOKUP($N467,Capa!$A:$AE,BE$5,0)="",0,VLOOKUP($N467,Capa!$A:$AE,BE$5,0)),0),IF(ISERROR(1/VLOOKUP($N467,Capa!$A:$AE,BE$5,0)),0,1/VLOOKUP($N467,Capa!$A:$AE,BE$5,0))))</f>
        <v/>
      </c>
      <c r="BF467" s="118" t="str">
        <f>IF(BF$6="","",IF(BF$3="Maior",IFERROR(IF(VLOOKUP($N467,Capa!$A:$AE,BF$5,0)="",0,VLOOKUP($N467,Capa!$A:$AE,BF$5,0)),0),IF(ISERROR(1/VLOOKUP($N467,Capa!$A:$AE,BF$5,0)),0,1/VLOOKUP($N467,Capa!$A:$AE,BF$5,0))))</f>
        <v/>
      </c>
      <c r="BG467" s="118" t="str">
        <f>IF(BG$6="","",IF(BG$3="Maior",IFERROR(IF(VLOOKUP($N467,Capa!$A:$AE,BG$5,0)="",0,VLOOKUP($N467,Capa!$A:$AE,BG$5,0)),0),IF(ISERROR(1/VLOOKUP($N467,Capa!$A:$AE,BG$5,0)),0,1/VLOOKUP($N467,Capa!$A:$AE,BG$5,0))))</f>
        <v/>
      </c>
      <c r="BH467" s="118" t="str">
        <f>IF(BH$6="","",IF(BH$3="Maior",IFERROR(IF(VLOOKUP($N467,Capa!$A:$AE,BH$5,0)="",0,VLOOKUP($N467,Capa!$A:$AE,BH$5,0)),0),IF(ISERROR(1/VLOOKUP($N467,Capa!$A:$AE,BH$5,0)),0,1/VLOOKUP($N467,Capa!$A:$AE,BH$5,0))))</f>
        <v/>
      </c>
      <c r="BI467" s="118" t="str">
        <f>IF(BI$6="","",IF(BI$3="Maior",IFERROR(IF(VLOOKUP($N467,Capa!$A:$AE,BI$5,0)="",0,VLOOKUP($N467,Capa!$A:$AE,BI$5,0)),0),IF(ISERROR(1/VLOOKUP($N467,Capa!$A:$AE,BI$5,0)),0,1/VLOOKUP($N467,Capa!$A:$AE,BI$5,0))))</f>
        <v/>
      </c>
      <c r="BJ467" s="118" t="str">
        <f>IF(BJ$6="","",IF(BJ$3="Maior",IFERROR(IF(VLOOKUP($N467,Capa!$A:$AE,BJ$5,0)="",0,VLOOKUP($N467,Capa!$A:$AE,BJ$5,0)),0),IF(ISERROR(1/VLOOKUP($N467,Capa!$A:$AE,BJ$5,0)),0,1/VLOOKUP($N467,Capa!$A:$AE,BJ$5,0))))</f>
        <v/>
      </c>
      <c r="BK467" s="118" t="str">
        <f>IF(BK$6="","",IF(BK$3="Maior",IFERROR(IF(VLOOKUP($N467,Capa!$A:$AE,BK$5,0)="",0,VLOOKUP($N467,Capa!$A:$AE,BK$5,0)),0),IF(ISERROR(1/VLOOKUP($N467,Capa!$A:$AE,BK$5,0)),0,1/VLOOKUP($N467,Capa!$A:$AE,BK$5,0))))</f>
        <v/>
      </c>
      <c r="BL467" s="118" t="str">
        <f>IF(BL$6="","",IF(BL$3="Maior",IFERROR(IF(VLOOKUP($N467,Capa!$A:$AE,BL$5,0)="",0,VLOOKUP($N467,Capa!$A:$AE,BL$5,0)),0),IF(ISERROR(1/VLOOKUP($N467,Capa!$A:$AE,BL$5,0)),0,1/VLOOKUP($N467,Capa!$A:$AE,BL$5,0))))</f>
        <v/>
      </c>
      <c r="BM467" s="118" t="str">
        <f>IF(BM$6="","",IF(BM$3="Maior",IFERROR(IF(VLOOKUP($N467,Capa!$A:$AE,BM$5,0)="",0,VLOOKUP($N467,Capa!$A:$AE,BM$5,0)),0),IF(ISERROR(1/VLOOKUP($N467,Capa!$A:$AE,BM$5,0)),0,1/VLOOKUP($N467,Capa!$A:$AE,BM$5,0))))</f>
        <v/>
      </c>
      <c r="BN467" s="118" t="str">
        <f>IF(BN$6="","",IF(BN$3="Maior",IFERROR(IF(VLOOKUP($N467,Capa!$A:$AE,BN$5,0)="",0,VLOOKUP($N467,Capa!$A:$AE,BN$5,0)),0),IF(ISERROR(1/VLOOKUP($N467,Capa!$A:$AE,BN$5,0)),0,1/VLOOKUP($N467,Capa!$A:$AE,BN$5,0))))</f>
        <v/>
      </c>
      <c r="BO467" s="92"/>
    </row>
    <row r="468">
      <c r="I468" s="73"/>
      <c r="J468" s="74"/>
      <c r="N468" s="10" t="s">
        <v>514</v>
      </c>
      <c r="O468" s="113">
        <f t="shared" si="8"/>
        <v>2179.0487</v>
      </c>
      <c r="P468" s="114">
        <f>VLOOKUP(N468,'Dados StatusInvest'!A:Z,26,0)</f>
        <v>14318.2</v>
      </c>
      <c r="Q468" s="115">
        <f t="shared" si="9"/>
        <v>487.0487</v>
      </c>
      <c r="R468" s="116">
        <f t="shared" ref="R468:AO468" si="471">IF(AQ468="","", RANK(AQ468,AQ$7:AQ$503,0))</f>
        <v>473</v>
      </c>
      <c r="S468" s="115">
        <f t="shared" si="471"/>
        <v>219</v>
      </c>
      <c r="T468" s="115" t="str">
        <f t="shared" si="471"/>
        <v/>
      </c>
      <c r="U468" s="115" t="str">
        <f t="shared" si="471"/>
        <v/>
      </c>
      <c r="V468" s="115" t="str">
        <f t="shared" si="471"/>
        <v/>
      </c>
      <c r="W468" s="115" t="str">
        <f t="shared" si="471"/>
        <v/>
      </c>
      <c r="X468" s="115" t="str">
        <f t="shared" si="471"/>
        <v/>
      </c>
      <c r="Y468" s="115" t="str">
        <f t="shared" si="471"/>
        <v/>
      </c>
      <c r="Z468" s="115" t="str">
        <f t="shared" si="471"/>
        <v/>
      </c>
      <c r="AA468" s="115" t="str">
        <f t="shared" si="471"/>
        <v/>
      </c>
      <c r="AB468" s="115" t="str">
        <f t="shared" si="471"/>
        <v/>
      </c>
      <c r="AC468" s="115" t="str">
        <f t="shared" si="471"/>
        <v/>
      </c>
      <c r="AD468" s="115" t="str">
        <f t="shared" si="471"/>
        <v/>
      </c>
      <c r="AE468" s="115" t="str">
        <f t="shared" si="471"/>
        <v/>
      </c>
      <c r="AF468" s="115" t="str">
        <f t="shared" si="471"/>
        <v/>
      </c>
      <c r="AG468" s="115" t="str">
        <f t="shared" si="471"/>
        <v/>
      </c>
      <c r="AH468" s="115" t="str">
        <f t="shared" si="471"/>
        <v/>
      </c>
      <c r="AI468" s="115" t="str">
        <f t="shared" si="471"/>
        <v/>
      </c>
      <c r="AJ468" s="115" t="str">
        <f t="shared" si="471"/>
        <v/>
      </c>
      <c r="AK468" s="115" t="str">
        <f t="shared" si="471"/>
        <v/>
      </c>
      <c r="AL468" s="115" t="str">
        <f t="shared" si="471"/>
        <v/>
      </c>
      <c r="AM468" s="115" t="str">
        <f t="shared" si="471"/>
        <v/>
      </c>
      <c r="AN468" s="115" t="str">
        <f t="shared" si="471"/>
        <v/>
      </c>
      <c r="AO468" s="115" t="str">
        <f t="shared" si="471"/>
        <v/>
      </c>
      <c r="AP468" s="117">
        <f>IF(AP$6="","",IF(AP$3="Maior",IFERROR(IF(VLOOKUP($N468,Capa!$A:$AE,AP$5,0)="",0,VLOOKUP($N468,Capa!$A:$AE,AP$5,0)),0),IF(ISERROR(1/VLOOKUP($N468,Capa!$A:$AE,AP$5,0)),0,1/VLOOKUP($N468,Capa!$A:$AE,AP$5,0))))</f>
        <v>-0.4510174114</v>
      </c>
      <c r="AQ468" s="118">
        <f>IF(AQ$6="","",IF(AQ$3="Maior",IFERROR(IF(VLOOKUP($N468,Capa!$A:$AE,AQ$5,0)="",0,VLOOKUP($N468,Capa!$A:$AE,AQ$5,0)),0),IF(ISERROR(1/VLOOKUP($N468,Capa!$A:$AE,AQ$5,0)),0,1/VLOOKUP($N468,Capa!$A:$AE,AQ$5,0))))</f>
        <v>-17.06</v>
      </c>
      <c r="AR468" s="118">
        <f>IF(AR$6="","",IF(AR$3="Maior",IFERROR(IF(VLOOKUP($N468,Capa!$A:$AE,AR$5,0)="",0,VLOOKUP($N468,Capa!$A:$AE,AR$5,0)),0),IF(ISERROR(1/VLOOKUP($N468,Capa!$A:$AE,AR$5,0)),0,1/VLOOKUP($N468,Capa!$A:$AE,AR$5,0))))</f>
        <v>0</v>
      </c>
      <c r="AS468" s="118" t="str">
        <f>IF(AS$6="","",IF(AS$3="Maior",IFERROR(IF(VLOOKUP($N468,Capa!$A:$AE,AS$5,0)="",0,VLOOKUP($N468,Capa!$A:$AE,AS$5,0)),0),IF(ISERROR(1/VLOOKUP($N468,Capa!$A:$AE,AS$5,0)),0,1/VLOOKUP($N468,Capa!$A:$AE,AS$5,0))))</f>
        <v/>
      </c>
      <c r="AT468" s="118" t="str">
        <f>IF(AT$6="","",IF(AT$3="Maior",IFERROR(IF(VLOOKUP($N468,Capa!$A:$AE,AT$5,0)="",0,VLOOKUP($N468,Capa!$A:$AE,AT$5,0)),0),IF(ISERROR(1/VLOOKUP($N468,Capa!$A:$AE,AT$5,0)),0,1/VLOOKUP($N468,Capa!$A:$AE,AT$5,0))))</f>
        <v/>
      </c>
      <c r="AU468" s="118" t="str">
        <f>IF(AU$6="","",IF(AU$3="Maior",IFERROR(IF(VLOOKUP($N468,Capa!$A:$AE,AU$5,0)="",0,VLOOKUP($N468,Capa!$A:$AE,AU$5,0)),0),IF(ISERROR(1/VLOOKUP($N468,Capa!$A:$AE,AU$5,0)),0,1/VLOOKUP($N468,Capa!$A:$AE,AU$5,0))))</f>
        <v/>
      </c>
      <c r="AV468" s="118" t="str">
        <f>IF(AV$6="","",IF(AV$3="Maior",IFERROR(IF(VLOOKUP($N468,Capa!$A:$AE,AV$5,0)="",0,VLOOKUP($N468,Capa!$A:$AE,AV$5,0)),0),IF(ISERROR(1/VLOOKUP($N468,Capa!$A:$AE,AV$5,0)),0,1/VLOOKUP($N468,Capa!$A:$AE,AV$5,0))))</f>
        <v/>
      </c>
      <c r="AW468" s="118" t="str">
        <f>IF(AW$6="","",IF(AW$3="Maior",IFERROR(IF(VLOOKUP($N468,Capa!$A:$AE,AW$5,0)="",0,VLOOKUP($N468,Capa!$A:$AE,AW$5,0)),0),IF(ISERROR(1/VLOOKUP($N468,Capa!$A:$AE,AW$5,0)),0,1/VLOOKUP($N468,Capa!$A:$AE,AW$5,0))))</f>
        <v/>
      </c>
      <c r="AX468" s="118" t="str">
        <f>IF(AX$6="","",IF(AX$3="Maior",IFERROR(IF(VLOOKUP($N468,Capa!$A:$AE,AX$5,0)="",0,VLOOKUP($N468,Capa!$A:$AE,AX$5,0)),0),IF(ISERROR(1/VLOOKUP($N468,Capa!$A:$AE,AX$5,0)),0,1/VLOOKUP($N468,Capa!$A:$AE,AX$5,0))))</f>
        <v/>
      </c>
      <c r="AY468" s="118" t="str">
        <f>IF(AY$6="","",IF(AY$3="Maior",IFERROR(IF(VLOOKUP($N468,Capa!$A:$AE,AY$5,0)="",0,VLOOKUP($N468,Capa!$A:$AE,AY$5,0)),0),IF(ISERROR(1/VLOOKUP($N468,Capa!$A:$AE,AY$5,0)),0,1/VLOOKUP($N468,Capa!$A:$AE,AY$5,0))))</f>
        <v/>
      </c>
      <c r="AZ468" s="118" t="str">
        <f>IF(AZ$6="","",IF(AZ$3="Maior",IFERROR(IF(VLOOKUP($N468,Capa!$A:$AE,AZ$5,0)="",0,VLOOKUP($N468,Capa!$A:$AE,AZ$5,0)),0),IF(ISERROR(1/VLOOKUP($N468,Capa!$A:$AE,AZ$5,0)),0,1/VLOOKUP($N468,Capa!$A:$AE,AZ$5,0))))</f>
        <v/>
      </c>
      <c r="BA468" s="118" t="str">
        <f>IF(BA$6="","",IF(BA$3="Maior",IFERROR(IF(VLOOKUP($N468,Capa!$A:$AE,BA$5,0)="",0,VLOOKUP($N468,Capa!$A:$AE,BA$5,0)),0),IF(ISERROR(1/VLOOKUP($N468,Capa!$A:$AE,BA$5,0)),0,1/VLOOKUP($N468,Capa!$A:$AE,BA$5,0))))</f>
        <v/>
      </c>
      <c r="BB468" s="118" t="str">
        <f>IF(BB$6="","",IF(BB$3="Maior",IFERROR(IF(VLOOKUP($N468,Capa!$A:$AE,BB$5,0)="",0,VLOOKUP($N468,Capa!$A:$AE,BB$5,0)),0),IF(ISERROR(1/VLOOKUP($N468,Capa!$A:$AE,BB$5,0)),0,1/VLOOKUP($N468,Capa!$A:$AE,BB$5,0))))</f>
        <v/>
      </c>
      <c r="BC468" s="118" t="str">
        <f>IF(BC$6="","",IF(BC$3="Maior",IFERROR(IF(VLOOKUP($N468,Capa!$A:$AE,BC$5,0)="",0,VLOOKUP($N468,Capa!$A:$AE,BC$5,0)),0),IF(ISERROR(1/VLOOKUP($N468,Capa!$A:$AE,BC$5,0)),0,1/VLOOKUP($N468,Capa!$A:$AE,BC$5,0))))</f>
        <v/>
      </c>
      <c r="BD468" s="118" t="str">
        <f>IF(BD$6="","",IF(BD$3="Maior",IFERROR(IF(VLOOKUP($N468,Capa!$A:$AE,BD$5,0)="",0,VLOOKUP($N468,Capa!$A:$AE,BD$5,0)),0),IF(ISERROR(1/VLOOKUP($N468,Capa!$A:$AE,BD$5,0)),0,1/VLOOKUP($N468,Capa!$A:$AE,BD$5,0))))</f>
        <v/>
      </c>
      <c r="BE468" s="118" t="str">
        <f>IF(BE$6="","",IF(BE$3="Maior",IFERROR(IF(VLOOKUP($N468,Capa!$A:$AE,BE$5,0)="",0,VLOOKUP($N468,Capa!$A:$AE,BE$5,0)),0),IF(ISERROR(1/VLOOKUP($N468,Capa!$A:$AE,BE$5,0)),0,1/VLOOKUP($N468,Capa!$A:$AE,BE$5,0))))</f>
        <v/>
      </c>
      <c r="BF468" s="118" t="str">
        <f>IF(BF$6="","",IF(BF$3="Maior",IFERROR(IF(VLOOKUP($N468,Capa!$A:$AE,BF$5,0)="",0,VLOOKUP($N468,Capa!$A:$AE,BF$5,0)),0),IF(ISERROR(1/VLOOKUP($N468,Capa!$A:$AE,BF$5,0)),0,1/VLOOKUP($N468,Capa!$A:$AE,BF$5,0))))</f>
        <v/>
      </c>
      <c r="BG468" s="118" t="str">
        <f>IF(BG$6="","",IF(BG$3="Maior",IFERROR(IF(VLOOKUP($N468,Capa!$A:$AE,BG$5,0)="",0,VLOOKUP($N468,Capa!$A:$AE,BG$5,0)),0),IF(ISERROR(1/VLOOKUP($N468,Capa!$A:$AE,BG$5,0)),0,1/VLOOKUP($N468,Capa!$A:$AE,BG$5,0))))</f>
        <v/>
      </c>
      <c r="BH468" s="118" t="str">
        <f>IF(BH$6="","",IF(BH$3="Maior",IFERROR(IF(VLOOKUP($N468,Capa!$A:$AE,BH$5,0)="",0,VLOOKUP($N468,Capa!$A:$AE,BH$5,0)),0),IF(ISERROR(1/VLOOKUP($N468,Capa!$A:$AE,BH$5,0)),0,1/VLOOKUP($N468,Capa!$A:$AE,BH$5,0))))</f>
        <v/>
      </c>
      <c r="BI468" s="118" t="str">
        <f>IF(BI$6="","",IF(BI$3="Maior",IFERROR(IF(VLOOKUP($N468,Capa!$A:$AE,BI$5,0)="",0,VLOOKUP($N468,Capa!$A:$AE,BI$5,0)),0),IF(ISERROR(1/VLOOKUP($N468,Capa!$A:$AE,BI$5,0)),0,1/VLOOKUP($N468,Capa!$A:$AE,BI$5,0))))</f>
        <v/>
      </c>
      <c r="BJ468" s="118" t="str">
        <f>IF(BJ$6="","",IF(BJ$3="Maior",IFERROR(IF(VLOOKUP($N468,Capa!$A:$AE,BJ$5,0)="",0,VLOOKUP($N468,Capa!$A:$AE,BJ$5,0)),0),IF(ISERROR(1/VLOOKUP($N468,Capa!$A:$AE,BJ$5,0)),0,1/VLOOKUP($N468,Capa!$A:$AE,BJ$5,0))))</f>
        <v/>
      </c>
      <c r="BK468" s="118" t="str">
        <f>IF(BK$6="","",IF(BK$3="Maior",IFERROR(IF(VLOOKUP($N468,Capa!$A:$AE,BK$5,0)="",0,VLOOKUP($N468,Capa!$A:$AE,BK$5,0)),0),IF(ISERROR(1/VLOOKUP($N468,Capa!$A:$AE,BK$5,0)),0,1/VLOOKUP($N468,Capa!$A:$AE,BK$5,0))))</f>
        <v/>
      </c>
      <c r="BL468" s="118" t="str">
        <f>IF(BL$6="","",IF(BL$3="Maior",IFERROR(IF(VLOOKUP($N468,Capa!$A:$AE,BL$5,0)="",0,VLOOKUP($N468,Capa!$A:$AE,BL$5,0)),0),IF(ISERROR(1/VLOOKUP($N468,Capa!$A:$AE,BL$5,0)),0,1/VLOOKUP($N468,Capa!$A:$AE,BL$5,0))))</f>
        <v/>
      </c>
      <c r="BM468" s="118" t="str">
        <f>IF(BM$6="","",IF(BM$3="Maior",IFERROR(IF(VLOOKUP($N468,Capa!$A:$AE,BM$5,0)="",0,VLOOKUP($N468,Capa!$A:$AE,BM$5,0)),0),IF(ISERROR(1/VLOOKUP($N468,Capa!$A:$AE,BM$5,0)),0,1/VLOOKUP($N468,Capa!$A:$AE,BM$5,0))))</f>
        <v/>
      </c>
      <c r="BN468" s="118" t="str">
        <f>IF(BN$6="","",IF(BN$3="Maior",IFERROR(IF(VLOOKUP($N468,Capa!$A:$AE,BN$5,0)="",0,VLOOKUP($N468,Capa!$A:$AE,BN$5,0)),0),IF(ISERROR(1/VLOOKUP($N468,Capa!$A:$AE,BN$5,0)),0,1/VLOOKUP($N468,Capa!$A:$AE,BN$5,0))))</f>
        <v/>
      </c>
      <c r="BO468" s="92"/>
    </row>
    <row r="469">
      <c r="I469" s="73"/>
      <c r="J469" s="74"/>
      <c r="N469" s="10" t="s">
        <v>515</v>
      </c>
      <c r="O469" s="113">
        <f t="shared" si="8"/>
        <v>2132.0293</v>
      </c>
      <c r="P469" s="114">
        <f>VLOOKUP(N469,'Dados StatusInvest'!A:Z,26,0)</f>
        <v>2225</v>
      </c>
      <c r="Q469" s="115">
        <f t="shared" si="9"/>
        <v>293.0293</v>
      </c>
      <c r="R469" s="116">
        <f t="shared" ref="R469:AO469" si="472">IF(AQ469="","", RANK(AQ469,AQ$7:AQ$503,0))</f>
        <v>375</v>
      </c>
      <c r="S469" s="115">
        <f t="shared" si="472"/>
        <v>464</v>
      </c>
      <c r="T469" s="115" t="str">
        <f t="shared" si="472"/>
        <v/>
      </c>
      <c r="U469" s="115" t="str">
        <f t="shared" si="472"/>
        <v/>
      </c>
      <c r="V469" s="115" t="str">
        <f t="shared" si="472"/>
        <v/>
      </c>
      <c r="W469" s="115" t="str">
        <f t="shared" si="472"/>
        <v/>
      </c>
      <c r="X469" s="115" t="str">
        <f t="shared" si="472"/>
        <v/>
      </c>
      <c r="Y469" s="115" t="str">
        <f t="shared" si="472"/>
        <v/>
      </c>
      <c r="Z469" s="115" t="str">
        <f t="shared" si="472"/>
        <v/>
      </c>
      <c r="AA469" s="115" t="str">
        <f t="shared" si="472"/>
        <v/>
      </c>
      <c r="AB469" s="115" t="str">
        <f t="shared" si="472"/>
        <v/>
      </c>
      <c r="AC469" s="115" t="str">
        <f t="shared" si="472"/>
        <v/>
      </c>
      <c r="AD469" s="115" t="str">
        <f t="shared" si="472"/>
        <v/>
      </c>
      <c r="AE469" s="115" t="str">
        <f t="shared" si="472"/>
        <v/>
      </c>
      <c r="AF469" s="115" t="str">
        <f t="shared" si="472"/>
        <v/>
      </c>
      <c r="AG469" s="115" t="str">
        <f t="shared" si="472"/>
        <v/>
      </c>
      <c r="AH469" s="115" t="str">
        <f t="shared" si="472"/>
        <v/>
      </c>
      <c r="AI469" s="115" t="str">
        <f t="shared" si="472"/>
        <v/>
      </c>
      <c r="AJ469" s="115" t="str">
        <f t="shared" si="472"/>
        <v/>
      </c>
      <c r="AK469" s="115" t="str">
        <f t="shared" si="472"/>
        <v/>
      </c>
      <c r="AL469" s="115" t="str">
        <f t="shared" si="472"/>
        <v/>
      </c>
      <c r="AM469" s="115" t="str">
        <f t="shared" si="472"/>
        <v/>
      </c>
      <c r="AN469" s="115" t="str">
        <f t="shared" si="472"/>
        <v/>
      </c>
      <c r="AO469" s="115" t="str">
        <f t="shared" si="472"/>
        <v/>
      </c>
      <c r="AP469" s="117">
        <f>IF(AP$6="","",IF(AP$3="Maior",IFERROR(IF(VLOOKUP($N469,Capa!$A:$AE,AP$5,0)="",0,VLOOKUP($N469,Capa!$A:$AE,AP$5,0)),0),IF(ISERROR(1/VLOOKUP($N469,Capa!$A:$AE,AP$5,0)),0,1/VLOOKUP($N469,Capa!$A:$AE,AP$5,0))))</f>
        <v>0.05847953216</v>
      </c>
      <c r="AQ469" s="118">
        <f>IF(AQ$6="","",IF(AQ$3="Maior",IFERROR(IF(VLOOKUP($N469,Capa!$A:$AE,AQ$5,0)="",0,VLOOKUP($N469,Capa!$A:$AE,AQ$5,0)),0),IF(ISERROR(1/VLOOKUP($N469,Capa!$A:$AE,AQ$5,0)),0,1/VLOOKUP($N469,Capa!$A:$AE,AQ$5,0))))</f>
        <v>0</v>
      </c>
      <c r="AR469" s="118">
        <f>IF(AR$6="","",IF(AR$3="Maior",IFERROR(IF(VLOOKUP($N469,Capa!$A:$AE,AR$5,0)="",0,VLOOKUP($N469,Capa!$A:$AE,AR$5,0)),0),IF(ISERROR(1/VLOOKUP($N469,Capa!$A:$AE,AR$5,0)),0,1/VLOOKUP($N469,Capa!$A:$AE,AR$5,0))))</f>
        <v>-1.49</v>
      </c>
      <c r="AS469" s="118" t="str">
        <f>IF(AS$6="","",IF(AS$3="Maior",IFERROR(IF(VLOOKUP($N469,Capa!$A:$AE,AS$5,0)="",0,VLOOKUP($N469,Capa!$A:$AE,AS$5,0)),0),IF(ISERROR(1/VLOOKUP($N469,Capa!$A:$AE,AS$5,0)),0,1/VLOOKUP($N469,Capa!$A:$AE,AS$5,0))))</f>
        <v/>
      </c>
      <c r="AT469" s="118" t="str">
        <f>IF(AT$6="","",IF(AT$3="Maior",IFERROR(IF(VLOOKUP($N469,Capa!$A:$AE,AT$5,0)="",0,VLOOKUP($N469,Capa!$A:$AE,AT$5,0)),0),IF(ISERROR(1/VLOOKUP($N469,Capa!$A:$AE,AT$5,0)),0,1/VLOOKUP($N469,Capa!$A:$AE,AT$5,0))))</f>
        <v/>
      </c>
      <c r="AU469" s="118" t="str">
        <f>IF(AU$6="","",IF(AU$3="Maior",IFERROR(IF(VLOOKUP($N469,Capa!$A:$AE,AU$5,0)="",0,VLOOKUP($N469,Capa!$A:$AE,AU$5,0)),0),IF(ISERROR(1/VLOOKUP($N469,Capa!$A:$AE,AU$5,0)),0,1/VLOOKUP($N469,Capa!$A:$AE,AU$5,0))))</f>
        <v/>
      </c>
      <c r="AV469" s="118" t="str">
        <f>IF(AV$6="","",IF(AV$3="Maior",IFERROR(IF(VLOOKUP($N469,Capa!$A:$AE,AV$5,0)="",0,VLOOKUP($N469,Capa!$A:$AE,AV$5,0)),0),IF(ISERROR(1/VLOOKUP($N469,Capa!$A:$AE,AV$5,0)),0,1/VLOOKUP($N469,Capa!$A:$AE,AV$5,0))))</f>
        <v/>
      </c>
      <c r="AW469" s="118" t="str">
        <f>IF(AW$6="","",IF(AW$3="Maior",IFERROR(IF(VLOOKUP($N469,Capa!$A:$AE,AW$5,0)="",0,VLOOKUP($N469,Capa!$A:$AE,AW$5,0)),0),IF(ISERROR(1/VLOOKUP($N469,Capa!$A:$AE,AW$5,0)),0,1/VLOOKUP($N469,Capa!$A:$AE,AW$5,0))))</f>
        <v/>
      </c>
      <c r="AX469" s="118" t="str">
        <f>IF(AX$6="","",IF(AX$3="Maior",IFERROR(IF(VLOOKUP($N469,Capa!$A:$AE,AX$5,0)="",0,VLOOKUP($N469,Capa!$A:$AE,AX$5,0)),0),IF(ISERROR(1/VLOOKUP($N469,Capa!$A:$AE,AX$5,0)),0,1/VLOOKUP($N469,Capa!$A:$AE,AX$5,0))))</f>
        <v/>
      </c>
      <c r="AY469" s="118" t="str">
        <f>IF(AY$6="","",IF(AY$3="Maior",IFERROR(IF(VLOOKUP($N469,Capa!$A:$AE,AY$5,0)="",0,VLOOKUP($N469,Capa!$A:$AE,AY$5,0)),0),IF(ISERROR(1/VLOOKUP($N469,Capa!$A:$AE,AY$5,0)),0,1/VLOOKUP($N469,Capa!$A:$AE,AY$5,0))))</f>
        <v/>
      </c>
      <c r="AZ469" s="118" t="str">
        <f>IF(AZ$6="","",IF(AZ$3="Maior",IFERROR(IF(VLOOKUP($N469,Capa!$A:$AE,AZ$5,0)="",0,VLOOKUP($N469,Capa!$A:$AE,AZ$5,0)),0),IF(ISERROR(1/VLOOKUP($N469,Capa!$A:$AE,AZ$5,0)),0,1/VLOOKUP($N469,Capa!$A:$AE,AZ$5,0))))</f>
        <v/>
      </c>
      <c r="BA469" s="118" t="str">
        <f>IF(BA$6="","",IF(BA$3="Maior",IFERROR(IF(VLOOKUP($N469,Capa!$A:$AE,BA$5,0)="",0,VLOOKUP($N469,Capa!$A:$AE,BA$5,0)),0),IF(ISERROR(1/VLOOKUP($N469,Capa!$A:$AE,BA$5,0)),0,1/VLOOKUP($N469,Capa!$A:$AE,BA$5,0))))</f>
        <v/>
      </c>
      <c r="BB469" s="118" t="str">
        <f>IF(BB$6="","",IF(BB$3="Maior",IFERROR(IF(VLOOKUP($N469,Capa!$A:$AE,BB$5,0)="",0,VLOOKUP($N469,Capa!$A:$AE,BB$5,0)),0),IF(ISERROR(1/VLOOKUP($N469,Capa!$A:$AE,BB$5,0)),0,1/VLOOKUP($N469,Capa!$A:$AE,BB$5,0))))</f>
        <v/>
      </c>
      <c r="BC469" s="118" t="str">
        <f>IF(BC$6="","",IF(BC$3="Maior",IFERROR(IF(VLOOKUP($N469,Capa!$A:$AE,BC$5,0)="",0,VLOOKUP($N469,Capa!$A:$AE,BC$5,0)),0),IF(ISERROR(1/VLOOKUP($N469,Capa!$A:$AE,BC$5,0)),0,1/VLOOKUP($N469,Capa!$A:$AE,BC$5,0))))</f>
        <v/>
      </c>
      <c r="BD469" s="118" t="str">
        <f>IF(BD$6="","",IF(BD$3="Maior",IFERROR(IF(VLOOKUP($N469,Capa!$A:$AE,BD$5,0)="",0,VLOOKUP($N469,Capa!$A:$AE,BD$5,0)),0),IF(ISERROR(1/VLOOKUP($N469,Capa!$A:$AE,BD$5,0)),0,1/VLOOKUP($N469,Capa!$A:$AE,BD$5,0))))</f>
        <v/>
      </c>
      <c r="BE469" s="118" t="str">
        <f>IF(BE$6="","",IF(BE$3="Maior",IFERROR(IF(VLOOKUP($N469,Capa!$A:$AE,BE$5,0)="",0,VLOOKUP($N469,Capa!$A:$AE,BE$5,0)),0),IF(ISERROR(1/VLOOKUP($N469,Capa!$A:$AE,BE$5,0)),0,1/VLOOKUP($N469,Capa!$A:$AE,BE$5,0))))</f>
        <v/>
      </c>
      <c r="BF469" s="118" t="str">
        <f>IF(BF$6="","",IF(BF$3="Maior",IFERROR(IF(VLOOKUP($N469,Capa!$A:$AE,BF$5,0)="",0,VLOOKUP($N469,Capa!$A:$AE,BF$5,0)),0),IF(ISERROR(1/VLOOKUP($N469,Capa!$A:$AE,BF$5,0)),0,1/VLOOKUP($N469,Capa!$A:$AE,BF$5,0))))</f>
        <v/>
      </c>
      <c r="BG469" s="118" t="str">
        <f>IF(BG$6="","",IF(BG$3="Maior",IFERROR(IF(VLOOKUP($N469,Capa!$A:$AE,BG$5,0)="",0,VLOOKUP($N469,Capa!$A:$AE,BG$5,0)),0),IF(ISERROR(1/VLOOKUP($N469,Capa!$A:$AE,BG$5,0)),0,1/VLOOKUP($N469,Capa!$A:$AE,BG$5,0))))</f>
        <v/>
      </c>
      <c r="BH469" s="118" t="str">
        <f>IF(BH$6="","",IF(BH$3="Maior",IFERROR(IF(VLOOKUP($N469,Capa!$A:$AE,BH$5,0)="",0,VLOOKUP($N469,Capa!$A:$AE,BH$5,0)),0),IF(ISERROR(1/VLOOKUP($N469,Capa!$A:$AE,BH$5,0)),0,1/VLOOKUP($N469,Capa!$A:$AE,BH$5,0))))</f>
        <v/>
      </c>
      <c r="BI469" s="118" t="str">
        <f>IF(BI$6="","",IF(BI$3="Maior",IFERROR(IF(VLOOKUP($N469,Capa!$A:$AE,BI$5,0)="",0,VLOOKUP($N469,Capa!$A:$AE,BI$5,0)),0),IF(ISERROR(1/VLOOKUP($N469,Capa!$A:$AE,BI$5,0)),0,1/VLOOKUP($N469,Capa!$A:$AE,BI$5,0))))</f>
        <v/>
      </c>
      <c r="BJ469" s="118" t="str">
        <f>IF(BJ$6="","",IF(BJ$3="Maior",IFERROR(IF(VLOOKUP($N469,Capa!$A:$AE,BJ$5,0)="",0,VLOOKUP($N469,Capa!$A:$AE,BJ$5,0)),0),IF(ISERROR(1/VLOOKUP($N469,Capa!$A:$AE,BJ$5,0)),0,1/VLOOKUP($N469,Capa!$A:$AE,BJ$5,0))))</f>
        <v/>
      </c>
      <c r="BK469" s="118" t="str">
        <f>IF(BK$6="","",IF(BK$3="Maior",IFERROR(IF(VLOOKUP($N469,Capa!$A:$AE,BK$5,0)="",0,VLOOKUP($N469,Capa!$A:$AE,BK$5,0)),0),IF(ISERROR(1/VLOOKUP($N469,Capa!$A:$AE,BK$5,0)),0,1/VLOOKUP($N469,Capa!$A:$AE,BK$5,0))))</f>
        <v/>
      </c>
      <c r="BL469" s="118" t="str">
        <f>IF(BL$6="","",IF(BL$3="Maior",IFERROR(IF(VLOOKUP($N469,Capa!$A:$AE,BL$5,0)="",0,VLOOKUP($N469,Capa!$A:$AE,BL$5,0)),0),IF(ISERROR(1/VLOOKUP($N469,Capa!$A:$AE,BL$5,0)),0,1/VLOOKUP($N469,Capa!$A:$AE,BL$5,0))))</f>
        <v/>
      </c>
      <c r="BM469" s="118" t="str">
        <f>IF(BM$6="","",IF(BM$3="Maior",IFERROR(IF(VLOOKUP($N469,Capa!$A:$AE,BM$5,0)="",0,VLOOKUP($N469,Capa!$A:$AE,BM$5,0)),0),IF(ISERROR(1/VLOOKUP($N469,Capa!$A:$AE,BM$5,0)),0,1/VLOOKUP($N469,Capa!$A:$AE,BM$5,0))))</f>
        <v/>
      </c>
      <c r="BN469" s="118" t="str">
        <f>IF(BN$6="","",IF(BN$3="Maior",IFERROR(IF(VLOOKUP($N469,Capa!$A:$AE,BN$5,0)="",0,VLOOKUP($N469,Capa!$A:$AE,BN$5,0)),0),IF(ISERROR(1/VLOOKUP($N469,Capa!$A:$AE,BN$5,0)),0,1/VLOOKUP($N469,Capa!$A:$AE,BN$5,0))))</f>
        <v/>
      </c>
      <c r="BO469" s="92"/>
    </row>
    <row r="470">
      <c r="I470" s="73"/>
      <c r="J470" s="74"/>
      <c r="N470" s="10" t="s">
        <v>516</v>
      </c>
      <c r="O470" s="113">
        <f t="shared" si="8"/>
        <v>1799.021</v>
      </c>
      <c r="P470" s="114">
        <f>VLOOKUP(N470,'Dados StatusInvest'!A:Z,26,0)</f>
        <v>6588.5</v>
      </c>
      <c r="Q470" s="115">
        <f t="shared" si="9"/>
        <v>210.021</v>
      </c>
      <c r="R470" s="116">
        <f t="shared" ref="R470:AO470" si="473">IF(AQ470="","", RANK(AQ470,AQ$7:AQ$503,0))</f>
        <v>375</v>
      </c>
      <c r="S470" s="115">
        <f t="shared" si="473"/>
        <v>214</v>
      </c>
      <c r="T470" s="115" t="str">
        <f t="shared" si="473"/>
        <v/>
      </c>
      <c r="U470" s="115" t="str">
        <f t="shared" si="473"/>
        <v/>
      </c>
      <c r="V470" s="115" t="str">
        <f t="shared" si="473"/>
        <v/>
      </c>
      <c r="W470" s="115" t="str">
        <f t="shared" si="473"/>
        <v/>
      </c>
      <c r="X470" s="115" t="str">
        <f t="shared" si="473"/>
        <v/>
      </c>
      <c r="Y470" s="115" t="str">
        <f t="shared" si="473"/>
        <v/>
      </c>
      <c r="Z470" s="115" t="str">
        <f t="shared" si="473"/>
        <v/>
      </c>
      <c r="AA470" s="115" t="str">
        <f t="shared" si="473"/>
        <v/>
      </c>
      <c r="AB470" s="115" t="str">
        <f t="shared" si="473"/>
        <v/>
      </c>
      <c r="AC470" s="115" t="str">
        <f t="shared" si="473"/>
        <v/>
      </c>
      <c r="AD470" s="115" t="str">
        <f t="shared" si="473"/>
        <v/>
      </c>
      <c r="AE470" s="115" t="str">
        <f t="shared" si="473"/>
        <v/>
      </c>
      <c r="AF470" s="115" t="str">
        <f t="shared" si="473"/>
        <v/>
      </c>
      <c r="AG470" s="115" t="str">
        <f t="shared" si="473"/>
        <v/>
      </c>
      <c r="AH470" s="115" t="str">
        <f t="shared" si="473"/>
        <v/>
      </c>
      <c r="AI470" s="115" t="str">
        <f t="shared" si="473"/>
        <v/>
      </c>
      <c r="AJ470" s="115" t="str">
        <f t="shared" si="473"/>
        <v/>
      </c>
      <c r="AK470" s="115" t="str">
        <f t="shared" si="473"/>
        <v/>
      </c>
      <c r="AL470" s="115" t="str">
        <f t="shared" si="473"/>
        <v/>
      </c>
      <c r="AM470" s="115" t="str">
        <f t="shared" si="473"/>
        <v/>
      </c>
      <c r="AN470" s="115" t="str">
        <f t="shared" si="473"/>
        <v/>
      </c>
      <c r="AO470" s="115" t="str">
        <f t="shared" si="473"/>
        <v/>
      </c>
      <c r="AP470" s="117">
        <f>IF(AP$6="","",IF(AP$3="Maior",IFERROR(IF(VLOOKUP($N470,Capa!$A:$AE,AP$5,0)="",0,VLOOKUP($N470,Capa!$A:$AE,AP$5,0)),0),IF(ISERROR(1/VLOOKUP($N470,Capa!$A:$AE,AP$5,0)),0,1/VLOOKUP($N470,Capa!$A:$AE,AP$5,0))))</f>
        <v>0.1002004008</v>
      </c>
      <c r="AQ470" s="118">
        <f>IF(AQ$6="","",IF(AQ$3="Maior",IFERROR(IF(VLOOKUP($N470,Capa!$A:$AE,AQ$5,0)="",0,VLOOKUP($N470,Capa!$A:$AE,AQ$5,0)),0),IF(ISERROR(1/VLOOKUP($N470,Capa!$A:$AE,AQ$5,0)),0,1/VLOOKUP($N470,Capa!$A:$AE,AQ$5,0))))</f>
        <v>0</v>
      </c>
      <c r="AR470" s="118">
        <f>IF(AR$6="","",IF(AR$3="Maior",IFERROR(IF(VLOOKUP($N470,Capa!$A:$AE,AR$5,0)="",0,VLOOKUP($N470,Capa!$A:$AE,AR$5,0)),0),IF(ISERROR(1/VLOOKUP($N470,Capa!$A:$AE,AR$5,0)),0,1/VLOOKUP($N470,Capa!$A:$AE,AR$5,0))))</f>
        <v>0.35</v>
      </c>
      <c r="AS470" s="118" t="str">
        <f>IF(AS$6="","",IF(AS$3="Maior",IFERROR(IF(VLOOKUP($N470,Capa!$A:$AE,AS$5,0)="",0,VLOOKUP($N470,Capa!$A:$AE,AS$5,0)),0),IF(ISERROR(1/VLOOKUP($N470,Capa!$A:$AE,AS$5,0)),0,1/VLOOKUP($N470,Capa!$A:$AE,AS$5,0))))</f>
        <v/>
      </c>
      <c r="AT470" s="118" t="str">
        <f>IF(AT$6="","",IF(AT$3="Maior",IFERROR(IF(VLOOKUP($N470,Capa!$A:$AE,AT$5,0)="",0,VLOOKUP($N470,Capa!$A:$AE,AT$5,0)),0),IF(ISERROR(1/VLOOKUP($N470,Capa!$A:$AE,AT$5,0)),0,1/VLOOKUP($N470,Capa!$A:$AE,AT$5,0))))</f>
        <v/>
      </c>
      <c r="AU470" s="118" t="str">
        <f>IF(AU$6="","",IF(AU$3="Maior",IFERROR(IF(VLOOKUP($N470,Capa!$A:$AE,AU$5,0)="",0,VLOOKUP($N470,Capa!$A:$AE,AU$5,0)),0),IF(ISERROR(1/VLOOKUP($N470,Capa!$A:$AE,AU$5,0)),0,1/VLOOKUP($N470,Capa!$A:$AE,AU$5,0))))</f>
        <v/>
      </c>
      <c r="AV470" s="118" t="str">
        <f>IF(AV$6="","",IF(AV$3="Maior",IFERROR(IF(VLOOKUP($N470,Capa!$A:$AE,AV$5,0)="",0,VLOOKUP($N470,Capa!$A:$AE,AV$5,0)),0),IF(ISERROR(1/VLOOKUP($N470,Capa!$A:$AE,AV$5,0)),0,1/VLOOKUP($N470,Capa!$A:$AE,AV$5,0))))</f>
        <v/>
      </c>
      <c r="AW470" s="118" t="str">
        <f>IF(AW$6="","",IF(AW$3="Maior",IFERROR(IF(VLOOKUP($N470,Capa!$A:$AE,AW$5,0)="",0,VLOOKUP($N470,Capa!$A:$AE,AW$5,0)),0),IF(ISERROR(1/VLOOKUP($N470,Capa!$A:$AE,AW$5,0)),0,1/VLOOKUP($N470,Capa!$A:$AE,AW$5,0))))</f>
        <v/>
      </c>
      <c r="AX470" s="118" t="str">
        <f>IF(AX$6="","",IF(AX$3="Maior",IFERROR(IF(VLOOKUP($N470,Capa!$A:$AE,AX$5,0)="",0,VLOOKUP($N470,Capa!$A:$AE,AX$5,0)),0),IF(ISERROR(1/VLOOKUP($N470,Capa!$A:$AE,AX$5,0)),0,1/VLOOKUP($N470,Capa!$A:$AE,AX$5,0))))</f>
        <v/>
      </c>
      <c r="AY470" s="118" t="str">
        <f>IF(AY$6="","",IF(AY$3="Maior",IFERROR(IF(VLOOKUP($N470,Capa!$A:$AE,AY$5,0)="",0,VLOOKUP($N470,Capa!$A:$AE,AY$5,0)),0),IF(ISERROR(1/VLOOKUP($N470,Capa!$A:$AE,AY$5,0)),0,1/VLOOKUP($N470,Capa!$A:$AE,AY$5,0))))</f>
        <v/>
      </c>
      <c r="AZ470" s="118" t="str">
        <f>IF(AZ$6="","",IF(AZ$3="Maior",IFERROR(IF(VLOOKUP($N470,Capa!$A:$AE,AZ$5,0)="",0,VLOOKUP($N470,Capa!$A:$AE,AZ$5,0)),0),IF(ISERROR(1/VLOOKUP($N470,Capa!$A:$AE,AZ$5,0)),0,1/VLOOKUP($N470,Capa!$A:$AE,AZ$5,0))))</f>
        <v/>
      </c>
      <c r="BA470" s="118" t="str">
        <f>IF(BA$6="","",IF(BA$3="Maior",IFERROR(IF(VLOOKUP($N470,Capa!$A:$AE,BA$5,0)="",0,VLOOKUP($N470,Capa!$A:$AE,BA$5,0)),0),IF(ISERROR(1/VLOOKUP($N470,Capa!$A:$AE,BA$5,0)),0,1/VLOOKUP($N470,Capa!$A:$AE,BA$5,0))))</f>
        <v/>
      </c>
      <c r="BB470" s="118" t="str">
        <f>IF(BB$6="","",IF(BB$3="Maior",IFERROR(IF(VLOOKUP($N470,Capa!$A:$AE,BB$5,0)="",0,VLOOKUP($N470,Capa!$A:$AE,BB$5,0)),0),IF(ISERROR(1/VLOOKUP($N470,Capa!$A:$AE,BB$5,0)),0,1/VLOOKUP($N470,Capa!$A:$AE,BB$5,0))))</f>
        <v/>
      </c>
      <c r="BC470" s="118" t="str">
        <f>IF(BC$6="","",IF(BC$3="Maior",IFERROR(IF(VLOOKUP($N470,Capa!$A:$AE,BC$5,0)="",0,VLOOKUP($N470,Capa!$A:$AE,BC$5,0)),0),IF(ISERROR(1/VLOOKUP($N470,Capa!$A:$AE,BC$5,0)),0,1/VLOOKUP($N470,Capa!$A:$AE,BC$5,0))))</f>
        <v/>
      </c>
      <c r="BD470" s="118" t="str">
        <f>IF(BD$6="","",IF(BD$3="Maior",IFERROR(IF(VLOOKUP($N470,Capa!$A:$AE,BD$5,0)="",0,VLOOKUP($N470,Capa!$A:$AE,BD$5,0)),0),IF(ISERROR(1/VLOOKUP($N470,Capa!$A:$AE,BD$5,0)),0,1/VLOOKUP($N470,Capa!$A:$AE,BD$5,0))))</f>
        <v/>
      </c>
      <c r="BE470" s="118" t="str">
        <f>IF(BE$6="","",IF(BE$3="Maior",IFERROR(IF(VLOOKUP($N470,Capa!$A:$AE,BE$5,0)="",0,VLOOKUP($N470,Capa!$A:$AE,BE$5,0)),0),IF(ISERROR(1/VLOOKUP($N470,Capa!$A:$AE,BE$5,0)),0,1/VLOOKUP($N470,Capa!$A:$AE,BE$5,0))))</f>
        <v/>
      </c>
      <c r="BF470" s="118" t="str">
        <f>IF(BF$6="","",IF(BF$3="Maior",IFERROR(IF(VLOOKUP($N470,Capa!$A:$AE,BF$5,0)="",0,VLOOKUP($N470,Capa!$A:$AE,BF$5,0)),0),IF(ISERROR(1/VLOOKUP($N470,Capa!$A:$AE,BF$5,0)),0,1/VLOOKUP($N470,Capa!$A:$AE,BF$5,0))))</f>
        <v/>
      </c>
      <c r="BG470" s="118" t="str">
        <f>IF(BG$6="","",IF(BG$3="Maior",IFERROR(IF(VLOOKUP($N470,Capa!$A:$AE,BG$5,0)="",0,VLOOKUP($N470,Capa!$A:$AE,BG$5,0)),0),IF(ISERROR(1/VLOOKUP($N470,Capa!$A:$AE,BG$5,0)),0,1/VLOOKUP($N470,Capa!$A:$AE,BG$5,0))))</f>
        <v/>
      </c>
      <c r="BH470" s="118" t="str">
        <f>IF(BH$6="","",IF(BH$3="Maior",IFERROR(IF(VLOOKUP($N470,Capa!$A:$AE,BH$5,0)="",0,VLOOKUP($N470,Capa!$A:$AE,BH$5,0)),0),IF(ISERROR(1/VLOOKUP($N470,Capa!$A:$AE,BH$5,0)),0,1/VLOOKUP($N470,Capa!$A:$AE,BH$5,0))))</f>
        <v/>
      </c>
      <c r="BI470" s="118" t="str">
        <f>IF(BI$6="","",IF(BI$3="Maior",IFERROR(IF(VLOOKUP($N470,Capa!$A:$AE,BI$5,0)="",0,VLOOKUP($N470,Capa!$A:$AE,BI$5,0)),0),IF(ISERROR(1/VLOOKUP($N470,Capa!$A:$AE,BI$5,0)),0,1/VLOOKUP($N470,Capa!$A:$AE,BI$5,0))))</f>
        <v/>
      </c>
      <c r="BJ470" s="118" t="str">
        <f>IF(BJ$6="","",IF(BJ$3="Maior",IFERROR(IF(VLOOKUP($N470,Capa!$A:$AE,BJ$5,0)="",0,VLOOKUP($N470,Capa!$A:$AE,BJ$5,0)),0),IF(ISERROR(1/VLOOKUP($N470,Capa!$A:$AE,BJ$5,0)),0,1/VLOOKUP($N470,Capa!$A:$AE,BJ$5,0))))</f>
        <v/>
      </c>
      <c r="BK470" s="118" t="str">
        <f>IF(BK$6="","",IF(BK$3="Maior",IFERROR(IF(VLOOKUP($N470,Capa!$A:$AE,BK$5,0)="",0,VLOOKUP($N470,Capa!$A:$AE,BK$5,0)),0),IF(ISERROR(1/VLOOKUP($N470,Capa!$A:$AE,BK$5,0)),0,1/VLOOKUP($N470,Capa!$A:$AE,BK$5,0))))</f>
        <v/>
      </c>
      <c r="BL470" s="118" t="str">
        <f>IF(BL$6="","",IF(BL$3="Maior",IFERROR(IF(VLOOKUP($N470,Capa!$A:$AE,BL$5,0)="",0,VLOOKUP($N470,Capa!$A:$AE,BL$5,0)),0),IF(ISERROR(1/VLOOKUP($N470,Capa!$A:$AE,BL$5,0)),0,1/VLOOKUP($N470,Capa!$A:$AE,BL$5,0))))</f>
        <v/>
      </c>
      <c r="BM470" s="118" t="str">
        <f>IF(BM$6="","",IF(BM$3="Maior",IFERROR(IF(VLOOKUP($N470,Capa!$A:$AE,BM$5,0)="",0,VLOOKUP($N470,Capa!$A:$AE,BM$5,0)),0),IF(ISERROR(1/VLOOKUP($N470,Capa!$A:$AE,BM$5,0)),0,1/VLOOKUP($N470,Capa!$A:$AE,BM$5,0))))</f>
        <v/>
      </c>
      <c r="BN470" s="118" t="str">
        <f>IF(BN$6="","",IF(BN$3="Maior",IFERROR(IF(VLOOKUP($N470,Capa!$A:$AE,BN$5,0)="",0,VLOOKUP($N470,Capa!$A:$AE,BN$5,0)),0),IF(ISERROR(1/VLOOKUP($N470,Capa!$A:$AE,BN$5,0)),0,1/VLOOKUP($N470,Capa!$A:$AE,BN$5,0))))</f>
        <v/>
      </c>
      <c r="BO470" s="92"/>
    </row>
    <row r="471">
      <c r="I471" s="73"/>
      <c r="J471" s="74"/>
      <c r="N471" s="10" t="s">
        <v>517</v>
      </c>
      <c r="O471" s="113">
        <f t="shared" si="8"/>
        <v>2004.041</v>
      </c>
      <c r="P471" s="114">
        <f>VLOOKUP(N471,'Dados StatusInvest'!A:Z,26,0)</f>
        <v>4877.58</v>
      </c>
      <c r="Q471" s="115">
        <f t="shared" si="9"/>
        <v>410.041</v>
      </c>
      <c r="R471" s="116">
        <f t="shared" ref="R471:AO471" si="474">IF(AQ471="","", RANK(AQ471,AQ$7:AQ$503,0))</f>
        <v>375</v>
      </c>
      <c r="S471" s="115">
        <f t="shared" si="474"/>
        <v>219</v>
      </c>
      <c r="T471" s="115" t="str">
        <f t="shared" si="474"/>
        <v/>
      </c>
      <c r="U471" s="115" t="str">
        <f t="shared" si="474"/>
        <v/>
      </c>
      <c r="V471" s="115" t="str">
        <f t="shared" si="474"/>
        <v/>
      </c>
      <c r="W471" s="115" t="str">
        <f t="shared" si="474"/>
        <v/>
      </c>
      <c r="X471" s="115" t="str">
        <f t="shared" si="474"/>
        <v/>
      </c>
      <c r="Y471" s="115" t="str">
        <f t="shared" si="474"/>
        <v/>
      </c>
      <c r="Z471" s="115" t="str">
        <f t="shared" si="474"/>
        <v/>
      </c>
      <c r="AA471" s="115" t="str">
        <f t="shared" si="474"/>
        <v/>
      </c>
      <c r="AB471" s="115" t="str">
        <f t="shared" si="474"/>
        <v/>
      </c>
      <c r="AC471" s="115" t="str">
        <f t="shared" si="474"/>
        <v/>
      </c>
      <c r="AD471" s="115" t="str">
        <f t="shared" si="474"/>
        <v/>
      </c>
      <c r="AE471" s="115" t="str">
        <f t="shared" si="474"/>
        <v/>
      </c>
      <c r="AF471" s="115" t="str">
        <f t="shared" si="474"/>
        <v/>
      </c>
      <c r="AG471" s="115" t="str">
        <f t="shared" si="474"/>
        <v/>
      </c>
      <c r="AH471" s="115" t="str">
        <f t="shared" si="474"/>
        <v/>
      </c>
      <c r="AI471" s="115" t="str">
        <f t="shared" si="474"/>
        <v/>
      </c>
      <c r="AJ471" s="115" t="str">
        <f t="shared" si="474"/>
        <v/>
      </c>
      <c r="AK471" s="115" t="str">
        <f t="shared" si="474"/>
        <v/>
      </c>
      <c r="AL471" s="115" t="str">
        <f t="shared" si="474"/>
        <v/>
      </c>
      <c r="AM471" s="115" t="str">
        <f t="shared" si="474"/>
        <v/>
      </c>
      <c r="AN471" s="115" t="str">
        <f t="shared" si="474"/>
        <v/>
      </c>
      <c r="AO471" s="115" t="str">
        <f t="shared" si="474"/>
        <v/>
      </c>
      <c r="AP471" s="117">
        <f>IF(AP$6="","",IF(AP$3="Maior",IFERROR(IF(VLOOKUP($N471,Capa!$A:$AE,AP$5,0)="",0,VLOOKUP($N471,Capa!$A:$AE,AP$5,0)),0),IF(ISERROR(1/VLOOKUP($N471,Capa!$A:$AE,AP$5,0)),0,1/VLOOKUP($N471,Capa!$A:$AE,AP$5,0))))</f>
        <v>-0.002290428987</v>
      </c>
      <c r="AQ471" s="118">
        <f>IF(AQ$6="","",IF(AQ$3="Maior",IFERROR(IF(VLOOKUP($N471,Capa!$A:$AE,AQ$5,0)="",0,VLOOKUP($N471,Capa!$A:$AE,AQ$5,0)),0),IF(ISERROR(1/VLOOKUP($N471,Capa!$A:$AE,AQ$5,0)),0,1/VLOOKUP($N471,Capa!$A:$AE,AQ$5,0))))</f>
        <v>0</v>
      </c>
      <c r="AR471" s="118">
        <f>IF(AR$6="","",IF(AR$3="Maior",IFERROR(IF(VLOOKUP($N471,Capa!$A:$AE,AR$5,0)="",0,VLOOKUP($N471,Capa!$A:$AE,AR$5,0)),0),IF(ISERROR(1/VLOOKUP($N471,Capa!$A:$AE,AR$5,0)),0,1/VLOOKUP($N471,Capa!$A:$AE,AR$5,0))))</f>
        <v>0</v>
      </c>
      <c r="AS471" s="118" t="str">
        <f>IF(AS$6="","",IF(AS$3="Maior",IFERROR(IF(VLOOKUP($N471,Capa!$A:$AE,AS$5,0)="",0,VLOOKUP($N471,Capa!$A:$AE,AS$5,0)),0),IF(ISERROR(1/VLOOKUP($N471,Capa!$A:$AE,AS$5,0)),0,1/VLOOKUP($N471,Capa!$A:$AE,AS$5,0))))</f>
        <v/>
      </c>
      <c r="AT471" s="118" t="str">
        <f>IF(AT$6="","",IF(AT$3="Maior",IFERROR(IF(VLOOKUP($N471,Capa!$A:$AE,AT$5,0)="",0,VLOOKUP($N471,Capa!$A:$AE,AT$5,0)),0),IF(ISERROR(1/VLOOKUP($N471,Capa!$A:$AE,AT$5,0)),0,1/VLOOKUP($N471,Capa!$A:$AE,AT$5,0))))</f>
        <v/>
      </c>
      <c r="AU471" s="118" t="str">
        <f>IF(AU$6="","",IF(AU$3="Maior",IFERROR(IF(VLOOKUP($N471,Capa!$A:$AE,AU$5,0)="",0,VLOOKUP($N471,Capa!$A:$AE,AU$5,0)),0),IF(ISERROR(1/VLOOKUP($N471,Capa!$A:$AE,AU$5,0)),0,1/VLOOKUP($N471,Capa!$A:$AE,AU$5,0))))</f>
        <v/>
      </c>
      <c r="AV471" s="118" t="str">
        <f>IF(AV$6="","",IF(AV$3="Maior",IFERROR(IF(VLOOKUP($N471,Capa!$A:$AE,AV$5,0)="",0,VLOOKUP($N471,Capa!$A:$AE,AV$5,0)),0),IF(ISERROR(1/VLOOKUP($N471,Capa!$A:$AE,AV$5,0)),0,1/VLOOKUP($N471,Capa!$A:$AE,AV$5,0))))</f>
        <v/>
      </c>
      <c r="AW471" s="118" t="str">
        <f>IF(AW$6="","",IF(AW$3="Maior",IFERROR(IF(VLOOKUP($N471,Capa!$A:$AE,AW$5,0)="",0,VLOOKUP($N471,Capa!$A:$AE,AW$5,0)),0),IF(ISERROR(1/VLOOKUP($N471,Capa!$A:$AE,AW$5,0)),0,1/VLOOKUP($N471,Capa!$A:$AE,AW$5,0))))</f>
        <v/>
      </c>
      <c r="AX471" s="118" t="str">
        <f>IF(AX$6="","",IF(AX$3="Maior",IFERROR(IF(VLOOKUP($N471,Capa!$A:$AE,AX$5,0)="",0,VLOOKUP($N471,Capa!$A:$AE,AX$5,0)),0),IF(ISERROR(1/VLOOKUP($N471,Capa!$A:$AE,AX$5,0)),0,1/VLOOKUP($N471,Capa!$A:$AE,AX$5,0))))</f>
        <v/>
      </c>
      <c r="AY471" s="118" t="str">
        <f>IF(AY$6="","",IF(AY$3="Maior",IFERROR(IF(VLOOKUP($N471,Capa!$A:$AE,AY$5,0)="",0,VLOOKUP($N471,Capa!$A:$AE,AY$5,0)),0),IF(ISERROR(1/VLOOKUP($N471,Capa!$A:$AE,AY$5,0)),0,1/VLOOKUP($N471,Capa!$A:$AE,AY$5,0))))</f>
        <v/>
      </c>
      <c r="AZ471" s="118" t="str">
        <f>IF(AZ$6="","",IF(AZ$3="Maior",IFERROR(IF(VLOOKUP($N471,Capa!$A:$AE,AZ$5,0)="",0,VLOOKUP($N471,Capa!$A:$AE,AZ$5,0)),0),IF(ISERROR(1/VLOOKUP($N471,Capa!$A:$AE,AZ$5,0)),0,1/VLOOKUP($N471,Capa!$A:$AE,AZ$5,0))))</f>
        <v/>
      </c>
      <c r="BA471" s="118" t="str">
        <f>IF(BA$6="","",IF(BA$3="Maior",IFERROR(IF(VLOOKUP($N471,Capa!$A:$AE,BA$5,0)="",0,VLOOKUP($N471,Capa!$A:$AE,BA$5,0)),0),IF(ISERROR(1/VLOOKUP($N471,Capa!$A:$AE,BA$5,0)),0,1/VLOOKUP($N471,Capa!$A:$AE,BA$5,0))))</f>
        <v/>
      </c>
      <c r="BB471" s="118" t="str">
        <f>IF(BB$6="","",IF(BB$3="Maior",IFERROR(IF(VLOOKUP($N471,Capa!$A:$AE,BB$5,0)="",0,VLOOKUP($N471,Capa!$A:$AE,BB$5,0)),0),IF(ISERROR(1/VLOOKUP($N471,Capa!$A:$AE,BB$5,0)),0,1/VLOOKUP($N471,Capa!$A:$AE,BB$5,0))))</f>
        <v/>
      </c>
      <c r="BC471" s="118" t="str">
        <f>IF(BC$6="","",IF(BC$3="Maior",IFERROR(IF(VLOOKUP($N471,Capa!$A:$AE,BC$5,0)="",0,VLOOKUP($N471,Capa!$A:$AE,BC$5,0)),0),IF(ISERROR(1/VLOOKUP($N471,Capa!$A:$AE,BC$5,0)),0,1/VLOOKUP($N471,Capa!$A:$AE,BC$5,0))))</f>
        <v/>
      </c>
      <c r="BD471" s="118" t="str">
        <f>IF(BD$6="","",IF(BD$3="Maior",IFERROR(IF(VLOOKUP($N471,Capa!$A:$AE,BD$5,0)="",0,VLOOKUP($N471,Capa!$A:$AE,BD$5,0)),0),IF(ISERROR(1/VLOOKUP($N471,Capa!$A:$AE,BD$5,0)),0,1/VLOOKUP($N471,Capa!$A:$AE,BD$5,0))))</f>
        <v/>
      </c>
      <c r="BE471" s="118" t="str">
        <f>IF(BE$6="","",IF(BE$3="Maior",IFERROR(IF(VLOOKUP($N471,Capa!$A:$AE,BE$5,0)="",0,VLOOKUP($N471,Capa!$A:$AE,BE$5,0)),0),IF(ISERROR(1/VLOOKUP($N471,Capa!$A:$AE,BE$5,0)),0,1/VLOOKUP($N471,Capa!$A:$AE,BE$5,0))))</f>
        <v/>
      </c>
      <c r="BF471" s="118" t="str">
        <f>IF(BF$6="","",IF(BF$3="Maior",IFERROR(IF(VLOOKUP($N471,Capa!$A:$AE,BF$5,0)="",0,VLOOKUP($N471,Capa!$A:$AE,BF$5,0)),0),IF(ISERROR(1/VLOOKUP($N471,Capa!$A:$AE,BF$5,0)),0,1/VLOOKUP($N471,Capa!$A:$AE,BF$5,0))))</f>
        <v/>
      </c>
      <c r="BG471" s="118" t="str">
        <f>IF(BG$6="","",IF(BG$3="Maior",IFERROR(IF(VLOOKUP($N471,Capa!$A:$AE,BG$5,0)="",0,VLOOKUP($N471,Capa!$A:$AE,BG$5,0)),0),IF(ISERROR(1/VLOOKUP($N471,Capa!$A:$AE,BG$5,0)),0,1/VLOOKUP($N471,Capa!$A:$AE,BG$5,0))))</f>
        <v/>
      </c>
      <c r="BH471" s="118" t="str">
        <f>IF(BH$6="","",IF(BH$3="Maior",IFERROR(IF(VLOOKUP($N471,Capa!$A:$AE,BH$5,0)="",0,VLOOKUP($N471,Capa!$A:$AE,BH$5,0)),0),IF(ISERROR(1/VLOOKUP($N471,Capa!$A:$AE,BH$5,0)),0,1/VLOOKUP($N471,Capa!$A:$AE,BH$5,0))))</f>
        <v/>
      </c>
      <c r="BI471" s="118" t="str">
        <f>IF(BI$6="","",IF(BI$3="Maior",IFERROR(IF(VLOOKUP($N471,Capa!$A:$AE,BI$5,0)="",0,VLOOKUP($N471,Capa!$A:$AE,BI$5,0)),0),IF(ISERROR(1/VLOOKUP($N471,Capa!$A:$AE,BI$5,0)),0,1/VLOOKUP($N471,Capa!$A:$AE,BI$5,0))))</f>
        <v/>
      </c>
      <c r="BJ471" s="118" t="str">
        <f>IF(BJ$6="","",IF(BJ$3="Maior",IFERROR(IF(VLOOKUP($N471,Capa!$A:$AE,BJ$5,0)="",0,VLOOKUP($N471,Capa!$A:$AE,BJ$5,0)),0),IF(ISERROR(1/VLOOKUP($N471,Capa!$A:$AE,BJ$5,0)),0,1/VLOOKUP($N471,Capa!$A:$AE,BJ$5,0))))</f>
        <v/>
      </c>
      <c r="BK471" s="118" t="str">
        <f>IF(BK$6="","",IF(BK$3="Maior",IFERROR(IF(VLOOKUP($N471,Capa!$A:$AE,BK$5,0)="",0,VLOOKUP($N471,Capa!$A:$AE,BK$5,0)),0),IF(ISERROR(1/VLOOKUP($N471,Capa!$A:$AE,BK$5,0)),0,1/VLOOKUP($N471,Capa!$A:$AE,BK$5,0))))</f>
        <v/>
      </c>
      <c r="BL471" s="118" t="str">
        <f>IF(BL$6="","",IF(BL$3="Maior",IFERROR(IF(VLOOKUP($N471,Capa!$A:$AE,BL$5,0)="",0,VLOOKUP($N471,Capa!$A:$AE,BL$5,0)),0),IF(ISERROR(1/VLOOKUP($N471,Capa!$A:$AE,BL$5,0)),0,1/VLOOKUP($N471,Capa!$A:$AE,BL$5,0))))</f>
        <v/>
      </c>
      <c r="BM471" s="118" t="str">
        <f>IF(BM$6="","",IF(BM$3="Maior",IFERROR(IF(VLOOKUP($N471,Capa!$A:$AE,BM$5,0)="",0,VLOOKUP($N471,Capa!$A:$AE,BM$5,0)),0),IF(ISERROR(1/VLOOKUP($N471,Capa!$A:$AE,BM$5,0)),0,1/VLOOKUP($N471,Capa!$A:$AE,BM$5,0))))</f>
        <v/>
      </c>
      <c r="BN471" s="118" t="str">
        <f>IF(BN$6="","",IF(BN$3="Maior",IFERROR(IF(VLOOKUP($N471,Capa!$A:$AE,BN$5,0)="",0,VLOOKUP($N471,Capa!$A:$AE,BN$5,0)),0),IF(ISERROR(1/VLOOKUP($N471,Capa!$A:$AE,BN$5,0)),0,1/VLOOKUP($N471,Capa!$A:$AE,BN$5,0))))</f>
        <v/>
      </c>
      <c r="BO471" s="92"/>
    </row>
    <row r="472">
      <c r="I472" s="73"/>
      <c r="J472" s="74"/>
      <c r="N472" s="10" t="s">
        <v>518</v>
      </c>
      <c r="O472" s="113">
        <f t="shared" si="8"/>
        <v>1693.0462</v>
      </c>
      <c r="P472" s="114">
        <f>VLOOKUP(N472,'Dados StatusInvest'!A:Z,26,0)</f>
        <v>6742</v>
      </c>
      <c r="Q472" s="115">
        <f t="shared" si="9"/>
        <v>462.0462</v>
      </c>
      <c r="R472" s="116">
        <f t="shared" ref="R472:AO472" si="475">IF(AQ472="","", RANK(AQ472,AQ$7:AQ$503,0))</f>
        <v>12</v>
      </c>
      <c r="S472" s="115">
        <f t="shared" si="475"/>
        <v>219</v>
      </c>
      <c r="T472" s="115" t="str">
        <f t="shared" si="475"/>
        <v/>
      </c>
      <c r="U472" s="115" t="str">
        <f t="shared" si="475"/>
        <v/>
      </c>
      <c r="V472" s="115" t="str">
        <f t="shared" si="475"/>
        <v/>
      </c>
      <c r="W472" s="115" t="str">
        <f t="shared" si="475"/>
        <v/>
      </c>
      <c r="X472" s="115" t="str">
        <f t="shared" si="475"/>
        <v/>
      </c>
      <c r="Y472" s="115" t="str">
        <f t="shared" si="475"/>
        <v/>
      </c>
      <c r="Z472" s="115" t="str">
        <f t="shared" si="475"/>
        <v/>
      </c>
      <c r="AA472" s="115" t="str">
        <f t="shared" si="475"/>
        <v/>
      </c>
      <c r="AB472" s="115" t="str">
        <f t="shared" si="475"/>
        <v/>
      </c>
      <c r="AC472" s="115" t="str">
        <f t="shared" si="475"/>
        <v/>
      </c>
      <c r="AD472" s="115" t="str">
        <f t="shared" si="475"/>
        <v/>
      </c>
      <c r="AE472" s="115" t="str">
        <f t="shared" si="475"/>
        <v/>
      </c>
      <c r="AF472" s="115" t="str">
        <f t="shared" si="475"/>
        <v/>
      </c>
      <c r="AG472" s="115" t="str">
        <f t="shared" si="475"/>
        <v/>
      </c>
      <c r="AH472" s="115" t="str">
        <f t="shared" si="475"/>
        <v/>
      </c>
      <c r="AI472" s="115" t="str">
        <f t="shared" si="475"/>
        <v/>
      </c>
      <c r="AJ472" s="115" t="str">
        <f t="shared" si="475"/>
        <v/>
      </c>
      <c r="AK472" s="115" t="str">
        <f t="shared" si="475"/>
        <v/>
      </c>
      <c r="AL472" s="115" t="str">
        <f t="shared" si="475"/>
        <v/>
      </c>
      <c r="AM472" s="115" t="str">
        <f t="shared" si="475"/>
        <v/>
      </c>
      <c r="AN472" s="115" t="str">
        <f t="shared" si="475"/>
        <v/>
      </c>
      <c r="AO472" s="115" t="str">
        <f t="shared" si="475"/>
        <v/>
      </c>
      <c r="AP472" s="117">
        <f>IF(AP$6="","",IF(AP$3="Maior",IFERROR(IF(VLOOKUP($N472,Capa!$A:$AE,AP$5,0)="",0,VLOOKUP($N472,Capa!$A:$AE,AP$5,0)),0),IF(ISERROR(1/VLOOKUP($N472,Capa!$A:$AE,AP$5,0)),0,1/VLOOKUP($N472,Capa!$A:$AE,AP$5,0))))</f>
        <v>-0.1461988304</v>
      </c>
      <c r="AQ472" s="118">
        <f>IF(AQ$6="","",IF(AQ$3="Maior",IFERROR(IF(VLOOKUP($N472,Capa!$A:$AE,AQ$5,0)="",0,VLOOKUP($N472,Capa!$A:$AE,AQ$5,0)),0),IF(ISERROR(1/VLOOKUP($N472,Capa!$A:$AE,AQ$5,0)),0,1/VLOOKUP($N472,Capa!$A:$AE,AQ$5,0))))</f>
        <v>73.09</v>
      </c>
      <c r="AR472" s="118">
        <f>IF(AR$6="","",IF(AR$3="Maior",IFERROR(IF(VLOOKUP($N472,Capa!$A:$AE,AR$5,0)="",0,VLOOKUP($N472,Capa!$A:$AE,AR$5,0)),0),IF(ISERROR(1/VLOOKUP($N472,Capa!$A:$AE,AR$5,0)),0,1/VLOOKUP($N472,Capa!$A:$AE,AR$5,0))))</f>
        <v>0</v>
      </c>
      <c r="AS472" s="118" t="str">
        <f>IF(AS$6="","",IF(AS$3="Maior",IFERROR(IF(VLOOKUP($N472,Capa!$A:$AE,AS$5,0)="",0,VLOOKUP($N472,Capa!$A:$AE,AS$5,0)),0),IF(ISERROR(1/VLOOKUP($N472,Capa!$A:$AE,AS$5,0)),0,1/VLOOKUP($N472,Capa!$A:$AE,AS$5,0))))</f>
        <v/>
      </c>
      <c r="AT472" s="118" t="str">
        <f>IF(AT$6="","",IF(AT$3="Maior",IFERROR(IF(VLOOKUP($N472,Capa!$A:$AE,AT$5,0)="",0,VLOOKUP($N472,Capa!$A:$AE,AT$5,0)),0),IF(ISERROR(1/VLOOKUP($N472,Capa!$A:$AE,AT$5,0)),0,1/VLOOKUP($N472,Capa!$A:$AE,AT$5,0))))</f>
        <v/>
      </c>
      <c r="AU472" s="118" t="str">
        <f>IF(AU$6="","",IF(AU$3="Maior",IFERROR(IF(VLOOKUP($N472,Capa!$A:$AE,AU$5,0)="",0,VLOOKUP($N472,Capa!$A:$AE,AU$5,0)),0),IF(ISERROR(1/VLOOKUP($N472,Capa!$A:$AE,AU$5,0)),0,1/VLOOKUP($N472,Capa!$A:$AE,AU$5,0))))</f>
        <v/>
      </c>
      <c r="AV472" s="118" t="str">
        <f>IF(AV$6="","",IF(AV$3="Maior",IFERROR(IF(VLOOKUP($N472,Capa!$A:$AE,AV$5,0)="",0,VLOOKUP($N472,Capa!$A:$AE,AV$5,0)),0),IF(ISERROR(1/VLOOKUP($N472,Capa!$A:$AE,AV$5,0)),0,1/VLOOKUP($N472,Capa!$A:$AE,AV$5,0))))</f>
        <v/>
      </c>
      <c r="AW472" s="118" t="str">
        <f>IF(AW$6="","",IF(AW$3="Maior",IFERROR(IF(VLOOKUP($N472,Capa!$A:$AE,AW$5,0)="",0,VLOOKUP($N472,Capa!$A:$AE,AW$5,0)),0),IF(ISERROR(1/VLOOKUP($N472,Capa!$A:$AE,AW$5,0)),0,1/VLOOKUP($N472,Capa!$A:$AE,AW$5,0))))</f>
        <v/>
      </c>
      <c r="AX472" s="118" t="str">
        <f>IF(AX$6="","",IF(AX$3="Maior",IFERROR(IF(VLOOKUP($N472,Capa!$A:$AE,AX$5,0)="",0,VLOOKUP($N472,Capa!$A:$AE,AX$5,0)),0),IF(ISERROR(1/VLOOKUP($N472,Capa!$A:$AE,AX$5,0)),0,1/VLOOKUP($N472,Capa!$A:$AE,AX$5,0))))</f>
        <v/>
      </c>
      <c r="AY472" s="118" t="str">
        <f>IF(AY$6="","",IF(AY$3="Maior",IFERROR(IF(VLOOKUP($N472,Capa!$A:$AE,AY$5,0)="",0,VLOOKUP($N472,Capa!$A:$AE,AY$5,0)),0),IF(ISERROR(1/VLOOKUP($N472,Capa!$A:$AE,AY$5,0)),0,1/VLOOKUP($N472,Capa!$A:$AE,AY$5,0))))</f>
        <v/>
      </c>
      <c r="AZ472" s="118" t="str">
        <f>IF(AZ$6="","",IF(AZ$3="Maior",IFERROR(IF(VLOOKUP($N472,Capa!$A:$AE,AZ$5,0)="",0,VLOOKUP($N472,Capa!$A:$AE,AZ$5,0)),0),IF(ISERROR(1/VLOOKUP($N472,Capa!$A:$AE,AZ$5,0)),0,1/VLOOKUP($N472,Capa!$A:$AE,AZ$5,0))))</f>
        <v/>
      </c>
      <c r="BA472" s="118" t="str">
        <f>IF(BA$6="","",IF(BA$3="Maior",IFERROR(IF(VLOOKUP($N472,Capa!$A:$AE,BA$5,0)="",0,VLOOKUP($N472,Capa!$A:$AE,BA$5,0)),0),IF(ISERROR(1/VLOOKUP($N472,Capa!$A:$AE,BA$5,0)),0,1/VLOOKUP($N472,Capa!$A:$AE,BA$5,0))))</f>
        <v/>
      </c>
      <c r="BB472" s="118" t="str">
        <f>IF(BB$6="","",IF(BB$3="Maior",IFERROR(IF(VLOOKUP($N472,Capa!$A:$AE,BB$5,0)="",0,VLOOKUP($N472,Capa!$A:$AE,BB$5,0)),0),IF(ISERROR(1/VLOOKUP($N472,Capa!$A:$AE,BB$5,0)),0,1/VLOOKUP($N472,Capa!$A:$AE,BB$5,0))))</f>
        <v/>
      </c>
      <c r="BC472" s="118" t="str">
        <f>IF(BC$6="","",IF(BC$3="Maior",IFERROR(IF(VLOOKUP($N472,Capa!$A:$AE,BC$5,0)="",0,VLOOKUP($N472,Capa!$A:$AE,BC$5,0)),0),IF(ISERROR(1/VLOOKUP($N472,Capa!$A:$AE,BC$5,0)),0,1/VLOOKUP($N472,Capa!$A:$AE,BC$5,0))))</f>
        <v/>
      </c>
      <c r="BD472" s="118" t="str">
        <f>IF(BD$6="","",IF(BD$3="Maior",IFERROR(IF(VLOOKUP($N472,Capa!$A:$AE,BD$5,0)="",0,VLOOKUP($N472,Capa!$A:$AE,BD$5,0)),0),IF(ISERROR(1/VLOOKUP($N472,Capa!$A:$AE,BD$5,0)),0,1/VLOOKUP($N472,Capa!$A:$AE,BD$5,0))))</f>
        <v/>
      </c>
      <c r="BE472" s="118" t="str">
        <f>IF(BE$6="","",IF(BE$3="Maior",IFERROR(IF(VLOOKUP($N472,Capa!$A:$AE,BE$5,0)="",0,VLOOKUP($N472,Capa!$A:$AE,BE$5,0)),0),IF(ISERROR(1/VLOOKUP($N472,Capa!$A:$AE,BE$5,0)),0,1/VLOOKUP($N472,Capa!$A:$AE,BE$5,0))))</f>
        <v/>
      </c>
      <c r="BF472" s="118" t="str">
        <f>IF(BF$6="","",IF(BF$3="Maior",IFERROR(IF(VLOOKUP($N472,Capa!$A:$AE,BF$5,0)="",0,VLOOKUP($N472,Capa!$A:$AE,BF$5,0)),0),IF(ISERROR(1/VLOOKUP($N472,Capa!$A:$AE,BF$5,0)),0,1/VLOOKUP($N472,Capa!$A:$AE,BF$5,0))))</f>
        <v/>
      </c>
      <c r="BG472" s="118" t="str">
        <f>IF(BG$6="","",IF(BG$3="Maior",IFERROR(IF(VLOOKUP($N472,Capa!$A:$AE,BG$5,0)="",0,VLOOKUP($N472,Capa!$A:$AE,BG$5,0)),0),IF(ISERROR(1/VLOOKUP($N472,Capa!$A:$AE,BG$5,0)),0,1/VLOOKUP($N472,Capa!$A:$AE,BG$5,0))))</f>
        <v/>
      </c>
      <c r="BH472" s="118" t="str">
        <f>IF(BH$6="","",IF(BH$3="Maior",IFERROR(IF(VLOOKUP($N472,Capa!$A:$AE,BH$5,0)="",0,VLOOKUP($N472,Capa!$A:$AE,BH$5,0)),0),IF(ISERROR(1/VLOOKUP($N472,Capa!$A:$AE,BH$5,0)),0,1/VLOOKUP($N472,Capa!$A:$AE,BH$5,0))))</f>
        <v/>
      </c>
      <c r="BI472" s="118" t="str">
        <f>IF(BI$6="","",IF(BI$3="Maior",IFERROR(IF(VLOOKUP($N472,Capa!$A:$AE,BI$5,0)="",0,VLOOKUP($N472,Capa!$A:$AE,BI$5,0)),0),IF(ISERROR(1/VLOOKUP($N472,Capa!$A:$AE,BI$5,0)),0,1/VLOOKUP($N472,Capa!$A:$AE,BI$5,0))))</f>
        <v/>
      </c>
      <c r="BJ472" s="118" t="str">
        <f>IF(BJ$6="","",IF(BJ$3="Maior",IFERROR(IF(VLOOKUP($N472,Capa!$A:$AE,BJ$5,0)="",0,VLOOKUP($N472,Capa!$A:$AE,BJ$5,0)),0),IF(ISERROR(1/VLOOKUP($N472,Capa!$A:$AE,BJ$5,0)),0,1/VLOOKUP($N472,Capa!$A:$AE,BJ$5,0))))</f>
        <v/>
      </c>
      <c r="BK472" s="118" t="str">
        <f>IF(BK$6="","",IF(BK$3="Maior",IFERROR(IF(VLOOKUP($N472,Capa!$A:$AE,BK$5,0)="",0,VLOOKUP($N472,Capa!$A:$AE,BK$5,0)),0),IF(ISERROR(1/VLOOKUP($N472,Capa!$A:$AE,BK$5,0)),0,1/VLOOKUP($N472,Capa!$A:$AE,BK$5,0))))</f>
        <v/>
      </c>
      <c r="BL472" s="118" t="str">
        <f>IF(BL$6="","",IF(BL$3="Maior",IFERROR(IF(VLOOKUP($N472,Capa!$A:$AE,BL$5,0)="",0,VLOOKUP($N472,Capa!$A:$AE,BL$5,0)),0),IF(ISERROR(1/VLOOKUP($N472,Capa!$A:$AE,BL$5,0)),0,1/VLOOKUP($N472,Capa!$A:$AE,BL$5,0))))</f>
        <v/>
      </c>
      <c r="BM472" s="118" t="str">
        <f>IF(BM$6="","",IF(BM$3="Maior",IFERROR(IF(VLOOKUP($N472,Capa!$A:$AE,BM$5,0)="",0,VLOOKUP($N472,Capa!$A:$AE,BM$5,0)),0),IF(ISERROR(1/VLOOKUP($N472,Capa!$A:$AE,BM$5,0)),0,1/VLOOKUP($N472,Capa!$A:$AE,BM$5,0))))</f>
        <v/>
      </c>
      <c r="BN472" s="118" t="str">
        <f>IF(BN$6="","",IF(BN$3="Maior",IFERROR(IF(VLOOKUP($N472,Capa!$A:$AE,BN$5,0)="",0,VLOOKUP($N472,Capa!$A:$AE,BN$5,0)),0),IF(ISERROR(1/VLOOKUP($N472,Capa!$A:$AE,BN$5,0)),0,1/VLOOKUP($N472,Capa!$A:$AE,BN$5,0))))</f>
        <v/>
      </c>
      <c r="BO472" s="92"/>
    </row>
    <row r="473">
      <c r="I473" s="73"/>
      <c r="J473" s="74"/>
      <c r="N473" s="10" t="s">
        <v>519</v>
      </c>
      <c r="O473" s="113">
        <f t="shared" si="8"/>
        <v>1661.007</v>
      </c>
      <c r="P473" s="114">
        <f>VLOOKUP(N473,'Dados StatusInvest'!A:Z,26,0)</f>
        <v>5473.83</v>
      </c>
      <c r="Q473" s="115">
        <f t="shared" si="9"/>
        <v>70.007</v>
      </c>
      <c r="R473" s="116">
        <f t="shared" ref="R473:AO473" si="476">IF(AQ473="","", RANK(AQ473,AQ$7:AQ$503,0))</f>
        <v>375</v>
      </c>
      <c r="S473" s="115">
        <f t="shared" si="476"/>
        <v>216</v>
      </c>
      <c r="T473" s="115" t="str">
        <f t="shared" si="476"/>
        <v/>
      </c>
      <c r="U473" s="115" t="str">
        <f t="shared" si="476"/>
        <v/>
      </c>
      <c r="V473" s="115" t="str">
        <f t="shared" si="476"/>
        <v/>
      </c>
      <c r="W473" s="115" t="str">
        <f t="shared" si="476"/>
        <v/>
      </c>
      <c r="X473" s="115" t="str">
        <f t="shared" si="476"/>
        <v/>
      </c>
      <c r="Y473" s="115" t="str">
        <f t="shared" si="476"/>
        <v/>
      </c>
      <c r="Z473" s="115" t="str">
        <f t="shared" si="476"/>
        <v/>
      </c>
      <c r="AA473" s="115" t="str">
        <f t="shared" si="476"/>
        <v/>
      </c>
      <c r="AB473" s="115" t="str">
        <f t="shared" si="476"/>
        <v/>
      </c>
      <c r="AC473" s="115" t="str">
        <f t="shared" si="476"/>
        <v/>
      </c>
      <c r="AD473" s="115" t="str">
        <f t="shared" si="476"/>
        <v/>
      </c>
      <c r="AE473" s="115" t="str">
        <f t="shared" si="476"/>
        <v/>
      </c>
      <c r="AF473" s="115" t="str">
        <f t="shared" si="476"/>
        <v/>
      </c>
      <c r="AG473" s="115" t="str">
        <f t="shared" si="476"/>
        <v/>
      </c>
      <c r="AH473" s="115" t="str">
        <f t="shared" si="476"/>
        <v/>
      </c>
      <c r="AI473" s="115" t="str">
        <f t="shared" si="476"/>
        <v/>
      </c>
      <c r="AJ473" s="115" t="str">
        <f t="shared" si="476"/>
        <v/>
      </c>
      <c r="AK473" s="115" t="str">
        <f t="shared" si="476"/>
        <v/>
      </c>
      <c r="AL473" s="115" t="str">
        <f t="shared" si="476"/>
        <v/>
      </c>
      <c r="AM473" s="115" t="str">
        <f t="shared" si="476"/>
        <v/>
      </c>
      <c r="AN473" s="115" t="str">
        <f t="shared" si="476"/>
        <v/>
      </c>
      <c r="AO473" s="115" t="str">
        <f t="shared" si="476"/>
        <v/>
      </c>
      <c r="AP473" s="117">
        <f>IF(AP$6="","",IF(AP$3="Maior",IFERROR(IF(VLOOKUP($N473,Capa!$A:$AE,AP$5,0)="",0,VLOOKUP($N473,Capa!$A:$AE,AP$5,0)),0),IF(ISERROR(1/VLOOKUP($N473,Capa!$A:$AE,AP$5,0)),0,1/VLOOKUP($N473,Capa!$A:$AE,AP$5,0))))</f>
        <v>0.2164502165</v>
      </c>
      <c r="AQ473" s="118">
        <f>IF(AQ$6="","",IF(AQ$3="Maior",IFERROR(IF(VLOOKUP($N473,Capa!$A:$AE,AQ$5,0)="",0,VLOOKUP($N473,Capa!$A:$AE,AQ$5,0)),0),IF(ISERROR(1/VLOOKUP($N473,Capa!$A:$AE,AQ$5,0)),0,1/VLOOKUP($N473,Capa!$A:$AE,AQ$5,0))))</f>
        <v>0</v>
      </c>
      <c r="AR473" s="118">
        <f>IF(AR$6="","",IF(AR$3="Maior",IFERROR(IF(VLOOKUP($N473,Capa!$A:$AE,AR$5,0)="",0,VLOOKUP($N473,Capa!$A:$AE,AR$5,0)),0),IF(ISERROR(1/VLOOKUP($N473,Capa!$A:$AE,AR$5,0)),0,1/VLOOKUP($N473,Capa!$A:$AE,AR$5,0))))</f>
        <v>0.33</v>
      </c>
      <c r="AS473" s="118" t="str">
        <f>IF(AS$6="","",IF(AS$3="Maior",IFERROR(IF(VLOOKUP($N473,Capa!$A:$AE,AS$5,0)="",0,VLOOKUP($N473,Capa!$A:$AE,AS$5,0)),0),IF(ISERROR(1/VLOOKUP($N473,Capa!$A:$AE,AS$5,0)),0,1/VLOOKUP($N473,Capa!$A:$AE,AS$5,0))))</f>
        <v/>
      </c>
      <c r="AT473" s="118" t="str">
        <f>IF(AT$6="","",IF(AT$3="Maior",IFERROR(IF(VLOOKUP($N473,Capa!$A:$AE,AT$5,0)="",0,VLOOKUP($N473,Capa!$A:$AE,AT$5,0)),0),IF(ISERROR(1/VLOOKUP($N473,Capa!$A:$AE,AT$5,0)),0,1/VLOOKUP($N473,Capa!$A:$AE,AT$5,0))))</f>
        <v/>
      </c>
      <c r="AU473" s="118" t="str">
        <f>IF(AU$6="","",IF(AU$3="Maior",IFERROR(IF(VLOOKUP($N473,Capa!$A:$AE,AU$5,0)="",0,VLOOKUP($N473,Capa!$A:$AE,AU$5,0)),0),IF(ISERROR(1/VLOOKUP($N473,Capa!$A:$AE,AU$5,0)),0,1/VLOOKUP($N473,Capa!$A:$AE,AU$5,0))))</f>
        <v/>
      </c>
      <c r="AV473" s="118" t="str">
        <f>IF(AV$6="","",IF(AV$3="Maior",IFERROR(IF(VLOOKUP($N473,Capa!$A:$AE,AV$5,0)="",0,VLOOKUP($N473,Capa!$A:$AE,AV$5,0)),0),IF(ISERROR(1/VLOOKUP($N473,Capa!$A:$AE,AV$5,0)),0,1/VLOOKUP($N473,Capa!$A:$AE,AV$5,0))))</f>
        <v/>
      </c>
      <c r="AW473" s="118" t="str">
        <f>IF(AW$6="","",IF(AW$3="Maior",IFERROR(IF(VLOOKUP($N473,Capa!$A:$AE,AW$5,0)="",0,VLOOKUP($N473,Capa!$A:$AE,AW$5,0)),0),IF(ISERROR(1/VLOOKUP($N473,Capa!$A:$AE,AW$5,0)),0,1/VLOOKUP($N473,Capa!$A:$AE,AW$5,0))))</f>
        <v/>
      </c>
      <c r="AX473" s="118" t="str">
        <f>IF(AX$6="","",IF(AX$3="Maior",IFERROR(IF(VLOOKUP($N473,Capa!$A:$AE,AX$5,0)="",0,VLOOKUP($N473,Capa!$A:$AE,AX$5,0)),0),IF(ISERROR(1/VLOOKUP($N473,Capa!$A:$AE,AX$5,0)),0,1/VLOOKUP($N473,Capa!$A:$AE,AX$5,0))))</f>
        <v/>
      </c>
      <c r="AY473" s="118" t="str">
        <f>IF(AY$6="","",IF(AY$3="Maior",IFERROR(IF(VLOOKUP($N473,Capa!$A:$AE,AY$5,0)="",0,VLOOKUP($N473,Capa!$A:$AE,AY$5,0)),0),IF(ISERROR(1/VLOOKUP($N473,Capa!$A:$AE,AY$5,0)),0,1/VLOOKUP($N473,Capa!$A:$AE,AY$5,0))))</f>
        <v/>
      </c>
      <c r="AZ473" s="118" t="str">
        <f>IF(AZ$6="","",IF(AZ$3="Maior",IFERROR(IF(VLOOKUP($N473,Capa!$A:$AE,AZ$5,0)="",0,VLOOKUP($N473,Capa!$A:$AE,AZ$5,0)),0),IF(ISERROR(1/VLOOKUP($N473,Capa!$A:$AE,AZ$5,0)),0,1/VLOOKUP($N473,Capa!$A:$AE,AZ$5,0))))</f>
        <v/>
      </c>
      <c r="BA473" s="118" t="str">
        <f>IF(BA$6="","",IF(BA$3="Maior",IFERROR(IF(VLOOKUP($N473,Capa!$A:$AE,BA$5,0)="",0,VLOOKUP($N473,Capa!$A:$AE,BA$5,0)),0),IF(ISERROR(1/VLOOKUP($N473,Capa!$A:$AE,BA$5,0)),0,1/VLOOKUP($N473,Capa!$A:$AE,BA$5,0))))</f>
        <v/>
      </c>
      <c r="BB473" s="118" t="str">
        <f>IF(BB$6="","",IF(BB$3="Maior",IFERROR(IF(VLOOKUP($N473,Capa!$A:$AE,BB$5,0)="",0,VLOOKUP($N473,Capa!$A:$AE,BB$5,0)),0),IF(ISERROR(1/VLOOKUP($N473,Capa!$A:$AE,BB$5,0)),0,1/VLOOKUP($N473,Capa!$A:$AE,BB$5,0))))</f>
        <v/>
      </c>
      <c r="BC473" s="118" t="str">
        <f>IF(BC$6="","",IF(BC$3="Maior",IFERROR(IF(VLOOKUP($N473,Capa!$A:$AE,BC$5,0)="",0,VLOOKUP($N473,Capa!$A:$AE,BC$5,0)),0),IF(ISERROR(1/VLOOKUP($N473,Capa!$A:$AE,BC$5,0)),0,1/VLOOKUP($N473,Capa!$A:$AE,BC$5,0))))</f>
        <v/>
      </c>
      <c r="BD473" s="118" t="str">
        <f>IF(BD$6="","",IF(BD$3="Maior",IFERROR(IF(VLOOKUP($N473,Capa!$A:$AE,BD$5,0)="",0,VLOOKUP($N473,Capa!$A:$AE,BD$5,0)),0),IF(ISERROR(1/VLOOKUP($N473,Capa!$A:$AE,BD$5,0)),0,1/VLOOKUP($N473,Capa!$A:$AE,BD$5,0))))</f>
        <v/>
      </c>
      <c r="BE473" s="118" t="str">
        <f>IF(BE$6="","",IF(BE$3="Maior",IFERROR(IF(VLOOKUP($N473,Capa!$A:$AE,BE$5,0)="",0,VLOOKUP($N473,Capa!$A:$AE,BE$5,0)),0),IF(ISERROR(1/VLOOKUP($N473,Capa!$A:$AE,BE$5,0)),0,1/VLOOKUP($N473,Capa!$A:$AE,BE$5,0))))</f>
        <v/>
      </c>
      <c r="BF473" s="118" t="str">
        <f>IF(BF$6="","",IF(BF$3="Maior",IFERROR(IF(VLOOKUP($N473,Capa!$A:$AE,BF$5,0)="",0,VLOOKUP($N473,Capa!$A:$AE,BF$5,0)),0),IF(ISERROR(1/VLOOKUP($N473,Capa!$A:$AE,BF$5,0)),0,1/VLOOKUP($N473,Capa!$A:$AE,BF$5,0))))</f>
        <v/>
      </c>
      <c r="BG473" s="118" t="str">
        <f>IF(BG$6="","",IF(BG$3="Maior",IFERROR(IF(VLOOKUP($N473,Capa!$A:$AE,BG$5,0)="",0,VLOOKUP($N473,Capa!$A:$AE,BG$5,0)),0),IF(ISERROR(1/VLOOKUP($N473,Capa!$A:$AE,BG$5,0)),0,1/VLOOKUP($N473,Capa!$A:$AE,BG$5,0))))</f>
        <v/>
      </c>
      <c r="BH473" s="118" t="str">
        <f>IF(BH$6="","",IF(BH$3="Maior",IFERROR(IF(VLOOKUP($N473,Capa!$A:$AE,BH$5,0)="",0,VLOOKUP($N473,Capa!$A:$AE,BH$5,0)),0),IF(ISERROR(1/VLOOKUP($N473,Capa!$A:$AE,BH$5,0)),0,1/VLOOKUP($N473,Capa!$A:$AE,BH$5,0))))</f>
        <v/>
      </c>
      <c r="BI473" s="118" t="str">
        <f>IF(BI$6="","",IF(BI$3="Maior",IFERROR(IF(VLOOKUP($N473,Capa!$A:$AE,BI$5,0)="",0,VLOOKUP($N473,Capa!$A:$AE,BI$5,0)),0),IF(ISERROR(1/VLOOKUP($N473,Capa!$A:$AE,BI$5,0)),0,1/VLOOKUP($N473,Capa!$A:$AE,BI$5,0))))</f>
        <v/>
      </c>
      <c r="BJ473" s="118" t="str">
        <f>IF(BJ$6="","",IF(BJ$3="Maior",IFERROR(IF(VLOOKUP($N473,Capa!$A:$AE,BJ$5,0)="",0,VLOOKUP($N473,Capa!$A:$AE,BJ$5,0)),0),IF(ISERROR(1/VLOOKUP($N473,Capa!$A:$AE,BJ$5,0)),0,1/VLOOKUP($N473,Capa!$A:$AE,BJ$5,0))))</f>
        <v/>
      </c>
      <c r="BK473" s="118" t="str">
        <f>IF(BK$6="","",IF(BK$3="Maior",IFERROR(IF(VLOOKUP($N473,Capa!$A:$AE,BK$5,0)="",0,VLOOKUP($N473,Capa!$A:$AE,BK$5,0)),0),IF(ISERROR(1/VLOOKUP($N473,Capa!$A:$AE,BK$5,0)),0,1/VLOOKUP($N473,Capa!$A:$AE,BK$5,0))))</f>
        <v/>
      </c>
      <c r="BL473" s="118" t="str">
        <f>IF(BL$6="","",IF(BL$3="Maior",IFERROR(IF(VLOOKUP($N473,Capa!$A:$AE,BL$5,0)="",0,VLOOKUP($N473,Capa!$A:$AE,BL$5,0)),0),IF(ISERROR(1/VLOOKUP($N473,Capa!$A:$AE,BL$5,0)),0,1/VLOOKUP($N473,Capa!$A:$AE,BL$5,0))))</f>
        <v/>
      </c>
      <c r="BM473" s="118" t="str">
        <f>IF(BM$6="","",IF(BM$3="Maior",IFERROR(IF(VLOOKUP($N473,Capa!$A:$AE,BM$5,0)="",0,VLOOKUP($N473,Capa!$A:$AE,BM$5,0)),0),IF(ISERROR(1/VLOOKUP($N473,Capa!$A:$AE,BM$5,0)),0,1/VLOOKUP($N473,Capa!$A:$AE,BM$5,0))))</f>
        <v/>
      </c>
      <c r="BN473" s="118" t="str">
        <f>IF(BN$6="","",IF(BN$3="Maior",IFERROR(IF(VLOOKUP($N473,Capa!$A:$AE,BN$5,0)="",0,VLOOKUP($N473,Capa!$A:$AE,BN$5,0)),0),IF(ISERROR(1/VLOOKUP($N473,Capa!$A:$AE,BN$5,0)),0,1/VLOOKUP($N473,Capa!$A:$AE,BN$5,0))))</f>
        <v/>
      </c>
      <c r="BO473" s="92"/>
    </row>
    <row r="474">
      <c r="I474" s="73"/>
      <c r="J474" s="74"/>
      <c r="N474" s="10" t="s">
        <v>520</v>
      </c>
      <c r="O474" s="113">
        <f t="shared" si="8"/>
        <v>1715.0158</v>
      </c>
      <c r="P474" s="114">
        <f>VLOOKUP(N474,'Dados StatusInvest'!A:Z,26,0)</f>
        <v>5792.59</v>
      </c>
      <c r="Q474" s="115">
        <f t="shared" si="9"/>
        <v>158.0158</v>
      </c>
      <c r="R474" s="116">
        <f t="shared" ref="R474:AO474" si="477">IF(AQ474="","", RANK(AQ474,AQ$7:AQ$503,0))</f>
        <v>375</v>
      </c>
      <c r="S474" s="115">
        <f t="shared" si="477"/>
        <v>182</v>
      </c>
      <c r="T474" s="115" t="str">
        <f t="shared" si="477"/>
        <v/>
      </c>
      <c r="U474" s="115" t="str">
        <f t="shared" si="477"/>
        <v/>
      </c>
      <c r="V474" s="115" t="str">
        <f t="shared" si="477"/>
        <v/>
      </c>
      <c r="W474" s="115" t="str">
        <f t="shared" si="477"/>
        <v/>
      </c>
      <c r="X474" s="115" t="str">
        <f t="shared" si="477"/>
        <v/>
      </c>
      <c r="Y474" s="115" t="str">
        <f t="shared" si="477"/>
        <v/>
      </c>
      <c r="Z474" s="115" t="str">
        <f t="shared" si="477"/>
        <v/>
      </c>
      <c r="AA474" s="115" t="str">
        <f t="shared" si="477"/>
        <v/>
      </c>
      <c r="AB474" s="115" t="str">
        <f t="shared" si="477"/>
        <v/>
      </c>
      <c r="AC474" s="115" t="str">
        <f t="shared" si="477"/>
        <v/>
      </c>
      <c r="AD474" s="115" t="str">
        <f t="shared" si="477"/>
        <v/>
      </c>
      <c r="AE474" s="115" t="str">
        <f t="shared" si="477"/>
        <v/>
      </c>
      <c r="AF474" s="115" t="str">
        <f t="shared" si="477"/>
        <v/>
      </c>
      <c r="AG474" s="115" t="str">
        <f t="shared" si="477"/>
        <v/>
      </c>
      <c r="AH474" s="115" t="str">
        <f t="shared" si="477"/>
        <v/>
      </c>
      <c r="AI474" s="115" t="str">
        <f t="shared" si="477"/>
        <v/>
      </c>
      <c r="AJ474" s="115" t="str">
        <f t="shared" si="477"/>
        <v/>
      </c>
      <c r="AK474" s="115" t="str">
        <f t="shared" si="477"/>
        <v/>
      </c>
      <c r="AL474" s="115" t="str">
        <f t="shared" si="477"/>
        <v/>
      </c>
      <c r="AM474" s="115" t="str">
        <f t="shared" si="477"/>
        <v/>
      </c>
      <c r="AN474" s="115" t="str">
        <f t="shared" si="477"/>
        <v/>
      </c>
      <c r="AO474" s="115" t="str">
        <f t="shared" si="477"/>
        <v/>
      </c>
      <c r="AP474" s="117">
        <f>IF(AP$6="","",IF(AP$3="Maior",IFERROR(IF(VLOOKUP($N474,Capa!$A:$AE,AP$5,0)="",0,VLOOKUP($N474,Capa!$A:$AE,AP$5,0)),0),IF(ISERROR(1/VLOOKUP($N474,Capa!$A:$AE,AP$5,0)),0,1/VLOOKUP($N474,Capa!$A:$AE,AP$5,0))))</f>
        <v>0.1276282336</v>
      </c>
      <c r="AQ474" s="118">
        <f>IF(AQ$6="","",IF(AQ$3="Maior",IFERROR(IF(VLOOKUP($N474,Capa!$A:$AE,AQ$5,0)="",0,VLOOKUP($N474,Capa!$A:$AE,AQ$5,0)),0),IF(ISERROR(1/VLOOKUP($N474,Capa!$A:$AE,AQ$5,0)),0,1/VLOOKUP($N474,Capa!$A:$AE,AQ$5,0))))</f>
        <v>0</v>
      </c>
      <c r="AR474" s="118">
        <f>IF(AR$6="","",IF(AR$3="Maior",IFERROR(IF(VLOOKUP($N474,Capa!$A:$AE,AR$5,0)="",0,VLOOKUP($N474,Capa!$A:$AE,AR$5,0)),0),IF(ISERROR(1/VLOOKUP($N474,Capa!$A:$AE,AR$5,0)),0,1/VLOOKUP($N474,Capa!$A:$AE,AR$5,0))))</f>
        <v>6.93</v>
      </c>
      <c r="AS474" s="118" t="str">
        <f>IF(AS$6="","",IF(AS$3="Maior",IFERROR(IF(VLOOKUP($N474,Capa!$A:$AE,AS$5,0)="",0,VLOOKUP($N474,Capa!$A:$AE,AS$5,0)),0),IF(ISERROR(1/VLOOKUP($N474,Capa!$A:$AE,AS$5,0)),0,1/VLOOKUP($N474,Capa!$A:$AE,AS$5,0))))</f>
        <v/>
      </c>
      <c r="AT474" s="118" t="str">
        <f>IF(AT$6="","",IF(AT$3="Maior",IFERROR(IF(VLOOKUP($N474,Capa!$A:$AE,AT$5,0)="",0,VLOOKUP($N474,Capa!$A:$AE,AT$5,0)),0),IF(ISERROR(1/VLOOKUP($N474,Capa!$A:$AE,AT$5,0)),0,1/VLOOKUP($N474,Capa!$A:$AE,AT$5,0))))</f>
        <v/>
      </c>
      <c r="AU474" s="118" t="str">
        <f>IF(AU$6="","",IF(AU$3="Maior",IFERROR(IF(VLOOKUP($N474,Capa!$A:$AE,AU$5,0)="",0,VLOOKUP($N474,Capa!$A:$AE,AU$5,0)),0),IF(ISERROR(1/VLOOKUP($N474,Capa!$A:$AE,AU$5,0)),0,1/VLOOKUP($N474,Capa!$A:$AE,AU$5,0))))</f>
        <v/>
      </c>
      <c r="AV474" s="118" t="str">
        <f>IF(AV$6="","",IF(AV$3="Maior",IFERROR(IF(VLOOKUP($N474,Capa!$A:$AE,AV$5,0)="",0,VLOOKUP($N474,Capa!$A:$AE,AV$5,0)),0),IF(ISERROR(1/VLOOKUP($N474,Capa!$A:$AE,AV$5,0)),0,1/VLOOKUP($N474,Capa!$A:$AE,AV$5,0))))</f>
        <v/>
      </c>
      <c r="AW474" s="118" t="str">
        <f>IF(AW$6="","",IF(AW$3="Maior",IFERROR(IF(VLOOKUP($N474,Capa!$A:$AE,AW$5,0)="",0,VLOOKUP($N474,Capa!$A:$AE,AW$5,0)),0),IF(ISERROR(1/VLOOKUP($N474,Capa!$A:$AE,AW$5,0)),0,1/VLOOKUP($N474,Capa!$A:$AE,AW$5,0))))</f>
        <v/>
      </c>
      <c r="AX474" s="118" t="str">
        <f>IF(AX$6="","",IF(AX$3="Maior",IFERROR(IF(VLOOKUP($N474,Capa!$A:$AE,AX$5,0)="",0,VLOOKUP($N474,Capa!$A:$AE,AX$5,0)),0),IF(ISERROR(1/VLOOKUP($N474,Capa!$A:$AE,AX$5,0)),0,1/VLOOKUP($N474,Capa!$A:$AE,AX$5,0))))</f>
        <v/>
      </c>
      <c r="AY474" s="118" t="str">
        <f>IF(AY$6="","",IF(AY$3="Maior",IFERROR(IF(VLOOKUP($N474,Capa!$A:$AE,AY$5,0)="",0,VLOOKUP($N474,Capa!$A:$AE,AY$5,0)),0),IF(ISERROR(1/VLOOKUP($N474,Capa!$A:$AE,AY$5,0)),0,1/VLOOKUP($N474,Capa!$A:$AE,AY$5,0))))</f>
        <v/>
      </c>
      <c r="AZ474" s="118" t="str">
        <f>IF(AZ$6="","",IF(AZ$3="Maior",IFERROR(IF(VLOOKUP($N474,Capa!$A:$AE,AZ$5,0)="",0,VLOOKUP($N474,Capa!$A:$AE,AZ$5,0)),0),IF(ISERROR(1/VLOOKUP($N474,Capa!$A:$AE,AZ$5,0)),0,1/VLOOKUP($N474,Capa!$A:$AE,AZ$5,0))))</f>
        <v/>
      </c>
      <c r="BA474" s="118" t="str">
        <f>IF(BA$6="","",IF(BA$3="Maior",IFERROR(IF(VLOOKUP($N474,Capa!$A:$AE,BA$5,0)="",0,VLOOKUP($N474,Capa!$A:$AE,BA$5,0)),0),IF(ISERROR(1/VLOOKUP($N474,Capa!$A:$AE,BA$5,0)),0,1/VLOOKUP($N474,Capa!$A:$AE,BA$5,0))))</f>
        <v/>
      </c>
      <c r="BB474" s="118" t="str">
        <f>IF(BB$6="","",IF(BB$3="Maior",IFERROR(IF(VLOOKUP($N474,Capa!$A:$AE,BB$5,0)="",0,VLOOKUP($N474,Capa!$A:$AE,BB$5,0)),0),IF(ISERROR(1/VLOOKUP($N474,Capa!$A:$AE,BB$5,0)),0,1/VLOOKUP($N474,Capa!$A:$AE,BB$5,0))))</f>
        <v/>
      </c>
      <c r="BC474" s="118" t="str">
        <f>IF(BC$6="","",IF(BC$3="Maior",IFERROR(IF(VLOOKUP($N474,Capa!$A:$AE,BC$5,0)="",0,VLOOKUP($N474,Capa!$A:$AE,BC$5,0)),0),IF(ISERROR(1/VLOOKUP($N474,Capa!$A:$AE,BC$5,0)),0,1/VLOOKUP($N474,Capa!$A:$AE,BC$5,0))))</f>
        <v/>
      </c>
      <c r="BD474" s="118" t="str">
        <f>IF(BD$6="","",IF(BD$3="Maior",IFERROR(IF(VLOOKUP($N474,Capa!$A:$AE,BD$5,0)="",0,VLOOKUP($N474,Capa!$A:$AE,BD$5,0)),0),IF(ISERROR(1/VLOOKUP($N474,Capa!$A:$AE,BD$5,0)),0,1/VLOOKUP($N474,Capa!$A:$AE,BD$5,0))))</f>
        <v/>
      </c>
      <c r="BE474" s="118" t="str">
        <f>IF(BE$6="","",IF(BE$3="Maior",IFERROR(IF(VLOOKUP($N474,Capa!$A:$AE,BE$5,0)="",0,VLOOKUP($N474,Capa!$A:$AE,BE$5,0)),0),IF(ISERROR(1/VLOOKUP($N474,Capa!$A:$AE,BE$5,0)),0,1/VLOOKUP($N474,Capa!$A:$AE,BE$5,0))))</f>
        <v/>
      </c>
      <c r="BF474" s="118" t="str">
        <f>IF(BF$6="","",IF(BF$3="Maior",IFERROR(IF(VLOOKUP($N474,Capa!$A:$AE,BF$5,0)="",0,VLOOKUP($N474,Capa!$A:$AE,BF$5,0)),0),IF(ISERROR(1/VLOOKUP($N474,Capa!$A:$AE,BF$5,0)),0,1/VLOOKUP($N474,Capa!$A:$AE,BF$5,0))))</f>
        <v/>
      </c>
      <c r="BG474" s="118" t="str">
        <f>IF(BG$6="","",IF(BG$3="Maior",IFERROR(IF(VLOOKUP($N474,Capa!$A:$AE,BG$5,0)="",0,VLOOKUP($N474,Capa!$A:$AE,BG$5,0)),0),IF(ISERROR(1/VLOOKUP($N474,Capa!$A:$AE,BG$5,0)),0,1/VLOOKUP($N474,Capa!$A:$AE,BG$5,0))))</f>
        <v/>
      </c>
      <c r="BH474" s="118" t="str">
        <f>IF(BH$6="","",IF(BH$3="Maior",IFERROR(IF(VLOOKUP($N474,Capa!$A:$AE,BH$5,0)="",0,VLOOKUP($N474,Capa!$A:$AE,BH$5,0)),0),IF(ISERROR(1/VLOOKUP($N474,Capa!$A:$AE,BH$5,0)),0,1/VLOOKUP($N474,Capa!$A:$AE,BH$5,0))))</f>
        <v/>
      </c>
      <c r="BI474" s="118" t="str">
        <f>IF(BI$6="","",IF(BI$3="Maior",IFERROR(IF(VLOOKUP($N474,Capa!$A:$AE,BI$5,0)="",0,VLOOKUP($N474,Capa!$A:$AE,BI$5,0)),0),IF(ISERROR(1/VLOOKUP($N474,Capa!$A:$AE,BI$5,0)),0,1/VLOOKUP($N474,Capa!$A:$AE,BI$5,0))))</f>
        <v/>
      </c>
      <c r="BJ474" s="118" t="str">
        <f>IF(BJ$6="","",IF(BJ$3="Maior",IFERROR(IF(VLOOKUP($N474,Capa!$A:$AE,BJ$5,0)="",0,VLOOKUP($N474,Capa!$A:$AE,BJ$5,0)),0),IF(ISERROR(1/VLOOKUP($N474,Capa!$A:$AE,BJ$5,0)),0,1/VLOOKUP($N474,Capa!$A:$AE,BJ$5,0))))</f>
        <v/>
      </c>
      <c r="BK474" s="118" t="str">
        <f>IF(BK$6="","",IF(BK$3="Maior",IFERROR(IF(VLOOKUP($N474,Capa!$A:$AE,BK$5,0)="",0,VLOOKUP($N474,Capa!$A:$AE,BK$5,0)),0),IF(ISERROR(1/VLOOKUP($N474,Capa!$A:$AE,BK$5,0)),0,1/VLOOKUP($N474,Capa!$A:$AE,BK$5,0))))</f>
        <v/>
      </c>
      <c r="BL474" s="118" t="str">
        <f>IF(BL$6="","",IF(BL$3="Maior",IFERROR(IF(VLOOKUP($N474,Capa!$A:$AE,BL$5,0)="",0,VLOOKUP($N474,Capa!$A:$AE,BL$5,0)),0),IF(ISERROR(1/VLOOKUP($N474,Capa!$A:$AE,BL$5,0)),0,1/VLOOKUP($N474,Capa!$A:$AE,BL$5,0))))</f>
        <v/>
      </c>
      <c r="BM474" s="118" t="str">
        <f>IF(BM$6="","",IF(BM$3="Maior",IFERROR(IF(VLOOKUP($N474,Capa!$A:$AE,BM$5,0)="",0,VLOOKUP($N474,Capa!$A:$AE,BM$5,0)),0),IF(ISERROR(1/VLOOKUP($N474,Capa!$A:$AE,BM$5,0)),0,1/VLOOKUP($N474,Capa!$A:$AE,BM$5,0))))</f>
        <v/>
      </c>
      <c r="BN474" s="118" t="str">
        <f>IF(BN$6="","",IF(BN$3="Maior",IFERROR(IF(VLOOKUP($N474,Capa!$A:$AE,BN$5,0)="",0,VLOOKUP($N474,Capa!$A:$AE,BN$5,0)),0),IF(ISERROR(1/VLOOKUP($N474,Capa!$A:$AE,BN$5,0)),0,1/VLOOKUP($N474,Capa!$A:$AE,BN$5,0))))</f>
        <v/>
      </c>
      <c r="BO474" s="92"/>
    </row>
    <row r="475">
      <c r="I475" s="73"/>
      <c r="J475" s="74"/>
      <c r="N475" s="10" t="s">
        <v>521</v>
      </c>
      <c r="O475" s="113">
        <f t="shared" si="8"/>
        <v>2031.0387</v>
      </c>
      <c r="P475" s="114">
        <f>VLOOKUP(N475,'Dados StatusInvest'!A:Z,26,0)</f>
        <v>5310.25</v>
      </c>
      <c r="Q475" s="115">
        <f t="shared" si="9"/>
        <v>387.0387</v>
      </c>
      <c r="R475" s="116">
        <f t="shared" ref="R475:AO475" si="478">IF(AQ475="","", RANK(AQ475,AQ$7:AQ$503,0))</f>
        <v>425</v>
      </c>
      <c r="S475" s="115">
        <f t="shared" si="478"/>
        <v>219</v>
      </c>
      <c r="T475" s="115" t="str">
        <f t="shared" si="478"/>
        <v/>
      </c>
      <c r="U475" s="115" t="str">
        <f t="shared" si="478"/>
        <v/>
      </c>
      <c r="V475" s="115" t="str">
        <f t="shared" si="478"/>
        <v/>
      </c>
      <c r="W475" s="115" t="str">
        <f t="shared" si="478"/>
        <v/>
      </c>
      <c r="X475" s="115" t="str">
        <f t="shared" si="478"/>
        <v/>
      </c>
      <c r="Y475" s="115" t="str">
        <f t="shared" si="478"/>
        <v/>
      </c>
      <c r="Z475" s="115" t="str">
        <f t="shared" si="478"/>
        <v/>
      </c>
      <c r="AA475" s="115" t="str">
        <f t="shared" si="478"/>
        <v/>
      </c>
      <c r="AB475" s="115" t="str">
        <f t="shared" si="478"/>
        <v/>
      </c>
      <c r="AC475" s="115" t="str">
        <f t="shared" si="478"/>
        <v/>
      </c>
      <c r="AD475" s="115" t="str">
        <f t="shared" si="478"/>
        <v/>
      </c>
      <c r="AE475" s="115" t="str">
        <f t="shared" si="478"/>
        <v/>
      </c>
      <c r="AF475" s="115" t="str">
        <f t="shared" si="478"/>
        <v/>
      </c>
      <c r="AG475" s="115" t="str">
        <f t="shared" si="478"/>
        <v/>
      </c>
      <c r="AH475" s="115" t="str">
        <f t="shared" si="478"/>
        <v/>
      </c>
      <c r="AI475" s="115" t="str">
        <f t="shared" si="478"/>
        <v/>
      </c>
      <c r="AJ475" s="115" t="str">
        <f t="shared" si="478"/>
        <v/>
      </c>
      <c r="AK475" s="115" t="str">
        <f t="shared" si="478"/>
        <v/>
      </c>
      <c r="AL475" s="115" t="str">
        <f t="shared" si="478"/>
        <v/>
      </c>
      <c r="AM475" s="115" t="str">
        <f t="shared" si="478"/>
        <v/>
      </c>
      <c r="AN475" s="115" t="str">
        <f t="shared" si="478"/>
        <v/>
      </c>
      <c r="AO475" s="115" t="str">
        <f t="shared" si="478"/>
        <v/>
      </c>
      <c r="AP475" s="117">
        <f>IF(AP$6="","",IF(AP$3="Maior",IFERROR(IF(VLOOKUP($N475,Capa!$A:$AE,AP$5,0)="",0,VLOOKUP($N475,Capa!$A:$AE,AP$5,0)),0),IF(ISERROR(1/VLOOKUP($N475,Capa!$A:$AE,AP$5,0)),0,1/VLOOKUP($N475,Capa!$A:$AE,AP$5,0))))</f>
        <v>0.01101685579</v>
      </c>
      <c r="AQ475" s="118">
        <f>IF(AQ$6="","",IF(AQ$3="Maior",IFERROR(IF(VLOOKUP($N475,Capa!$A:$AE,AQ$5,0)="",0,VLOOKUP($N475,Capa!$A:$AE,AQ$5,0)),0),IF(ISERROR(1/VLOOKUP($N475,Capa!$A:$AE,AQ$5,0)),0,1/VLOOKUP($N475,Capa!$A:$AE,AQ$5,0))))</f>
        <v>-0.08</v>
      </c>
      <c r="AR475" s="118">
        <f>IF(AR$6="","",IF(AR$3="Maior",IFERROR(IF(VLOOKUP($N475,Capa!$A:$AE,AR$5,0)="",0,VLOOKUP($N475,Capa!$A:$AE,AR$5,0)),0),IF(ISERROR(1/VLOOKUP($N475,Capa!$A:$AE,AR$5,0)),0,1/VLOOKUP($N475,Capa!$A:$AE,AR$5,0))))</f>
        <v>0</v>
      </c>
      <c r="AS475" s="118" t="str">
        <f>IF(AS$6="","",IF(AS$3="Maior",IFERROR(IF(VLOOKUP($N475,Capa!$A:$AE,AS$5,0)="",0,VLOOKUP($N475,Capa!$A:$AE,AS$5,0)),0),IF(ISERROR(1/VLOOKUP($N475,Capa!$A:$AE,AS$5,0)),0,1/VLOOKUP($N475,Capa!$A:$AE,AS$5,0))))</f>
        <v/>
      </c>
      <c r="AT475" s="118" t="str">
        <f>IF(AT$6="","",IF(AT$3="Maior",IFERROR(IF(VLOOKUP($N475,Capa!$A:$AE,AT$5,0)="",0,VLOOKUP($N475,Capa!$A:$AE,AT$5,0)),0),IF(ISERROR(1/VLOOKUP($N475,Capa!$A:$AE,AT$5,0)),0,1/VLOOKUP($N475,Capa!$A:$AE,AT$5,0))))</f>
        <v/>
      </c>
      <c r="AU475" s="118" t="str">
        <f>IF(AU$6="","",IF(AU$3="Maior",IFERROR(IF(VLOOKUP($N475,Capa!$A:$AE,AU$5,0)="",0,VLOOKUP($N475,Capa!$A:$AE,AU$5,0)),0),IF(ISERROR(1/VLOOKUP($N475,Capa!$A:$AE,AU$5,0)),0,1/VLOOKUP($N475,Capa!$A:$AE,AU$5,0))))</f>
        <v/>
      </c>
      <c r="AV475" s="118" t="str">
        <f>IF(AV$6="","",IF(AV$3="Maior",IFERROR(IF(VLOOKUP($N475,Capa!$A:$AE,AV$5,0)="",0,VLOOKUP($N475,Capa!$A:$AE,AV$5,0)),0),IF(ISERROR(1/VLOOKUP($N475,Capa!$A:$AE,AV$5,0)),0,1/VLOOKUP($N475,Capa!$A:$AE,AV$5,0))))</f>
        <v/>
      </c>
      <c r="AW475" s="118" t="str">
        <f>IF(AW$6="","",IF(AW$3="Maior",IFERROR(IF(VLOOKUP($N475,Capa!$A:$AE,AW$5,0)="",0,VLOOKUP($N475,Capa!$A:$AE,AW$5,0)),0),IF(ISERROR(1/VLOOKUP($N475,Capa!$A:$AE,AW$5,0)),0,1/VLOOKUP($N475,Capa!$A:$AE,AW$5,0))))</f>
        <v/>
      </c>
      <c r="AX475" s="118" t="str">
        <f>IF(AX$6="","",IF(AX$3="Maior",IFERROR(IF(VLOOKUP($N475,Capa!$A:$AE,AX$5,0)="",0,VLOOKUP($N475,Capa!$A:$AE,AX$5,0)),0),IF(ISERROR(1/VLOOKUP($N475,Capa!$A:$AE,AX$5,0)),0,1/VLOOKUP($N475,Capa!$A:$AE,AX$5,0))))</f>
        <v/>
      </c>
      <c r="AY475" s="118" t="str">
        <f>IF(AY$6="","",IF(AY$3="Maior",IFERROR(IF(VLOOKUP($N475,Capa!$A:$AE,AY$5,0)="",0,VLOOKUP($N475,Capa!$A:$AE,AY$5,0)),0),IF(ISERROR(1/VLOOKUP($N475,Capa!$A:$AE,AY$5,0)),0,1/VLOOKUP($N475,Capa!$A:$AE,AY$5,0))))</f>
        <v/>
      </c>
      <c r="AZ475" s="118" t="str">
        <f>IF(AZ$6="","",IF(AZ$3="Maior",IFERROR(IF(VLOOKUP($N475,Capa!$A:$AE,AZ$5,0)="",0,VLOOKUP($N475,Capa!$A:$AE,AZ$5,0)),0),IF(ISERROR(1/VLOOKUP($N475,Capa!$A:$AE,AZ$5,0)),0,1/VLOOKUP($N475,Capa!$A:$AE,AZ$5,0))))</f>
        <v/>
      </c>
      <c r="BA475" s="118" t="str">
        <f>IF(BA$6="","",IF(BA$3="Maior",IFERROR(IF(VLOOKUP($N475,Capa!$A:$AE,BA$5,0)="",0,VLOOKUP($N475,Capa!$A:$AE,BA$5,0)),0),IF(ISERROR(1/VLOOKUP($N475,Capa!$A:$AE,BA$5,0)),0,1/VLOOKUP($N475,Capa!$A:$AE,BA$5,0))))</f>
        <v/>
      </c>
      <c r="BB475" s="118" t="str">
        <f>IF(BB$6="","",IF(BB$3="Maior",IFERROR(IF(VLOOKUP($N475,Capa!$A:$AE,BB$5,0)="",0,VLOOKUP($N475,Capa!$A:$AE,BB$5,0)),0),IF(ISERROR(1/VLOOKUP($N475,Capa!$A:$AE,BB$5,0)),0,1/VLOOKUP($N475,Capa!$A:$AE,BB$5,0))))</f>
        <v/>
      </c>
      <c r="BC475" s="118" t="str">
        <f>IF(BC$6="","",IF(BC$3="Maior",IFERROR(IF(VLOOKUP($N475,Capa!$A:$AE,BC$5,0)="",0,VLOOKUP($N475,Capa!$A:$AE,BC$5,0)),0),IF(ISERROR(1/VLOOKUP($N475,Capa!$A:$AE,BC$5,0)),0,1/VLOOKUP($N475,Capa!$A:$AE,BC$5,0))))</f>
        <v/>
      </c>
      <c r="BD475" s="118" t="str">
        <f>IF(BD$6="","",IF(BD$3="Maior",IFERROR(IF(VLOOKUP($N475,Capa!$A:$AE,BD$5,0)="",0,VLOOKUP($N475,Capa!$A:$AE,BD$5,0)),0),IF(ISERROR(1/VLOOKUP($N475,Capa!$A:$AE,BD$5,0)),0,1/VLOOKUP($N475,Capa!$A:$AE,BD$5,0))))</f>
        <v/>
      </c>
      <c r="BE475" s="118" t="str">
        <f>IF(BE$6="","",IF(BE$3="Maior",IFERROR(IF(VLOOKUP($N475,Capa!$A:$AE,BE$5,0)="",0,VLOOKUP($N475,Capa!$A:$AE,BE$5,0)),0),IF(ISERROR(1/VLOOKUP($N475,Capa!$A:$AE,BE$5,0)),0,1/VLOOKUP($N475,Capa!$A:$AE,BE$5,0))))</f>
        <v/>
      </c>
      <c r="BF475" s="118" t="str">
        <f>IF(BF$6="","",IF(BF$3="Maior",IFERROR(IF(VLOOKUP($N475,Capa!$A:$AE,BF$5,0)="",0,VLOOKUP($N475,Capa!$A:$AE,BF$5,0)),0),IF(ISERROR(1/VLOOKUP($N475,Capa!$A:$AE,BF$5,0)),0,1/VLOOKUP($N475,Capa!$A:$AE,BF$5,0))))</f>
        <v/>
      </c>
      <c r="BG475" s="118" t="str">
        <f>IF(BG$6="","",IF(BG$3="Maior",IFERROR(IF(VLOOKUP($N475,Capa!$A:$AE,BG$5,0)="",0,VLOOKUP($N475,Capa!$A:$AE,BG$5,0)),0),IF(ISERROR(1/VLOOKUP($N475,Capa!$A:$AE,BG$5,0)),0,1/VLOOKUP($N475,Capa!$A:$AE,BG$5,0))))</f>
        <v/>
      </c>
      <c r="BH475" s="118" t="str">
        <f>IF(BH$6="","",IF(BH$3="Maior",IFERROR(IF(VLOOKUP($N475,Capa!$A:$AE,BH$5,0)="",0,VLOOKUP($N475,Capa!$A:$AE,BH$5,0)),0),IF(ISERROR(1/VLOOKUP($N475,Capa!$A:$AE,BH$5,0)),0,1/VLOOKUP($N475,Capa!$A:$AE,BH$5,0))))</f>
        <v/>
      </c>
      <c r="BI475" s="118" t="str">
        <f>IF(BI$6="","",IF(BI$3="Maior",IFERROR(IF(VLOOKUP($N475,Capa!$A:$AE,BI$5,0)="",0,VLOOKUP($N475,Capa!$A:$AE,BI$5,0)),0),IF(ISERROR(1/VLOOKUP($N475,Capa!$A:$AE,BI$5,0)),0,1/VLOOKUP($N475,Capa!$A:$AE,BI$5,0))))</f>
        <v/>
      </c>
      <c r="BJ475" s="118" t="str">
        <f>IF(BJ$6="","",IF(BJ$3="Maior",IFERROR(IF(VLOOKUP($N475,Capa!$A:$AE,BJ$5,0)="",0,VLOOKUP($N475,Capa!$A:$AE,BJ$5,0)),0),IF(ISERROR(1/VLOOKUP($N475,Capa!$A:$AE,BJ$5,0)),0,1/VLOOKUP($N475,Capa!$A:$AE,BJ$5,0))))</f>
        <v/>
      </c>
      <c r="BK475" s="118" t="str">
        <f>IF(BK$6="","",IF(BK$3="Maior",IFERROR(IF(VLOOKUP($N475,Capa!$A:$AE,BK$5,0)="",0,VLOOKUP($N475,Capa!$A:$AE,BK$5,0)),0),IF(ISERROR(1/VLOOKUP($N475,Capa!$A:$AE,BK$5,0)),0,1/VLOOKUP($N475,Capa!$A:$AE,BK$5,0))))</f>
        <v/>
      </c>
      <c r="BL475" s="118" t="str">
        <f>IF(BL$6="","",IF(BL$3="Maior",IFERROR(IF(VLOOKUP($N475,Capa!$A:$AE,BL$5,0)="",0,VLOOKUP($N475,Capa!$A:$AE,BL$5,0)),0),IF(ISERROR(1/VLOOKUP($N475,Capa!$A:$AE,BL$5,0)),0,1/VLOOKUP($N475,Capa!$A:$AE,BL$5,0))))</f>
        <v/>
      </c>
      <c r="BM475" s="118" t="str">
        <f>IF(BM$6="","",IF(BM$3="Maior",IFERROR(IF(VLOOKUP($N475,Capa!$A:$AE,BM$5,0)="",0,VLOOKUP($N475,Capa!$A:$AE,BM$5,0)),0),IF(ISERROR(1/VLOOKUP($N475,Capa!$A:$AE,BM$5,0)),0,1/VLOOKUP($N475,Capa!$A:$AE,BM$5,0))))</f>
        <v/>
      </c>
      <c r="BN475" s="118" t="str">
        <f>IF(BN$6="","",IF(BN$3="Maior",IFERROR(IF(VLOOKUP($N475,Capa!$A:$AE,BN$5,0)="",0,VLOOKUP($N475,Capa!$A:$AE,BN$5,0)),0),IF(ISERROR(1/VLOOKUP($N475,Capa!$A:$AE,BN$5,0)),0,1/VLOOKUP($N475,Capa!$A:$AE,BN$5,0))))</f>
        <v/>
      </c>
      <c r="BO475" s="92"/>
    </row>
    <row r="476">
      <c r="I476" s="73"/>
      <c r="J476" s="74"/>
      <c r="N476" s="10" t="s">
        <v>522</v>
      </c>
      <c r="O476" s="113">
        <f t="shared" si="8"/>
        <v>1428.0182</v>
      </c>
      <c r="P476" s="114">
        <f>VLOOKUP(N476,'Dados StatusInvest'!A:Z,26,0)</f>
        <v>7800</v>
      </c>
      <c r="Q476" s="115">
        <f t="shared" si="9"/>
        <v>182.0182</v>
      </c>
      <c r="R476" s="116">
        <f t="shared" ref="R476:AO476" si="479">IF(AQ476="","", RANK(AQ476,AQ$7:AQ$503,0))</f>
        <v>167</v>
      </c>
      <c r="S476" s="115">
        <f t="shared" si="479"/>
        <v>79</v>
      </c>
      <c r="T476" s="115" t="str">
        <f t="shared" si="479"/>
        <v/>
      </c>
      <c r="U476" s="115" t="str">
        <f t="shared" si="479"/>
        <v/>
      </c>
      <c r="V476" s="115" t="str">
        <f t="shared" si="479"/>
        <v/>
      </c>
      <c r="W476" s="115" t="str">
        <f t="shared" si="479"/>
        <v/>
      </c>
      <c r="X476" s="115" t="str">
        <f t="shared" si="479"/>
        <v/>
      </c>
      <c r="Y476" s="115" t="str">
        <f t="shared" si="479"/>
        <v/>
      </c>
      <c r="Z476" s="115" t="str">
        <f t="shared" si="479"/>
        <v/>
      </c>
      <c r="AA476" s="115" t="str">
        <f t="shared" si="479"/>
        <v/>
      </c>
      <c r="AB476" s="115" t="str">
        <f t="shared" si="479"/>
        <v/>
      </c>
      <c r="AC476" s="115" t="str">
        <f t="shared" si="479"/>
        <v/>
      </c>
      <c r="AD476" s="115" t="str">
        <f t="shared" si="479"/>
        <v/>
      </c>
      <c r="AE476" s="115" t="str">
        <f t="shared" si="479"/>
        <v/>
      </c>
      <c r="AF476" s="115" t="str">
        <f t="shared" si="479"/>
        <v/>
      </c>
      <c r="AG476" s="115" t="str">
        <f t="shared" si="479"/>
        <v/>
      </c>
      <c r="AH476" s="115" t="str">
        <f t="shared" si="479"/>
        <v/>
      </c>
      <c r="AI476" s="115" t="str">
        <f t="shared" si="479"/>
        <v/>
      </c>
      <c r="AJ476" s="115" t="str">
        <f t="shared" si="479"/>
        <v/>
      </c>
      <c r="AK476" s="115" t="str">
        <f t="shared" si="479"/>
        <v/>
      </c>
      <c r="AL476" s="115" t="str">
        <f t="shared" si="479"/>
        <v/>
      </c>
      <c r="AM476" s="115" t="str">
        <f t="shared" si="479"/>
        <v/>
      </c>
      <c r="AN476" s="115" t="str">
        <f t="shared" si="479"/>
        <v/>
      </c>
      <c r="AO476" s="115" t="str">
        <f t="shared" si="479"/>
        <v/>
      </c>
      <c r="AP476" s="117">
        <f>IF(AP$6="","",IF(AP$3="Maior",IFERROR(IF(VLOOKUP($N476,Capa!$A:$AE,AP$5,0)="",0,VLOOKUP($N476,Capa!$A:$AE,AP$5,0)),0),IF(ISERROR(1/VLOOKUP($N476,Capa!$A:$AE,AP$5,0)),0,1/VLOOKUP($N476,Capa!$A:$AE,AP$5,0))))</f>
        <v>0.114416476</v>
      </c>
      <c r="AQ476" s="118">
        <f>IF(AQ$6="","",IF(AQ$3="Maior",IFERROR(IF(VLOOKUP($N476,Capa!$A:$AE,AQ$5,0)="",0,VLOOKUP($N476,Capa!$A:$AE,AQ$5,0)),0),IF(ISERROR(1/VLOOKUP($N476,Capa!$A:$AE,AQ$5,0)),0,1/VLOOKUP($N476,Capa!$A:$AE,AQ$5,0))))</f>
        <v>13.2</v>
      </c>
      <c r="AR476" s="118">
        <f>IF(AR$6="","",IF(AR$3="Maior",IFERROR(IF(VLOOKUP($N476,Capa!$A:$AE,AR$5,0)="",0,VLOOKUP($N476,Capa!$A:$AE,AR$5,0)),0),IF(ISERROR(1/VLOOKUP($N476,Capa!$A:$AE,AR$5,0)),0,1/VLOOKUP($N476,Capa!$A:$AE,AR$5,0))))</f>
        <v>35.37</v>
      </c>
      <c r="AS476" s="118" t="str">
        <f>IF(AS$6="","",IF(AS$3="Maior",IFERROR(IF(VLOOKUP($N476,Capa!$A:$AE,AS$5,0)="",0,VLOOKUP($N476,Capa!$A:$AE,AS$5,0)),0),IF(ISERROR(1/VLOOKUP($N476,Capa!$A:$AE,AS$5,0)),0,1/VLOOKUP($N476,Capa!$A:$AE,AS$5,0))))</f>
        <v/>
      </c>
      <c r="AT476" s="118" t="str">
        <f>IF(AT$6="","",IF(AT$3="Maior",IFERROR(IF(VLOOKUP($N476,Capa!$A:$AE,AT$5,0)="",0,VLOOKUP($N476,Capa!$A:$AE,AT$5,0)),0),IF(ISERROR(1/VLOOKUP($N476,Capa!$A:$AE,AT$5,0)),0,1/VLOOKUP($N476,Capa!$A:$AE,AT$5,0))))</f>
        <v/>
      </c>
      <c r="AU476" s="118" t="str">
        <f>IF(AU$6="","",IF(AU$3="Maior",IFERROR(IF(VLOOKUP($N476,Capa!$A:$AE,AU$5,0)="",0,VLOOKUP($N476,Capa!$A:$AE,AU$5,0)),0),IF(ISERROR(1/VLOOKUP($N476,Capa!$A:$AE,AU$5,0)),0,1/VLOOKUP($N476,Capa!$A:$AE,AU$5,0))))</f>
        <v/>
      </c>
      <c r="AV476" s="118" t="str">
        <f>IF(AV$6="","",IF(AV$3="Maior",IFERROR(IF(VLOOKUP($N476,Capa!$A:$AE,AV$5,0)="",0,VLOOKUP($N476,Capa!$A:$AE,AV$5,0)),0),IF(ISERROR(1/VLOOKUP($N476,Capa!$A:$AE,AV$5,0)),0,1/VLOOKUP($N476,Capa!$A:$AE,AV$5,0))))</f>
        <v/>
      </c>
      <c r="AW476" s="118" t="str">
        <f>IF(AW$6="","",IF(AW$3="Maior",IFERROR(IF(VLOOKUP($N476,Capa!$A:$AE,AW$5,0)="",0,VLOOKUP($N476,Capa!$A:$AE,AW$5,0)),0),IF(ISERROR(1/VLOOKUP($N476,Capa!$A:$AE,AW$5,0)),0,1/VLOOKUP($N476,Capa!$A:$AE,AW$5,0))))</f>
        <v/>
      </c>
      <c r="AX476" s="118" t="str">
        <f>IF(AX$6="","",IF(AX$3="Maior",IFERROR(IF(VLOOKUP($N476,Capa!$A:$AE,AX$5,0)="",0,VLOOKUP($N476,Capa!$A:$AE,AX$5,0)),0),IF(ISERROR(1/VLOOKUP($N476,Capa!$A:$AE,AX$5,0)),0,1/VLOOKUP($N476,Capa!$A:$AE,AX$5,0))))</f>
        <v/>
      </c>
      <c r="AY476" s="118" t="str">
        <f>IF(AY$6="","",IF(AY$3="Maior",IFERROR(IF(VLOOKUP($N476,Capa!$A:$AE,AY$5,0)="",0,VLOOKUP($N476,Capa!$A:$AE,AY$5,0)),0),IF(ISERROR(1/VLOOKUP($N476,Capa!$A:$AE,AY$5,0)),0,1/VLOOKUP($N476,Capa!$A:$AE,AY$5,0))))</f>
        <v/>
      </c>
      <c r="AZ476" s="118" t="str">
        <f>IF(AZ$6="","",IF(AZ$3="Maior",IFERROR(IF(VLOOKUP($N476,Capa!$A:$AE,AZ$5,0)="",0,VLOOKUP($N476,Capa!$A:$AE,AZ$5,0)),0),IF(ISERROR(1/VLOOKUP($N476,Capa!$A:$AE,AZ$5,0)),0,1/VLOOKUP($N476,Capa!$A:$AE,AZ$5,0))))</f>
        <v/>
      </c>
      <c r="BA476" s="118" t="str">
        <f>IF(BA$6="","",IF(BA$3="Maior",IFERROR(IF(VLOOKUP($N476,Capa!$A:$AE,BA$5,0)="",0,VLOOKUP($N476,Capa!$A:$AE,BA$5,0)),0),IF(ISERROR(1/VLOOKUP($N476,Capa!$A:$AE,BA$5,0)),0,1/VLOOKUP($N476,Capa!$A:$AE,BA$5,0))))</f>
        <v/>
      </c>
      <c r="BB476" s="118" t="str">
        <f>IF(BB$6="","",IF(BB$3="Maior",IFERROR(IF(VLOOKUP($N476,Capa!$A:$AE,BB$5,0)="",0,VLOOKUP($N476,Capa!$A:$AE,BB$5,0)),0),IF(ISERROR(1/VLOOKUP($N476,Capa!$A:$AE,BB$5,0)),0,1/VLOOKUP($N476,Capa!$A:$AE,BB$5,0))))</f>
        <v/>
      </c>
      <c r="BC476" s="118" t="str">
        <f>IF(BC$6="","",IF(BC$3="Maior",IFERROR(IF(VLOOKUP($N476,Capa!$A:$AE,BC$5,0)="",0,VLOOKUP($N476,Capa!$A:$AE,BC$5,0)),0),IF(ISERROR(1/VLOOKUP($N476,Capa!$A:$AE,BC$5,0)),0,1/VLOOKUP($N476,Capa!$A:$AE,BC$5,0))))</f>
        <v/>
      </c>
      <c r="BD476" s="118" t="str">
        <f>IF(BD$6="","",IF(BD$3="Maior",IFERROR(IF(VLOOKUP($N476,Capa!$A:$AE,BD$5,0)="",0,VLOOKUP($N476,Capa!$A:$AE,BD$5,0)),0),IF(ISERROR(1/VLOOKUP($N476,Capa!$A:$AE,BD$5,0)),0,1/VLOOKUP($N476,Capa!$A:$AE,BD$5,0))))</f>
        <v/>
      </c>
      <c r="BE476" s="118" t="str">
        <f>IF(BE$6="","",IF(BE$3="Maior",IFERROR(IF(VLOOKUP($N476,Capa!$A:$AE,BE$5,0)="",0,VLOOKUP($N476,Capa!$A:$AE,BE$5,0)),0),IF(ISERROR(1/VLOOKUP($N476,Capa!$A:$AE,BE$5,0)),0,1/VLOOKUP($N476,Capa!$A:$AE,BE$5,0))))</f>
        <v/>
      </c>
      <c r="BF476" s="118" t="str">
        <f>IF(BF$6="","",IF(BF$3="Maior",IFERROR(IF(VLOOKUP($N476,Capa!$A:$AE,BF$5,0)="",0,VLOOKUP($N476,Capa!$A:$AE,BF$5,0)),0),IF(ISERROR(1/VLOOKUP($N476,Capa!$A:$AE,BF$5,0)),0,1/VLOOKUP($N476,Capa!$A:$AE,BF$5,0))))</f>
        <v/>
      </c>
      <c r="BG476" s="118" t="str">
        <f>IF(BG$6="","",IF(BG$3="Maior",IFERROR(IF(VLOOKUP($N476,Capa!$A:$AE,BG$5,0)="",0,VLOOKUP($N476,Capa!$A:$AE,BG$5,0)),0),IF(ISERROR(1/VLOOKUP($N476,Capa!$A:$AE,BG$5,0)),0,1/VLOOKUP($N476,Capa!$A:$AE,BG$5,0))))</f>
        <v/>
      </c>
      <c r="BH476" s="118" t="str">
        <f>IF(BH$6="","",IF(BH$3="Maior",IFERROR(IF(VLOOKUP($N476,Capa!$A:$AE,BH$5,0)="",0,VLOOKUP($N476,Capa!$A:$AE,BH$5,0)),0),IF(ISERROR(1/VLOOKUP($N476,Capa!$A:$AE,BH$5,0)),0,1/VLOOKUP($N476,Capa!$A:$AE,BH$5,0))))</f>
        <v/>
      </c>
      <c r="BI476" s="118" t="str">
        <f>IF(BI$6="","",IF(BI$3="Maior",IFERROR(IF(VLOOKUP($N476,Capa!$A:$AE,BI$5,0)="",0,VLOOKUP($N476,Capa!$A:$AE,BI$5,0)),0),IF(ISERROR(1/VLOOKUP($N476,Capa!$A:$AE,BI$5,0)),0,1/VLOOKUP($N476,Capa!$A:$AE,BI$5,0))))</f>
        <v/>
      </c>
      <c r="BJ476" s="118" t="str">
        <f>IF(BJ$6="","",IF(BJ$3="Maior",IFERROR(IF(VLOOKUP($N476,Capa!$A:$AE,BJ$5,0)="",0,VLOOKUP($N476,Capa!$A:$AE,BJ$5,0)),0),IF(ISERROR(1/VLOOKUP($N476,Capa!$A:$AE,BJ$5,0)),0,1/VLOOKUP($N476,Capa!$A:$AE,BJ$5,0))))</f>
        <v/>
      </c>
      <c r="BK476" s="118" t="str">
        <f>IF(BK$6="","",IF(BK$3="Maior",IFERROR(IF(VLOOKUP($N476,Capa!$A:$AE,BK$5,0)="",0,VLOOKUP($N476,Capa!$A:$AE,BK$5,0)),0),IF(ISERROR(1/VLOOKUP($N476,Capa!$A:$AE,BK$5,0)),0,1/VLOOKUP($N476,Capa!$A:$AE,BK$5,0))))</f>
        <v/>
      </c>
      <c r="BL476" s="118" t="str">
        <f>IF(BL$6="","",IF(BL$3="Maior",IFERROR(IF(VLOOKUP($N476,Capa!$A:$AE,BL$5,0)="",0,VLOOKUP($N476,Capa!$A:$AE,BL$5,0)),0),IF(ISERROR(1/VLOOKUP($N476,Capa!$A:$AE,BL$5,0)),0,1/VLOOKUP($N476,Capa!$A:$AE,BL$5,0))))</f>
        <v/>
      </c>
      <c r="BM476" s="118" t="str">
        <f>IF(BM$6="","",IF(BM$3="Maior",IFERROR(IF(VLOOKUP($N476,Capa!$A:$AE,BM$5,0)="",0,VLOOKUP($N476,Capa!$A:$AE,BM$5,0)),0),IF(ISERROR(1/VLOOKUP($N476,Capa!$A:$AE,BM$5,0)),0,1/VLOOKUP($N476,Capa!$A:$AE,BM$5,0))))</f>
        <v/>
      </c>
      <c r="BN476" s="118" t="str">
        <f>IF(BN$6="","",IF(BN$3="Maior",IFERROR(IF(VLOOKUP($N476,Capa!$A:$AE,BN$5,0)="",0,VLOOKUP($N476,Capa!$A:$AE,BN$5,0)),0),IF(ISERROR(1/VLOOKUP($N476,Capa!$A:$AE,BN$5,0)),0,1/VLOOKUP($N476,Capa!$A:$AE,BN$5,0))))</f>
        <v/>
      </c>
      <c r="BO476" s="92"/>
    </row>
    <row r="477">
      <c r="I477" s="73"/>
      <c r="J477" s="74"/>
      <c r="N477" s="10" t="s">
        <v>523</v>
      </c>
      <c r="O477" s="113">
        <f t="shared" si="8"/>
        <v>1729.0439</v>
      </c>
      <c r="P477" s="114">
        <f>VLOOKUP(N477,'Dados StatusInvest'!A:Z,26,0)</f>
        <v>5580</v>
      </c>
      <c r="Q477" s="115">
        <f t="shared" si="9"/>
        <v>439.0439</v>
      </c>
      <c r="R477" s="116">
        <f t="shared" ref="R477:AO477" si="480">IF(AQ477="","", RANK(AQ477,AQ$7:AQ$503,0))</f>
        <v>71</v>
      </c>
      <c r="S477" s="115">
        <f t="shared" si="480"/>
        <v>219</v>
      </c>
      <c r="T477" s="115" t="str">
        <f t="shared" si="480"/>
        <v/>
      </c>
      <c r="U477" s="115" t="str">
        <f t="shared" si="480"/>
        <v/>
      </c>
      <c r="V477" s="115" t="str">
        <f t="shared" si="480"/>
        <v/>
      </c>
      <c r="W477" s="115" t="str">
        <f t="shared" si="480"/>
        <v/>
      </c>
      <c r="X477" s="115" t="str">
        <f t="shared" si="480"/>
        <v/>
      </c>
      <c r="Y477" s="115" t="str">
        <f t="shared" si="480"/>
        <v/>
      </c>
      <c r="Z477" s="115" t="str">
        <f t="shared" si="480"/>
        <v/>
      </c>
      <c r="AA477" s="115" t="str">
        <f t="shared" si="480"/>
        <v/>
      </c>
      <c r="AB477" s="115" t="str">
        <f t="shared" si="480"/>
        <v/>
      </c>
      <c r="AC477" s="115" t="str">
        <f t="shared" si="480"/>
        <v/>
      </c>
      <c r="AD477" s="115" t="str">
        <f t="shared" si="480"/>
        <v/>
      </c>
      <c r="AE477" s="115" t="str">
        <f t="shared" si="480"/>
        <v/>
      </c>
      <c r="AF477" s="115" t="str">
        <f t="shared" si="480"/>
        <v/>
      </c>
      <c r="AG477" s="115" t="str">
        <f t="shared" si="480"/>
        <v/>
      </c>
      <c r="AH477" s="115" t="str">
        <f t="shared" si="480"/>
        <v/>
      </c>
      <c r="AI477" s="115" t="str">
        <f t="shared" si="480"/>
        <v/>
      </c>
      <c r="AJ477" s="115" t="str">
        <f t="shared" si="480"/>
        <v/>
      </c>
      <c r="AK477" s="115" t="str">
        <f t="shared" si="480"/>
        <v/>
      </c>
      <c r="AL477" s="115" t="str">
        <f t="shared" si="480"/>
        <v/>
      </c>
      <c r="AM477" s="115" t="str">
        <f t="shared" si="480"/>
        <v/>
      </c>
      <c r="AN477" s="115" t="str">
        <f t="shared" si="480"/>
        <v/>
      </c>
      <c r="AO477" s="115" t="str">
        <f t="shared" si="480"/>
        <v/>
      </c>
      <c r="AP477" s="117">
        <f>IF(AP$6="","",IF(AP$3="Maior",IFERROR(IF(VLOOKUP($N477,Capa!$A:$AE,AP$5,0)="",0,VLOOKUP($N477,Capa!$A:$AE,AP$5,0)),0),IF(ISERROR(1/VLOOKUP($N477,Capa!$A:$AE,AP$5,0)),0,1/VLOOKUP($N477,Capa!$A:$AE,AP$5,0))))</f>
        <v>-0.0736377025</v>
      </c>
      <c r="AQ477" s="118">
        <f>IF(AQ$6="","",IF(AQ$3="Maior",IFERROR(IF(VLOOKUP($N477,Capa!$A:$AE,AQ$5,0)="",0,VLOOKUP($N477,Capa!$A:$AE,AQ$5,0)),0),IF(ISERROR(1/VLOOKUP($N477,Capa!$A:$AE,AQ$5,0)),0,1/VLOOKUP($N477,Capa!$A:$AE,AQ$5,0))))</f>
        <v>20.8</v>
      </c>
      <c r="AR477" s="118">
        <f>IF(AR$6="","",IF(AR$3="Maior",IFERROR(IF(VLOOKUP($N477,Capa!$A:$AE,AR$5,0)="",0,VLOOKUP($N477,Capa!$A:$AE,AR$5,0)),0),IF(ISERROR(1/VLOOKUP($N477,Capa!$A:$AE,AR$5,0)),0,1/VLOOKUP($N477,Capa!$A:$AE,AR$5,0))))</f>
        <v>0</v>
      </c>
      <c r="AS477" s="118" t="str">
        <f>IF(AS$6="","",IF(AS$3="Maior",IFERROR(IF(VLOOKUP($N477,Capa!$A:$AE,AS$5,0)="",0,VLOOKUP($N477,Capa!$A:$AE,AS$5,0)),0),IF(ISERROR(1/VLOOKUP($N477,Capa!$A:$AE,AS$5,0)),0,1/VLOOKUP($N477,Capa!$A:$AE,AS$5,0))))</f>
        <v/>
      </c>
      <c r="AT477" s="118" t="str">
        <f>IF(AT$6="","",IF(AT$3="Maior",IFERROR(IF(VLOOKUP($N477,Capa!$A:$AE,AT$5,0)="",0,VLOOKUP($N477,Capa!$A:$AE,AT$5,0)),0),IF(ISERROR(1/VLOOKUP($N477,Capa!$A:$AE,AT$5,0)),0,1/VLOOKUP($N477,Capa!$A:$AE,AT$5,0))))</f>
        <v/>
      </c>
      <c r="AU477" s="118" t="str">
        <f>IF(AU$6="","",IF(AU$3="Maior",IFERROR(IF(VLOOKUP($N477,Capa!$A:$AE,AU$5,0)="",0,VLOOKUP($N477,Capa!$A:$AE,AU$5,0)),0),IF(ISERROR(1/VLOOKUP($N477,Capa!$A:$AE,AU$5,0)),0,1/VLOOKUP($N477,Capa!$A:$AE,AU$5,0))))</f>
        <v/>
      </c>
      <c r="AV477" s="118" t="str">
        <f>IF(AV$6="","",IF(AV$3="Maior",IFERROR(IF(VLOOKUP($N477,Capa!$A:$AE,AV$5,0)="",0,VLOOKUP($N477,Capa!$A:$AE,AV$5,0)),0),IF(ISERROR(1/VLOOKUP($N477,Capa!$A:$AE,AV$5,0)),0,1/VLOOKUP($N477,Capa!$A:$AE,AV$5,0))))</f>
        <v/>
      </c>
      <c r="AW477" s="118" t="str">
        <f>IF(AW$6="","",IF(AW$3="Maior",IFERROR(IF(VLOOKUP($N477,Capa!$A:$AE,AW$5,0)="",0,VLOOKUP($N477,Capa!$A:$AE,AW$5,0)),0),IF(ISERROR(1/VLOOKUP($N477,Capa!$A:$AE,AW$5,0)),0,1/VLOOKUP($N477,Capa!$A:$AE,AW$5,0))))</f>
        <v/>
      </c>
      <c r="AX477" s="118" t="str">
        <f>IF(AX$6="","",IF(AX$3="Maior",IFERROR(IF(VLOOKUP($N477,Capa!$A:$AE,AX$5,0)="",0,VLOOKUP($N477,Capa!$A:$AE,AX$5,0)),0),IF(ISERROR(1/VLOOKUP($N477,Capa!$A:$AE,AX$5,0)),0,1/VLOOKUP($N477,Capa!$A:$AE,AX$5,0))))</f>
        <v/>
      </c>
      <c r="AY477" s="118" t="str">
        <f>IF(AY$6="","",IF(AY$3="Maior",IFERROR(IF(VLOOKUP($N477,Capa!$A:$AE,AY$5,0)="",0,VLOOKUP($N477,Capa!$A:$AE,AY$5,0)),0),IF(ISERROR(1/VLOOKUP($N477,Capa!$A:$AE,AY$5,0)),0,1/VLOOKUP($N477,Capa!$A:$AE,AY$5,0))))</f>
        <v/>
      </c>
      <c r="AZ477" s="118" t="str">
        <f>IF(AZ$6="","",IF(AZ$3="Maior",IFERROR(IF(VLOOKUP($N477,Capa!$A:$AE,AZ$5,0)="",0,VLOOKUP($N477,Capa!$A:$AE,AZ$5,0)),0),IF(ISERROR(1/VLOOKUP($N477,Capa!$A:$AE,AZ$5,0)),0,1/VLOOKUP($N477,Capa!$A:$AE,AZ$5,0))))</f>
        <v/>
      </c>
      <c r="BA477" s="118" t="str">
        <f>IF(BA$6="","",IF(BA$3="Maior",IFERROR(IF(VLOOKUP($N477,Capa!$A:$AE,BA$5,0)="",0,VLOOKUP($N477,Capa!$A:$AE,BA$5,0)),0),IF(ISERROR(1/VLOOKUP($N477,Capa!$A:$AE,BA$5,0)),0,1/VLOOKUP($N477,Capa!$A:$AE,BA$5,0))))</f>
        <v/>
      </c>
      <c r="BB477" s="118" t="str">
        <f>IF(BB$6="","",IF(BB$3="Maior",IFERROR(IF(VLOOKUP($N477,Capa!$A:$AE,BB$5,0)="",0,VLOOKUP($N477,Capa!$A:$AE,BB$5,0)),0),IF(ISERROR(1/VLOOKUP($N477,Capa!$A:$AE,BB$5,0)),0,1/VLOOKUP($N477,Capa!$A:$AE,BB$5,0))))</f>
        <v/>
      </c>
      <c r="BC477" s="118" t="str">
        <f>IF(BC$6="","",IF(BC$3="Maior",IFERROR(IF(VLOOKUP($N477,Capa!$A:$AE,BC$5,0)="",0,VLOOKUP($N477,Capa!$A:$AE,BC$5,0)),0),IF(ISERROR(1/VLOOKUP($N477,Capa!$A:$AE,BC$5,0)),0,1/VLOOKUP($N477,Capa!$A:$AE,BC$5,0))))</f>
        <v/>
      </c>
      <c r="BD477" s="118" t="str">
        <f>IF(BD$6="","",IF(BD$3="Maior",IFERROR(IF(VLOOKUP($N477,Capa!$A:$AE,BD$5,0)="",0,VLOOKUP($N477,Capa!$A:$AE,BD$5,0)),0),IF(ISERROR(1/VLOOKUP($N477,Capa!$A:$AE,BD$5,0)),0,1/VLOOKUP($N477,Capa!$A:$AE,BD$5,0))))</f>
        <v/>
      </c>
      <c r="BE477" s="118" t="str">
        <f>IF(BE$6="","",IF(BE$3="Maior",IFERROR(IF(VLOOKUP($N477,Capa!$A:$AE,BE$5,0)="",0,VLOOKUP($N477,Capa!$A:$AE,BE$5,0)),0),IF(ISERROR(1/VLOOKUP($N477,Capa!$A:$AE,BE$5,0)),0,1/VLOOKUP($N477,Capa!$A:$AE,BE$5,0))))</f>
        <v/>
      </c>
      <c r="BF477" s="118" t="str">
        <f>IF(BF$6="","",IF(BF$3="Maior",IFERROR(IF(VLOOKUP($N477,Capa!$A:$AE,BF$5,0)="",0,VLOOKUP($N477,Capa!$A:$AE,BF$5,0)),0),IF(ISERROR(1/VLOOKUP($N477,Capa!$A:$AE,BF$5,0)),0,1/VLOOKUP($N477,Capa!$A:$AE,BF$5,0))))</f>
        <v/>
      </c>
      <c r="BG477" s="118" t="str">
        <f>IF(BG$6="","",IF(BG$3="Maior",IFERROR(IF(VLOOKUP($N477,Capa!$A:$AE,BG$5,0)="",0,VLOOKUP($N477,Capa!$A:$AE,BG$5,0)),0),IF(ISERROR(1/VLOOKUP($N477,Capa!$A:$AE,BG$5,0)),0,1/VLOOKUP($N477,Capa!$A:$AE,BG$5,0))))</f>
        <v/>
      </c>
      <c r="BH477" s="118" t="str">
        <f>IF(BH$6="","",IF(BH$3="Maior",IFERROR(IF(VLOOKUP($N477,Capa!$A:$AE,BH$5,0)="",0,VLOOKUP($N477,Capa!$A:$AE,BH$5,0)),0),IF(ISERROR(1/VLOOKUP($N477,Capa!$A:$AE,BH$5,0)),0,1/VLOOKUP($N477,Capa!$A:$AE,BH$5,0))))</f>
        <v/>
      </c>
      <c r="BI477" s="118" t="str">
        <f>IF(BI$6="","",IF(BI$3="Maior",IFERROR(IF(VLOOKUP($N477,Capa!$A:$AE,BI$5,0)="",0,VLOOKUP($N477,Capa!$A:$AE,BI$5,0)),0),IF(ISERROR(1/VLOOKUP($N477,Capa!$A:$AE,BI$5,0)),0,1/VLOOKUP($N477,Capa!$A:$AE,BI$5,0))))</f>
        <v/>
      </c>
      <c r="BJ477" s="118" t="str">
        <f>IF(BJ$6="","",IF(BJ$3="Maior",IFERROR(IF(VLOOKUP($N477,Capa!$A:$AE,BJ$5,0)="",0,VLOOKUP($N477,Capa!$A:$AE,BJ$5,0)),0),IF(ISERROR(1/VLOOKUP($N477,Capa!$A:$AE,BJ$5,0)),0,1/VLOOKUP($N477,Capa!$A:$AE,BJ$5,0))))</f>
        <v/>
      </c>
      <c r="BK477" s="118" t="str">
        <f>IF(BK$6="","",IF(BK$3="Maior",IFERROR(IF(VLOOKUP($N477,Capa!$A:$AE,BK$5,0)="",0,VLOOKUP($N477,Capa!$A:$AE,BK$5,0)),0),IF(ISERROR(1/VLOOKUP($N477,Capa!$A:$AE,BK$5,0)),0,1/VLOOKUP($N477,Capa!$A:$AE,BK$5,0))))</f>
        <v/>
      </c>
      <c r="BL477" s="118" t="str">
        <f>IF(BL$6="","",IF(BL$3="Maior",IFERROR(IF(VLOOKUP($N477,Capa!$A:$AE,BL$5,0)="",0,VLOOKUP($N477,Capa!$A:$AE,BL$5,0)),0),IF(ISERROR(1/VLOOKUP($N477,Capa!$A:$AE,BL$5,0)),0,1/VLOOKUP($N477,Capa!$A:$AE,BL$5,0))))</f>
        <v/>
      </c>
      <c r="BM477" s="118" t="str">
        <f>IF(BM$6="","",IF(BM$3="Maior",IFERROR(IF(VLOOKUP($N477,Capa!$A:$AE,BM$5,0)="",0,VLOOKUP($N477,Capa!$A:$AE,BM$5,0)),0),IF(ISERROR(1/VLOOKUP($N477,Capa!$A:$AE,BM$5,0)),0,1/VLOOKUP($N477,Capa!$A:$AE,BM$5,0))))</f>
        <v/>
      </c>
      <c r="BN477" s="118" t="str">
        <f>IF(BN$6="","",IF(BN$3="Maior",IFERROR(IF(VLOOKUP($N477,Capa!$A:$AE,BN$5,0)="",0,VLOOKUP($N477,Capa!$A:$AE,BN$5,0)),0),IF(ISERROR(1/VLOOKUP($N477,Capa!$A:$AE,BN$5,0)),0,1/VLOOKUP($N477,Capa!$A:$AE,BN$5,0))))</f>
        <v/>
      </c>
      <c r="BO477" s="92"/>
    </row>
    <row r="478">
      <c r="I478" s="73"/>
      <c r="J478" s="74"/>
      <c r="N478" s="10" t="s">
        <v>524</v>
      </c>
      <c r="O478" s="113">
        <f t="shared" si="8"/>
        <v>1193.0052</v>
      </c>
      <c r="P478" s="114">
        <f>VLOOKUP(N478,'Dados StatusInvest'!A:Z,26,0)</f>
        <v>6142.2</v>
      </c>
      <c r="Q478" s="115">
        <f t="shared" si="9"/>
        <v>52.0052</v>
      </c>
      <c r="R478" s="116">
        <f t="shared" ref="R478:AO478" si="481">IF(AQ478="","", RANK(AQ478,AQ$7:AQ$503,0))</f>
        <v>40</v>
      </c>
      <c r="S478" s="115">
        <f t="shared" si="481"/>
        <v>101</v>
      </c>
      <c r="T478" s="115" t="str">
        <f t="shared" si="481"/>
        <v/>
      </c>
      <c r="U478" s="115" t="str">
        <f t="shared" si="481"/>
        <v/>
      </c>
      <c r="V478" s="115" t="str">
        <f t="shared" si="481"/>
        <v/>
      </c>
      <c r="W478" s="115" t="str">
        <f t="shared" si="481"/>
        <v/>
      </c>
      <c r="X478" s="115" t="str">
        <f t="shared" si="481"/>
        <v/>
      </c>
      <c r="Y478" s="115" t="str">
        <f t="shared" si="481"/>
        <v/>
      </c>
      <c r="Z478" s="115" t="str">
        <f t="shared" si="481"/>
        <v/>
      </c>
      <c r="AA478" s="115" t="str">
        <f t="shared" si="481"/>
        <v/>
      </c>
      <c r="AB478" s="115" t="str">
        <f t="shared" si="481"/>
        <v/>
      </c>
      <c r="AC478" s="115" t="str">
        <f t="shared" si="481"/>
        <v/>
      </c>
      <c r="AD478" s="115" t="str">
        <f t="shared" si="481"/>
        <v/>
      </c>
      <c r="AE478" s="115" t="str">
        <f t="shared" si="481"/>
        <v/>
      </c>
      <c r="AF478" s="115" t="str">
        <f t="shared" si="481"/>
        <v/>
      </c>
      <c r="AG478" s="115" t="str">
        <f t="shared" si="481"/>
        <v/>
      </c>
      <c r="AH478" s="115" t="str">
        <f t="shared" si="481"/>
        <v/>
      </c>
      <c r="AI478" s="115" t="str">
        <f t="shared" si="481"/>
        <v/>
      </c>
      <c r="AJ478" s="115" t="str">
        <f t="shared" si="481"/>
        <v/>
      </c>
      <c r="AK478" s="115" t="str">
        <f t="shared" si="481"/>
        <v/>
      </c>
      <c r="AL478" s="115" t="str">
        <f t="shared" si="481"/>
        <v/>
      </c>
      <c r="AM478" s="115" t="str">
        <f t="shared" si="481"/>
        <v/>
      </c>
      <c r="AN478" s="115" t="str">
        <f t="shared" si="481"/>
        <v/>
      </c>
      <c r="AO478" s="115" t="str">
        <f t="shared" si="481"/>
        <v/>
      </c>
      <c r="AP478" s="117">
        <f>IF(AP$6="","",IF(AP$3="Maior",IFERROR(IF(VLOOKUP($N478,Capa!$A:$AE,AP$5,0)="",0,VLOOKUP($N478,Capa!$A:$AE,AP$5,0)),0),IF(ISERROR(1/VLOOKUP($N478,Capa!$A:$AE,AP$5,0)),0,1/VLOOKUP($N478,Capa!$A:$AE,AP$5,0))))</f>
        <v>0.2415458937</v>
      </c>
      <c r="AQ478" s="118">
        <f>IF(AQ$6="","",IF(AQ$3="Maior",IFERROR(IF(VLOOKUP($N478,Capa!$A:$AE,AQ$5,0)="",0,VLOOKUP($N478,Capa!$A:$AE,AQ$5,0)),0),IF(ISERROR(1/VLOOKUP($N478,Capa!$A:$AE,AQ$5,0)),0,1/VLOOKUP($N478,Capa!$A:$AE,AQ$5,0))))</f>
        <v>31.39</v>
      </c>
      <c r="AR478" s="118">
        <f>IF(AR$6="","",IF(AR$3="Maior",IFERROR(IF(VLOOKUP($N478,Capa!$A:$AE,AR$5,0)="",0,VLOOKUP($N478,Capa!$A:$AE,AR$5,0)),0),IF(ISERROR(1/VLOOKUP($N478,Capa!$A:$AE,AR$5,0)),0,1/VLOOKUP($N478,Capa!$A:$AE,AR$5,0))))</f>
        <v>25.52</v>
      </c>
      <c r="AS478" s="118" t="str">
        <f>IF(AS$6="","",IF(AS$3="Maior",IFERROR(IF(VLOOKUP($N478,Capa!$A:$AE,AS$5,0)="",0,VLOOKUP($N478,Capa!$A:$AE,AS$5,0)),0),IF(ISERROR(1/VLOOKUP($N478,Capa!$A:$AE,AS$5,0)),0,1/VLOOKUP($N478,Capa!$A:$AE,AS$5,0))))</f>
        <v/>
      </c>
      <c r="AT478" s="118" t="str">
        <f>IF(AT$6="","",IF(AT$3="Maior",IFERROR(IF(VLOOKUP($N478,Capa!$A:$AE,AT$5,0)="",0,VLOOKUP($N478,Capa!$A:$AE,AT$5,0)),0),IF(ISERROR(1/VLOOKUP($N478,Capa!$A:$AE,AT$5,0)),0,1/VLOOKUP($N478,Capa!$A:$AE,AT$5,0))))</f>
        <v/>
      </c>
      <c r="AU478" s="118" t="str">
        <f>IF(AU$6="","",IF(AU$3="Maior",IFERROR(IF(VLOOKUP($N478,Capa!$A:$AE,AU$5,0)="",0,VLOOKUP($N478,Capa!$A:$AE,AU$5,0)),0),IF(ISERROR(1/VLOOKUP($N478,Capa!$A:$AE,AU$5,0)),0,1/VLOOKUP($N478,Capa!$A:$AE,AU$5,0))))</f>
        <v/>
      </c>
      <c r="AV478" s="118" t="str">
        <f>IF(AV$6="","",IF(AV$3="Maior",IFERROR(IF(VLOOKUP($N478,Capa!$A:$AE,AV$5,0)="",0,VLOOKUP($N478,Capa!$A:$AE,AV$5,0)),0),IF(ISERROR(1/VLOOKUP($N478,Capa!$A:$AE,AV$5,0)),0,1/VLOOKUP($N478,Capa!$A:$AE,AV$5,0))))</f>
        <v/>
      </c>
      <c r="AW478" s="118" t="str">
        <f>IF(AW$6="","",IF(AW$3="Maior",IFERROR(IF(VLOOKUP($N478,Capa!$A:$AE,AW$5,0)="",0,VLOOKUP($N478,Capa!$A:$AE,AW$5,0)),0),IF(ISERROR(1/VLOOKUP($N478,Capa!$A:$AE,AW$5,0)),0,1/VLOOKUP($N478,Capa!$A:$AE,AW$5,0))))</f>
        <v/>
      </c>
      <c r="AX478" s="118" t="str">
        <f>IF(AX$6="","",IF(AX$3="Maior",IFERROR(IF(VLOOKUP($N478,Capa!$A:$AE,AX$5,0)="",0,VLOOKUP($N478,Capa!$A:$AE,AX$5,0)),0),IF(ISERROR(1/VLOOKUP($N478,Capa!$A:$AE,AX$5,0)),0,1/VLOOKUP($N478,Capa!$A:$AE,AX$5,0))))</f>
        <v/>
      </c>
      <c r="AY478" s="118" t="str">
        <f>IF(AY$6="","",IF(AY$3="Maior",IFERROR(IF(VLOOKUP($N478,Capa!$A:$AE,AY$5,0)="",0,VLOOKUP($N478,Capa!$A:$AE,AY$5,0)),0),IF(ISERROR(1/VLOOKUP($N478,Capa!$A:$AE,AY$5,0)),0,1/VLOOKUP($N478,Capa!$A:$AE,AY$5,0))))</f>
        <v/>
      </c>
      <c r="AZ478" s="118" t="str">
        <f>IF(AZ$6="","",IF(AZ$3="Maior",IFERROR(IF(VLOOKUP($N478,Capa!$A:$AE,AZ$5,0)="",0,VLOOKUP($N478,Capa!$A:$AE,AZ$5,0)),0),IF(ISERROR(1/VLOOKUP($N478,Capa!$A:$AE,AZ$5,0)),0,1/VLOOKUP($N478,Capa!$A:$AE,AZ$5,0))))</f>
        <v/>
      </c>
      <c r="BA478" s="118" t="str">
        <f>IF(BA$6="","",IF(BA$3="Maior",IFERROR(IF(VLOOKUP($N478,Capa!$A:$AE,BA$5,0)="",0,VLOOKUP($N478,Capa!$A:$AE,BA$5,0)),0),IF(ISERROR(1/VLOOKUP($N478,Capa!$A:$AE,BA$5,0)),0,1/VLOOKUP($N478,Capa!$A:$AE,BA$5,0))))</f>
        <v/>
      </c>
      <c r="BB478" s="118" t="str">
        <f>IF(BB$6="","",IF(BB$3="Maior",IFERROR(IF(VLOOKUP($N478,Capa!$A:$AE,BB$5,0)="",0,VLOOKUP($N478,Capa!$A:$AE,BB$5,0)),0),IF(ISERROR(1/VLOOKUP($N478,Capa!$A:$AE,BB$5,0)),0,1/VLOOKUP($N478,Capa!$A:$AE,BB$5,0))))</f>
        <v/>
      </c>
      <c r="BC478" s="118" t="str">
        <f>IF(BC$6="","",IF(BC$3="Maior",IFERROR(IF(VLOOKUP($N478,Capa!$A:$AE,BC$5,0)="",0,VLOOKUP($N478,Capa!$A:$AE,BC$5,0)),0),IF(ISERROR(1/VLOOKUP($N478,Capa!$A:$AE,BC$5,0)),0,1/VLOOKUP($N478,Capa!$A:$AE,BC$5,0))))</f>
        <v/>
      </c>
      <c r="BD478" s="118" t="str">
        <f>IF(BD$6="","",IF(BD$3="Maior",IFERROR(IF(VLOOKUP($N478,Capa!$A:$AE,BD$5,0)="",0,VLOOKUP($N478,Capa!$A:$AE,BD$5,0)),0),IF(ISERROR(1/VLOOKUP($N478,Capa!$A:$AE,BD$5,0)),0,1/VLOOKUP($N478,Capa!$A:$AE,BD$5,0))))</f>
        <v/>
      </c>
      <c r="BE478" s="118" t="str">
        <f>IF(BE$6="","",IF(BE$3="Maior",IFERROR(IF(VLOOKUP($N478,Capa!$A:$AE,BE$5,0)="",0,VLOOKUP($N478,Capa!$A:$AE,BE$5,0)),0),IF(ISERROR(1/VLOOKUP($N478,Capa!$A:$AE,BE$5,0)),0,1/VLOOKUP($N478,Capa!$A:$AE,BE$5,0))))</f>
        <v/>
      </c>
      <c r="BF478" s="118" t="str">
        <f>IF(BF$6="","",IF(BF$3="Maior",IFERROR(IF(VLOOKUP($N478,Capa!$A:$AE,BF$5,0)="",0,VLOOKUP($N478,Capa!$A:$AE,BF$5,0)),0),IF(ISERROR(1/VLOOKUP($N478,Capa!$A:$AE,BF$5,0)),0,1/VLOOKUP($N478,Capa!$A:$AE,BF$5,0))))</f>
        <v/>
      </c>
      <c r="BG478" s="118" t="str">
        <f>IF(BG$6="","",IF(BG$3="Maior",IFERROR(IF(VLOOKUP($N478,Capa!$A:$AE,BG$5,0)="",0,VLOOKUP($N478,Capa!$A:$AE,BG$5,0)),0),IF(ISERROR(1/VLOOKUP($N478,Capa!$A:$AE,BG$5,0)),0,1/VLOOKUP($N478,Capa!$A:$AE,BG$5,0))))</f>
        <v/>
      </c>
      <c r="BH478" s="118" t="str">
        <f>IF(BH$6="","",IF(BH$3="Maior",IFERROR(IF(VLOOKUP($N478,Capa!$A:$AE,BH$5,0)="",0,VLOOKUP($N478,Capa!$A:$AE,BH$5,0)),0),IF(ISERROR(1/VLOOKUP($N478,Capa!$A:$AE,BH$5,0)),0,1/VLOOKUP($N478,Capa!$A:$AE,BH$5,0))))</f>
        <v/>
      </c>
      <c r="BI478" s="118" t="str">
        <f>IF(BI$6="","",IF(BI$3="Maior",IFERROR(IF(VLOOKUP($N478,Capa!$A:$AE,BI$5,0)="",0,VLOOKUP($N478,Capa!$A:$AE,BI$5,0)),0),IF(ISERROR(1/VLOOKUP($N478,Capa!$A:$AE,BI$5,0)),0,1/VLOOKUP($N478,Capa!$A:$AE,BI$5,0))))</f>
        <v/>
      </c>
      <c r="BJ478" s="118" t="str">
        <f>IF(BJ$6="","",IF(BJ$3="Maior",IFERROR(IF(VLOOKUP($N478,Capa!$A:$AE,BJ$5,0)="",0,VLOOKUP($N478,Capa!$A:$AE,BJ$5,0)),0),IF(ISERROR(1/VLOOKUP($N478,Capa!$A:$AE,BJ$5,0)),0,1/VLOOKUP($N478,Capa!$A:$AE,BJ$5,0))))</f>
        <v/>
      </c>
      <c r="BK478" s="118" t="str">
        <f>IF(BK$6="","",IF(BK$3="Maior",IFERROR(IF(VLOOKUP($N478,Capa!$A:$AE,BK$5,0)="",0,VLOOKUP($N478,Capa!$A:$AE,BK$5,0)),0),IF(ISERROR(1/VLOOKUP($N478,Capa!$A:$AE,BK$5,0)),0,1/VLOOKUP($N478,Capa!$A:$AE,BK$5,0))))</f>
        <v/>
      </c>
      <c r="BL478" s="118" t="str">
        <f>IF(BL$6="","",IF(BL$3="Maior",IFERROR(IF(VLOOKUP($N478,Capa!$A:$AE,BL$5,0)="",0,VLOOKUP($N478,Capa!$A:$AE,BL$5,0)),0),IF(ISERROR(1/VLOOKUP($N478,Capa!$A:$AE,BL$5,0)),0,1/VLOOKUP($N478,Capa!$A:$AE,BL$5,0))))</f>
        <v/>
      </c>
      <c r="BM478" s="118" t="str">
        <f>IF(BM$6="","",IF(BM$3="Maior",IFERROR(IF(VLOOKUP($N478,Capa!$A:$AE,BM$5,0)="",0,VLOOKUP($N478,Capa!$A:$AE,BM$5,0)),0),IF(ISERROR(1/VLOOKUP($N478,Capa!$A:$AE,BM$5,0)),0,1/VLOOKUP($N478,Capa!$A:$AE,BM$5,0))))</f>
        <v/>
      </c>
      <c r="BN478" s="118" t="str">
        <f>IF(BN$6="","",IF(BN$3="Maior",IFERROR(IF(VLOOKUP($N478,Capa!$A:$AE,BN$5,0)="",0,VLOOKUP($N478,Capa!$A:$AE,BN$5,0)),0),IF(ISERROR(1/VLOOKUP($N478,Capa!$A:$AE,BN$5,0)),0,1/VLOOKUP($N478,Capa!$A:$AE,BN$5,0))))</f>
        <v/>
      </c>
      <c r="BO478" s="92"/>
    </row>
    <row r="479">
      <c r="I479" s="73"/>
      <c r="J479" s="74"/>
      <c r="N479" s="10" t="s">
        <v>525</v>
      </c>
      <c r="O479" s="113">
        <f t="shared" si="8"/>
        <v>1428.0185</v>
      </c>
      <c r="P479" s="114">
        <f>VLOOKUP(N479,'Dados StatusInvest'!A:Z,26,0)</f>
        <v>4965.67</v>
      </c>
      <c r="Q479" s="115">
        <f t="shared" si="9"/>
        <v>185.0185</v>
      </c>
      <c r="R479" s="116">
        <f t="shared" ref="R479:AO479" si="482">IF(AQ479="","", RANK(AQ479,AQ$7:AQ$503,0))</f>
        <v>130</v>
      </c>
      <c r="S479" s="115">
        <f t="shared" si="482"/>
        <v>113</v>
      </c>
      <c r="T479" s="115" t="str">
        <f t="shared" si="482"/>
        <v/>
      </c>
      <c r="U479" s="115" t="str">
        <f t="shared" si="482"/>
        <v/>
      </c>
      <c r="V479" s="115" t="str">
        <f t="shared" si="482"/>
        <v/>
      </c>
      <c r="W479" s="115" t="str">
        <f t="shared" si="482"/>
        <v/>
      </c>
      <c r="X479" s="115" t="str">
        <f t="shared" si="482"/>
        <v/>
      </c>
      <c r="Y479" s="115" t="str">
        <f t="shared" si="482"/>
        <v/>
      </c>
      <c r="Z479" s="115" t="str">
        <f t="shared" si="482"/>
        <v/>
      </c>
      <c r="AA479" s="115" t="str">
        <f t="shared" si="482"/>
        <v/>
      </c>
      <c r="AB479" s="115" t="str">
        <f t="shared" si="482"/>
        <v/>
      </c>
      <c r="AC479" s="115" t="str">
        <f t="shared" si="482"/>
        <v/>
      </c>
      <c r="AD479" s="115" t="str">
        <f t="shared" si="482"/>
        <v/>
      </c>
      <c r="AE479" s="115" t="str">
        <f t="shared" si="482"/>
        <v/>
      </c>
      <c r="AF479" s="115" t="str">
        <f t="shared" si="482"/>
        <v/>
      </c>
      <c r="AG479" s="115" t="str">
        <f t="shared" si="482"/>
        <v/>
      </c>
      <c r="AH479" s="115" t="str">
        <f t="shared" si="482"/>
        <v/>
      </c>
      <c r="AI479" s="115" t="str">
        <f t="shared" si="482"/>
        <v/>
      </c>
      <c r="AJ479" s="115" t="str">
        <f t="shared" si="482"/>
        <v/>
      </c>
      <c r="AK479" s="115" t="str">
        <f t="shared" si="482"/>
        <v/>
      </c>
      <c r="AL479" s="115" t="str">
        <f t="shared" si="482"/>
        <v/>
      </c>
      <c r="AM479" s="115" t="str">
        <f t="shared" si="482"/>
        <v/>
      </c>
      <c r="AN479" s="115" t="str">
        <f t="shared" si="482"/>
        <v/>
      </c>
      <c r="AO479" s="115" t="str">
        <f t="shared" si="482"/>
        <v/>
      </c>
      <c r="AP479" s="117">
        <f>IF(AP$6="","",IF(AP$3="Maior",IFERROR(IF(VLOOKUP($N479,Capa!$A:$AE,AP$5,0)="",0,VLOOKUP($N479,Capa!$A:$AE,AP$5,0)),0),IF(ISERROR(1/VLOOKUP($N479,Capa!$A:$AE,AP$5,0)),0,1/VLOOKUP($N479,Capa!$A:$AE,AP$5,0))))</f>
        <v>0.1140250855</v>
      </c>
      <c r="AQ479" s="118">
        <f>IF(AQ$6="","",IF(AQ$3="Maior",IFERROR(IF(VLOOKUP($N479,Capa!$A:$AE,AQ$5,0)="",0,VLOOKUP($N479,Capa!$A:$AE,AQ$5,0)),0),IF(ISERROR(1/VLOOKUP($N479,Capa!$A:$AE,AQ$5,0)),0,1/VLOOKUP($N479,Capa!$A:$AE,AQ$5,0))))</f>
        <v>15.18</v>
      </c>
      <c r="AR479" s="118">
        <f>IF(AR$6="","",IF(AR$3="Maior",IFERROR(IF(VLOOKUP($N479,Capa!$A:$AE,AR$5,0)="",0,VLOOKUP($N479,Capa!$A:$AE,AR$5,0)),0),IF(ISERROR(1/VLOOKUP($N479,Capa!$A:$AE,AR$5,0)),0,1/VLOOKUP($N479,Capa!$A:$AE,AR$5,0))))</f>
        <v>24.12</v>
      </c>
      <c r="AS479" s="118" t="str">
        <f>IF(AS$6="","",IF(AS$3="Maior",IFERROR(IF(VLOOKUP($N479,Capa!$A:$AE,AS$5,0)="",0,VLOOKUP($N479,Capa!$A:$AE,AS$5,0)),0),IF(ISERROR(1/VLOOKUP($N479,Capa!$A:$AE,AS$5,0)),0,1/VLOOKUP($N479,Capa!$A:$AE,AS$5,0))))</f>
        <v/>
      </c>
      <c r="AT479" s="118" t="str">
        <f>IF(AT$6="","",IF(AT$3="Maior",IFERROR(IF(VLOOKUP($N479,Capa!$A:$AE,AT$5,0)="",0,VLOOKUP($N479,Capa!$A:$AE,AT$5,0)),0),IF(ISERROR(1/VLOOKUP($N479,Capa!$A:$AE,AT$5,0)),0,1/VLOOKUP($N479,Capa!$A:$AE,AT$5,0))))</f>
        <v/>
      </c>
      <c r="AU479" s="118" t="str">
        <f>IF(AU$6="","",IF(AU$3="Maior",IFERROR(IF(VLOOKUP($N479,Capa!$A:$AE,AU$5,0)="",0,VLOOKUP($N479,Capa!$A:$AE,AU$5,0)),0),IF(ISERROR(1/VLOOKUP($N479,Capa!$A:$AE,AU$5,0)),0,1/VLOOKUP($N479,Capa!$A:$AE,AU$5,0))))</f>
        <v/>
      </c>
      <c r="AV479" s="118" t="str">
        <f>IF(AV$6="","",IF(AV$3="Maior",IFERROR(IF(VLOOKUP($N479,Capa!$A:$AE,AV$5,0)="",0,VLOOKUP($N479,Capa!$A:$AE,AV$5,0)),0),IF(ISERROR(1/VLOOKUP($N479,Capa!$A:$AE,AV$5,0)),0,1/VLOOKUP($N479,Capa!$A:$AE,AV$5,0))))</f>
        <v/>
      </c>
      <c r="AW479" s="118" t="str">
        <f>IF(AW$6="","",IF(AW$3="Maior",IFERROR(IF(VLOOKUP($N479,Capa!$A:$AE,AW$5,0)="",0,VLOOKUP($N479,Capa!$A:$AE,AW$5,0)),0),IF(ISERROR(1/VLOOKUP($N479,Capa!$A:$AE,AW$5,0)),0,1/VLOOKUP($N479,Capa!$A:$AE,AW$5,0))))</f>
        <v/>
      </c>
      <c r="AX479" s="118" t="str">
        <f>IF(AX$6="","",IF(AX$3="Maior",IFERROR(IF(VLOOKUP($N479,Capa!$A:$AE,AX$5,0)="",0,VLOOKUP($N479,Capa!$A:$AE,AX$5,0)),0),IF(ISERROR(1/VLOOKUP($N479,Capa!$A:$AE,AX$5,0)),0,1/VLOOKUP($N479,Capa!$A:$AE,AX$5,0))))</f>
        <v/>
      </c>
      <c r="AY479" s="118" t="str">
        <f>IF(AY$6="","",IF(AY$3="Maior",IFERROR(IF(VLOOKUP($N479,Capa!$A:$AE,AY$5,0)="",0,VLOOKUP($N479,Capa!$A:$AE,AY$5,0)),0),IF(ISERROR(1/VLOOKUP($N479,Capa!$A:$AE,AY$5,0)),0,1/VLOOKUP($N479,Capa!$A:$AE,AY$5,0))))</f>
        <v/>
      </c>
      <c r="AZ479" s="118" t="str">
        <f>IF(AZ$6="","",IF(AZ$3="Maior",IFERROR(IF(VLOOKUP($N479,Capa!$A:$AE,AZ$5,0)="",0,VLOOKUP($N479,Capa!$A:$AE,AZ$5,0)),0),IF(ISERROR(1/VLOOKUP($N479,Capa!$A:$AE,AZ$5,0)),0,1/VLOOKUP($N479,Capa!$A:$AE,AZ$5,0))))</f>
        <v/>
      </c>
      <c r="BA479" s="118" t="str">
        <f>IF(BA$6="","",IF(BA$3="Maior",IFERROR(IF(VLOOKUP($N479,Capa!$A:$AE,BA$5,0)="",0,VLOOKUP($N479,Capa!$A:$AE,BA$5,0)),0),IF(ISERROR(1/VLOOKUP($N479,Capa!$A:$AE,BA$5,0)),0,1/VLOOKUP($N479,Capa!$A:$AE,BA$5,0))))</f>
        <v/>
      </c>
      <c r="BB479" s="118" t="str">
        <f>IF(BB$6="","",IF(BB$3="Maior",IFERROR(IF(VLOOKUP($N479,Capa!$A:$AE,BB$5,0)="",0,VLOOKUP($N479,Capa!$A:$AE,BB$5,0)),0),IF(ISERROR(1/VLOOKUP($N479,Capa!$A:$AE,BB$5,0)),0,1/VLOOKUP($N479,Capa!$A:$AE,BB$5,0))))</f>
        <v/>
      </c>
      <c r="BC479" s="118" t="str">
        <f>IF(BC$6="","",IF(BC$3="Maior",IFERROR(IF(VLOOKUP($N479,Capa!$A:$AE,BC$5,0)="",0,VLOOKUP($N479,Capa!$A:$AE,BC$5,0)),0),IF(ISERROR(1/VLOOKUP($N479,Capa!$A:$AE,BC$5,0)),0,1/VLOOKUP($N479,Capa!$A:$AE,BC$5,0))))</f>
        <v/>
      </c>
      <c r="BD479" s="118" t="str">
        <f>IF(BD$6="","",IF(BD$3="Maior",IFERROR(IF(VLOOKUP($N479,Capa!$A:$AE,BD$5,0)="",0,VLOOKUP($N479,Capa!$A:$AE,BD$5,0)),0),IF(ISERROR(1/VLOOKUP($N479,Capa!$A:$AE,BD$5,0)),0,1/VLOOKUP($N479,Capa!$A:$AE,BD$5,0))))</f>
        <v/>
      </c>
      <c r="BE479" s="118" t="str">
        <f>IF(BE$6="","",IF(BE$3="Maior",IFERROR(IF(VLOOKUP($N479,Capa!$A:$AE,BE$5,0)="",0,VLOOKUP($N479,Capa!$A:$AE,BE$5,0)),0),IF(ISERROR(1/VLOOKUP($N479,Capa!$A:$AE,BE$5,0)),0,1/VLOOKUP($N479,Capa!$A:$AE,BE$5,0))))</f>
        <v/>
      </c>
      <c r="BF479" s="118" t="str">
        <f>IF(BF$6="","",IF(BF$3="Maior",IFERROR(IF(VLOOKUP($N479,Capa!$A:$AE,BF$5,0)="",0,VLOOKUP($N479,Capa!$A:$AE,BF$5,0)),0),IF(ISERROR(1/VLOOKUP($N479,Capa!$A:$AE,BF$5,0)),0,1/VLOOKUP($N479,Capa!$A:$AE,BF$5,0))))</f>
        <v/>
      </c>
      <c r="BG479" s="118" t="str">
        <f>IF(BG$6="","",IF(BG$3="Maior",IFERROR(IF(VLOOKUP($N479,Capa!$A:$AE,BG$5,0)="",0,VLOOKUP($N479,Capa!$A:$AE,BG$5,0)),0),IF(ISERROR(1/VLOOKUP($N479,Capa!$A:$AE,BG$5,0)),0,1/VLOOKUP($N479,Capa!$A:$AE,BG$5,0))))</f>
        <v/>
      </c>
      <c r="BH479" s="118" t="str">
        <f>IF(BH$6="","",IF(BH$3="Maior",IFERROR(IF(VLOOKUP($N479,Capa!$A:$AE,BH$5,0)="",0,VLOOKUP($N479,Capa!$A:$AE,BH$5,0)),0),IF(ISERROR(1/VLOOKUP($N479,Capa!$A:$AE,BH$5,0)),0,1/VLOOKUP($N479,Capa!$A:$AE,BH$5,0))))</f>
        <v/>
      </c>
      <c r="BI479" s="118" t="str">
        <f>IF(BI$6="","",IF(BI$3="Maior",IFERROR(IF(VLOOKUP($N479,Capa!$A:$AE,BI$5,0)="",0,VLOOKUP($N479,Capa!$A:$AE,BI$5,0)),0),IF(ISERROR(1/VLOOKUP($N479,Capa!$A:$AE,BI$5,0)),0,1/VLOOKUP($N479,Capa!$A:$AE,BI$5,0))))</f>
        <v/>
      </c>
      <c r="BJ479" s="118" t="str">
        <f>IF(BJ$6="","",IF(BJ$3="Maior",IFERROR(IF(VLOOKUP($N479,Capa!$A:$AE,BJ$5,0)="",0,VLOOKUP($N479,Capa!$A:$AE,BJ$5,0)),0),IF(ISERROR(1/VLOOKUP($N479,Capa!$A:$AE,BJ$5,0)),0,1/VLOOKUP($N479,Capa!$A:$AE,BJ$5,0))))</f>
        <v/>
      </c>
      <c r="BK479" s="118" t="str">
        <f>IF(BK$6="","",IF(BK$3="Maior",IFERROR(IF(VLOOKUP($N479,Capa!$A:$AE,BK$5,0)="",0,VLOOKUP($N479,Capa!$A:$AE,BK$5,0)),0),IF(ISERROR(1/VLOOKUP($N479,Capa!$A:$AE,BK$5,0)),0,1/VLOOKUP($N479,Capa!$A:$AE,BK$5,0))))</f>
        <v/>
      </c>
      <c r="BL479" s="118" t="str">
        <f>IF(BL$6="","",IF(BL$3="Maior",IFERROR(IF(VLOOKUP($N479,Capa!$A:$AE,BL$5,0)="",0,VLOOKUP($N479,Capa!$A:$AE,BL$5,0)),0),IF(ISERROR(1/VLOOKUP($N479,Capa!$A:$AE,BL$5,0)),0,1/VLOOKUP($N479,Capa!$A:$AE,BL$5,0))))</f>
        <v/>
      </c>
      <c r="BM479" s="118" t="str">
        <f>IF(BM$6="","",IF(BM$3="Maior",IFERROR(IF(VLOOKUP($N479,Capa!$A:$AE,BM$5,0)="",0,VLOOKUP($N479,Capa!$A:$AE,BM$5,0)),0),IF(ISERROR(1/VLOOKUP($N479,Capa!$A:$AE,BM$5,0)),0,1/VLOOKUP($N479,Capa!$A:$AE,BM$5,0))))</f>
        <v/>
      </c>
      <c r="BN479" s="118" t="str">
        <f>IF(BN$6="","",IF(BN$3="Maior",IFERROR(IF(VLOOKUP($N479,Capa!$A:$AE,BN$5,0)="",0,VLOOKUP($N479,Capa!$A:$AE,BN$5,0)),0),IF(ISERROR(1/VLOOKUP($N479,Capa!$A:$AE,BN$5,0)),0,1/VLOOKUP($N479,Capa!$A:$AE,BN$5,0))))</f>
        <v/>
      </c>
      <c r="BO479" s="92"/>
    </row>
    <row r="480">
      <c r="I480" s="73"/>
      <c r="J480" s="74"/>
      <c r="N480" s="10" t="s">
        <v>526</v>
      </c>
      <c r="O480" s="113">
        <f t="shared" si="8"/>
        <v>1693.0462</v>
      </c>
      <c r="P480" s="114">
        <f>VLOOKUP(N480,'Dados StatusInvest'!A:Z,26,0)</f>
        <v>1800</v>
      </c>
      <c r="Q480" s="115">
        <f t="shared" si="9"/>
        <v>462.0462</v>
      </c>
      <c r="R480" s="116">
        <f t="shared" ref="R480:AO480" si="483">IF(AQ480="","", RANK(AQ480,AQ$7:AQ$503,0))</f>
        <v>12</v>
      </c>
      <c r="S480" s="115">
        <f t="shared" si="483"/>
        <v>219</v>
      </c>
      <c r="T480" s="115" t="str">
        <f t="shared" si="483"/>
        <v/>
      </c>
      <c r="U480" s="115" t="str">
        <f t="shared" si="483"/>
        <v/>
      </c>
      <c r="V480" s="115" t="str">
        <f t="shared" si="483"/>
        <v/>
      </c>
      <c r="W480" s="115" t="str">
        <f t="shared" si="483"/>
        <v/>
      </c>
      <c r="X480" s="115" t="str">
        <f t="shared" si="483"/>
        <v/>
      </c>
      <c r="Y480" s="115" t="str">
        <f t="shared" si="483"/>
        <v/>
      </c>
      <c r="Z480" s="115" t="str">
        <f t="shared" si="483"/>
        <v/>
      </c>
      <c r="AA480" s="115" t="str">
        <f t="shared" si="483"/>
        <v/>
      </c>
      <c r="AB480" s="115" t="str">
        <f t="shared" si="483"/>
        <v/>
      </c>
      <c r="AC480" s="115" t="str">
        <f t="shared" si="483"/>
        <v/>
      </c>
      <c r="AD480" s="115" t="str">
        <f t="shared" si="483"/>
        <v/>
      </c>
      <c r="AE480" s="115" t="str">
        <f t="shared" si="483"/>
        <v/>
      </c>
      <c r="AF480" s="115" t="str">
        <f t="shared" si="483"/>
        <v/>
      </c>
      <c r="AG480" s="115" t="str">
        <f t="shared" si="483"/>
        <v/>
      </c>
      <c r="AH480" s="115" t="str">
        <f t="shared" si="483"/>
        <v/>
      </c>
      <c r="AI480" s="115" t="str">
        <f t="shared" si="483"/>
        <v/>
      </c>
      <c r="AJ480" s="115" t="str">
        <f t="shared" si="483"/>
        <v/>
      </c>
      <c r="AK480" s="115" t="str">
        <f t="shared" si="483"/>
        <v/>
      </c>
      <c r="AL480" s="115" t="str">
        <f t="shared" si="483"/>
        <v/>
      </c>
      <c r="AM480" s="115" t="str">
        <f t="shared" si="483"/>
        <v/>
      </c>
      <c r="AN480" s="115" t="str">
        <f t="shared" si="483"/>
        <v/>
      </c>
      <c r="AO480" s="115" t="str">
        <f t="shared" si="483"/>
        <v/>
      </c>
      <c r="AP480" s="117">
        <f>IF(AP$6="","",IF(AP$3="Maior",IFERROR(IF(VLOOKUP($N480,Capa!$A:$AE,AP$5,0)="",0,VLOOKUP($N480,Capa!$A:$AE,AP$5,0)),0),IF(ISERROR(1/VLOOKUP($N480,Capa!$A:$AE,AP$5,0)),0,1/VLOOKUP($N480,Capa!$A:$AE,AP$5,0))))</f>
        <v>-0.1461988304</v>
      </c>
      <c r="AQ480" s="118">
        <f>IF(AQ$6="","",IF(AQ$3="Maior",IFERROR(IF(VLOOKUP($N480,Capa!$A:$AE,AQ$5,0)="",0,VLOOKUP($N480,Capa!$A:$AE,AQ$5,0)),0),IF(ISERROR(1/VLOOKUP($N480,Capa!$A:$AE,AQ$5,0)),0,1/VLOOKUP($N480,Capa!$A:$AE,AQ$5,0))))</f>
        <v>73.09</v>
      </c>
      <c r="AR480" s="118">
        <f>IF(AR$6="","",IF(AR$3="Maior",IFERROR(IF(VLOOKUP($N480,Capa!$A:$AE,AR$5,0)="",0,VLOOKUP($N480,Capa!$A:$AE,AR$5,0)),0),IF(ISERROR(1/VLOOKUP($N480,Capa!$A:$AE,AR$5,0)),0,1/VLOOKUP($N480,Capa!$A:$AE,AR$5,0))))</f>
        <v>0</v>
      </c>
      <c r="AS480" s="118" t="str">
        <f>IF(AS$6="","",IF(AS$3="Maior",IFERROR(IF(VLOOKUP($N480,Capa!$A:$AE,AS$5,0)="",0,VLOOKUP($N480,Capa!$A:$AE,AS$5,0)),0),IF(ISERROR(1/VLOOKUP($N480,Capa!$A:$AE,AS$5,0)),0,1/VLOOKUP($N480,Capa!$A:$AE,AS$5,0))))</f>
        <v/>
      </c>
      <c r="AT480" s="118" t="str">
        <f>IF(AT$6="","",IF(AT$3="Maior",IFERROR(IF(VLOOKUP($N480,Capa!$A:$AE,AT$5,0)="",0,VLOOKUP($N480,Capa!$A:$AE,AT$5,0)),0),IF(ISERROR(1/VLOOKUP($N480,Capa!$A:$AE,AT$5,0)),0,1/VLOOKUP($N480,Capa!$A:$AE,AT$5,0))))</f>
        <v/>
      </c>
      <c r="AU480" s="118" t="str">
        <f>IF(AU$6="","",IF(AU$3="Maior",IFERROR(IF(VLOOKUP($N480,Capa!$A:$AE,AU$5,0)="",0,VLOOKUP($N480,Capa!$A:$AE,AU$5,0)),0),IF(ISERROR(1/VLOOKUP($N480,Capa!$A:$AE,AU$5,0)),0,1/VLOOKUP($N480,Capa!$A:$AE,AU$5,0))))</f>
        <v/>
      </c>
      <c r="AV480" s="118" t="str">
        <f>IF(AV$6="","",IF(AV$3="Maior",IFERROR(IF(VLOOKUP($N480,Capa!$A:$AE,AV$5,0)="",0,VLOOKUP($N480,Capa!$A:$AE,AV$5,0)),0),IF(ISERROR(1/VLOOKUP($N480,Capa!$A:$AE,AV$5,0)),0,1/VLOOKUP($N480,Capa!$A:$AE,AV$5,0))))</f>
        <v/>
      </c>
      <c r="AW480" s="118" t="str">
        <f>IF(AW$6="","",IF(AW$3="Maior",IFERROR(IF(VLOOKUP($N480,Capa!$A:$AE,AW$5,0)="",0,VLOOKUP($N480,Capa!$A:$AE,AW$5,0)),0),IF(ISERROR(1/VLOOKUP($N480,Capa!$A:$AE,AW$5,0)),0,1/VLOOKUP($N480,Capa!$A:$AE,AW$5,0))))</f>
        <v/>
      </c>
      <c r="AX480" s="118" t="str">
        <f>IF(AX$6="","",IF(AX$3="Maior",IFERROR(IF(VLOOKUP($N480,Capa!$A:$AE,AX$5,0)="",0,VLOOKUP($N480,Capa!$A:$AE,AX$5,0)),0),IF(ISERROR(1/VLOOKUP($N480,Capa!$A:$AE,AX$5,0)),0,1/VLOOKUP($N480,Capa!$A:$AE,AX$5,0))))</f>
        <v/>
      </c>
      <c r="AY480" s="118" t="str">
        <f>IF(AY$6="","",IF(AY$3="Maior",IFERROR(IF(VLOOKUP($N480,Capa!$A:$AE,AY$5,0)="",0,VLOOKUP($N480,Capa!$A:$AE,AY$5,0)),0),IF(ISERROR(1/VLOOKUP($N480,Capa!$A:$AE,AY$5,0)),0,1/VLOOKUP($N480,Capa!$A:$AE,AY$5,0))))</f>
        <v/>
      </c>
      <c r="AZ480" s="118" t="str">
        <f>IF(AZ$6="","",IF(AZ$3="Maior",IFERROR(IF(VLOOKUP($N480,Capa!$A:$AE,AZ$5,0)="",0,VLOOKUP($N480,Capa!$A:$AE,AZ$5,0)),0),IF(ISERROR(1/VLOOKUP($N480,Capa!$A:$AE,AZ$5,0)),0,1/VLOOKUP($N480,Capa!$A:$AE,AZ$5,0))))</f>
        <v/>
      </c>
      <c r="BA480" s="118" t="str">
        <f>IF(BA$6="","",IF(BA$3="Maior",IFERROR(IF(VLOOKUP($N480,Capa!$A:$AE,BA$5,0)="",0,VLOOKUP($N480,Capa!$A:$AE,BA$5,0)),0),IF(ISERROR(1/VLOOKUP($N480,Capa!$A:$AE,BA$5,0)),0,1/VLOOKUP($N480,Capa!$A:$AE,BA$5,0))))</f>
        <v/>
      </c>
      <c r="BB480" s="118" t="str">
        <f>IF(BB$6="","",IF(BB$3="Maior",IFERROR(IF(VLOOKUP($N480,Capa!$A:$AE,BB$5,0)="",0,VLOOKUP($N480,Capa!$A:$AE,BB$5,0)),0),IF(ISERROR(1/VLOOKUP($N480,Capa!$A:$AE,BB$5,0)),0,1/VLOOKUP($N480,Capa!$A:$AE,BB$5,0))))</f>
        <v/>
      </c>
      <c r="BC480" s="118" t="str">
        <f>IF(BC$6="","",IF(BC$3="Maior",IFERROR(IF(VLOOKUP($N480,Capa!$A:$AE,BC$5,0)="",0,VLOOKUP($N480,Capa!$A:$AE,BC$5,0)),0),IF(ISERROR(1/VLOOKUP($N480,Capa!$A:$AE,BC$5,0)),0,1/VLOOKUP($N480,Capa!$A:$AE,BC$5,0))))</f>
        <v/>
      </c>
      <c r="BD480" s="118" t="str">
        <f>IF(BD$6="","",IF(BD$3="Maior",IFERROR(IF(VLOOKUP($N480,Capa!$A:$AE,BD$5,0)="",0,VLOOKUP($N480,Capa!$A:$AE,BD$5,0)),0),IF(ISERROR(1/VLOOKUP($N480,Capa!$A:$AE,BD$5,0)),0,1/VLOOKUP($N480,Capa!$A:$AE,BD$5,0))))</f>
        <v/>
      </c>
      <c r="BE480" s="118" t="str">
        <f>IF(BE$6="","",IF(BE$3="Maior",IFERROR(IF(VLOOKUP($N480,Capa!$A:$AE,BE$5,0)="",0,VLOOKUP($N480,Capa!$A:$AE,BE$5,0)),0),IF(ISERROR(1/VLOOKUP($N480,Capa!$A:$AE,BE$5,0)),0,1/VLOOKUP($N480,Capa!$A:$AE,BE$5,0))))</f>
        <v/>
      </c>
      <c r="BF480" s="118" t="str">
        <f>IF(BF$6="","",IF(BF$3="Maior",IFERROR(IF(VLOOKUP($N480,Capa!$A:$AE,BF$5,0)="",0,VLOOKUP($N480,Capa!$A:$AE,BF$5,0)),0),IF(ISERROR(1/VLOOKUP($N480,Capa!$A:$AE,BF$5,0)),0,1/VLOOKUP($N480,Capa!$A:$AE,BF$5,0))))</f>
        <v/>
      </c>
      <c r="BG480" s="118" t="str">
        <f>IF(BG$6="","",IF(BG$3="Maior",IFERROR(IF(VLOOKUP($N480,Capa!$A:$AE,BG$5,0)="",0,VLOOKUP($N480,Capa!$A:$AE,BG$5,0)),0),IF(ISERROR(1/VLOOKUP($N480,Capa!$A:$AE,BG$5,0)),0,1/VLOOKUP($N480,Capa!$A:$AE,BG$5,0))))</f>
        <v/>
      </c>
      <c r="BH480" s="118" t="str">
        <f>IF(BH$6="","",IF(BH$3="Maior",IFERROR(IF(VLOOKUP($N480,Capa!$A:$AE,BH$5,0)="",0,VLOOKUP($N480,Capa!$A:$AE,BH$5,0)),0),IF(ISERROR(1/VLOOKUP($N480,Capa!$A:$AE,BH$5,0)),0,1/VLOOKUP($N480,Capa!$A:$AE,BH$5,0))))</f>
        <v/>
      </c>
      <c r="BI480" s="118" t="str">
        <f>IF(BI$6="","",IF(BI$3="Maior",IFERROR(IF(VLOOKUP($N480,Capa!$A:$AE,BI$5,0)="",0,VLOOKUP($N480,Capa!$A:$AE,BI$5,0)),0),IF(ISERROR(1/VLOOKUP($N480,Capa!$A:$AE,BI$5,0)),0,1/VLOOKUP($N480,Capa!$A:$AE,BI$5,0))))</f>
        <v/>
      </c>
      <c r="BJ480" s="118" t="str">
        <f>IF(BJ$6="","",IF(BJ$3="Maior",IFERROR(IF(VLOOKUP($N480,Capa!$A:$AE,BJ$5,0)="",0,VLOOKUP($N480,Capa!$A:$AE,BJ$5,0)),0),IF(ISERROR(1/VLOOKUP($N480,Capa!$A:$AE,BJ$5,0)),0,1/VLOOKUP($N480,Capa!$A:$AE,BJ$5,0))))</f>
        <v/>
      </c>
      <c r="BK480" s="118" t="str">
        <f>IF(BK$6="","",IF(BK$3="Maior",IFERROR(IF(VLOOKUP($N480,Capa!$A:$AE,BK$5,0)="",0,VLOOKUP($N480,Capa!$A:$AE,BK$5,0)),0),IF(ISERROR(1/VLOOKUP($N480,Capa!$A:$AE,BK$5,0)),0,1/VLOOKUP($N480,Capa!$A:$AE,BK$5,0))))</f>
        <v/>
      </c>
      <c r="BL480" s="118" t="str">
        <f>IF(BL$6="","",IF(BL$3="Maior",IFERROR(IF(VLOOKUP($N480,Capa!$A:$AE,BL$5,0)="",0,VLOOKUP($N480,Capa!$A:$AE,BL$5,0)),0),IF(ISERROR(1/VLOOKUP($N480,Capa!$A:$AE,BL$5,0)),0,1/VLOOKUP($N480,Capa!$A:$AE,BL$5,0))))</f>
        <v/>
      </c>
      <c r="BM480" s="118" t="str">
        <f>IF(BM$6="","",IF(BM$3="Maior",IFERROR(IF(VLOOKUP($N480,Capa!$A:$AE,BM$5,0)="",0,VLOOKUP($N480,Capa!$A:$AE,BM$5,0)),0),IF(ISERROR(1/VLOOKUP($N480,Capa!$A:$AE,BM$5,0)),0,1/VLOOKUP($N480,Capa!$A:$AE,BM$5,0))))</f>
        <v/>
      </c>
      <c r="BN480" s="118" t="str">
        <f>IF(BN$6="","",IF(BN$3="Maior",IFERROR(IF(VLOOKUP($N480,Capa!$A:$AE,BN$5,0)="",0,VLOOKUP($N480,Capa!$A:$AE,BN$5,0)),0),IF(ISERROR(1/VLOOKUP($N480,Capa!$A:$AE,BN$5,0)),0,1/VLOOKUP($N480,Capa!$A:$AE,BN$5,0))))</f>
        <v/>
      </c>
      <c r="BO480" s="92"/>
    </row>
    <row r="481">
      <c r="I481" s="73"/>
      <c r="J481" s="74"/>
      <c r="N481" s="10" t="s">
        <v>527</v>
      </c>
      <c r="O481" s="113">
        <f t="shared" si="8"/>
        <v>2206.0476</v>
      </c>
      <c r="P481" s="114">
        <f>VLOOKUP(N481,'Dados StatusInvest'!A:Z,26,0)</f>
        <v>4604</v>
      </c>
      <c r="Q481" s="115">
        <f t="shared" si="9"/>
        <v>476.0476</v>
      </c>
      <c r="R481" s="116">
        <f t="shared" ref="R481:AO481" si="484">IF(AQ481="","", RANK(AQ481,AQ$7:AQ$503,0))</f>
        <v>246</v>
      </c>
      <c r="S481" s="115">
        <f t="shared" si="484"/>
        <v>484</v>
      </c>
      <c r="T481" s="115" t="str">
        <f t="shared" si="484"/>
        <v/>
      </c>
      <c r="U481" s="115" t="str">
        <f t="shared" si="484"/>
        <v/>
      </c>
      <c r="V481" s="115" t="str">
        <f t="shared" si="484"/>
        <v/>
      </c>
      <c r="W481" s="115" t="str">
        <f t="shared" si="484"/>
        <v/>
      </c>
      <c r="X481" s="115" t="str">
        <f t="shared" si="484"/>
        <v/>
      </c>
      <c r="Y481" s="115" t="str">
        <f t="shared" si="484"/>
        <v/>
      </c>
      <c r="Z481" s="115" t="str">
        <f t="shared" si="484"/>
        <v/>
      </c>
      <c r="AA481" s="115" t="str">
        <f t="shared" si="484"/>
        <v/>
      </c>
      <c r="AB481" s="115" t="str">
        <f t="shared" si="484"/>
        <v/>
      </c>
      <c r="AC481" s="115" t="str">
        <f t="shared" si="484"/>
        <v/>
      </c>
      <c r="AD481" s="115" t="str">
        <f t="shared" si="484"/>
        <v/>
      </c>
      <c r="AE481" s="115" t="str">
        <f t="shared" si="484"/>
        <v/>
      </c>
      <c r="AF481" s="115" t="str">
        <f t="shared" si="484"/>
        <v/>
      </c>
      <c r="AG481" s="115" t="str">
        <f t="shared" si="484"/>
        <v/>
      </c>
      <c r="AH481" s="115" t="str">
        <f t="shared" si="484"/>
        <v/>
      </c>
      <c r="AI481" s="115" t="str">
        <f t="shared" si="484"/>
        <v/>
      </c>
      <c r="AJ481" s="115" t="str">
        <f t="shared" si="484"/>
        <v/>
      </c>
      <c r="AK481" s="115" t="str">
        <f t="shared" si="484"/>
        <v/>
      </c>
      <c r="AL481" s="115" t="str">
        <f t="shared" si="484"/>
        <v/>
      </c>
      <c r="AM481" s="115" t="str">
        <f t="shared" si="484"/>
        <v/>
      </c>
      <c r="AN481" s="115" t="str">
        <f t="shared" si="484"/>
        <v/>
      </c>
      <c r="AO481" s="115" t="str">
        <f t="shared" si="484"/>
        <v/>
      </c>
      <c r="AP481" s="117">
        <f>IF(AP$6="","",IF(AP$3="Maior",IFERROR(IF(VLOOKUP($N481,Capa!$A:$AE,AP$5,0)="",0,VLOOKUP($N481,Capa!$A:$AE,AP$5,0)),0),IF(ISERROR(1/VLOOKUP($N481,Capa!$A:$AE,AP$5,0)),0,1/VLOOKUP($N481,Capa!$A:$AE,AP$5,0))))</f>
        <v>-0.2057613169</v>
      </c>
      <c r="AQ481" s="118">
        <f>IF(AQ$6="","",IF(AQ$3="Maior",IFERROR(IF(VLOOKUP($N481,Capa!$A:$AE,AQ$5,0)="",0,VLOOKUP($N481,Capa!$A:$AE,AQ$5,0)),0),IF(ISERROR(1/VLOOKUP($N481,Capa!$A:$AE,AQ$5,0)),0,1/VLOOKUP($N481,Capa!$A:$AE,AQ$5,0))))</f>
        <v>8.38</v>
      </c>
      <c r="AR481" s="118">
        <f>IF(AR$6="","",IF(AR$3="Maior",IFERROR(IF(VLOOKUP($N481,Capa!$A:$AE,AR$5,0)="",0,VLOOKUP($N481,Capa!$A:$AE,AR$5,0)),0),IF(ISERROR(1/VLOOKUP($N481,Capa!$A:$AE,AR$5,0)),0,1/VLOOKUP($N481,Capa!$A:$AE,AR$5,0))))</f>
        <v>-16.72</v>
      </c>
      <c r="AS481" s="118" t="str">
        <f>IF(AS$6="","",IF(AS$3="Maior",IFERROR(IF(VLOOKUP($N481,Capa!$A:$AE,AS$5,0)="",0,VLOOKUP($N481,Capa!$A:$AE,AS$5,0)),0),IF(ISERROR(1/VLOOKUP($N481,Capa!$A:$AE,AS$5,0)),0,1/VLOOKUP($N481,Capa!$A:$AE,AS$5,0))))</f>
        <v/>
      </c>
      <c r="AT481" s="118" t="str">
        <f>IF(AT$6="","",IF(AT$3="Maior",IFERROR(IF(VLOOKUP($N481,Capa!$A:$AE,AT$5,0)="",0,VLOOKUP($N481,Capa!$A:$AE,AT$5,0)),0),IF(ISERROR(1/VLOOKUP($N481,Capa!$A:$AE,AT$5,0)),0,1/VLOOKUP($N481,Capa!$A:$AE,AT$5,0))))</f>
        <v/>
      </c>
      <c r="AU481" s="118" t="str">
        <f>IF(AU$6="","",IF(AU$3="Maior",IFERROR(IF(VLOOKUP($N481,Capa!$A:$AE,AU$5,0)="",0,VLOOKUP($N481,Capa!$A:$AE,AU$5,0)),0),IF(ISERROR(1/VLOOKUP($N481,Capa!$A:$AE,AU$5,0)),0,1/VLOOKUP($N481,Capa!$A:$AE,AU$5,0))))</f>
        <v/>
      </c>
      <c r="AV481" s="118" t="str">
        <f>IF(AV$6="","",IF(AV$3="Maior",IFERROR(IF(VLOOKUP($N481,Capa!$A:$AE,AV$5,0)="",0,VLOOKUP($N481,Capa!$A:$AE,AV$5,0)),0),IF(ISERROR(1/VLOOKUP($N481,Capa!$A:$AE,AV$5,0)),0,1/VLOOKUP($N481,Capa!$A:$AE,AV$5,0))))</f>
        <v/>
      </c>
      <c r="AW481" s="118" t="str">
        <f>IF(AW$6="","",IF(AW$3="Maior",IFERROR(IF(VLOOKUP($N481,Capa!$A:$AE,AW$5,0)="",0,VLOOKUP($N481,Capa!$A:$AE,AW$5,0)),0),IF(ISERROR(1/VLOOKUP($N481,Capa!$A:$AE,AW$5,0)),0,1/VLOOKUP($N481,Capa!$A:$AE,AW$5,0))))</f>
        <v/>
      </c>
      <c r="AX481" s="118" t="str">
        <f>IF(AX$6="","",IF(AX$3="Maior",IFERROR(IF(VLOOKUP($N481,Capa!$A:$AE,AX$5,0)="",0,VLOOKUP($N481,Capa!$A:$AE,AX$5,0)),0),IF(ISERROR(1/VLOOKUP($N481,Capa!$A:$AE,AX$5,0)),0,1/VLOOKUP($N481,Capa!$A:$AE,AX$5,0))))</f>
        <v/>
      </c>
      <c r="AY481" s="118" t="str">
        <f>IF(AY$6="","",IF(AY$3="Maior",IFERROR(IF(VLOOKUP($N481,Capa!$A:$AE,AY$5,0)="",0,VLOOKUP($N481,Capa!$A:$AE,AY$5,0)),0),IF(ISERROR(1/VLOOKUP($N481,Capa!$A:$AE,AY$5,0)),0,1/VLOOKUP($N481,Capa!$A:$AE,AY$5,0))))</f>
        <v/>
      </c>
      <c r="AZ481" s="118" t="str">
        <f>IF(AZ$6="","",IF(AZ$3="Maior",IFERROR(IF(VLOOKUP($N481,Capa!$A:$AE,AZ$5,0)="",0,VLOOKUP($N481,Capa!$A:$AE,AZ$5,0)),0),IF(ISERROR(1/VLOOKUP($N481,Capa!$A:$AE,AZ$5,0)),0,1/VLOOKUP($N481,Capa!$A:$AE,AZ$5,0))))</f>
        <v/>
      </c>
      <c r="BA481" s="118" t="str">
        <f>IF(BA$6="","",IF(BA$3="Maior",IFERROR(IF(VLOOKUP($N481,Capa!$A:$AE,BA$5,0)="",0,VLOOKUP($N481,Capa!$A:$AE,BA$5,0)),0),IF(ISERROR(1/VLOOKUP($N481,Capa!$A:$AE,BA$5,0)),0,1/VLOOKUP($N481,Capa!$A:$AE,BA$5,0))))</f>
        <v/>
      </c>
      <c r="BB481" s="118" t="str">
        <f>IF(BB$6="","",IF(BB$3="Maior",IFERROR(IF(VLOOKUP($N481,Capa!$A:$AE,BB$5,0)="",0,VLOOKUP($N481,Capa!$A:$AE,BB$5,0)),0),IF(ISERROR(1/VLOOKUP($N481,Capa!$A:$AE,BB$5,0)),0,1/VLOOKUP($N481,Capa!$A:$AE,BB$5,0))))</f>
        <v/>
      </c>
      <c r="BC481" s="118" t="str">
        <f>IF(BC$6="","",IF(BC$3="Maior",IFERROR(IF(VLOOKUP($N481,Capa!$A:$AE,BC$5,0)="",0,VLOOKUP($N481,Capa!$A:$AE,BC$5,0)),0),IF(ISERROR(1/VLOOKUP($N481,Capa!$A:$AE,BC$5,0)),0,1/VLOOKUP($N481,Capa!$A:$AE,BC$5,0))))</f>
        <v/>
      </c>
      <c r="BD481" s="118" t="str">
        <f>IF(BD$6="","",IF(BD$3="Maior",IFERROR(IF(VLOOKUP($N481,Capa!$A:$AE,BD$5,0)="",0,VLOOKUP($N481,Capa!$A:$AE,BD$5,0)),0),IF(ISERROR(1/VLOOKUP($N481,Capa!$A:$AE,BD$5,0)),0,1/VLOOKUP($N481,Capa!$A:$AE,BD$5,0))))</f>
        <v/>
      </c>
      <c r="BE481" s="118" t="str">
        <f>IF(BE$6="","",IF(BE$3="Maior",IFERROR(IF(VLOOKUP($N481,Capa!$A:$AE,BE$5,0)="",0,VLOOKUP($N481,Capa!$A:$AE,BE$5,0)),0),IF(ISERROR(1/VLOOKUP($N481,Capa!$A:$AE,BE$5,0)),0,1/VLOOKUP($N481,Capa!$A:$AE,BE$5,0))))</f>
        <v/>
      </c>
      <c r="BF481" s="118" t="str">
        <f>IF(BF$6="","",IF(BF$3="Maior",IFERROR(IF(VLOOKUP($N481,Capa!$A:$AE,BF$5,0)="",0,VLOOKUP($N481,Capa!$A:$AE,BF$5,0)),0),IF(ISERROR(1/VLOOKUP($N481,Capa!$A:$AE,BF$5,0)),0,1/VLOOKUP($N481,Capa!$A:$AE,BF$5,0))))</f>
        <v/>
      </c>
      <c r="BG481" s="118" t="str">
        <f>IF(BG$6="","",IF(BG$3="Maior",IFERROR(IF(VLOOKUP($N481,Capa!$A:$AE,BG$5,0)="",0,VLOOKUP($N481,Capa!$A:$AE,BG$5,0)),0),IF(ISERROR(1/VLOOKUP($N481,Capa!$A:$AE,BG$5,0)),0,1/VLOOKUP($N481,Capa!$A:$AE,BG$5,0))))</f>
        <v/>
      </c>
      <c r="BH481" s="118" t="str">
        <f>IF(BH$6="","",IF(BH$3="Maior",IFERROR(IF(VLOOKUP($N481,Capa!$A:$AE,BH$5,0)="",0,VLOOKUP($N481,Capa!$A:$AE,BH$5,0)),0),IF(ISERROR(1/VLOOKUP($N481,Capa!$A:$AE,BH$5,0)),0,1/VLOOKUP($N481,Capa!$A:$AE,BH$5,0))))</f>
        <v/>
      </c>
      <c r="BI481" s="118" t="str">
        <f>IF(BI$6="","",IF(BI$3="Maior",IFERROR(IF(VLOOKUP($N481,Capa!$A:$AE,BI$5,0)="",0,VLOOKUP($N481,Capa!$A:$AE,BI$5,0)),0),IF(ISERROR(1/VLOOKUP($N481,Capa!$A:$AE,BI$5,0)),0,1/VLOOKUP($N481,Capa!$A:$AE,BI$5,0))))</f>
        <v/>
      </c>
      <c r="BJ481" s="118" t="str">
        <f>IF(BJ$6="","",IF(BJ$3="Maior",IFERROR(IF(VLOOKUP($N481,Capa!$A:$AE,BJ$5,0)="",0,VLOOKUP($N481,Capa!$A:$AE,BJ$5,0)),0),IF(ISERROR(1/VLOOKUP($N481,Capa!$A:$AE,BJ$5,0)),0,1/VLOOKUP($N481,Capa!$A:$AE,BJ$5,0))))</f>
        <v/>
      </c>
      <c r="BK481" s="118" t="str">
        <f>IF(BK$6="","",IF(BK$3="Maior",IFERROR(IF(VLOOKUP($N481,Capa!$A:$AE,BK$5,0)="",0,VLOOKUP($N481,Capa!$A:$AE,BK$5,0)),0),IF(ISERROR(1/VLOOKUP($N481,Capa!$A:$AE,BK$5,0)),0,1/VLOOKUP($N481,Capa!$A:$AE,BK$5,0))))</f>
        <v/>
      </c>
      <c r="BL481" s="118" t="str">
        <f>IF(BL$6="","",IF(BL$3="Maior",IFERROR(IF(VLOOKUP($N481,Capa!$A:$AE,BL$5,0)="",0,VLOOKUP($N481,Capa!$A:$AE,BL$5,0)),0),IF(ISERROR(1/VLOOKUP($N481,Capa!$A:$AE,BL$5,0)),0,1/VLOOKUP($N481,Capa!$A:$AE,BL$5,0))))</f>
        <v/>
      </c>
      <c r="BM481" s="118" t="str">
        <f>IF(BM$6="","",IF(BM$3="Maior",IFERROR(IF(VLOOKUP($N481,Capa!$A:$AE,BM$5,0)="",0,VLOOKUP($N481,Capa!$A:$AE,BM$5,0)),0),IF(ISERROR(1/VLOOKUP($N481,Capa!$A:$AE,BM$5,0)),0,1/VLOOKUP($N481,Capa!$A:$AE,BM$5,0))))</f>
        <v/>
      </c>
      <c r="BN481" s="118" t="str">
        <f>IF(BN$6="","",IF(BN$3="Maior",IFERROR(IF(VLOOKUP($N481,Capa!$A:$AE,BN$5,0)="",0,VLOOKUP($N481,Capa!$A:$AE,BN$5,0)),0),IF(ISERROR(1/VLOOKUP($N481,Capa!$A:$AE,BN$5,0)),0,1/VLOOKUP($N481,Capa!$A:$AE,BN$5,0))))</f>
        <v/>
      </c>
      <c r="BO481" s="92"/>
    </row>
    <row r="482">
      <c r="I482" s="73"/>
      <c r="J482" s="74"/>
      <c r="N482" s="10" t="s">
        <v>528</v>
      </c>
      <c r="O482" s="113">
        <f t="shared" si="8"/>
        <v>1428.0185</v>
      </c>
      <c r="P482" s="114">
        <f>VLOOKUP(N482,'Dados StatusInvest'!A:Z,26,0)</f>
        <v>4543</v>
      </c>
      <c r="Q482" s="115">
        <f t="shared" si="9"/>
        <v>185.0185</v>
      </c>
      <c r="R482" s="116">
        <f t="shared" ref="R482:AO482" si="485">IF(AQ482="","", RANK(AQ482,AQ$7:AQ$503,0))</f>
        <v>130</v>
      </c>
      <c r="S482" s="115">
        <f t="shared" si="485"/>
        <v>113</v>
      </c>
      <c r="T482" s="115" t="str">
        <f t="shared" si="485"/>
        <v/>
      </c>
      <c r="U482" s="115" t="str">
        <f t="shared" si="485"/>
        <v/>
      </c>
      <c r="V482" s="115" t="str">
        <f t="shared" si="485"/>
        <v/>
      </c>
      <c r="W482" s="115" t="str">
        <f t="shared" si="485"/>
        <v/>
      </c>
      <c r="X482" s="115" t="str">
        <f t="shared" si="485"/>
        <v/>
      </c>
      <c r="Y482" s="115" t="str">
        <f t="shared" si="485"/>
        <v/>
      </c>
      <c r="Z482" s="115" t="str">
        <f t="shared" si="485"/>
        <v/>
      </c>
      <c r="AA482" s="115" t="str">
        <f t="shared" si="485"/>
        <v/>
      </c>
      <c r="AB482" s="115" t="str">
        <f t="shared" si="485"/>
        <v/>
      </c>
      <c r="AC482" s="115" t="str">
        <f t="shared" si="485"/>
        <v/>
      </c>
      <c r="AD482" s="115" t="str">
        <f t="shared" si="485"/>
        <v/>
      </c>
      <c r="AE482" s="115" t="str">
        <f t="shared" si="485"/>
        <v/>
      </c>
      <c r="AF482" s="115" t="str">
        <f t="shared" si="485"/>
        <v/>
      </c>
      <c r="AG482" s="115" t="str">
        <f t="shared" si="485"/>
        <v/>
      </c>
      <c r="AH482" s="115" t="str">
        <f t="shared" si="485"/>
        <v/>
      </c>
      <c r="AI482" s="115" t="str">
        <f t="shared" si="485"/>
        <v/>
      </c>
      <c r="AJ482" s="115" t="str">
        <f t="shared" si="485"/>
        <v/>
      </c>
      <c r="AK482" s="115" t="str">
        <f t="shared" si="485"/>
        <v/>
      </c>
      <c r="AL482" s="115" t="str">
        <f t="shared" si="485"/>
        <v/>
      </c>
      <c r="AM482" s="115" t="str">
        <f t="shared" si="485"/>
        <v/>
      </c>
      <c r="AN482" s="115" t="str">
        <f t="shared" si="485"/>
        <v/>
      </c>
      <c r="AO482" s="115" t="str">
        <f t="shared" si="485"/>
        <v/>
      </c>
      <c r="AP482" s="117">
        <f>IF(AP$6="","",IF(AP$3="Maior",IFERROR(IF(VLOOKUP($N482,Capa!$A:$AE,AP$5,0)="",0,VLOOKUP($N482,Capa!$A:$AE,AP$5,0)),0),IF(ISERROR(1/VLOOKUP($N482,Capa!$A:$AE,AP$5,0)),0,1/VLOOKUP($N482,Capa!$A:$AE,AP$5,0))))</f>
        <v>0.1140250855</v>
      </c>
      <c r="AQ482" s="118">
        <f>IF(AQ$6="","",IF(AQ$3="Maior",IFERROR(IF(VLOOKUP($N482,Capa!$A:$AE,AQ$5,0)="",0,VLOOKUP($N482,Capa!$A:$AE,AQ$5,0)),0),IF(ISERROR(1/VLOOKUP($N482,Capa!$A:$AE,AQ$5,0)),0,1/VLOOKUP($N482,Capa!$A:$AE,AQ$5,0))))</f>
        <v>15.18</v>
      </c>
      <c r="AR482" s="118">
        <f>IF(AR$6="","",IF(AR$3="Maior",IFERROR(IF(VLOOKUP($N482,Capa!$A:$AE,AR$5,0)="",0,VLOOKUP($N482,Capa!$A:$AE,AR$5,0)),0),IF(ISERROR(1/VLOOKUP($N482,Capa!$A:$AE,AR$5,0)),0,1/VLOOKUP($N482,Capa!$A:$AE,AR$5,0))))</f>
        <v>24.12</v>
      </c>
      <c r="AS482" s="118" t="str">
        <f>IF(AS$6="","",IF(AS$3="Maior",IFERROR(IF(VLOOKUP($N482,Capa!$A:$AE,AS$5,0)="",0,VLOOKUP($N482,Capa!$A:$AE,AS$5,0)),0),IF(ISERROR(1/VLOOKUP($N482,Capa!$A:$AE,AS$5,0)),0,1/VLOOKUP($N482,Capa!$A:$AE,AS$5,0))))</f>
        <v/>
      </c>
      <c r="AT482" s="118" t="str">
        <f>IF(AT$6="","",IF(AT$3="Maior",IFERROR(IF(VLOOKUP($N482,Capa!$A:$AE,AT$5,0)="",0,VLOOKUP($N482,Capa!$A:$AE,AT$5,0)),0),IF(ISERROR(1/VLOOKUP($N482,Capa!$A:$AE,AT$5,0)),0,1/VLOOKUP($N482,Capa!$A:$AE,AT$5,0))))</f>
        <v/>
      </c>
      <c r="AU482" s="118" t="str">
        <f>IF(AU$6="","",IF(AU$3="Maior",IFERROR(IF(VLOOKUP($N482,Capa!$A:$AE,AU$5,0)="",0,VLOOKUP($N482,Capa!$A:$AE,AU$5,0)),0),IF(ISERROR(1/VLOOKUP($N482,Capa!$A:$AE,AU$5,0)),0,1/VLOOKUP($N482,Capa!$A:$AE,AU$5,0))))</f>
        <v/>
      </c>
      <c r="AV482" s="118" t="str">
        <f>IF(AV$6="","",IF(AV$3="Maior",IFERROR(IF(VLOOKUP($N482,Capa!$A:$AE,AV$5,0)="",0,VLOOKUP($N482,Capa!$A:$AE,AV$5,0)),0),IF(ISERROR(1/VLOOKUP($N482,Capa!$A:$AE,AV$5,0)),0,1/VLOOKUP($N482,Capa!$A:$AE,AV$5,0))))</f>
        <v/>
      </c>
      <c r="AW482" s="118" t="str">
        <f>IF(AW$6="","",IF(AW$3="Maior",IFERROR(IF(VLOOKUP($N482,Capa!$A:$AE,AW$5,0)="",0,VLOOKUP($N482,Capa!$A:$AE,AW$5,0)),0),IF(ISERROR(1/VLOOKUP($N482,Capa!$A:$AE,AW$5,0)),0,1/VLOOKUP($N482,Capa!$A:$AE,AW$5,0))))</f>
        <v/>
      </c>
      <c r="AX482" s="118" t="str">
        <f>IF(AX$6="","",IF(AX$3="Maior",IFERROR(IF(VLOOKUP($N482,Capa!$A:$AE,AX$5,0)="",0,VLOOKUP($N482,Capa!$A:$AE,AX$5,0)),0),IF(ISERROR(1/VLOOKUP($N482,Capa!$A:$AE,AX$5,0)),0,1/VLOOKUP($N482,Capa!$A:$AE,AX$5,0))))</f>
        <v/>
      </c>
      <c r="AY482" s="118" t="str">
        <f>IF(AY$6="","",IF(AY$3="Maior",IFERROR(IF(VLOOKUP($N482,Capa!$A:$AE,AY$5,0)="",0,VLOOKUP($N482,Capa!$A:$AE,AY$5,0)),0),IF(ISERROR(1/VLOOKUP($N482,Capa!$A:$AE,AY$5,0)),0,1/VLOOKUP($N482,Capa!$A:$AE,AY$5,0))))</f>
        <v/>
      </c>
      <c r="AZ482" s="118" t="str">
        <f>IF(AZ$6="","",IF(AZ$3="Maior",IFERROR(IF(VLOOKUP($N482,Capa!$A:$AE,AZ$5,0)="",0,VLOOKUP($N482,Capa!$A:$AE,AZ$5,0)),0),IF(ISERROR(1/VLOOKUP($N482,Capa!$A:$AE,AZ$5,0)),0,1/VLOOKUP($N482,Capa!$A:$AE,AZ$5,0))))</f>
        <v/>
      </c>
      <c r="BA482" s="118" t="str">
        <f>IF(BA$6="","",IF(BA$3="Maior",IFERROR(IF(VLOOKUP($N482,Capa!$A:$AE,BA$5,0)="",0,VLOOKUP($N482,Capa!$A:$AE,BA$5,0)),0),IF(ISERROR(1/VLOOKUP($N482,Capa!$A:$AE,BA$5,0)),0,1/VLOOKUP($N482,Capa!$A:$AE,BA$5,0))))</f>
        <v/>
      </c>
      <c r="BB482" s="118" t="str">
        <f>IF(BB$6="","",IF(BB$3="Maior",IFERROR(IF(VLOOKUP($N482,Capa!$A:$AE,BB$5,0)="",0,VLOOKUP($N482,Capa!$A:$AE,BB$5,0)),0),IF(ISERROR(1/VLOOKUP($N482,Capa!$A:$AE,BB$5,0)),0,1/VLOOKUP($N482,Capa!$A:$AE,BB$5,0))))</f>
        <v/>
      </c>
      <c r="BC482" s="118" t="str">
        <f>IF(BC$6="","",IF(BC$3="Maior",IFERROR(IF(VLOOKUP($N482,Capa!$A:$AE,BC$5,0)="",0,VLOOKUP($N482,Capa!$A:$AE,BC$5,0)),0),IF(ISERROR(1/VLOOKUP($N482,Capa!$A:$AE,BC$5,0)),0,1/VLOOKUP($N482,Capa!$A:$AE,BC$5,0))))</f>
        <v/>
      </c>
      <c r="BD482" s="118" t="str">
        <f>IF(BD$6="","",IF(BD$3="Maior",IFERROR(IF(VLOOKUP($N482,Capa!$A:$AE,BD$5,0)="",0,VLOOKUP($N482,Capa!$A:$AE,BD$5,0)),0),IF(ISERROR(1/VLOOKUP($N482,Capa!$A:$AE,BD$5,0)),0,1/VLOOKUP($N482,Capa!$A:$AE,BD$5,0))))</f>
        <v/>
      </c>
      <c r="BE482" s="118" t="str">
        <f>IF(BE$6="","",IF(BE$3="Maior",IFERROR(IF(VLOOKUP($N482,Capa!$A:$AE,BE$5,0)="",0,VLOOKUP($N482,Capa!$A:$AE,BE$5,0)),0),IF(ISERROR(1/VLOOKUP($N482,Capa!$A:$AE,BE$5,0)),0,1/VLOOKUP($N482,Capa!$A:$AE,BE$5,0))))</f>
        <v/>
      </c>
      <c r="BF482" s="118" t="str">
        <f>IF(BF$6="","",IF(BF$3="Maior",IFERROR(IF(VLOOKUP($N482,Capa!$A:$AE,BF$5,0)="",0,VLOOKUP($N482,Capa!$A:$AE,BF$5,0)),0),IF(ISERROR(1/VLOOKUP($N482,Capa!$A:$AE,BF$5,0)),0,1/VLOOKUP($N482,Capa!$A:$AE,BF$5,0))))</f>
        <v/>
      </c>
      <c r="BG482" s="118" t="str">
        <f>IF(BG$6="","",IF(BG$3="Maior",IFERROR(IF(VLOOKUP($N482,Capa!$A:$AE,BG$5,0)="",0,VLOOKUP($N482,Capa!$A:$AE,BG$5,0)),0),IF(ISERROR(1/VLOOKUP($N482,Capa!$A:$AE,BG$5,0)),0,1/VLOOKUP($N482,Capa!$A:$AE,BG$5,0))))</f>
        <v/>
      </c>
      <c r="BH482" s="118" t="str">
        <f>IF(BH$6="","",IF(BH$3="Maior",IFERROR(IF(VLOOKUP($N482,Capa!$A:$AE,BH$5,0)="",0,VLOOKUP($N482,Capa!$A:$AE,BH$5,0)),0),IF(ISERROR(1/VLOOKUP($N482,Capa!$A:$AE,BH$5,0)),0,1/VLOOKUP($N482,Capa!$A:$AE,BH$5,0))))</f>
        <v/>
      </c>
      <c r="BI482" s="118" t="str">
        <f>IF(BI$6="","",IF(BI$3="Maior",IFERROR(IF(VLOOKUP($N482,Capa!$A:$AE,BI$5,0)="",0,VLOOKUP($N482,Capa!$A:$AE,BI$5,0)),0),IF(ISERROR(1/VLOOKUP($N482,Capa!$A:$AE,BI$5,0)),0,1/VLOOKUP($N482,Capa!$A:$AE,BI$5,0))))</f>
        <v/>
      </c>
      <c r="BJ482" s="118" t="str">
        <f>IF(BJ$6="","",IF(BJ$3="Maior",IFERROR(IF(VLOOKUP($N482,Capa!$A:$AE,BJ$5,0)="",0,VLOOKUP($N482,Capa!$A:$AE,BJ$5,0)),0),IF(ISERROR(1/VLOOKUP($N482,Capa!$A:$AE,BJ$5,0)),0,1/VLOOKUP($N482,Capa!$A:$AE,BJ$5,0))))</f>
        <v/>
      </c>
      <c r="BK482" s="118" t="str">
        <f>IF(BK$6="","",IF(BK$3="Maior",IFERROR(IF(VLOOKUP($N482,Capa!$A:$AE,BK$5,0)="",0,VLOOKUP($N482,Capa!$A:$AE,BK$5,0)),0),IF(ISERROR(1/VLOOKUP($N482,Capa!$A:$AE,BK$5,0)),0,1/VLOOKUP($N482,Capa!$A:$AE,BK$5,0))))</f>
        <v/>
      </c>
      <c r="BL482" s="118" t="str">
        <f>IF(BL$6="","",IF(BL$3="Maior",IFERROR(IF(VLOOKUP($N482,Capa!$A:$AE,BL$5,0)="",0,VLOOKUP($N482,Capa!$A:$AE,BL$5,0)),0),IF(ISERROR(1/VLOOKUP($N482,Capa!$A:$AE,BL$5,0)),0,1/VLOOKUP($N482,Capa!$A:$AE,BL$5,0))))</f>
        <v/>
      </c>
      <c r="BM482" s="118" t="str">
        <f>IF(BM$6="","",IF(BM$3="Maior",IFERROR(IF(VLOOKUP($N482,Capa!$A:$AE,BM$5,0)="",0,VLOOKUP($N482,Capa!$A:$AE,BM$5,0)),0),IF(ISERROR(1/VLOOKUP($N482,Capa!$A:$AE,BM$5,0)),0,1/VLOOKUP($N482,Capa!$A:$AE,BM$5,0))))</f>
        <v/>
      </c>
      <c r="BN482" s="118" t="str">
        <f>IF(BN$6="","",IF(BN$3="Maior",IFERROR(IF(VLOOKUP($N482,Capa!$A:$AE,BN$5,0)="",0,VLOOKUP($N482,Capa!$A:$AE,BN$5,0)),0),IF(ISERROR(1/VLOOKUP($N482,Capa!$A:$AE,BN$5,0)),0,1/VLOOKUP($N482,Capa!$A:$AE,BN$5,0))))</f>
        <v/>
      </c>
      <c r="BO482" s="92"/>
    </row>
    <row r="483">
      <c r="I483" s="73"/>
      <c r="J483" s="74"/>
      <c r="N483" s="10" t="s">
        <v>529</v>
      </c>
      <c r="O483" s="113">
        <f t="shared" si="8"/>
        <v>1957.0255</v>
      </c>
      <c r="P483" s="114">
        <f>VLOOKUP(N483,'Dados StatusInvest'!A:Z,26,0)</f>
        <v>4500.3</v>
      </c>
      <c r="Q483" s="115">
        <f t="shared" si="9"/>
        <v>255.0255</v>
      </c>
      <c r="R483" s="116">
        <f t="shared" ref="R483:AO483" si="486">IF(AQ483="","", RANK(AQ483,AQ$7:AQ$503,0))</f>
        <v>483</v>
      </c>
      <c r="S483" s="115">
        <f t="shared" si="486"/>
        <v>219</v>
      </c>
      <c r="T483" s="115" t="str">
        <f t="shared" si="486"/>
        <v/>
      </c>
      <c r="U483" s="115" t="str">
        <f t="shared" si="486"/>
        <v/>
      </c>
      <c r="V483" s="115" t="str">
        <f t="shared" si="486"/>
        <v/>
      </c>
      <c r="W483" s="115" t="str">
        <f t="shared" si="486"/>
        <v/>
      </c>
      <c r="X483" s="115" t="str">
        <f t="shared" si="486"/>
        <v/>
      </c>
      <c r="Y483" s="115" t="str">
        <f t="shared" si="486"/>
        <v/>
      </c>
      <c r="Z483" s="115" t="str">
        <f t="shared" si="486"/>
        <v/>
      </c>
      <c r="AA483" s="115" t="str">
        <f t="shared" si="486"/>
        <v/>
      </c>
      <c r="AB483" s="115" t="str">
        <f t="shared" si="486"/>
        <v/>
      </c>
      <c r="AC483" s="115" t="str">
        <f t="shared" si="486"/>
        <v/>
      </c>
      <c r="AD483" s="115" t="str">
        <f t="shared" si="486"/>
        <v/>
      </c>
      <c r="AE483" s="115" t="str">
        <f t="shared" si="486"/>
        <v/>
      </c>
      <c r="AF483" s="115" t="str">
        <f t="shared" si="486"/>
        <v/>
      </c>
      <c r="AG483" s="115" t="str">
        <f t="shared" si="486"/>
        <v/>
      </c>
      <c r="AH483" s="115" t="str">
        <f t="shared" si="486"/>
        <v/>
      </c>
      <c r="AI483" s="115" t="str">
        <f t="shared" si="486"/>
        <v/>
      </c>
      <c r="AJ483" s="115" t="str">
        <f t="shared" si="486"/>
        <v/>
      </c>
      <c r="AK483" s="115" t="str">
        <f t="shared" si="486"/>
        <v/>
      </c>
      <c r="AL483" s="115" t="str">
        <f t="shared" si="486"/>
        <v/>
      </c>
      <c r="AM483" s="115" t="str">
        <f t="shared" si="486"/>
        <v/>
      </c>
      <c r="AN483" s="115" t="str">
        <f t="shared" si="486"/>
        <v/>
      </c>
      <c r="AO483" s="115" t="str">
        <f t="shared" si="486"/>
        <v/>
      </c>
      <c r="AP483" s="117">
        <f>IF(AP$6="","",IF(AP$3="Maior",IFERROR(IF(VLOOKUP($N483,Capa!$A:$AE,AP$5,0)="",0,VLOOKUP($N483,Capa!$A:$AE,AP$5,0)),0),IF(ISERROR(1/VLOOKUP($N483,Capa!$A:$AE,AP$5,0)),0,1/VLOOKUP($N483,Capa!$A:$AE,AP$5,0))))</f>
        <v>0.07855459544</v>
      </c>
      <c r="AQ483" s="118">
        <f>IF(AQ$6="","",IF(AQ$3="Maior",IFERROR(IF(VLOOKUP($N483,Capa!$A:$AE,AQ$5,0)="",0,VLOOKUP($N483,Capa!$A:$AE,AQ$5,0)),0),IF(ISERROR(1/VLOOKUP($N483,Capa!$A:$AE,AQ$5,0)),0,1/VLOOKUP($N483,Capa!$A:$AE,AQ$5,0))))</f>
        <v>-37.69</v>
      </c>
      <c r="AR483" s="118">
        <f>IF(AR$6="","",IF(AR$3="Maior",IFERROR(IF(VLOOKUP($N483,Capa!$A:$AE,AR$5,0)="",0,VLOOKUP($N483,Capa!$A:$AE,AR$5,0)),0),IF(ISERROR(1/VLOOKUP($N483,Capa!$A:$AE,AR$5,0)),0,1/VLOOKUP($N483,Capa!$A:$AE,AR$5,0))))</f>
        <v>0</v>
      </c>
      <c r="AS483" s="118" t="str">
        <f>IF(AS$6="","",IF(AS$3="Maior",IFERROR(IF(VLOOKUP($N483,Capa!$A:$AE,AS$5,0)="",0,VLOOKUP($N483,Capa!$A:$AE,AS$5,0)),0),IF(ISERROR(1/VLOOKUP($N483,Capa!$A:$AE,AS$5,0)),0,1/VLOOKUP($N483,Capa!$A:$AE,AS$5,0))))</f>
        <v/>
      </c>
      <c r="AT483" s="118" t="str">
        <f>IF(AT$6="","",IF(AT$3="Maior",IFERROR(IF(VLOOKUP($N483,Capa!$A:$AE,AT$5,0)="",0,VLOOKUP($N483,Capa!$A:$AE,AT$5,0)),0),IF(ISERROR(1/VLOOKUP($N483,Capa!$A:$AE,AT$5,0)),0,1/VLOOKUP($N483,Capa!$A:$AE,AT$5,0))))</f>
        <v/>
      </c>
      <c r="AU483" s="118" t="str">
        <f>IF(AU$6="","",IF(AU$3="Maior",IFERROR(IF(VLOOKUP($N483,Capa!$A:$AE,AU$5,0)="",0,VLOOKUP($N483,Capa!$A:$AE,AU$5,0)),0),IF(ISERROR(1/VLOOKUP($N483,Capa!$A:$AE,AU$5,0)),0,1/VLOOKUP($N483,Capa!$A:$AE,AU$5,0))))</f>
        <v/>
      </c>
      <c r="AV483" s="118" t="str">
        <f>IF(AV$6="","",IF(AV$3="Maior",IFERROR(IF(VLOOKUP($N483,Capa!$A:$AE,AV$5,0)="",0,VLOOKUP($N483,Capa!$A:$AE,AV$5,0)),0),IF(ISERROR(1/VLOOKUP($N483,Capa!$A:$AE,AV$5,0)),0,1/VLOOKUP($N483,Capa!$A:$AE,AV$5,0))))</f>
        <v/>
      </c>
      <c r="AW483" s="118" t="str">
        <f>IF(AW$6="","",IF(AW$3="Maior",IFERROR(IF(VLOOKUP($N483,Capa!$A:$AE,AW$5,0)="",0,VLOOKUP($N483,Capa!$A:$AE,AW$5,0)),0),IF(ISERROR(1/VLOOKUP($N483,Capa!$A:$AE,AW$5,0)),0,1/VLOOKUP($N483,Capa!$A:$AE,AW$5,0))))</f>
        <v/>
      </c>
      <c r="AX483" s="118" t="str">
        <f>IF(AX$6="","",IF(AX$3="Maior",IFERROR(IF(VLOOKUP($N483,Capa!$A:$AE,AX$5,0)="",0,VLOOKUP($N483,Capa!$A:$AE,AX$5,0)),0),IF(ISERROR(1/VLOOKUP($N483,Capa!$A:$AE,AX$5,0)),0,1/VLOOKUP($N483,Capa!$A:$AE,AX$5,0))))</f>
        <v/>
      </c>
      <c r="AY483" s="118" t="str">
        <f>IF(AY$6="","",IF(AY$3="Maior",IFERROR(IF(VLOOKUP($N483,Capa!$A:$AE,AY$5,0)="",0,VLOOKUP($N483,Capa!$A:$AE,AY$5,0)),0),IF(ISERROR(1/VLOOKUP($N483,Capa!$A:$AE,AY$5,0)),0,1/VLOOKUP($N483,Capa!$A:$AE,AY$5,0))))</f>
        <v/>
      </c>
      <c r="AZ483" s="118" t="str">
        <f>IF(AZ$6="","",IF(AZ$3="Maior",IFERROR(IF(VLOOKUP($N483,Capa!$A:$AE,AZ$5,0)="",0,VLOOKUP($N483,Capa!$A:$AE,AZ$5,0)),0),IF(ISERROR(1/VLOOKUP($N483,Capa!$A:$AE,AZ$5,0)),0,1/VLOOKUP($N483,Capa!$A:$AE,AZ$5,0))))</f>
        <v/>
      </c>
      <c r="BA483" s="118" t="str">
        <f>IF(BA$6="","",IF(BA$3="Maior",IFERROR(IF(VLOOKUP($N483,Capa!$A:$AE,BA$5,0)="",0,VLOOKUP($N483,Capa!$A:$AE,BA$5,0)),0),IF(ISERROR(1/VLOOKUP($N483,Capa!$A:$AE,BA$5,0)),0,1/VLOOKUP($N483,Capa!$A:$AE,BA$5,0))))</f>
        <v/>
      </c>
      <c r="BB483" s="118" t="str">
        <f>IF(BB$6="","",IF(BB$3="Maior",IFERROR(IF(VLOOKUP($N483,Capa!$A:$AE,BB$5,0)="",0,VLOOKUP($N483,Capa!$A:$AE,BB$5,0)),0),IF(ISERROR(1/VLOOKUP($N483,Capa!$A:$AE,BB$5,0)),0,1/VLOOKUP($N483,Capa!$A:$AE,BB$5,0))))</f>
        <v/>
      </c>
      <c r="BC483" s="118" t="str">
        <f>IF(BC$6="","",IF(BC$3="Maior",IFERROR(IF(VLOOKUP($N483,Capa!$A:$AE,BC$5,0)="",0,VLOOKUP($N483,Capa!$A:$AE,BC$5,0)),0),IF(ISERROR(1/VLOOKUP($N483,Capa!$A:$AE,BC$5,0)),0,1/VLOOKUP($N483,Capa!$A:$AE,BC$5,0))))</f>
        <v/>
      </c>
      <c r="BD483" s="118" t="str">
        <f>IF(BD$6="","",IF(BD$3="Maior",IFERROR(IF(VLOOKUP($N483,Capa!$A:$AE,BD$5,0)="",0,VLOOKUP($N483,Capa!$A:$AE,BD$5,0)),0),IF(ISERROR(1/VLOOKUP($N483,Capa!$A:$AE,BD$5,0)),0,1/VLOOKUP($N483,Capa!$A:$AE,BD$5,0))))</f>
        <v/>
      </c>
      <c r="BE483" s="118" t="str">
        <f>IF(BE$6="","",IF(BE$3="Maior",IFERROR(IF(VLOOKUP($N483,Capa!$A:$AE,BE$5,0)="",0,VLOOKUP($N483,Capa!$A:$AE,BE$5,0)),0),IF(ISERROR(1/VLOOKUP($N483,Capa!$A:$AE,BE$5,0)),0,1/VLOOKUP($N483,Capa!$A:$AE,BE$5,0))))</f>
        <v/>
      </c>
      <c r="BF483" s="118" t="str">
        <f>IF(BF$6="","",IF(BF$3="Maior",IFERROR(IF(VLOOKUP($N483,Capa!$A:$AE,BF$5,0)="",0,VLOOKUP($N483,Capa!$A:$AE,BF$5,0)),0),IF(ISERROR(1/VLOOKUP($N483,Capa!$A:$AE,BF$5,0)),0,1/VLOOKUP($N483,Capa!$A:$AE,BF$5,0))))</f>
        <v/>
      </c>
      <c r="BG483" s="118" t="str">
        <f>IF(BG$6="","",IF(BG$3="Maior",IFERROR(IF(VLOOKUP($N483,Capa!$A:$AE,BG$5,0)="",0,VLOOKUP($N483,Capa!$A:$AE,BG$5,0)),0),IF(ISERROR(1/VLOOKUP($N483,Capa!$A:$AE,BG$5,0)),0,1/VLOOKUP($N483,Capa!$A:$AE,BG$5,0))))</f>
        <v/>
      </c>
      <c r="BH483" s="118" t="str">
        <f>IF(BH$6="","",IF(BH$3="Maior",IFERROR(IF(VLOOKUP($N483,Capa!$A:$AE,BH$5,0)="",0,VLOOKUP($N483,Capa!$A:$AE,BH$5,0)),0),IF(ISERROR(1/VLOOKUP($N483,Capa!$A:$AE,BH$5,0)),0,1/VLOOKUP($N483,Capa!$A:$AE,BH$5,0))))</f>
        <v/>
      </c>
      <c r="BI483" s="118" t="str">
        <f>IF(BI$6="","",IF(BI$3="Maior",IFERROR(IF(VLOOKUP($N483,Capa!$A:$AE,BI$5,0)="",0,VLOOKUP($N483,Capa!$A:$AE,BI$5,0)),0),IF(ISERROR(1/VLOOKUP($N483,Capa!$A:$AE,BI$5,0)),0,1/VLOOKUP($N483,Capa!$A:$AE,BI$5,0))))</f>
        <v/>
      </c>
      <c r="BJ483" s="118" t="str">
        <f>IF(BJ$6="","",IF(BJ$3="Maior",IFERROR(IF(VLOOKUP($N483,Capa!$A:$AE,BJ$5,0)="",0,VLOOKUP($N483,Capa!$A:$AE,BJ$5,0)),0),IF(ISERROR(1/VLOOKUP($N483,Capa!$A:$AE,BJ$5,0)),0,1/VLOOKUP($N483,Capa!$A:$AE,BJ$5,0))))</f>
        <v/>
      </c>
      <c r="BK483" s="118" t="str">
        <f>IF(BK$6="","",IF(BK$3="Maior",IFERROR(IF(VLOOKUP($N483,Capa!$A:$AE,BK$5,0)="",0,VLOOKUP($N483,Capa!$A:$AE,BK$5,0)),0),IF(ISERROR(1/VLOOKUP($N483,Capa!$A:$AE,BK$5,0)),0,1/VLOOKUP($N483,Capa!$A:$AE,BK$5,0))))</f>
        <v/>
      </c>
      <c r="BL483" s="118" t="str">
        <f>IF(BL$6="","",IF(BL$3="Maior",IFERROR(IF(VLOOKUP($N483,Capa!$A:$AE,BL$5,0)="",0,VLOOKUP($N483,Capa!$A:$AE,BL$5,0)),0),IF(ISERROR(1/VLOOKUP($N483,Capa!$A:$AE,BL$5,0)),0,1/VLOOKUP($N483,Capa!$A:$AE,BL$5,0))))</f>
        <v/>
      </c>
      <c r="BM483" s="118" t="str">
        <f>IF(BM$6="","",IF(BM$3="Maior",IFERROR(IF(VLOOKUP($N483,Capa!$A:$AE,BM$5,0)="",0,VLOOKUP($N483,Capa!$A:$AE,BM$5,0)),0),IF(ISERROR(1/VLOOKUP($N483,Capa!$A:$AE,BM$5,0)),0,1/VLOOKUP($N483,Capa!$A:$AE,BM$5,0))))</f>
        <v/>
      </c>
      <c r="BN483" s="118" t="str">
        <f>IF(BN$6="","",IF(BN$3="Maior",IFERROR(IF(VLOOKUP($N483,Capa!$A:$AE,BN$5,0)="",0,VLOOKUP($N483,Capa!$A:$AE,BN$5,0)),0),IF(ISERROR(1/VLOOKUP($N483,Capa!$A:$AE,BN$5,0)),0,1/VLOOKUP($N483,Capa!$A:$AE,BN$5,0))))</f>
        <v/>
      </c>
      <c r="BO483" s="92"/>
    </row>
    <row r="484">
      <c r="I484" s="73"/>
      <c r="J484" s="74"/>
      <c r="N484" s="10" t="s">
        <v>530</v>
      </c>
      <c r="O484" s="113">
        <f t="shared" si="8"/>
        <v>2179.0345</v>
      </c>
      <c r="P484" s="114">
        <f>VLOOKUP(N484,'Dados StatusInvest'!A:Z,26,0)</f>
        <v>1840.83</v>
      </c>
      <c r="Q484" s="115">
        <f t="shared" si="9"/>
        <v>345.0345</v>
      </c>
      <c r="R484" s="116">
        <f t="shared" ref="R484:AO484" si="487">IF(AQ484="","", RANK(AQ484,AQ$7:AQ$503,0))</f>
        <v>353</v>
      </c>
      <c r="S484" s="115">
        <f t="shared" si="487"/>
        <v>481</v>
      </c>
      <c r="T484" s="115" t="str">
        <f t="shared" si="487"/>
        <v/>
      </c>
      <c r="U484" s="115" t="str">
        <f t="shared" si="487"/>
        <v/>
      </c>
      <c r="V484" s="115" t="str">
        <f t="shared" si="487"/>
        <v/>
      </c>
      <c r="W484" s="115" t="str">
        <f t="shared" si="487"/>
        <v/>
      </c>
      <c r="X484" s="115" t="str">
        <f t="shared" si="487"/>
        <v/>
      </c>
      <c r="Y484" s="115" t="str">
        <f t="shared" si="487"/>
        <v/>
      </c>
      <c r="Z484" s="115" t="str">
        <f t="shared" si="487"/>
        <v/>
      </c>
      <c r="AA484" s="115" t="str">
        <f t="shared" si="487"/>
        <v/>
      </c>
      <c r="AB484" s="115" t="str">
        <f t="shared" si="487"/>
        <v/>
      </c>
      <c r="AC484" s="115" t="str">
        <f t="shared" si="487"/>
        <v/>
      </c>
      <c r="AD484" s="115" t="str">
        <f t="shared" si="487"/>
        <v/>
      </c>
      <c r="AE484" s="115" t="str">
        <f t="shared" si="487"/>
        <v/>
      </c>
      <c r="AF484" s="115" t="str">
        <f t="shared" si="487"/>
        <v/>
      </c>
      <c r="AG484" s="115" t="str">
        <f t="shared" si="487"/>
        <v/>
      </c>
      <c r="AH484" s="115" t="str">
        <f t="shared" si="487"/>
        <v/>
      </c>
      <c r="AI484" s="115" t="str">
        <f t="shared" si="487"/>
        <v/>
      </c>
      <c r="AJ484" s="115" t="str">
        <f t="shared" si="487"/>
        <v/>
      </c>
      <c r="AK484" s="115" t="str">
        <f t="shared" si="487"/>
        <v/>
      </c>
      <c r="AL484" s="115" t="str">
        <f t="shared" si="487"/>
        <v/>
      </c>
      <c r="AM484" s="115" t="str">
        <f t="shared" si="487"/>
        <v/>
      </c>
      <c r="AN484" s="115" t="str">
        <f t="shared" si="487"/>
        <v/>
      </c>
      <c r="AO484" s="115" t="str">
        <f t="shared" si="487"/>
        <v/>
      </c>
      <c r="AP484" s="117">
        <f>IF(AP$6="","",IF(AP$3="Maior",IFERROR(IF(VLOOKUP($N484,Capa!$A:$AE,AP$5,0)="",0,VLOOKUP($N484,Capa!$A:$AE,AP$5,0)),0),IF(ISERROR(1/VLOOKUP($N484,Capa!$A:$AE,AP$5,0)),0,1/VLOOKUP($N484,Capa!$A:$AE,AP$5,0))))</f>
        <v>0.03214400514</v>
      </c>
      <c r="AQ484" s="118">
        <f>IF(AQ$6="","",IF(AQ$3="Maior",IFERROR(IF(VLOOKUP($N484,Capa!$A:$AE,AQ$5,0)="",0,VLOOKUP($N484,Capa!$A:$AE,AQ$5,0)),0),IF(ISERROR(1/VLOOKUP($N484,Capa!$A:$AE,AQ$5,0)),0,1/VLOOKUP($N484,Capa!$A:$AE,AQ$5,0))))</f>
        <v>2.04</v>
      </c>
      <c r="AR484" s="118">
        <f>IF(AR$6="","",IF(AR$3="Maior",IFERROR(IF(VLOOKUP($N484,Capa!$A:$AE,AR$5,0)="",0,VLOOKUP($N484,Capa!$A:$AE,AR$5,0)),0),IF(ISERROR(1/VLOOKUP($N484,Capa!$A:$AE,AR$5,0)),0,1/VLOOKUP($N484,Capa!$A:$AE,AR$5,0))))</f>
        <v>-16.37</v>
      </c>
      <c r="AS484" s="118" t="str">
        <f>IF(AS$6="","",IF(AS$3="Maior",IFERROR(IF(VLOOKUP($N484,Capa!$A:$AE,AS$5,0)="",0,VLOOKUP($N484,Capa!$A:$AE,AS$5,0)),0),IF(ISERROR(1/VLOOKUP($N484,Capa!$A:$AE,AS$5,0)),0,1/VLOOKUP($N484,Capa!$A:$AE,AS$5,0))))</f>
        <v/>
      </c>
      <c r="AT484" s="118" t="str">
        <f>IF(AT$6="","",IF(AT$3="Maior",IFERROR(IF(VLOOKUP($N484,Capa!$A:$AE,AT$5,0)="",0,VLOOKUP($N484,Capa!$A:$AE,AT$5,0)),0),IF(ISERROR(1/VLOOKUP($N484,Capa!$A:$AE,AT$5,0)),0,1/VLOOKUP($N484,Capa!$A:$AE,AT$5,0))))</f>
        <v/>
      </c>
      <c r="AU484" s="118" t="str">
        <f>IF(AU$6="","",IF(AU$3="Maior",IFERROR(IF(VLOOKUP($N484,Capa!$A:$AE,AU$5,0)="",0,VLOOKUP($N484,Capa!$A:$AE,AU$5,0)),0),IF(ISERROR(1/VLOOKUP($N484,Capa!$A:$AE,AU$5,0)),0,1/VLOOKUP($N484,Capa!$A:$AE,AU$5,0))))</f>
        <v/>
      </c>
      <c r="AV484" s="118" t="str">
        <f>IF(AV$6="","",IF(AV$3="Maior",IFERROR(IF(VLOOKUP($N484,Capa!$A:$AE,AV$5,0)="",0,VLOOKUP($N484,Capa!$A:$AE,AV$5,0)),0),IF(ISERROR(1/VLOOKUP($N484,Capa!$A:$AE,AV$5,0)),0,1/VLOOKUP($N484,Capa!$A:$AE,AV$5,0))))</f>
        <v/>
      </c>
      <c r="AW484" s="118" t="str">
        <f>IF(AW$6="","",IF(AW$3="Maior",IFERROR(IF(VLOOKUP($N484,Capa!$A:$AE,AW$5,0)="",0,VLOOKUP($N484,Capa!$A:$AE,AW$5,0)),0),IF(ISERROR(1/VLOOKUP($N484,Capa!$A:$AE,AW$5,0)),0,1/VLOOKUP($N484,Capa!$A:$AE,AW$5,0))))</f>
        <v/>
      </c>
      <c r="AX484" s="118" t="str">
        <f>IF(AX$6="","",IF(AX$3="Maior",IFERROR(IF(VLOOKUP($N484,Capa!$A:$AE,AX$5,0)="",0,VLOOKUP($N484,Capa!$A:$AE,AX$5,0)),0),IF(ISERROR(1/VLOOKUP($N484,Capa!$A:$AE,AX$5,0)),0,1/VLOOKUP($N484,Capa!$A:$AE,AX$5,0))))</f>
        <v/>
      </c>
      <c r="AY484" s="118" t="str">
        <f>IF(AY$6="","",IF(AY$3="Maior",IFERROR(IF(VLOOKUP($N484,Capa!$A:$AE,AY$5,0)="",0,VLOOKUP($N484,Capa!$A:$AE,AY$5,0)),0),IF(ISERROR(1/VLOOKUP($N484,Capa!$A:$AE,AY$5,0)),0,1/VLOOKUP($N484,Capa!$A:$AE,AY$5,0))))</f>
        <v/>
      </c>
      <c r="AZ484" s="118" t="str">
        <f>IF(AZ$6="","",IF(AZ$3="Maior",IFERROR(IF(VLOOKUP($N484,Capa!$A:$AE,AZ$5,0)="",0,VLOOKUP($N484,Capa!$A:$AE,AZ$5,0)),0),IF(ISERROR(1/VLOOKUP($N484,Capa!$A:$AE,AZ$5,0)),0,1/VLOOKUP($N484,Capa!$A:$AE,AZ$5,0))))</f>
        <v/>
      </c>
      <c r="BA484" s="118" t="str">
        <f>IF(BA$6="","",IF(BA$3="Maior",IFERROR(IF(VLOOKUP($N484,Capa!$A:$AE,BA$5,0)="",0,VLOOKUP($N484,Capa!$A:$AE,BA$5,0)),0),IF(ISERROR(1/VLOOKUP($N484,Capa!$A:$AE,BA$5,0)),0,1/VLOOKUP($N484,Capa!$A:$AE,BA$5,0))))</f>
        <v/>
      </c>
      <c r="BB484" s="118" t="str">
        <f>IF(BB$6="","",IF(BB$3="Maior",IFERROR(IF(VLOOKUP($N484,Capa!$A:$AE,BB$5,0)="",0,VLOOKUP($N484,Capa!$A:$AE,BB$5,0)),0),IF(ISERROR(1/VLOOKUP($N484,Capa!$A:$AE,BB$5,0)),0,1/VLOOKUP($N484,Capa!$A:$AE,BB$5,0))))</f>
        <v/>
      </c>
      <c r="BC484" s="118" t="str">
        <f>IF(BC$6="","",IF(BC$3="Maior",IFERROR(IF(VLOOKUP($N484,Capa!$A:$AE,BC$5,0)="",0,VLOOKUP($N484,Capa!$A:$AE,BC$5,0)),0),IF(ISERROR(1/VLOOKUP($N484,Capa!$A:$AE,BC$5,0)),0,1/VLOOKUP($N484,Capa!$A:$AE,BC$5,0))))</f>
        <v/>
      </c>
      <c r="BD484" s="118" t="str">
        <f>IF(BD$6="","",IF(BD$3="Maior",IFERROR(IF(VLOOKUP($N484,Capa!$A:$AE,BD$5,0)="",0,VLOOKUP($N484,Capa!$A:$AE,BD$5,0)),0),IF(ISERROR(1/VLOOKUP($N484,Capa!$A:$AE,BD$5,0)),0,1/VLOOKUP($N484,Capa!$A:$AE,BD$5,0))))</f>
        <v/>
      </c>
      <c r="BE484" s="118" t="str">
        <f>IF(BE$6="","",IF(BE$3="Maior",IFERROR(IF(VLOOKUP($N484,Capa!$A:$AE,BE$5,0)="",0,VLOOKUP($N484,Capa!$A:$AE,BE$5,0)),0),IF(ISERROR(1/VLOOKUP($N484,Capa!$A:$AE,BE$5,0)),0,1/VLOOKUP($N484,Capa!$A:$AE,BE$5,0))))</f>
        <v/>
      </c>
      <c r="BF484" s="118" t="str">
        <f>IF(BF$6="","",IF(BF$3="Maior",IFERROR(IF(VLOOKUP($N484,Capa!$A:$AE,BF$5,0)="",0,VLOOKUP($N484,Capa!$A:$AE,BF$5,0)),0),IF(ISERROR(1/VLOOKUP($N484,Capa!$A:$AE,BF$5,0)),0,1/VLOOKUP($N484,Capa!$A:$AE,BF$5,0))))</f>
        <v/>
      </c>
      <c r="BG484" s="118" t="str">
        <f>IF(BG$6="","",IF(BG$3="Maior",IFERROR(IF(VLOOKUP($N484,Capa!$A:$AE,BG$5,0)="",0,VLOOKUP($N484,Capa!$A:$AE,BG$5,0)),0),IF(ISERROR(1/VLOOKUP($N484,Capa!$A:$AE,BG$5,0)),0,1/VLOOKUP($N484,Capa!$A:$AE,BG$5,0))))</f>
        <v/>
      </c>
      <c r="BH484" s="118" t="str">
        <f>IF(BH$6="","",IF(BH$3="Maior",IFERROR(IF(VLOOKUP($N484,Capa!$A:$AE,BH$5,0)="",0,VLOOKUP($N484,Capa!$A:$AE,BH$5,0)),0),IF(ISERROR(1/VLOOKUP($N484,Capa!$A:$AE,BH$5,0)),0,1/VLOOKUP($N484,Capa!$A:$AE,BH$5,0))))</f>
        <v/>
      </c>
      <c r="BI484" s="118" t="str">
        <f>IF(BI$6="","",IF(BI$3="Maior",IFERROR(IF(VLOOKUP($N484,Capa!$A:$AE,BI$5,0)="",0,VLOOKUP($N484,Capa!$A:$AE,BI$5,0)),0),IF(ISERROR(1/VLOOKUP($N484,Capa!$A:$AE,BI$5,0)),0,1/VLOOKUP($N484,Capa!$A:$AE,BI$5,0))))</f>
        <v/>
      </c>
      <c r="BJ484" s="118" t="str">
        <f>IF(BJ$6="","",IF(BJ$3="Maior",IFERROR(IF(VLOOKUP($N484,Capa!$A:$AE,BJ$5,0)="",0,VLOOKUP($N484,Capa!$A:$AE,BJ$5,0)),0),IF(ISERROR(1/VLOOKUP($N484,Capa!$A:$AE,BJ$5,0)),0,1/VLOOKUP($N484,Capa!$A:$AE,BJ$5,0))))</f>
        <v/>
      </c>
      <c r="BK484" s="118" t="str">
        <f>IF(BK$6="","",IF(BK$3="Maior",IFERROR(IF(VLOOKUP($N484,Capa!$A:$AE,BK$5,0)="",0,VLOOKUP($N484,Capa!$A:$AE,BK$5,0)),0),IF(ISERROR(1/VLOOKUP($N484,Capa!$A:$AE,BK$5,0)),0,1/VLOOKUP($N484,Capa!$A:$AE,BK$5,0))))</f>
        <v/>
      </c>
      <c r="BL484" s="118" t="str">
        <f>IF(BL$6="","",IF(BL$3="Maior",IFERROR(IF(VLOOKUP($N484,Capa!$A:$AE,BL$5,0)="",0,VLOOKUP($N484,Capa!$A:$AE,BL$5,0)),0),IF(ISERROR(1/VLOOKUP($N484,Capa!$A:$AE,BL$5,0)),0,1/VLOOKUP($N484,Capa!$A:$AE,BL$5,0))))</f>
        <v/>
      </c>
      <c r="BM484" s="118" t="str">
        <f>IF(BM$6="","",IF(BM$3="Maior",IFERROR(IF(VLOOKUP($N484,Capa!$A:$AE,BM$5,0)="",0,VLOOKUP($N484,Capa!$A:$AE,BM$5,0)),0),IF(ISERROR(1/VLOOKUP($N484,Capa!$A:$AE,BM$5,0)),0,1/VLOOKUP($N484,Capa!$A:$AE,BM$5,0))))</f>
        <v/>
      </c>
      <c r="BN484" s="118" t="str">
        <f>IF(BN$6="","",IF(BN$3="Maior",IFERROR(IF(VLOOKUP($N484,Capa!$A:$AE,BN$5,0)="",0,VLOOKUP($N484,Capa!$A:$AE,BN$5,0)),0),IF(ISERROR(1/VLOOKUP($N484,Capa!$A:$AE,BN$5,0)),0,1/VLOOKUP($N484,Capa!$A:$AE,BN$5,0))))</f>
        <v/>
      </c>
      <c r="BO484" s="92"/>
    </row>
    <row r="485">
      <c r="I485" s="73"/>
      <c r="J485" s="74"/>
      <c r="N485" s="10" t="s">
        <v>531</v>
      </c>
      <c r="O485" s="113">
        <f t="shared" si="8"/>
        <v>1653.0237</v>
      </c>
      <c r="P485" s="114">
        <f>VLOOKUP(N485,'Dados StatusInvest'!A:Z,26,0)</f>
        <v>4248</v>
      </c>
      <c r="Q485" s="115">
        <f t="shared" si="9"/>
        <v>237.0237</v>
      </c>
      <c r="R485" s="116">
        <f t="shared" ref="R485:AO485" si="488">IF(AQ485="","", RANK(AQ485,AQ$7:AQ$503,0))</f>
        <v>197</v>
      </c>
      <c r="S485" s="115">
        <f t="shared" si="488"/>
        <v>219</v>
      </c>
      <c r="T485" s="115" t="str">
        <f t="shared" si="488"/>
        <v/>
      </c>
      <c r="U485" s="115" t="str">
        <f t="shared" si="488"/>
        <v/>
      </c>
      <c r="V485" s="115" t="str">
        <f t="shared" si="488"/>
        <v/>
      </c>
      <c r="W485" s="115" t="str">
        <f t="shared" si="488"/>
        <v/>
      </c>
      <c r="X485" s="115" t="str">
        <f t="shared" si="488"/>
        <v/>
      </c>
      <c r="Y485" s="115" t="str">
        <f t="shared" si="488"/>
        <v/>
      </c>
      <c r="Z485" s="115" t="str">
        <f t="shared" si="488"/>
        <v/>
      </c>
      <c r="AA485" s="115" t="str">
        <f t="shared" si="488"/>
        <v/>
      </c>
      <c r="AB485" s="115" t="str">
        <f t="shared" si="488"/>
        <v/>
      </c>
      <c r="AC485" s="115" t="str">
        <f t="shared" si="488"/>
        <v/>
      </c>
      <c r="AD485" s="115" t="str">
        <f t="shared" si="488"/>
        <v/>
      </c>
      <c r="AE485" s="115" t="str">
        <f t="shared" si="488"/>
        <v/>
      </c>
      <c r="AF485" s="115" t="str">
        <f t="shared" si="488"/>
        <v/>
      </c>
      <c r="AG485" s="115" t="str">
        <f t="shared" si="488"/>
        <v/>
      </c>
      <c r="AH485" s="115" t="str">
        <f t="shared" si="488"/>
        <v/>
      </c>
      <c r="AI485" s="115" t="str">
        <f t="shared" si="488"/>
        <v/>
      </c>
      <c r="AJ485" s="115" t="str">
        <f t="shared" si="488"/>
        <v/>
      </c>
      <c r="AK485" s="115" t="str">
        <f t="shared" si="488"/>
        <v/>
      </c>
      <c r="AL485" s="115" t="str">
        <f t="shared" si="488"/>
        <v/>
      </c>
      <c r="AM485" s="115" t="str">
        <f t="shared" si="488"/>
        <v/>
      </c>
      <c r="AN485" s="115" t="str">
        <f t="shared" si="488"/>
        <v/>
      </c>
      <c r="AO485" s="115" t="str">
        <f t="shared" si="488"/>
        <v/>
      </c>
      <c r="AP485" s="117">
        <f>IF(AP$6="","",IF(AP$3="Maior",IFERROR(IF(VLOOKUP($N485,Capa!$A:$AE,AP$5,0)="",0,VLOOKUP($N485,Capa!$A:$AE,AP$5,0)),0),IF(ISERROR(1/VLOOKUP($N485,Capa!$A:$AE,AP$5,0)),0,1/VLOOKUP($N485,Capa!$A:$AE,AP$5,0))))</f>
        <v>0.08554319932</v>
      </c>
      <c r="AQ485" s="118">
        <f>IF(AQ$6="","",IF(AQ$3="Maior",IFERROR(IF(VLOOKUP($N485,Capa!$A:$AE,AQ$5,0)="",0,VLOOKUP($N485,Capa!$A:$AE,AQ$5,0)),0),IF(ISERROR(1/VLOOKUP($N485,Capa!$A:$AE,AQ$5,0)),0,1/VLOOKUP($N485,Capa!$A:$AE,AQ$5,0))))</f>
        <v>11.2</v>
      </c>
      <c r="AR485" s="118">
        <f>IF(AR$6="","",IF(AR$3="Maior",IFERROR(IF(VLOOKUP($N485,Capa!$A:$AE,AR$5,0)="",0,VLOOKUP($N485,Capa!$A:$AE,AR$5,0)),0),IF(ISERROR(1/VLOOKUP($N485,Capa!$A:$AE,AR$5,0)),0,1/VLOOKUP($N485,Capa!$A:$AE,AR$5,0))))</f>
        <v>0</v>
      </c>
      <c r="AS485" s="118" t="str">
        <f>IF(AS$6="","",IF(AS$3="Maior",IFERROR(IF(VLOOKUP($N485,Capa!$A:$AE,AS$5,0)="",0,VLOOKUP($N485,Capa!$A:$AE,AS$5,0)),0),IF(ISERROR(1/VLOOKUP($N485,Capa!$A:$AE,AS$5,0)),0,1/VLOOKUP($N485,Capa!$A:$AE,AS$5,0))))</f>
        <v/>
      </c>
      <c r="AT485" s="118" t="str">
        <f>IF(AT$6="","",IF(AT$3="Maior",IFERROR(IF(VLOOKUP($N485,Capa!$A:$AE,AT$5,0)="",0,VLOOKUP($N485,Capa!$A:$AE,AT$5,0)),0),IF(ISERROR(1/VLOOKUP($N485,Capa!$A:$AE,AT$5,0)),0,1/VLOOKUP($N485,Capa!$A:$AE,AT$5,0))))</f>
        <v/>
      </c>
      <c r="AU485" s="118" t="str">
        <f>IF(AU$6="","",IF(AU$3="Maior",IFERROR(IF(VLOOKUP($N485,Capa!$A:$AE,AU$5,0)="",0,VLOOKUP($N485,Capa!$A:$AE,AU$5,0)),0),IF(ISERROR(1/VLOOKUP($N485,Capa!$A:$AE,AU$5,0)),0,1/VLOOKUP($N485,Capa!$A:$AE,AU$5,0))))</f>
        <v/>
      </c>
      <c r="AV485" s="118" t="str">
        <f>IF(AV$6="","",IF(AV$3="Maior",IFERROR(IF(VLOOKUP($N485,Capa!$A:$AE,AV$5,0)="",0,VLOOKUP($N485,Capa!$A:$AE,AV$5,0)),0),IF(ISERROR(1/VLOOKUP($N485,Capa!$A:$AE,AV$5,0)),0,1/VLOOKUP($N485,Capa!$A:$AE,AV$5,0))))</f>
        <v/>
      </c>
      <c r="AW485" s="118" t="str">
        <f>IF(AW$6="","",IF(AW$3="Maior",IFERROR(IF(VLOOKUP($N485,Capa!$A:$AE,AW$5,0)="",0,VLOOKUP($N485,Capa!$A:$AE,AW$5,0)),0),IF(ISERROR(1/VLOOKUP($N485,Capa!$A:$AE,AW$5,0)),0,1/VLOOKUP($N485,Capa!$A:$AE,AW$5,0))))</f>
        <v/>
      </c>
      <c r="AX485" s="118" t="str">
        <f>IF(AX$6="","",IF(AX$3="Maior",IFERROR(IF(VLOOKUP($N485,Capa!$A:$AE,AX$5,0)="",0,VLOOKUP($N485,Capa!$A:$AE,AX$5,0)),0),IF(ISERROR(1/VLOOKUP($N485,Capa!$A:$AE,AX$5,0)),0,1/VLOOKUP($N485,Capa!$A:$AE,AX$5,0))))</f>
        <v/>
      </c>
      <c r="AY485" s="118" t="str">
        <f>IF(AY$6="","",IF(AY$3="Maior",IFERROR(IF(VLOOKUP($N485,Capa!$A:$AE,AY$5,0)="",0,VLOOKUP($N485,Capa!$A:$AE,AY$5,0)),0),IF(ISERROR(1/VLOOKUP($N485,Capa!$A:$AE,AY$5,0)),0,1/VLOOKUP($N485,Capa!$A:$AE,AY$5,0))))</f>
        <v/>
      </c>
      <c r="AZ485" s="118" t="str">
        <f>IF(AZ$6="","",IF(AZ$3="Maior",IFERROR(IF(VLOOKUP($N485,Capa!$A:$AE,AZ$5,0)="",0,VLOOKUP($N485,Capa!$A:$AE,AZ$5,0)),0),IF(ISERROR(1/VLOOKUP($N485,Capa!$A:$AE,AZ$5,0)),0,1/VLOOKUP($N485,Capa!$A:$AE,AZ$5,0))))</f>
        <v/>
      </c>
      <c r="BA485" s="118" t="str">
        <f>IF(BA$6="","",IF(BA$3="Maior",IFERROR(IF(VLOOKUP($N485,Capa!$A:$AE,BA$5,0)="",0,VLOOKUP($N485,Capa!$A:$AE,BA$5,0)),0),IF(ISERROR(1/VLOOKUP($N485,Capa!$A:$AE,BA$5,0)),0,1/VLOOKUP($N485,Capa!$A:$AE,BA$5,0))))</f>
        <v/>
      </c>
      <c r="BB485" s="118" t="str">
        <f>IF(BB$6="","",IF(BB$3="Maior",IFERROR(IF(VLOOKUP($N485,Capa!$A:$AE,BB$5,0)="",0,VLOOKUP($N485,Capa!$A:$AE,BB$5,0)),0),IF(ISERROR(1/VLOOKUP($N485,Capa!$A:$AE,BB$5,0)),0,1/VLOOKUP($N485,Capa!$A:$AE,BB$5,0))))</f>
        <v/>
      </c>
      <c r="BC485" s="118" t="str">
        <f>IF(BC$6="","",IF(BC$3="Maior",IFERROR(IF(VLOOKUP($N485,Capa!$A:$AE,BC$5,0)="",0,VLOOKUP($N485,Capa!$A:$AE,BC$5,0)),0),IF(ISERROR(1/VLOOKUP($N485,Capa!$A:$AE,BC$5,0)),0,1/VLOOKUP($N485,Capa!$A:$AE,BC$5,0))))</f>
        <v/>
      </c>
      <c r="BD485" s="118" t="str">
        <f>IF(BD$6="","",IF(BD$3="Maior",IFERROR(IF(VLOOKUP($N485,Capa!$A:$AE,BD$5,0)="",0,VLOOKUP($N485,Capa!$A:$AE,BD$5,0)),0),IF(ISERROR(1/VLOOKUP($N485,Capa!$A:$AE,BD$5,0)),0,1/VLOOKUP($N485,Capa!$A:$AE,BD$5,0))))</f>
        <v/>
      </c>
      <c r="BE485" s="118" t="str">
        <f>IF(BE$6="","",IF(BE$3="Maior",IFERROR(IF(VLOOKUP($N485,Capa!$A:$AE,BE$5,0)="",0,VLOOKUP($N485,Capa!$A:$AE,BE$5,0)),0),IF(ISERROR(1/VLOOKUP($N485,Capa!$A:$AE,BE$5,0)),0,1/VLOOKUP($N485,Capa!$A:$AE,BE$5,0))))</f>
        <v/>
      </c>
      <c r="BF485" s="118" t="str">
        <f>IF(BF$6="","",IF(BF$3="Maior",IFERROR(IF(VLOOKUP($N485,Capa!$A:$AE,BF$5,0)="",0,VLOOKUP($N485,Capa!$A:$AE,BF$5,0)),0),IF(ISERROR(1/VLOOKUP($N485,Capa!$A:$AE,BF$5,0)),0,1/VLOOKUP($N485,Capa!$A:$AE,BF$5,0))))</f>
        <v/>
      </c>
      <c r="BG485" s="118" t="str">
        <f>IF(BG$6="","",IF(BG$3="Maior",IFERROR(IF(VLOOKUP($N485,Capa!$A:$AE,BG$5,0)="",0,VLOOKUP($N485,Capa!$A:$AE,BG$5,0)),0),IF(ISERROR(1/VLOOKUP($N485,Capa!$A:$AE,BG$5,0)),0,1/VLOOKUP($N485,Capa!$A:$AE,BG$5,0))))</f>
        <v/>
      </c>
      <c r="BH485" s="118" t="str">
        <f>IF(BH$6="","",IF(BH$3="Maior",IFERROR(IF(VLOOKUP($N485,Capa!$A:$AE,BH$5,0)="",0,VLOOKUP($N485,Capa!$A:$AE,BH$5,0)),0),IF(ISERROR(1/VLOOKUP($N485,Capa!$A:$AE,BH$5,0)),0,1/VLOOKUP($N485,Capa!$A:$AE,BH$5,0))))</f>
        <v/>
      </c>
      <c r="BI485" s="118" t="str">
        <f>IF(BI$6="","",IF(BI$3="Maior",IFERROR(IF(VLOOKUP($N485,Capa!$A:$AE,BI$5,0)="",0,VLOOKUP($N485,Capa!$A:$AE,BI$5,0)),0),IF(ISERROR(1/VLOOKUP($N485,Capa!$A:$AE,BI$5,0)),0,1/VLOOKUP($N485,Capa!$A:$AE,BI$5,0))))</f>
        <v/>
      </c>
      <c r="BJ485" s="118" t="str">
        <f>IF(BJ$6="","",IF(BJ$3="Maior",IFERROR(IF(VLOOKUP($N485,Capa!$A:$AE,BJ$5,0)="",0,VLOOKUP($N485,Capa!$A:$AE,BJ$5,0)),0),IF(ISERROR(1/VLOOKUP($N485,Capa!$A:$AE,BJ$5,0)),0,1/VLOOKUP($N485,Capa!$A:$AE,BJ$5,0))))</f>
        <v/>
      </c>
      <c r="BK485" s="118" t="str">
        <f>IF(BK$6="","",IF(BK$3="Maior",IFERROR(IF(VLOOKUP($N485,Capa!$A:$AE,BK$5,0)="",0,VLOOKUP($N485,Capa!$A:$AE,BK$5,0)),0),IF(ISERROR(1/VLOOKUP($N485,Capa!$A:$AE,BK$5,0)),0,1/VLOOKUP($N485,Capa!$A:$AE,BK$5,0))))</f>
        <v/>
      </c>
      <c r="BL485" s="118" t="str">
        <f>IF(BL$6="","",IF(BL$3="Maior",IFERROR(IF(VLOOKUP($N485,Capa!$A:$AE,BL$5,0)="",0,VLOOKUP($N485,Capa!$A:$AE,BL$5,0)),0),IF(ISERROR(1/VLOOKUP($N485,Capa!$A:$AE,BL$5,0)),0,1/VLOOKUP($N485,Capa!$A:$AE,BL$5,0))))</f>
        <v/>
      </c>
      <c r="BM485" s="118" t="str">
        <f>IF(BM$6="","",IF(BM$3="Maior",IFERROR(IF(VLOOKUP($N485,Capa!$A:$AE,BM$5,0)="",0,VLOOKUP($N485,Capa!$A:$AE,BM$5,0)),0),IF(ISERROR(1/VLOOKUP($N485,Capa!$A:$AE,BM$5,0)),0,1/VLOOKUP($N485,Capa!$A:$AE,BM$5,0))))</f>
        <v/>
      </c>
      <c r="BN485" s="118" t="str">
        <f>IF(BN$6="","",IF(BN$3="Maior",IFERROR(IF(VLOOKUP($N485,Capa!$A:$AE,BN$5,0)="",0,VLOOKUP($N485,Capa!$A:$AE,BN$5,0)),0),IF(ISERROR(1/VLOOKUP($N485,Capa!$A:$AE,BN$5,0)),0,1/VLOOKUP($N485,Capa!$A:$AE,BN$5,0))))</f>
        <v/>
      </c>
      <c r="BO485" s="92"/>
    </row>
    <row r="486">
      <c r="I486" s="73"/>
      <c r="J486" s="74"/>
      <c r="N486" s="10" t="s">
        <v>532</v>
      </c>
      <c r="O486" s="113">
        <f t="shared" si="8"/>
        <v>1956.012</v>
      </c>
      <c r="P486" s="114">
        <f>VLOOKUP(N486,'Dados StatusInvest'!A:Z,26,0)</f>
        <v>3675.6</v>
      </c>
      <c r="Q486" s="115">
        <f t="shared" si="9"/>
        <v>120.012</v>
      </c>
      <c r="R486" s="116">
        <f t="shared" ref="R486:AO486" si="489">IF(AQ486="","", RANK(AQ486,AQ$7:AQ$503,0))</f>
        <v>375</v>
      </c>
      <c r="S486" s="115">
        <f t="shared" si="489"/>
        <v>461</v>
      </c>
      <c r="T486" s="115" t="str">
        <f t="shared" si="489"/>
        <v/>
      </c>
      <c r="U486" s="115" t="str">
        <f t="shared" si="489"/>
        <v/>
      </c>
      <c r="V486" s="115" t="str">
        <f t="shared" si="489"/>
        <v/>
      </c>
      <c r="W486" s="115" t="str">
        <f t="shared" si="489"/>
        <v/>
      </c>
      <c r="X486" s="115" t="str">
        <f t="shared" si="489"/>
        <v/>
      </c>
      <c r="Y486" s="115" t="str">
        <f t="shared" si="489"/>
        <v/>
      </c>
      <c r="Z486" s="115" t="str">
        <f t="shared" si="489"/>
        <v/>
      </c>
      <c r="AA486" s="115" t="str">
        <f t="shared" si="489"/>
        <v/>
      </c>
      <c r="AB486" s="115" t="str">
        <f t="shared" si="489"/>
        <v/>
      </c>
      <c r="AC486" s="115" t="str">
        <f t="shared" si="489"/>
        <v/>
      </c>
      <c r="AD486" s="115" t="str">
        <f t="shared" si="489"/>
        <v/>
      </c>
      <c r="AE486" s="115" t="str">
        <f t="shared" si="489"/>
        <v/>
      </c>
      <c r="AF486" s="115" t="str">
        <f t="shared" si="489"/>
        <v/>
      </c>
      <c r="AG486" s="115" t="str">
        <f t="shared" si="489"/>
        <v/>
      </c>
      <c r="AH486" s="115" t="str">
        <f t="shared" si="489"/>
        <v/>
      </c>
      <c r="AI486" s="115" t="str">
        <f t="shared" si="489"/>
        <v/>
      </c>
      <c r="AJ486" s="115" t="str">
        <f t="shared" si="489"/>
        <v/>
      </c>
      <c r="AK486" s="115" t="str">
        <f t="shared" si="489"/>
        <v/>
      </c>
      <c r="AL486" s="115" t="str">
        <f t="shared" si="489"/>
        <v/>
      </c>
      <c r="AM486" s="115" t="str">
        <f t="shared" si="489"/>
        <v/>
      </c>
      <c r="AN486" s="115" t="str">
        <f t="shared" si="489"/>
        <v/>
      </c>
      <c r="AO486" s="115" t="str">
        <f t="shared" si="489"/>
        <v/>
      </c>
      <c r="AP486" s="117">
        <f>IF(AP$6="","",IF(AP$3="Maior",IFERROR(IF(VLOOKUP($N486,Capa!$A:$AE,AP$5,0)="",0,VLOOKUP($N486,Capa!$A:$AE,AP$5,0)),0),IF(ISERROR(1/VLOOKUP($N486,Capa!$A:$AE,AP$5,0)),0,1/VLOOKUP($N486,Capa!$A:$AE,AP$5,0))))</f>
        <v>0.15625</v>
      </c>
      <c r="AQ486" s="118">
        <f>IF(AQ$6="","",IF(AQ$3="Maior",IFERROR(IF(VLOOKUP($N486,Capa!$A:$AE,AQ$5,0)="",0,VLOOKUP($N486,Capa!$A:$AE,AQ$5,0)),0),IF(ISERROR(1/VLOOKUP($N486,Capa!$A:$AE,AQ$5,0)),0,1/VLOOKUP($N486,Capa!$A:$AE,AQ$5,0))))</f>
        <v>0</v>
      </c>
      <c r="AR486" s="118">
        <f>IF(AR$6="","",IF(AR$3="Maior",IFERROR(IF(VLOOKUP($N486,Capa!$A:$AE,AR$5,0)="",0,VLOOKUP($N486,Capa!$A:$AE,AR$5,0)),0),IF(ISERROR(1/VLOOKUP($N486,Capa!$A:$AE,AR$5,0)),0,1/VLOOKUP($N486,Capa!$A:$AE,AR$5,0))))</f>
        <v>-0.16</v>
      </c>
      <c r="AS486" s="118" t="str">
        <f>IF(AS$6="","",IF(AS$3="Maior",IFERROR(IF(VLOOKUP($N486,Capa!$A:$AE,AS$5,0)="",0,VLOOKUP($N486,Capa!$A:$AE,AS$5,0)),0),IF(ISERROR(1/VLOOKUP($N486,Capa!$A:$AE,AS$5,0)),0,1/VLOOKUP($N486,Capa!$A:$AE,AS$5,0))))</f>
        <v/>
      </c>
      <c r="AT486" s="118" t="str">
        <f>IF(AT$6="","",IF(AT$3="Maior",IFERROR(IF(VLOOKUP($N486,Capa!$A:$AE,AT$5,0)="",0,VLOOKUP($N486,Capa!$A:$AE,AT$5,0)),0),IF(ISERROR(1/VLOOKUP($N486,Capa!$A:$AE,AT$5,0)),0,1/VLOOKUP($N486,Capa!$A:$AE,AT$5,0))))</f>
        <v/>
      </c>
      <c r="AU486" s="118" t="str">
        <f>IF(AU$6="","",IF(AU$3="Maior",IFERROR(IF(VLOOKUP($N486,Capa!$A:$AE,AU$5,0)="",0,VLOOKUP($N486,Capa!$A:$AE,AU$5,0)),0),IF(ISERROR(1/VLOOKUP($N486,Capa!$A:$AE,AU$5,0)),0,1/VLOOKUP($N486,Capa!$A:$AE,AU$5,0))))</f>
        <v/>
      </c>
      <c r="AV486" s="118" t="str">
        <f>IF(AV$6="","",IF(AV$3="Maior",IFERROR(IF(VLOOKUP($N486,Capa!$A:$AE,AV$5,0)="",0,VLOOKUP($N486,Capa!$A:$AE,AV$5,0)),0),IF(ISERROR(1/VLOOKUP($N486,Capa!$A:$AE,AV$5,0)),0,1/VLOOKUP($N486,Capa!$A:$AE,AV$5,0))))</f>
        <v/>
      </c>
      <c r="AW486" s="118" t="str">
        <f>IF(AW$6="","",IF(AW$3="Maior",IFERROR(IF(VLOOKUP($N486,Capa!$A:$AE,AW$5,0)="",0,VLOOKUP($N486,Capa!$A:$AE,AW$5,0)),0),IF(ISERROR(1/VLOOKUP($N486,Capa!$A:$AE,AW$5,0)),0,1/VLOOKUP($N486,Capa!$A:$AE,AW$5,0))))</f>
        <v/>
      </c>
      <c r="AX486" s="118" t="str">
        <f>IF(AX$6="","",IF(AX$3="Maior",IFERROR(IF(VLOOKUP($N486,Capa!$A:$AE,AX$5,0)="",0,VLOOKUP($N486,Capa!$A:$AE,AX$5,0)),0),IF(ISERROR(1/VLOOKUP($N486,Capa!$A:$AE,AX$5,0)),0,1/VLOOKUP($N486,Capa!$A:$AE,AX$5,0))))</f>
        <v/>
      </c>
      <c r="AY486" s="118" t="str">
        <f>IF(AY$6="","",IF(AY$3="Maior",IFERROR(IF(VLOOKUP($N486,Capa!$A:$AE,AY$5,0)="",0,VLOOKUP($N486,Capa!$A:$AE,AY$5,0)),0),IF(ISERROR(1/VLOOKUP($N486,Capa!$A:$AE,AY$5,0)),0,1/VLOOKUP($N486,Capa!$A:$AE,AY$5,0))))</f>
        <v/>
      </c>
      <c r="AZ486" s="118" t="str">
        <f>IF(AZ$6="","",IF(AZ$3="Maior",IFERROR(IF(VLOOKUP($N486,Capa!$A:$AE,AZ$5,0)="",0,VLOOKUP($N486,Capa!$A:$AE,AZ$5,0)),0),IF(ISERROR(1/VLOOKUP($N486,Capa!$A:$AE,AZ$5,0)),0,1/VLOOKUP($N486,Capa!$A:$AE,AZ$5,0))))</f>
        <v/>
      </c>
      <c r="BA486" s="118" t="str">
        <f>IF(BA$6="","",IF(BA$3="Maior",IFERROR(IF(VLOOKUP($N486,Capa!$A:$AE,BA$5,0)="",0,VLOOKUP($N486,Capa!$A:$AE,BA$5,0)),0),IF(ISERROR(1/VLOOKUP($N486,Capa!$A:$AE,BA$5,0)),0,1/VLOOKUP($N486,Capa!$A:$AE,BA$5,0))))</f>
        <v/>
      </c>
      <c r="BB486" s="118" t="str">
        <f>IF(BB$6="","",IF(BB$3="Maior",IFERROR(IF(VLOOKUP($N486,Capa!$A:$AE,BB$5,0)="",0,VLOOKUP($N486,Capa!$A:$AE,BB$5,0)),0),IF(ISERROR(1/VLOOKUP($N486,Capa!$A:$AE,BB$5,0)),0,1/VLOOKUP($N486,Capa!$A:$AE,BB$5,0))))</f>
        <v/>
      </c>
      <c r="BC486" s="118" t="str">
        <f>IF(BC$6="","",IF(BC$3="Maior",IFERROR(IF(VLOOKUP($N486,Capa!$A:$AE,BC$5,0)="",0,VLOOKUP($N486,Capa!$A:$AE,BC$5,0)),0),IF(ISERROR(1/VLOOKUP($N486,Capa!$A:$AE,BC$5,0)),0,1/VLOOKUP($N486,Capa!$A:$AE,BC$5,0))))</f>
        <v/>
      </c>
      <c r="BD486" s="118" t="str">
        <f>IF(BD$6="","",IF(BD$3="Maior",IFERROR(IF(VLOOKUP($N486,Capa!$A:$AE,BD$5,0)="",0,VLOOKUP($N486,Capa!$A:$AE,BD$5,0)),0),IF(ISERROR(1/VLOOKUP($N486,Capa!$A:$AE,BD$5,0)),0,1/VLOOKUP($N486,Capa!$A:$AE,BD$5,0))))</f>
        <v/>
      </c>
      <c r="BE486" s="118" t="str">
        <f>IF(BE$6="","",IF(BE$3="Maior",IFERROR(IF(VLOOKUP($N486,Capa!$A:$AE,BE$5,0)="",0,VLOOKUP($N486,Capa!$A:$AE,BE$5,0)),0),IF(ISERROR(1/VLOOKUP($N486,Capa!$A:$AE,BE$5,0)),0,1/VLOOKUP($N486,Capa!$A:$AE,BE$5,0))))</f>
        <v/>
      </c>
      <c r="BF486" s="118" t="str">
        <f>IF(BF$6="","",IF(BF$3="Maior",IFERROR(IF(VLOOKUP($N486,Capa!$A:$AE,BF$5,0)="",0,VLOOKUP($N486,Capa!$A:$AE,BF$5,0)),0),IF(ISERROR(1/VLOOKUP($N486,Capa!$A:$AE,BF$5,0)),0,1/VLOOKUP($N486,Capa!$A:$AE,BF$5,0))))</f>
        <v/>
      </c>
      <c r="BG486" s="118" t="str">
        <f>IF(BG$6="","",IF(BG$3="Maior",IFERROR(IF(VLOOKUP($N486,Capa!$A:$AE,BG$5,0)="",0,VLOOKUP($N486,Capa!$A:$AE,BG$5,0)),0),IF(ISERROR(1/VLOOKUP($N486,Capa!$A:$AE,BG$5,0)),0,1/VLOOKUP($N486,Capa!$A:$AE,BG$5,0))))</f>
        <v/>
      </c>
      <c r="BH486" s="118" t="str">
        <f>IF(BH$6="","",IF(BH$3="Maior",IFERROR(IF(VLOOKUP($N486,Capa!$A:$AE,BH$5,0)="",0,VLOOKUP($N486,Capa!$A:$AE,BH$5,0)),0),IF(ISERROR(1/VLOOKUP($N486,Capa!$A:$AE,BH$5,0)),0,1/VLOOKUP($N486,Capa!$A:$AE,BH$5,0))))</f>
        <v/>
      </c>
      <c r="BI486" s="118" t="str">
        <f>IF(BI$6="","",IF(BI$3="Maior",IFERROR(IF(VLOOKUP($N486,Capa!$A:$AE,BI$5,0)="",0,VLOOKUP($N486,Capa!$A:$AE,BI$5,0)),0),IF(ISERROR(1/VLOOKUP($N486,Capa!$A:$AE,BI$5,0)),0,1/VLOOKUP($N486,Capa!$A:$AE,BI$5,0))))</f>
        <v/>
      </c>
      <c r="BJ486" s="118" t="str">
        <f>IF(BJ$6="","",IF(BJ$3="Maior",IFERROR(IF(VLOOKUP($N486,Capa!$A:$AE,BJ$5,0)="",0,VLOOKUP($N486,Capa!$A:$AE,BJ$5,0)),0),IF(ISERROR(1/VLOOKUP($N486,Capa!$A:$AE,BJ$5,0)),0,1/VLOOKUP($N486,Capa!$A:$AE,BJ$5,0))))</f>
        <v/>
      </c>
      <c r="BK486" s="118" t="str">
        <f>IF(BK$6="","",IF(BK$3="Maior",IFERROR(IF(VLOOKUP($N486,Capa!$A:$AE,BK$5,0)="",0,VLOOKUP($N486,Capa!$A:$AE,BK$5,0)),0),IF(ISERROR(1/VLOOKUP($N486,Capa!$A:$AE,BK$5,0)),0,1/VLOOKUP($N486,Capa!$A:$AE,BK$5,0))))</f>
        <v/>
      </c>
      <c r="BL486" s="118" t="str">
        <f>IF(BL$6="","",IF(BL$3="Maior",IFERROR(IF(VLOOKUP($N486,Capa!$A:$AE,BL$5,0)="",0,VLOOKUP($N486,Capa!$A:$AE,BL$5,0)),0),IF(ISERROR(1/VLOOKUP($N486,Capa!$A:$AE,BL$5,0)),0,1/VLOOKUP($N486,Capa!$A:$AE,BL$5,0))))</f>
        <v/>
      </c>
      <c r="BM486" s="118" t="str">
        <f>IF(BM$6="","",IF(BM$3="Maior",IFERROR(IF(VLOOKUP($N486,Capa!$A:$AE,BM$5,0)="",0,VLOOKUP($N486,Capa!$A:$AE,BM$5,0)),0),IF(ISERROR(1/VLOOKUP($N486,Capa!$A:$AE,BM$5,0)),0,1/VLOOKUP($N486,Capa!$A:$AE,BM$5,0))))</f>
        <v/>
      </c>
      <c r="BN486" s="118" t="str">
        <f>IF(BN$6="","",IF(BN$3="Maior",IFERROR(IF(VLOOKUP($N486,Capa!$A:$AE,BN$5,0)="",0,VLOOKUP($N486,Capa!$A:$AE,BN$5,0)),0),IF(ISERROR(1/VLOOKUP($N486,Capa!$A:$AE,BN$5,0)),0,1/VLOOKUP($N486,Capa!$A:$AE,BN$5,0))))</f>
        <v/>
      </c>
      <c r="BO486" s="92"/>
    </row>
    <row r="487">
      <c r="I487" s="73"/>
      <c r="J487" s="74"/>
      <c r="N487" s="10" t="s">
        <v>533</v>
      </c>
      <c r="O487" s="113">
        <f t="shared" si="8"/>
        <v>1500.0245</v>
      </c>
      <c r="P487" s="114">
        <f>VLOOKUP(N487,'Dados StatusInvest'!A:Z,26,0)</f>
        <v>7047</v>
      </c>
      <c r="Q487" s="115">
        <f t="shared" si="9"/>
        <v>245.0245</v>
      </c>
      <c r="R487" s="116">
        <f t="shared" ref="R487:AO487" si="490">IF(AQ487="","", RANK(AQ487,AQ$7:AQ$503,0))</f>
        <v>174</v>
      </c>
      <c r="S487" s="115">
        <f t="shared" si="490"/>
        <v>81</v>
      </c>
      <c r="T487" s="115" t="str">
        <f t="shared" si="490"/>
        <v/>
      </c>
      <c r="U487" s="115" t="str">
        <f t="shared" si="490"/>
        <v/>
      </c>
      <c r="V487" s="115" t="str">
        <f t="shared" si="490"/>
        <v/>
      </c>
      <c r="W487" s="115" t="str">
        <f t="shared" si="490"/>
        <v/>
      </c>
      <c r="X487" s="115" t="str">
        <f t="shared" si="490"/>
        <v/>
      </c>
      <c r="Y487" s="115" t="str">
        <f t="shared" si="490"/>
        <v/>
      </c>
      <c r="Z487" s="115" t="str">
        <f t="shared" si="490"/>
        <v/>
      </c>
      <c r="AA487" s="115" t="str">
        <f t="shared" si="490"/>
        <v/>
      </c>
      <c r="AB487" s="115" t="str">
        <f t="shared" si="490"/>
        <v/>
      </c>
      <c r="AC487" s="115" t="str">
        <f t="shared" si="490"/>
        <v/>
      </c>
      <c r="AD487" s="115" t="str">
        <f t="shared" si="490"/>
        <v/>
      </c>
      <c r="AE487" s="115" t="str">
        <f t="shared" si="490"/>
        <v/>
      </c>
      <c r="AF487" s="115" t="str">
        <f t="shared" si="490"/>
        <v/>
      </c>
      <c r="AG487" s="115" t="str">
        <f t="shared" si="490"/>
        <v/>
      </c>
      <c r="AH487" s="115" t="str">
        <f t="shared" si="490"/>
        <v/>
      </c>
      <c r="AI487" s="115" t="str">
        <f t="shared" si="490"/>
        <v/>
      </c>
      <c r="AJ487" s="115" t="str">
        <f t="shared" si="490"/>
        <v/>
      </c>
      <c r="AK487" s="115" t="str">
        <f t="shared" si="490"/>
        <v/>
      </c>
      <c r="AL487" s="115" t="str">
        <f t="shared" si="490"/>
        <v/>
      </c>
      <c r="AM487" s="115" t="str">
        <f t="shared" si="490"/>
        <v/>
      </c>
      <c r="AN487" s="115" t="str">
        <f t="shared" si="490"/>
        <v/>
      </c>
      <c r="AO487" s="115" t="str">
        <f t="shared" si="490"/>
        <v/>
      </c>
      <c r="AP487" s="117">
        <f>IF(AP$6="","",IF(AP$3="Maior",IFERROR(IF(VLOOKUP($N487,Capa!$A:$AE,AP$5,0)="",0,VLOOKUP($N487,Capa!$A:$AE,AP$5,0)),0),IF(ISERROR(1/VLOOKUP($N487,Capa!$A:$AE,AP$5,0)),0,1/VLOOKUP($N487,Capa!$A:$AE,AP$5,0))))</f>
        <v>0.0826446281</v>
      </c>
      <c r="AQ487" s="118">
        <f>IF(AQ$6="","",IF(AQ$3="Maior",IFERROR(IF(VLOOKUP($N487,Capa!$A:$AE,AQ$5,0)="",0,VLOOKUP($N487,Capa!$A:$AE,AQ$5,0)),0),IF(ISERROR(1/VLOOKUP($N487,Capa!$A:$AE,AQ$5,0)),0,1/VLOOKUP($N487,Capa!$A:$AE,AQ$5,0))))</f>
        <v>12.7</v>
      </c>
      <c r="AR487" s="118">
        <f>IF(AR$6="","",IF(AR$3="Maior",IFERROR(IF(VLOOKUP($N487,Capa!$A:$AE,AR$5,0)="",0,VLOOKUP($N487,Capa!$A:$AE,AR$5,0)),0),IF(ISERROR(1/VLOOKUP($N487,Capa!$A:$AE,AR$5,0)),0,1/VLOOKUP($N487,Capa!$A:$AE,AR$5,0))))</f>
        <v>35.18</v>
      </c>
      <c r="AS487" s="118" t="str">
        <f>IF(AS$6="","",IF(AS$3="Maior",IFERROR(IF(VLOOKUP($N487,Capa!$A:$AE,AS$5,0)="",0,VLOOKUP($N487,Capa!$A:$AE,AS$5,0)),0),IF(ISERROR(1/VLOOKUP($N487,Capa!$A:$AE,AS$5,0)),0,1/VLOOKUP($N487,Capa!$A:$AE,AS$5,0))))</f>
        <v/>
      </c>
      <c r="AT487" s="118" t="str">
        <f>IF(AT$6="","",IF(AT$3="Maior",IFERROR(IF(VLOOKUP($N487,Capa!$A:$AE,AT$5,0)="",0,VLOOKUP($N487,Capa!$A:$AE,AT$5,0)),0),IF(ISERROR(1/VLOOKUP($N487,Capa!$A:$AE,AT$5,0)),0,1/VLOOKUP($N487,Capa!$A:$AE,AT$5,0))))</f>
        <v/>
      </c>
      <c r="AU487" s="118" t="str">
        <f>IF(AU$6="","",IF(AU$3="Maior",IFERROR(IF(VLOOKUP($N487,Capa!$A:$AE,AU$5,0)="",0,VLOOKUP($N487,Capa!$A:$AE,AU$5,0)),0),IF(ISERROR(1/VLOOKUP($N487,Capa!$A:$AE,AU$5,0)),0,1/VLOOKUP($N487,Capa!$A:$AE,AU$5,0))))</f>
        <v/>
      </c>
      <c r="AV487" s="118" t="str">
        <f>IF(AV$6="","",IF(AV$3="Maior",IFERROR(IF(VLOOKUP($N487,Capa!$A:$AE,AV$5,0)="",0,VLOOKUP($N487,Capa!$A:$AE,AV$5,0)),0),IF(ISERROR(1/VLOOKUP($N487,Capa!$A:$AE,AV$5,0)),0,1/VLOOKUP($N487,Capa!$A:$AE,AV$5,0))))</f>
        <v/>
      </c>
      <c r="AW487" s="118" t="str">
        <f>IF(AW$6="","",IF(AW$3="Maior",IFERROR(IF(VLOOKUP($N487,Capa!$A:$AE,AW$5,0)="",0,VLOOKUP($N487,Capa!$A:$AE,AW$5,0)),0),IF(ISERROR(1/VLOOKUP($N487,Capa!$A:$AE,AW$5,0)),0,1/VLOOKUP($N487,Capa!$A:$AE,AW$5,0))))</f>
        <v/>
      </c>
      <c r="AX487" s="118" t="str">
        <f>IF(AX$6="","",IF(AX$3="Maior",IFERROR(IF(VLOOKUP($N487,Capa!$A:$AE,AX$5,0)="",0,VLOOKUP($N487,Capa!$A:$AE,AX$5,0)),0),IF(ISERROR(1/VLOOKUP($N487,Capa!$A:$AE,AX$5,0)),0,1/VLOOKUP($N487,Capa!$A:$AE,AX$5,0))))</f>
        <v/>
      </c>
      <c r="AY487" s="118" t="str">
        <f>IF(AY$6="","",IF(AY$3="Maior",IFERROR(IF(VLOOKUP($N487,Capa!$A:$AE,AY$5,0)="",0,VLOOKUP($N487,Capa!$A:$AE,AY$5,0)),0),IF(ISERROR(1/VLOOKUP($N487,Capa!$A:$AE,AY$5,0)),0,1/VLOOKUP($N487,Capa!$A:$AE,AY$5,0))))</f>
        <v/>
      </c>
      <c r="AZ487" s="118" t="str">
        <f>IF(AZ$6="","",IF(AZ$3="Maior",IFERROR(IF(VLOOKUP($N487,Capa!$A:$AE,AZ$5,0)="",0,VLOOKUP($N487,Capa!$A:$AE,AZ$5,0)),0),IF(ISERROR(1/VLOOKUP($N487,Capa!$A:$AE,AZ$5,0)),0,1/VLOOKUP($N487,Capa!$A:$AE,AZ$5,0))))</f>
        <v/>
      </c>
      <c r="BA487" s="118" t="str">
        <f>IF(BA$6="","",IF(BA$3="Maior",IFERROR(IF(VLOOKUP($N487,Capa!$A:$AE,BA$5,0)="",0,VLOOKUP($N487,Capa!$A:$AE,BA$5,0)),0),IF(ISERROR(1/VLOOKUP($N487,Capa!$A:$AE,BA$5,0)),0,1/VLOOKUP($N487,Capa!$A:$AE,BA$5,0))))</f>
        <v/>
      </c>
      <c r="BB487" s="118" t="str">
        <f>IF(BB$6="","",IF(BB$3="Maior",IFERROR(IF(VLOOKUP($N487,Capa!$A:$AE,BB$5,0)="",0,VLOOKUP($N487,Capa!$A:$AE,BB$5,0)),0),IF(ISERROR(1/VLOOKUP($N487,Capa!$A:$AE,BB$5,0)),0,1/VLOOKUP($N487,Capa!$A:$AE,BB$5,0))))</f>
        <v/>
      </c>
      <c r="BC487" s="118" t="str">
        <f>IF(BC$6="","",IF(BC$3="Maior",IFERROR(IF(VLOOKUP($N487,Capa!$A:$AE,BC$5,0)="",0,VLOOKUP($N487,Capa!$A:$AE,BC$5,0)),0),IF(ISERROR(1/VLOOKUP($N487,Capa!$A:$AE,BC$5,0)),0,1/VLOOKUP($N487,Capa!$A:$AE,BC$5,0))))</f>
        <v/>
      </c>
      <c r="BD487" s="118" t="str">
        <f>IF(BD$6="","",IF(BD$3="Maior",IFERROR(IF(VLOOKUP($N487,Capa!$A:$AE,BD$5,0)="",0,VLOOKUP($N487,Capa!$A:$AE,BD$5,0)),0),IF(ISERROR(1/VLOOKUP($N487,Capa!$A:$AE,BD$5,0)),0,1/VLOOKUP($N487,Capa!$A:$AE,BD$5,0))))</f>
        <v/>
      </c>
      <c r="BE487" s="118" t="str">
        <f>IF(BE$6="","",IF(BE$3="Maior",IFERROR(IF(VLOOKUP($N487,Capa!$A:$AE,BE$5,0)="",0,VLOOKUP($N487,Capa!$A:$AE,BE$5,0)),0),IF(ISERROR(1/VLOOKUP($N487,Capa!$A:$AE,BE$5,0)),0,1/VLOOKUP($N487,Capa!$A:$AE,BE$5,0))))</f>
        <v/>
      </c>
      <c r="BF487" s="118" t="str">
        <f>IF(BF$6="","",IF(BF$3="Maior",IFERROR(IF(VLOOKUP($N487,Capa!$A:$AE,BF$5,0)="",0,VLOOKUP($N487,Capa!$A:$AE,BF$5,0)),0),IF(ISERROR(1/VLOOKUP($N487,Capa!$A:$AE,BF$5,0)),0,1/VLOOKUP($N487,Capa!$A:$AE,BF$5,0))))</f>
        <v/>
      </c>
      <c r="BG487" s="118" t="str">
        <f>IF(BG$6="","",IF(BG$3="Maior",IFERROR(IF(VLOOKUP($N487,Capa!$A:$AE,BG$5,0)="",0,VLOOKUP($N487,Capa!$A:$AE,BG$5,0)),0),IF(ISERROR(1/VLOOKUP($N487,Capa!$A:$AE,BG$5,0)),0,1/VLOOKUP($N487,Capa!$A:$AE,BG$5,0))))</f>
        <v/>
      </c>
      <c r="BH487" s="118" t="str">
        <f>IF(BH$6="","",IF(BH$3="Maior",IFERROR(IF(VLOOKUP($N487,Capa!$A:$AE,BH$5,0)="",0,VLOOKUP($N487,Capa!$A:$AE,BH$5,0)),0),IF(ISERROR(1/VLOOKUP($N487,Capa!$A:$AE,BH$5,0)),0,1/VLOOKUP($N487,Capa!$A:$AE,BH$5,0))))</f>
        <v/>
      </c>
      <c r="BI487" s="118" t="str">
        <f>IF(BI$6="","",IF(BI$3="Maior",IFERROR(IF(VLOOKUP($N487,Capa!$A:$AE,BI$5,0)="",0,VLOOKUP($N487,Capa!$A:$AE,BI$5,0)),0),IF(ISERROR(1/VLOOKUP($N487,Capa!$A:$AE,BI$5,0)),0,1/VLOOKUP($N487,Capa!$A:$AE,BI$5,0))))</f>
        <v/>
      </c>
      <c r="BJ487" s="118" t="str">
        <f>IF(BJ$6="","",IF(BJ$3="Maior",IFERROR(IF(VLOOKUP($N487,Capa!$A:$AE,BJ$5,0)="",0,VLOOKUP($N487,Capa!$A:$AE,BJ$5,0)),0),IF(ISERROR(1/VLOOKUP($N487,Capa!$A:$AE,BJ$5,0)),0,1/VLOOKUP($N487,Capa!$A:$AE,BJ$5,0))))</f>
        <v/>
      </c>
      <c r="BK487" s="118" t="str">
        <f>IF(BK$6="","",IF(BK$3="Maior",IFERROR(IF(VLOOKUP($N487,Capa!$A:$AE,BK$5,0)="",0,VLOOKUP($N487,Capa!$A:$AE,BK$5,0)),0),IF(ISERROR(1/VLOOKUP($N487,Capa!$A:$AE,BK$5,0)),0,1/VLOOKUP($N487,Capa!$A:$AE,BK$5,0))))</f>
        <v/>
      </c>
      <c r="BL487" s="118" t="str">
        <f>IF(BL$6="","",IF(BL$3="Maior",IFERROR(IF(VLOOKUP($N487,Capa!$A:$AE,BL$5,0)="",0,VLOOKUP($N487,Capa!$A:$AE,BL$5,0)),0),IF(ISERROR(1/VLOOKUP($N487,Capa!$A:$AE,BL$5,0)),0,1/VLOOKUP($N487,Capa!$A:$AE,BL$5,0))))</f>
        <v/>
      </c>
      <c r="BM487" s="118" t="str">
        <f>IF(BM$6="","",IF(BM$3="Maior",IFERROR(IF(VLOOKUP($N487,Capa!$A:$AE,BM$5,0)="",0,VLOOKUP($N487,Capa!$A:$AE,BM$5,0)),0),IF(ISERROR(1/VLOOKUP($N487,Capa!$A:$AE,BM$5,0)),0,1/VLOOKUP($N487,Capa!$A:$AE,BM$5,0))))</f>
        <v/>
      </c>
      <c r="BN487" s="118" t="str">
        <f>IF(BN$6="","",IF(BN$3="Maior",IFERROR(IF(VLOOKUP($N487,Capa!$A:$AE,BN$5,0)="",0,VLOOKUP($N487,Capa!$A:$AE,BN$5,0)),0),IF(ISERROR(1/VLOOKUP($N487,Capa!$A:$AE,BN$5,0)),0,1/VLOOKUP($N487,Capa!$A:$AE,BN$5,0))))</f>
        <v/>
      </c>
      <c r="BO487" s="92"/>
    </row>
    <row r="488">
      <c r="I488" s="73"/>
      <c r="J488" s="74"/>
      <c r="N488" s="10" t="s">
        <v>534</v>
      </c>
      <c r="O488" s="113">
        <f t="shared" si="8"/>
        <v>1848.0299</v>
      </c>
      <c r="P488" s="114">
        <f>VLOOKUP(N488,'Dados StatusInvest'!A:Z,26,0)</f>
        <v>4020</v>
      </c>
      <c r="Q488" s="115">
        <f t="shared" si="9"/>
        <v>299.0299</v>
      </c>
      <c r="R488" s="116">
        <f t="shared" ref="R488:AO488" si="491">IF(AQ488="","", RANK(AQ488,AQ$7:AQ$503,0))</f>
        <v>330</v>
      </c>
      <c r="S488" s="115">
        <f t="shared" si="491"/>
        <v>219</v>
      </c>
      <c r="T488" s="115" t="str">
        <f t="shared" si="491"/>
        <v/>
      </c>
      <c r="U488" s="115" t="str">
        <f t="shared" si="491"/>
        <v/>
      </c>
      <c r="V488" s="115" t="str">
        <f t="shared" si="491"/>
        <v/>
      </c>
      <c r="W488" s="115" t="str">
        <f t="shared" si="491"/>
        <v/>
      </c>
      <c r="X488" s="115" t="str">
        <f t="shared" si="491"/>
        <v/>
      </c>
      <c r="Y488" s="115" t="str">
        <f t="shared" si="491"/>
        <v/>
      </c>
      <c r="Z488" s="115" t="str">
        <f t="shared" si="491"/>
        <v/>
      </c>
      <c r="AA488" s="115" t="str">
        <f t="shared" si="491"/>
        <v/>
      </c>
      <c r="AB488" s="115" t="str">
        <f t="shared" si="491"/>
        <v/>
      </c>
      <c r="AC488" s="115" t="str">
        <f t="shared" si="491"/>
        <v/>
      </c>
      <c r="AD488" s="115" t="str">
        <f t="shared" si="491"/>
        <v/>
      </c>
      <c r="AE488" s="115" t="str">
        <f t="shared" si="491"/>
        <v/>
      </c>
      <c r="AF488" s="115" t="str">
        <f t="shared" si="491"/>
        <v/>
      </c>
      <c r="AG488" s="115" t="str">
        <f t="shared" si="491"/>
        <v/>
      </c>
      <c r="AH488" s="115" t="str">
        <f t="shared" si="491"/>
        <v/>
      </c>
      <c r="AI488" s="115" t="str">
        <f t="shared" si="491"/>
        <v/>
      </c>
      <c r="AJ488" s="115" t="str">
        <f t="shared" si="491"/>
        <v/>
      </c>
      <c r="AK488" s="115" t="str">
        <f t="shared" si="491"/>
        <v/>
      </c>
      <c r="AL488" s="115" t="str">
        <f t="shared" si="491"/>
        <v/>
      </c>
      <c r="AM488" s="115" t="str">
        <f t="shared" si="491"/>
        <v/>
      </c>
      <c r="AN488" s="115" t="str">
        <f t="shared" si="491"/>
        <v/>
      </c>
      <c r="AO488" s="115" t="str">
        <f t="shared" si="491"/>
        <v/>
      </c>
      <c r="AP488" s="117">
        <f>IF(AP$6="","",IF(AP$3="Maior",IFERROR(IF(VLOOKUP($N488,Capa!$A:$AE,AP$5,0)="",0,VLOOKUP($N488,Capa!$A:$AE,AP$5,0)),0),IF(ISERROR(1/VLOOKUP($N488,Capa!$A:$AE,AP$5,0)),0,1/VLOOKUP($N488,Capa!$A:$AE,AP$5,0))))</f>
        <v>0.05313496281</v>
      </c>
      <c r="AQ488" s="118">
        <f>IF(AQ$6="","",IF(AQ$3="Maior",IFERROR(IF(VLOOKUP($N488,Capa!$A:$AE,AQ$5,0)="",0,VLOOKUP($N488,Capa!$A:$AE,AQ$5,0)),0),IF(ISERROR(1/VLOOKUP($N488,Capa!$A:$AE,AQ$5,0)),0,1/VLOOKUP($N488,Capa!$A:$AE,AQ$5,0))))</f>
        <v>3.07</v>
      </c>
      <c r="AR488" s="118">
        <f>IF(AR$6="","",IF(AR$3="Maior",IFERROR(IF(VLOOKUP($N488,Capa!$A:$AE,AR$5,0)="",0,VLOOKUP($N488,Capa!$A:$AE,AR$5,0)),0),IF(ISERROR(1/VLOOKUP($N488,Capa!$A:$AE,AR$5,0)),0,1/VLOOKUP($N488,Capa!$A:$AE,AR$5,0))))</f>
        <v>0</v>
      </c>
      <c r="AS488" s="118" t="str">
        <f>IF(AS$6="","",IF(AS$3="Maior",IFERROR(IF(VLOOKUP($N488,Capa!$A:$AE,AS$5,0)="",0,VLOOKUP($N488,Capa!$A:$AE,AS$5,0)),0),IF(ISERROR(1/VLOOKUP($N488,Capa!$A:$AE,AS$5,0)),0,1/VLOOKUP($N488,Capa!$A:$AE,AS$5,0))))</f>
        <v/>
      </c>
      <c r="AT488" s="118" t="str">
        <f>IF(AT$6="","",IF(AT$3="Maior",IFERROR(IF(VLOOKUP($N488,Capa!$A:$AE,AT$5,0)="",0,VLOOKUP($N488,Capa!$A:$AE,AT$5,0)),0),IF(ISERROR(1/VLOOKUP($N488,Capa!$A:$AE,AT$5,0)),0,1/VLOOKUP($N488,Capa!$A:$AE,AT$5,0))))</f>
        <v/>
      </c>
      <c r="AU488" s="118" t="str">
        <f>IF(AU$6="","",IF(AU$3="Maior",IFERROR(IF(VLOOKUP($N488,Capa!$A:$AE,AU$5,0)="",0,VLOOKUP($N488,Capa!$A:$AE,AU$5,0)),0),IF(ISERROR(1/VLOOKUP($N488,Capa!$A:$AE,AU$5,0)),0,1/VLOOKUP($N488,Capa!$A:$AE,AU$5,0))))</f>
        <v/>
      </c>
      <c r="AV488" s="118" t="str">
        <f>IF(AV$6="","",IF(AV$3="Maior",IFERROR(IF(VLOOKUP($N488,Capa!$A:$AE,AV$5,0)="",0,VLOOKUP($N488,Capa!$A:$AE,AV$5,0)),0),IF(ISERROR(1/VLOOKUP($N488,Capa!$A:$AE,AV$5,0)),0,1/VLOOKUP($N488,Capa!$A:$AE,AV$5,0))))</f>
        <v/>
      </c>
      <c r="AW488" s="118" t="str">
        <f>IF(AW$6="","",IF(AW$3="Maior",IFERROR(IF(VLOOKUP($N488,Capa!$A:$AE,AW$5,0)="",0,VLOOKUP($N488,Capa!$A:$AE,AW$5,0)),0),IF(ISERROR(1/VLOOKUP($N488,Capa!$A:$AE,AW$5,0)),0,1/VLOOKUP($N488,Capa!$A:$AE,AW$5,0))))</f>
        <v/>
      </c>
      <c r="AX488" s="118" t="str">
        <f>IF(AX$6="","",IF(AX$3="Maior",IFERROR(IF(VLOOKUP($N488,Capa!$A:$AE,AX$5,0)="",0,VLOOKUP($N488,Capa!$A:$AE,AX$5,0)),0),IF(ISERROR(1/VLOOKUP($N488,Capa!$A:$AE,AX$5,0)),0,1/VLOOKUP($N488,Capa!$A:$AE,AX$5,0))))</f>
        <v/>
      </c>
      <c r="AY488" s="118" t="str">
        <f>IF(AY$6="","",IF(AY$3="Maior",IFERROR(IF(VLOOKUP($N488,Capa!$A:$AE,AY$5,0)="",0,VLOOKUP($N488,Capa!$A:$AE,AY$5,0)),0),IF(ISERROR(1/VLOOKUP($N488,Capa!$A:$AE,AY$5,0)),0,1/VLOOKUP($N488,Capa!$A:$AE,AY$5,0))))</f>
        <v/>
      </c>
      <c r="AZ488" s="118" t="str">
        <f>IF(AZ$6="","",IF(AZ$3="Maior",IFERROR(IF(VLOOKUP($N488,Capa!$A:$AE,AZ$5,0)="",0,VLOOKUP($N488,Capa!$A:$AE,AZ$5,0)),0),IF(ISERROR(1/VLOOKUP($N488,Capa!$A:$AE,AZ$5,0)),0,1/VLOOKUP($N488,Capa!$A:$AE,AZ$5,0))))</f>
        <v/>
      </c>
      <c r="BA488" s="118" t="str">
        <f>IF(BA$6="","",IF(BA$3="Maior",IFERROR(IF(VLOOKUP($N488,Capa!$A:$AE,BA$5,0)="",0,VLOOKUP($N488,Capa!$A:$AE,BA$5,0)),0),IF(ISERROR(1/VLOOKUP($N488,Capa!$A:$AE,BA$5,0)),0,1/VLOOKUP($N488,Capa!$A:$AE,BA$5,0))))</f>
        <v/>
      </c>
      <c r="BB488" s="118" t="str">
        <f>IF(BB$6="","",IF(BB$3="Maior",IFERROR(IF(VLOOKUP($N488,Capa!$A:$AE,BB$5,0)="",0,VLOOKUP($N488,Capa!$A:$AE,BB$5,0)),0),IF(ISERROR(1/VLOOKUP($N488,Capa!$A:$AE,BB$5,0)),0,1/VLOOKUP($N488,Capa!$A:$AE,BB$5,0))))</f>
        <v/>
      </c>
      <c r="BC488" s="118" t="str">
        <f>IF(BC$6="","",IF(BC$3="Maior",IFERROR(IF(VLOOKUP($N488,Capa!$A:$AE,BC$5,0)="",0,VLOOKUP($N488,Capa!$A:$AE,BC$5,0)),0),IF(ISERROR(1/VLOOKUP($N488,Capa!$A:$AE,BC$5,0)),0,1/VLOOKUP($N488,Capa!$A:$AE,BC$5,0))))</f>
        <v/>
      </c>
      <c r="BD488" s="118" t="str">
        <f>IF(BD$6="","",IF(BD$3="Maior",IFERROR(IF(VLOOKUP($N488,Capa!$A:$AE,BD$5,0)="",0,VLOOKUP($N488,Capa!$A:$AE,BD$5,0)),0),IF(ISERROR(1/VLOOKUP($N488,Capa!$A:$AE,BD$5,0)),0,1/VLOOKUP($N488,Capa!$A:$AE,BD$5,0))))</f>
        <v/>
      </c>
      <c r="BE488" s="118" t="str">
        <f>IF(BE$6="","",IF(BE$3="Maior",IFERROR(IF(VLOOKUP($N488,Capa!$A:$AE,BE$5,0)="",0,VLOOKUP($N488,Capa!$A:$AE,BE$5,0)),0),IF(ISERROR(1/VLOOKUP($N488,Capa!$A:$AE,BE$5,0)),0,1/VLOOKUP($N488,Capa!$A:$AE,BE$5,0))))</f>
        <v/>
      </c>
      <c r="BF488" s="118" t="str">
        <f>IF(BF$6="","",IF(BF$3="Maior",IFERROR(IF(VLOOKUP($N488,Capa!$A:$AE,BF$5,0)="",0,VLOOKUP($N488,Capa!$A:$AE,BF$5,0)),0),IF(ISERROR(1/VLOOKUP($N488,Capa!$A:$AE,BF$5,0)),0,1/VLOOKUP($N488,Capa!$A:$AE,BF$5,0))))</f>
        <v/>
      </c>
      <c r="BG488" s="118" t="str">
        <f>IF(BG$6="","",IF(BG$3="Maior",IFERROR(IF(VLOOKUP($N488,Capa!$A:$AE,BG$5,0)="",0,VLOOKUP($N488,Capa!$A:$AE,BG$5,0)),0),IF(ISERROR(1/VLOOKUP($N488,Capa!$A:$AE,BG$5,0)),0,1/VLOOKUP($N488,Capa!$A:$AE,BG$5,0))))</f>
        <v/>
      </c>
      <c r="BH488" s="118" t="str">
        <f>IF(BH$6="","",IF(BH$3="Maior",IFERROR(IF(VLOOKUP($N488,Capa!$A:$AE,BH$5,0)="",0,VLOOKUP($N488,Capa!$A:$AE,BH$5,0)),0),IF(ISERROR(1/VLOOKUP($N488,Capa!$A:$AE,BH$5,0)),0,1/VLOOKUP($N488,Capa!$A:$AE,BH$5,0))))</f>
        <v/>
      </c>
      <c r="BI488" s="118" t="str">
        <f>IF(BI$6="","",IF(BI$3="Maior",IFERROR(IF(VLOOKUP($N488,Capa!$A:$AE,BI$5,0)="",0,VLOOKUP($N488,Capa!$A:$AE,BI$5,0)),0),IF(ISERROR(1/VLOOKUP($N488,Capa!$A:$AE,BI$5,0)),0,1/VLOOKUP($N488,Capa!$A:$AE,BI$5,0))))</f>
        <v/>
      </c>
      <c r="BJ488" s="118" t="str">
        <f>IF(BJ$6="","",IF(BJ$3="Maior",IFERROR(IF(VLOOKUP($N488,Capa!$A:$AE,BJ$5,0)="",0,VLOOKUP($N488,Capa!$A:$AE,BJ$5,0)),0),IF(ISERROR(1/VLOOKUP($N488,Capa!$A:$AE,BJ$5,0)),0,1/VLOOKUP($N488,Capa!$A:$AE,BJ$5,0))))</f>
        <v/>
      </c>
      <c r="BK488" s="118" t="str">
        <f>IF(BK$6="","",IF(BK$3="Maior",IFERROR(IF(VLOOKUP($N488,Capa!$A:$AE,BK$5,0)="",0,VLOOKUP($N488,Capa!$A:$AE,BK$5,0)),0),IF(ISERROR(1/VLOOKUP($N488,Capa!$A:$AE,BK$5,0)),0,1/VLOOKUP($N488,Capa!$A:$AE,BK$5,0))))</f>
        <v/>
      </c>
      <c r="BL488" s="118" t="str">
        <f>IF(BL$6="","",IF(BL$3="Maior",IFERROR(IF(VLOOKUP($N488,Capa!$A:$AE,BL$5,0)="",0,VLOOKUP($N488,Capa!$A:$AE,BL$5,0)),0),IF(ISERROR(1/VLOOKUP($N488,Capa!$A:$AE,BL$5,0)),0,1/VLOOKUP($N488,Capa!$A:$AE,BL$5,0))))</f>
        <v/>
      </c>
      <c r="BM488" s="118" t="str">
        <f>IF(BM$6="","",IF(BM$3="Maior",IFERROR(IF(VLOOKUP($N488,Capa!$A:$AE,BM$5,0)="",0,VLOOKUP($N488,Capa!$A:$AE,BM$5,0)),0),IF(ISERROR(1/VLOOKUP($N488,Capa!$A:$AE,BM$5,0)),0,1/VLOOKUP($N488,Capa!$A:$AE,BM$5,0))))</f>
        <v/>
      </c>
      <c r="BN488" s="118" t="str">
        <f>IF(BN$6="","",IF(BN$3="Maior",IFERROR(IF(VLOOKUP($N488,Capa!$A:$AE,BN$5,0)="",0,VLOOKUP($N488,Capa!$A:$AE,BN$5,0)),0),IF(ISERROR(1/VLOOKUP($N488,Capa!$A:$AE,BN$5,0)),0,1/VLOOKUP($N488,Capa!$A:$AE,BN$5,0))))</f>
        <v/>
      </c>
      <c r="BO488" s="92"/>
    </row>
    <row r="489">
      <c r="I489" s="73"/>
      <c r="J489" s="74"/>
      <c r="N489" s="10" t="s">
        <v>535</v>
      </c>
      <c r="O489" s="113">
        <f t="shared" si="8"/>
        <v>1625.0139</v>
      </c>
      <c r="P489" s="114">
        <f>VLOOKUP(N489,'Dados StatusInvest'!A:Z,26,0)</f>
        <v>4219.5</v>
      </c>
      <c r="Q489" s="115">
        <f t="shared" si="9"/>
        <v>139.0139</v>
      </c>
      <c r="R489" s="116">
        <f t="shared" ref="R489:AO489" si="492">IF(AQ489="","", RANK(AQ489,AQ$7:AQ$503,0))</f>
        <v>267</v>
      </c>
      <c r="S489" s="115">
        <f t="shared" si="492"/>
        <v>219</v>
      </c>
      <c r="T489" s="115" t="str">
        <f t="shared" si="492"/>
        <v/>
      </c>
      <c r="U489" s="115" t="str">
        <f t="shared" si="492"/>
        <v/>
      </c>
      <c r="V489" s="115" t="str">
        <f t="shared" si="492"/>
        <v/>
      </c>
      <c r="W489" s="115" t="str">
        <f t="shared" si="492"/>
        <v/>
      </c>
      <c r="X489" s="115" t="str">
        <f t="shared" si="492"/>
        <v/>
      </c>
      <c r="Y489" s="115" t="str">
        <f t="shared" si="492"/>
        <v/>
      </c>
      <c r="Z489" s="115" t="str">
        <f t="shared" si="492"/>
        <v/>
      </c>
      <c r="AA489" s="115" t="str">
        <f t="shared" si="492"/>
        <v/>
      </c>
      <c r="AB489" s="115" t="str">
        <f t="shared" si="492"/>
        <v/>
      </c>
      <c r="AC489" s="115" t="str">
        <f t="shared" si="492"/>
        <v/>
      </c>
      <c r="AD489" s="115" t="str">
        <f t="shared" si="492"/>
        <v/>
      </c>
      <c r="AE489" s="115" t="str">
        <f t="shared" si="492"/>
        <v/>
      </c>
      <c r="AF489" s="115" t="str">
        <f t="shared" si="492"/>
        <v/>
      </c>
      <c r="AG489" s="115" t="str">
        <f t="shared" si="492"/>
        <v/>
      </c>
      <c r="AH489" s="115" t="str">
        <f t="shared" si="492"/>
        <v/>
      </c>
      <c r="AI489" s="115" t="str">
        <f t="shared" si="492"/>
        <v/>
      </c>
      <c r="AJ489" s="115" t="str">
        <f t="shared" si="492"/>
        <v/>
      </c>
      <c r="AK489" s="115" t="str">
        <f t="shared" si="492"/>
        <v/>
      </c>
      <c r="AL489" s="115" t="str">
        <f t="shared" si="492"/>
        <v/>
      </c>
      <c r="AM489" s="115" t="str">
        <f t="shared" si="492"/>
        <v/>
      </c>
      <c r="AN489" s="115" t="str">
        <f t="shared" si="492"/>
        <v/>
      </c>
      <c r="AO489" s="115" t="str">
        <f t="shared" si="492"/>
        <v/>
      </c>
      <c r="AP489" s="117">
        <f>IF(AP$6="","",IF(AP$3="Maior",IFERROR(IF(VLOOKUP($N489,Capa!$A:$AE,AP$5,0)="",0,VLOOKUP($N489,Capa!$A:$AE,AP$5,0)),0),IF(ISERROR(1/VLOOKUP($N489,Capa!$A:$AE,AP$5,0)),0,1/VLOOKUP($N489,Capa!$A:$AE,AP$5,0))))</f>
        <v>0.1420454545</v>
      </c>
      <c r="AQ489" s="118">
        <f>IF(AQ$6="","",IF(AQ$3="Maior",IFERROR(IF(VLOOKUP($N489,Capa!$A:$AE,AQ$5,0)="",0,VLOOKUP($N489,Capa!$A:$AE,AQ$5,0)),0),IF(ISERROR(1/VLOOKUP($N489,Capa!$A:$AE,AQ$5,0)),0,1/VLOOKUP($N489,Capa!$A:$AE,AQ$5,0))))</f>
        <v>7.01</v>
      </c>
      <c r="AR489" s="118">
        <f>IF(AR$6="","",IF(AR$3="Maior",IFERROR(IF(VLOOKUP($N489,Capa!$A:$AE,AR$5,0)="",0,VLOOKUP($N489,Capa!$A:$AE,AR$5,0)),0),IF(ISERROR(1/VLOOKUP($N489,Capa!$A:$AE,AR$5,0)),0,1/VLOOKUP($N489,Capa!$A:$AE,AR$5,0))))</f>
        <v>0</v>
      </c>
      <c r="AS489" s="118" t="str">
        <f>IF(AS$6="","",IF(AS$3="Maior",IFERROR(IF(VLOOKUP($N489,Capa!$A:$AE,AS$5,0)="",0,VLOOKUP($N489,Capa!$A:$AE,AS$5,0)),0),IF(ISERROR(1/VLOOKUP($N489,Capa!$A:$AE,AS$5,0)),0,1/VLOOKUP($N489,Capa!$A:$AE,AS$5,0))))</f>
        <v/>
      </c>
      <c r="AT489" s="118" t="str">
        <f>IF(AT$6="","",IF(AT$3="Maior",IFERROR(IF(VLOOKUP($N489,Capa!$A:$AE,AT$5,0)="",0,VLOOKUP($N489,Capa!$A:$AE,AT$5,0)),0),IF(ISERROR(1/VLOOKUP($N489,Capa!$A:$AE,AT$5,0)),0,1/VLOOKUP($N489,Capa!$A:$AE,AT$5,0))))</f>
        <v/>
      </c>
      <c r="AU489" s="118" t="str">
        <f>IF(AU$6="","",IF(AU$3="Maior",IFERROR(IF(VLOOKUP($N489,Capa!$A:$AE,AU$5,0)="",0,VLOOKUP($N489,Capa!$A:$AE,AU$5,0)),0),IF(ISERROR(1/VLOOKUP($N489,Capa!$A:$AE,AU$5,0)),0,1/VLOOKUP($N489,Capa!$A:$AE,AU$5,0))))</f>
        <v/>
      </c>
      <c r="AV489" s="118" t="str">
        <f>IF(AV$6="","",IF(AV$3="Maior",IFERROR(IF(VLOOKUP($N489,Capa!$A:$AE,AV$5,0)="",0,VLOOKUP($N489,Capa!$A:$AE,AV$5,0)),0),IF(ISERROR(1/VLOOKUP($N489,Capa!$A:$AE,AV$5,0)),0,1/VLOOKUP($N489,Capa!$A:$AE,AV$5,0))))</f>
        <v/>
      </c>
      <c r="AW489" s="118" t="str">
        <f>IF(AW$6="","",IF(AW$3="Maior",IFERROR(IF(VLOOKUP($N489,Capa!$A:$AE,AW$5,0)="",0,VLOOKUP($N489,Capa!$A:$AE,AW$5,0)),0),IF(ISERROR(1/VLOOKUP($N489,Capa!$A:$AE,AW$5,0)),0,1/VLOOKUP($N489,Capa!$A:$AE,AW$5,0))))</f>
        <v/>
      </c>
      <c r="AX489" s="118" t="str">
        <f>IF(AX$6="","",IF(AX$3="Maior",IFERROR(IF(VLOOKUP($N489,Capa!$A:$AE,AX$5,0)="",0,VLOOKUP($N489,Capa!$A:$AE,AX$5,0)),0),IF(ISERROR(1/VLOOKUP($N489,Capa!$A:$AE,AX$5,0)),0,1/VLOOKUP($N489,Capa!$A:$AE,AX$5,0))))</f>
        <v/>
      </c>
      <c r="AY489" s="118" t="str">
        <f>IF(AY$6="","",IF(AY$3="Maior",IFERROR(IF(VLOOKUP($N489,Capa!$A:$AE,AY$5,0)="",0,VLOOKUP($N489,Capa!$A:$AE,AY$5,0)),0),IF(ISERROR(1/VLOOKUP($N489,Capa!$A:$AE,AY$5,0)),0,1/VLOOKUP($N489,Capa!$A:$AE,AY$5,0))))</f>
        <v/>
      </c>
      <c r="AZ489" s="118" t="str">
        <f>IF(AZ$6="","",IF(AZ$3="Maior",IFERROR(IF(VLOOKUP($N489,Capa!$A:$AE,AZ$5,0)="",0,VLOOKUP($N489,Capa!$A:$AE,AZ$5,0)),0),IF(ISERROR(1/VLOOKUP($N489,Capa!$A:$AE,AZ$5,0)),0,1/VLOOKUP($N489,Capa!$A:$AE,AZ$5,0))))</f>
        <v/>
      </c>
      <c r="BA489" s="118" t="str">
        <f>IF(BA$6="","",IF(BA$3="Maior",IFERROR(IF(VLOOKUP($N489,Capa!$A:$AE,BA$5,0)="",0,VLOOKUP($N489,Capa!$A:$AE,BA$5,0)),0),IF(ISERROR(1/VLOOKUP($N489,Capa!$A:$AE,BA$5,0)),0,1/VLOOKUP($N489,Capa!$A:$AE,BA$5,0))))</f>
        <v/>
      </c>
      <c r="BB489" s="118" t="str">
        <f>IF(BB$6="","",IF(BB$3="Maior",IFERROR(IF(VLOOKUP($N489,Capa!$A:$AE,BB$5,0)="",0,VLOOKUP($N489,Capa!$A:$AE,BB$5,0)),0),IF(ISERROR(1/VLOOKUP($N489,Capa!$A:$AE,BB$5,0)),0,1/VLOOKUP($N489,Capa!$A:$AE,BB$5,0))))</f>
        <v/>
      </c>
      <c r="BC489" s="118" t="str">
        <f>IF(BC$6="","",IF(BC$3="Maior",IFERROR(IF(VLOOKUP($N489,Capa!$A:$AE,BC$5,0)="",0,VLOOKUP($N489,Capa!$A:$AE,BC$5,0)),0),IF(ISERROR(1/VLOOKUP($N489,Capa!$A:$AE,BC$5,0)),0,1/VLOOKUP($N489,Capa!$A:$AE,BC$5,0))))</f>
        <v/>
      </c>
      <c r="BD489" s="118" t="str">
        <f>IF(BD$6="","",IF(BD$3="Maior",IFERROR(IF(VLOOKUP($N489,Capa!$A:$AE,BD$5,0)="",0,VLOOKUP($N489,Capa!$A:$AE,BD$5,0)),0),IF(ISERROR(1/VLOOKUP($N489,Capa!$A:$AE,BD$5,0)),0,1/VLOOKUP($N489,Capa!$A:$AE,BD$5,0))))</f>
        <v/>
      </c>
      <c r="BE489" s="118" t="str">
        <f>IF(BE$6="","",IF(BE$3="Maior",IFERROR(IF(VLOOKUP($N489,Capa!$A:$AE,BE$5,0)="",0,VLOOKUP($N489,Capa!$A:$AE,BE$5,0)),0),IF(ISERROR(1/VLOOKUP($N489,Capa!$A:$AE,BE$5,0)),0,1/VLOOKUP($N489,Capa!$A:$AE,BE$5,0))))</f>
        <v/>
      </c>
      <c r="BF489" s="118" t="str">
        <f>IF(BF$6="","",IF(BF$3="Maior",IFERROR(IF(VLOOKUP($N489,Capa!$A:$AE,BF$5,0)="",0,VLOOKUP($N489,Capa!$A:$AE,BF$5,0)),0),IF(ISERROR(1/VLOOKUP($N489,Capa!$A:$AE,BF$5,0)),0,1/VLOOKUP($N489,Capa!$A:$AE,BF$5,0))))</f>
        <v/>
      </c>
      <c r="BG489" s="118" t="str">
        <f>IF(BG$6="","",IF(BG$3="Maior",IFERROR(IF(VLOOKUP($N489,Capa!$A:$AE,BG$5,0)="",0,VLOOKUP($N489,Capa!$A:$AE,BG$5,0)),0),IF(ISERROR(1/VLOOKUP($N489,Capa!$A:$AE,BG$5,0)),0,1/VLOOKUP($N489,Capa!$A:$AE,BG$5,0))))</f>
        <v/>
      </c>
      <c r="BH489" s="118" t="str">
        <f>IF(BH$6="","",IF(BH$3="Maior",IFERROR(IF(VLOOKUP($N489,Capa!$A:$AE,BH$5,0)="",0,VLOOKUP($N489,Capa!$A:$AE,BH$5,0)),0),IF(ISERROR(1/VLOOKUP($N489,Capa!$A:$AE,BH$5,0)),0,1/VLOOKUP($N489,Capa!$A:$AE,BH$5,0))))</f>
        <v/>
      </c>
      <c r="BI489" s="118" t="str">
        <f>IF(BI$6="","",IF(BI$3="Maior",IFERROR(IF(VLOOKUP($N489,Capa!$A:$AE,BI$5,0)="",0,VLOOKUP($N489,Capa!$A:$AE,BI$5,0)),0),IF(ISERROR(1/VLOOKUP($N489,Capa!$A:$AE,BI$5,0)),0,1/VLOOKUP($N489,Capa!$A:$AE,BI$5,0))))</f>
        <v/>
      </c>
      <c r="BJ489" s="118" t="str">
        <f>IF(BJ$6="","",IF(BJ$3="Maior",IFERROR(IF(VLOOKUP($N489,Capa!$A:$AE,BJ$5,0)="",0,VLOOKUP($N489,Capa!$A:$AE,BJ$5,0)),0),IF(ISERROR(1/VLOOKUP($N489,Capa!$A:$AE,BJ$5,0)),0,1/VLOOKUP($N489,Capa!$A:$AE,BJ$5,0))))</f>
        <v/>
      </c>
      <c r="BK489" s="118" t="str">
        <f>IF(BK$6="","",IF(BK$3="Maior",IFERROR(IF(VLOOKUP($N489,Capa!$A:$AE,BK$5,0)="",0,VLOOKUP($N489,Capa!$A:$AE,BK$5,0)),0),IF(ISERROR(1/VLOOKUP($N489,Capa!$A:$AE,BK$5,0)),0,1/VLOOKUP($N489,Capa!$A:$AE,BK$5,0))))</f>
        <v/>
      </c>
      <c r="BL489" s="118" t="str">
        <f>IF(BL$6="","",IF(BL$3="Maior",IFERROR(IF(VLOOKUP($N489,Capa!$A:$AE,BL$5,0)="",0,VLOOKUP($N489,Capa!$A:$AE,BL$5,0)),0),IF(ISERROR(1/VLOOKUP($N489,Capa!$A:$AE,BL$5,0)),0,1/VLOOKUP($N489,Capa!$A:$AE,BL$5,0))))</f>
        <v/>
      </c>
      <c r="BM489" s="118" t="str">
        <f>IF(BM$6="","",IF(BM$3="Maior",IFERROR(IF(VLOOKUP($N489,Capa!$A:$AE,BM$5,0)="",0,VLOOKUP($N489,Capa!$A:$AE,BM$5,0)),0),IF(ISERROR(1/VLOOKUP($N489,Capa!$A:$AE,BM$5,0)),0,1/VLOOKUP($N489,Capa!$A:$AE,BM$5,0))))</f>
        <v/>
      </c>
      <c r="BN489" s="118" t="str">
        <f>IF(BN$6="","",IF(BN$3="Maior",IFERROR(IF(VLOOKUP($N489,Capa!$A:$AE,BN$5,0)="",0,VLOOKUP($N489,Capa!$A:$AE,BN$5,0)),0),IF(ISERROR(1/VLOOKUP($N489,Capa!$A:$AE,BN$5,0)),0,1/VLOOKUP($N489,Capa!$A:$AE,BN$5,0))))</f>
        <v/>
      </c>
      <c r="BO489" s="92"/>
    </row>
    <row r="490">
      <c r="I490" s="73"/>
      <c r="J490" s="74"/>
      <c r="N490" s="10" t="s">
        <v>536</v>
      </c>
      <c r="O490" s="113">
        <f t="shared" si="8"/>
        <v>2180.0346</v>
      </c>
      <c r="P490" s="114">
        <f>VLOOKUP(N490,'Dados StatusInvest'!A:Z,26,0)</f>
        <v>906.67</v>
      </c>
      <c r="Q490" s="115">
        <f t="shared" si="9"/>
        <v>346.0346</v>
      </c>
      <c r="R490" s="116">
        <f t="shared" ref="R490:AO490" si="493">IF(AQ490="","", RANK(AQ490,AQ$7:AQ$503,0))</f>
        <v>353</v>
      </c>
      <c r="S490" s="115">
        <f t="shared" si="493"/>
        <v>481</v>
      </c>
      <c r="T490" s="115" t="str">
        <f t="shared" si="493"/>
        <v/>
      </c>
      <c r="U490" s="115" t="str">
        <f t="shared" si="493"/>
        <v/>
      </c>
      <c r="V490" s="115" t="str">
        <f t="shared" si="493"/>
        <v/>
      </c>
      <c r="W490" s="115" t="str">
        <f t="shared" si="493"/>
        <v/>
      </c>
      <c r="X490" s="115" t="str">
        <f t="shared" si="493"/>
        <v/>
      </c>
      <c r="Y490" s="115" t="str">
        <f t="shared" si="493"/>
        <v/>
      </c>
      <c r="Z490" s="115" t="str">
        <f t="shared" si="493"/>
        <v/>
      </c>
      <c r="AA490" s="115" t="str">
        <f t="shared" si="493"/>
        <v/>
      </c>
      <c r="AB490" s="115" t="str">
        <f t="shared" si="493"/>
        <v/>
      </c>
      <c r="AC490" s="115" t="str">
        <f t="shared" si="493"/>
        <v/>
      </c>
      <c r="AD490" s="115" t="str">
        <f t="shared" si="493"/>
        <v/>
      </c>
      <c r="AE490" s="115" t="str">
        <f t="shared" si="493"/>
        <v/>
      </c>
      <c r="AF490" s="115" t="str">
        <f t="shared" si="493"/>
        <v/>
      </c>
      <c r="AG490" s="115" t="str">
        <f t="shared" si="493"/>
        <v/>
      </c>
      <c r="AH490" s="115" t="str">
        <f t="shared" si="493"/>
        <v/>
      </c>
      <c r="AI490" s="115" t="str">
        <f t="shared" si="493"/>
        <v/>
      </c>
      <c r="AJ490" s="115" t="str">
        <f t="shared" si="493"/>
        <v/>
      </c>
      <c r="AK490" s="115" t="str">
        <f t="shared" si="493"/>
        <v/>
      </c>
      <c r="AL490" s="115" t="str">
        <f t="shared" si="493"/>
        <v/>
      </c>
      <c r="AM490" s="115" t="str">
        <f t="shared" si="493"/>
        <v/>
      </c>
      <c r="AN490" s="115" t="str">
        <f t="shared" si="493"/>
        <v/>
      </c>
      <c r="AO490" s="115" t="str">
        <f t="shared" si="493"/>
        <v/>
      </c>
      <c r="AP490" s="117">
        <f>IF(AP$6="","",IF(AP$3="Maior",IFERROR(IF(VLOOKUP($N490,Capa!$A:$AE,AP$5,0)="",0,VLOOKUP($N490,Capa!$A:$AE,AP$5,0)),0),IF(ISERROR(1/VLOOKUP($N490,Capa!$A:$AE,AP$5,0)),0,1/VLOOKUP($N490,Capa!$A:$AE,AP$5,0))))</f>
        <v>0.03214400514</v>
      </c>
      <c r="AQ490" s="118">
        <f>IF(AQ$6="","",IF(AQ$3="Maior",IFERROR(IF(VLOOKUP($N490,Capa!$A:$AE,AQ$5,0)="",0,VLOOKUP($N490,Capa!$A:$AE,AQ$5,0)),0),IF(ISERROR(1/VLOOKUP($N490,Capa!$A:$AE,AQ$5,0)),0,1/VLOOKUP($N490,Capa!$A:$AE,AQ$5,0))))</f>
        <v>2.04</v>
      </c>
      <c r="AR490" s="118">
        <f>IF(AR$6="","",IF(AR$3="Maior",IFERROR(IF(VLOOKUP($N490,Capa!$A:$AE,AR$5,0)="",0,VLOOKUP($N490,Capa!$A:$AE,AR$5,0)),0),IF(ISERROR(1/VLOOKUP($N490,Capa!$A:$AE,AR$5,0)),0,1/VLOOKUP($N490,Capa!$A:$AE,AR$5,0))))</f>
        <v>-16.37</v>
      </c>
      <c r="AS490" s="118" t="str">
        <f>IF(AS$6="","",IF(AS$3="Maior",IFERROR(IF(VLOOKUP($N490,Capa!$A:$AE,AS$5,0)="",0,VLOOKUP($N490,Capa!$A:$AE,AS$5,0)),0),IF(ISERROR(1/VLOOKUP($N490,Capa!$A:$AE,AS$5,0)),0,1/VLOOKUP($N490,Capa!$A:$AE,AS$5,0))))</f>
        <v/>
      </c>
      <c r="AT490" s="118" t="str">
        <f>IF(AT$6="","",IF(AT$3="Maior",IFERROR(IF(VLOOKUP($N490,Capa!$A:$AE,AT$5,0)="",0,VLOOKUP($N490,Capa!$A:$AE,AT$5,0)),0),IF(ISERROR(1/VLOOKUP($N490,Capa!$A:$AE,AT$5,0)),0,1/VLOOKUP($N490,Capa!$A:$AE,AT$5,0))))</f>
        <v/>
      </c>
      <c r="AU490" s="118" t="str">
        <f>IF(AU$6="","",IF(AU$3="Maior",IFERROR(IF(VLOOKUP($N490,Capa!$A:$AE,AU$5,0)="",0,VLOOKUP($N490,Capa!$A:$AE,AU$5,0)),0),IF(ISERROR(1/VLOOKUP($N490,Capa!$A:$AE,AU$5,0)),0,1/VLOOKUP($N490,Capa!$A:$AE,AU$5,0))))</f>
        <v/>
      </c>
      <c r="AV490" s="118" t="str">
        <f>IF(AV$6="","",IF(AV$3="Maior",IFERROR(IF(VLOOKUP($N490,Capa!$A:$AE,AV$5,0)="",0,VLOOKUP($N490,Capa!$A:$AE,AV$5,0)),0),IF(ISERROR(1/VLOOKUP($N490,Capa!$A:$AE,AV$5,0)),0,1/VLOOKUP($N490,Capa!$A:$AE,AV$5,0))))</f>
        <v/>
      </c>
      <c r="AW490" s="118" t="str">
        <f>IF(AW$6="","",IF(AW$3="Maior",IFERROR(IF(VLOOKUP($N490,Capa!$A:$AE,AW$5,0)="",0,VLOOKUP($N490,Capa!$A:$AE,AW$5,0)),0),IF(ISERROR(1/VLOOKUP($N490,Capa!$A:$AE,AW$5,0)),0,1/VLOOKUP($N490,Capa!$A:$AE,AW$5,0))))</f>
        <v/>
      </c>
      <c r="AX490" s="118" t="str">
        <f>IF(AX$6="","",IF(AX$3="Maior",IFERROR(IF(VLOOKUP($N490,Capa!$A:$AE,AX$5,0)="",0,VLOOKUP($N490,Capa!$A:$AE,AX$5,0)),0),IF(ISERROR(1/VLOOKUP($N490,Capa!$A:$AE,AX$5,0)),0,1/VLOOKUP($N490,Capa!$A:$AE,AX$5,0))))</f>
        <v/>
      </c>
      <c r="AY490" s="118" t="str">
        <f>IF(AY$6="","",IF(AY$3="Maior",IFERROR(IF(VLOOKUP($N490,Capa!$A:$AE,AY$5,0)="",0,VLOOKUP($N490,Capa!$A:$AE,AY$5,0)),0),IF(ISERROR(1/VLOOKUP($N490,Capa!$A:$AE,AY$5,0)),0,1/VLOOKUP($N490,Capa!$A:$AE,AY$5,0))))</f>
        <v/>
      </c>
      <c r="AZ490" s="118" t="str">
        <f>IF(AZ$6="","",IF(AZ$3="Maior",IFERROR(IF(VLOOKUP($N490,Capa!$A:$AE,AZ$5,0)="",0,VLOOKUP($N490,Capa!$A:$AE,AZ$5,0)),0),IF(ISERROR(1/VLOOKUP($N490,Capa!$A:$AE,AZ$5,0)),0,1/VLOOKUP($N490,Capa!$A:$AE,AZ$5,0))))</f>
        <v/>
      </c>
      <c r="BA490" s="118" t="str">
        <f>IF(BA$6="","",IF(BA$3="Maior",IFERROR(IF(VLOOKUP($N490,Capa!$A:$AE,BA$5,0)="",0,VLOOKUP($N490,Capa!$A:$AE,BA$5,0)),0),IF(ISERROR(1/VLOOKUP($N490,Capa!$A:$AE,BA$5,0)),0,1/VLOOKUP($N490,Capa!$A:$AE,BA$5,0))))</f>
        <v/>
      </c>
      <c r="BB490" s="118" t="str">
        <f>IF(BB$6="","",IF(BB$3="Maior",IFERROR(IF(VLOOKUP($N490,Capa!$A:$AE,BB$5,0)="",0,VLOOKUP($N490,Capa!$A:$AE,BB$5,0)),0),IF(ISERROR(1/VLOOKUP($N490,Capa!$A:$AE,BB$5,0)),0,1/VLOOKUP($N490,Capa!$A:$AE,BB$5,0))))</f>
        <v/>
      </c>
      <c r="BC490" s="118" t="str">
        <f>IF(BC$6="","",IF(BC$3="Maior",IFERROR(IF(VLOOKUP($N490,Capa!$A:$AE,BC$5,0)="",0,VLOOKUP($N490,Capa!$A:$AE,BC$5,0)),0),IF(ISERROR(1/VLOOKUP($N490,Capa!$A:$AE,BC$5,0)),0,1/VLOOKUP($N490,Capa!$A:$AE,BC$5,0))))</f>
        <v/>
      </c>
      <c r="BD490" s="118" t="str">
        <f>IF(BD$6="","",IF(BD$3="Maior",IFERROR(IF(VLOOKUP($N490,Capa!$A:$AE,BD$5,0)="",0,VLOOKUP($N490,Capa!$A:$AE,BD$5,0)),0),IF(ISERROR(1/VLOOKUP($N490,Capa!$A:$AE,BD$5,0)),0,1/VLOOKUP($N490,Capa!$A:$AE,BD$5,0))))</f>
        <v/>
      </c>
      <c r="BE490" s="118" t="str">
        <f>IF(BE$6="","",IF(BE$3="Maior",IFERROR(IF(VLOOKUP($N490,Capa!$A:$AE,BE$5,0)="",0,VLOOKUP($N490,Capa!$A:$AE,BE$5,0)),0),IF(ISERROR(1/VLOOKUP($N490,Capa!$A:$AE,BE$5,0)),0,1/VLOOKUP($N490,Capa!$A:$AE,BE$5,0))))</f>
        <v/>
      </c>
      <c r="BF490" s="118" t="str">
        <f>IF(BF$6="","",IF(BF$3="Maior",IFERROR(IF(VLOOKUP($N490,Capa!$A:$AE,BF$5,0)="",0,VLOOKUP($N490,Capa!$A:$AE,BF$5,0)),0),IF(ISERROR(1/VLOOKUP($N490,Capa!$A:$AE,BF$5,0)),0,1/VLOOKUP($N490,Capa!$A:$AE,BF$5,0))))</f>
        <v/>
      </c>
      <c r="BG490" s="118" t="str">
        <f>IF(BG$6="","",IF(BG$3="Maior",IFERROR(IF(VLOOKUP($N490,Capa!$A:$AE,BG$5,0)="",0,VLOOKUP($N490,Capa!$A:$AE,BG$5,0)),0),IF(ISERROR(1/VLOOKUP($N490,Capa!$A:$AE,BG$5,0)),0,1/VLOOKUP($N490,Capa!$A:$AE,BG$5,0))))</f>
        <v/>
      </c>
      <c r="BH490" s="118" t="str">
        <f>IF(BH$6="","",IF(BH$3="Maior",IFERROR(IF(VLOOKUP($N490,Capa!$A:$AE,BH$5,0)="",0,VLOOKUP($N490,Capa!$A:$AE,BH$5,0)),0),IF(ISERROR(1/VLOOKUP($N490,Capa!$A:$AE,BH$5,0)),0,1/VLOOKUP($N490,Capa!$A:$AE,BH$5,0))))</f>
        <v/>
      </c>
      <c r="BI490" s="118" t="str">
        <f>IF(BI$6="","",IF(BI$3="Maior",IFERROR(IF(VLOOKUP($N490,Capa!$A:$AE,BI$5,0)="",0,VLOOKUP($N490,Capa!$A:$AE,BI$5,0)),0),IF(ISERROR(1/VLOOKUP($N490,Capa!$A:$AE,BI$5,0)),0,1/VLOOKUP($N490,Capa!$A:$AE,BI$5,0))))</f>
        <v/>
      </c>
      <c r="BJ490" s="118" t="str">
        <f>IF(BJ$6="","",IF(BJ$3="Maior",IFERROR(IF(VLOOKUP($N490,Capa!$A:$AE,BJ$5,0)="",0,VLOOKUP($N490,Capa!$A:$AE,BJ$5,0)),0),IF(ISERROR(1/VLOOKUP($N490,Capa!$A:$AE,BJ$5,0)),0,1/VLOOKUP($N490,Capa!$A:$AE,BJ$5,0))))</f>
        <v/>
      </c>
      <c r="BK490" s="118" t="str">
        <f>IF(BK$6="","",IF(BK$3="Maior",IFERROR(IF(VLOOKUP($N490,Capa!$A:$AE,BK$5,0)="",0,VLOOKUP($N490,Capa!$A:$AE,BK$5,0)),0),IF(ISERROR(1/VLOOKUP($N490,Capa!$A:$AE,BK$5,0)),0,1/VLOOKUP($N490,Capa!$A:$AE,BK$5,0))))</f>
        <v/>
      </c>
      <c r="BL490" s="118" t="str">
        <f>IF(BL$6="","",IF(BL$3="Maior",IFERROR(IF(VLOOKUP($N490,Capa!$A:$AE,BL$5,0)="",0,VLOOKUP($N490,Capa!$A:$AE,BL$5,0)),0),IF(ISERROR(1/VLOOKUP($N490,Capa!$A:$AE,BL$5,0)),0,1/VLOOKUP($N490,Capa!$A:$AE,BL$5,0))))</f>
        <v/>
      </c>
      <c r="BM490" s="118" t="str">
        <f>IF(BM$6="","",IF(BM$3="Maior",IFERROR(IF(VLOOKUP($N490,Capa!$A:$AE,BM$5,0)="",0,VLOOKUP($N490,Capa!$A:$AE,BM$5,0)),0),IF(ISERROR(1/VLOOKUP($N490,Capa!$A:$AE,BM$5,0)),0,1/VLOOKUP($N490,Capa!$A:$AE,BM$5,0))))</f>
        <v/>
      </c>
      <c r="BN490" s="118" t="str">
        <f>IF(BN$6="","",IF(BN$3="Maior",IFERROR(IF(VLOOKUP($N490,Capa!$A:$AE,BN$5,0)="",0,VLOOKUP($N490,Capa!$A:$AE,BN$5,0)),0),IF(ISERROR(1/VLOOKUP($N490,Capa!$A:$AE,BN$5,0)),0,1/VLOOKUP($N490,Capa!$A:$AE,BN$5,0))))</f>
        <v/>
      </c>
      <c r="BO490" s="92"/>
    </row>
    <row r="491">
      <c r="I491" s="73"/>
      <c r="J491" s="74"/>
      <c r="N491" s="10" t="s">
        <v>537</v>
      </c>
      <c r="O491" s="113">
        <f t="shared" si="8"/>
        <v>2207.0477</v>
      </c>
      <c r="P491" s="114">
        <f>VLOOKUP(N491,'Dados StatusInvest'!A:Z,26,0)</f>
        <v>5069.17</v>
      </c>
      <c r="Q491" s="115">
        <f t="shared" si="9"/>
        <v>477.0477</v>
      </c>
      <c r="R491" s="116">
        <f t="shared" ref="R491:AO491" si="494">IF(AQ491="","", RANK(AQ491,AQ$7:AQ$503,0))</f>
        <v>246</v>
      </c>
      <c r="S491" s="115">
        <f t="shared" si="494"/>
        <v>484</v>
      </c>
      <c r="T491" s="115" t="str">
        <f t="shared" si="494"/>
        <v/>
      </c>
      <c r="U491" s="115" t="str">
        <f t="shared" si="494"/>
        <v/>
      </c>
      <c r="V491" s="115" t="str">
        <f t="shared" si="494"/>
        <v/>
      </c>
      <c r="W491" s="115" t="str">
        <f t="shared" si="494"/>
        <v/>
      </c>
      <c r="X491" s="115" t="str">
        <f t="shared" si="494"/>
        <v/>
      </c>
      <c r="Y491" s="115" t="str">
        <f t="shared" si="494"/>
        <v/>
      </c>
      <c r="Z491" s="115" t="str">
        <f t="shared" si="494"/>
        <v/>
      </c>
      <c r="AA491" s="115" t="str">
        <f t="shared" si="494"/>
        <v/>
      </c>
      <c r="AB491" s="115" t="str">
        <f t="shared" si="494"/>
        <v/>
      </c>
      <c r="AC491" s="115" t="str">
        <f t="shared" si="494"/>
        <v/>
      </c>
      <c r="AD491" s="115" t="str">
        <f t="shared" si="494"/>
        <v/>
      </c>
      <c r="AE491" s="115" t="str">
        <f t="shared" si="494"/>
        <v/>
      </c>
      <c r="AF491" s="115" t="str">
        <f t="shared" si="494"/>
        <v/>
      </c>
      <c r="AG491" s="115" t="str">
        <f t="shared" si="494"/>
        <v/>
      </c>
      <c r="AH491" s="115" t="str">
        <f t="shared" si="494"/>
        <v/>
      </c>
      <c r="AI491" s="115" t="str">
        <f t="shared" si="494"/>
        <v/>
      </c>
      <c r="AJ491" s="115" t="str">
        <f t="shared" si="494"/>
        <v/>
      </c>
      <c r="AK491" s="115" t="str">
        <f t="shared" si="494"/>
        <v/>
      </c>
      <c r="AL491" s="115" t="str">
        <f t="shared" si="494"/>
        <v/>
      </c>
      <c r="AM491" s="115" t="str">
        <f t="shared" si="494"/>
        <v/>
      </c>
      <c r="AN491" s="115" t="str">
        <f t="shared" si="494"/>
        <v/>
      </c>
      <c r="AO491" s="115" t="str">
        <f t="shared" si="494"/>
        <v/>
      </c>
      <c r="AP491" s="117">
        <f>IF(AP$6="","",IF(AP$3="Maior",IFERROR(IF(VLOOKUP($N491,Capa!$A:$AE,AP$5,0)="",0,VLOOKUP($N491,Capa!$A:$AE,AP$5,0)),0),IF(ISERROR(1/VLOOKUP($N491,Capa!$A:$AE,AP$5,0)),0,1/VLOOKUP($N491,Capa!$A:$AE,AP$5,0))))</f>
        <v>-0.2077904845</v>
      </c>
      <c r="AQ491" s="118">
        <f>IF(AQ$6="","",IF(AQ$3="Maior",IFERROR(IF(VLOOKUP($N491,Capa!$A:$AE,AQ$5,0)="",0,VLOOKUP($N491,Capa!$A:$AE,AQ$5,0)),0),IF(ISERROR(1/VLOOKUP($N491,Capa!$A:$AE,AQ$5,0)),0,1/VLOOKUP($N491,Capa!$A:$AE,AQ$5,0))))</f>
        <v>8.38</v>
      </c>
      <c r="AR491" s="118">
        <f>IF(AR$6="","",IF(AR$3="Maior",IFERROR(IF(VLOOKUP($N491,Capa!$A:$AE,AR$5,0)="",0,VLOOKUP($N491,Capa!$A:$AE,AR$5,0)),0),IF(ISERROR(1/VLOOKUP($N491,Capa!$A:$AE,AR$5,0)),0,1/VLOOKUP($N491,Capa!$A:$AE,AR$5,0))))</f>
        <v>-16.72</v>
      </c>
      <c r="AS491" s="118" t="str">
        <f>IF(AS$6="","",IF(AS$3="Maior",IFERROR(IF(VLOOKUP($N491,Capa!$A:$AE,AS$5,0)="",0,VLOOKUP($N491,Capa!$A:$AE,AS$5,0)),0),IF(ISERROR(1/VLOOKUP($N491,Capa!$A:$AE,AS$5,0)),0,1/VLOOKUP($N491,Capa!$A:$AE,AS$5,0))))</f>
        <v/>
      </c>
      <c r="AT491" s="118" t="str">
        <f>IF(AT$6="","",IF(AT$3="Maior",IFERROR(IF(VLOOKUP($N491,Capa!$A:$AE,AT$5,0)="",0,VLOOKUP($N491,Capa!$A:$AE,AT$5,0)),0),IF(ISERROR(1/VLOOKUP($N491,Capa!$A:$AE,AT$5,0)),0,1/VLOOKUP($N491,Capa!$A:$AE,AT$5,0))))</f>
        <v/>
      </c>
      <c r="AU491" s="118" t="str">
        <f>IF(AU$6="","",IF(AU$3="Maior",IFERROR(IF(VLOOKUP($N491,Capa!$A:$AE,AU$5,0)="",0,VLOOKUP($N491,Capa!$A:$AE,AU$5,0)),0),IF(ISERROR(1/VLOOKUP($N491,Capa!$A:$AE,AU$5,0)),0,1/VLOOKUP($N491,Capa!$A:$AE,AU$5,0))))</f>
        <v/>
      </c>
      <c r="AV491" s="118" t="str">
        <f>IF(AV$6="","",IF(AV$3="Maior",IFERROR(IF(VLOOKUP($N491,Capa!$A:$AE,AV$5,0)="",0,VLOOKUP($N491,Capa!$A:$AE,AV$5,0)),0),IF(ISERROR(1/VLOOKUP($N491,Capa!$A:$AE,AV$5,0)),0,1/VLOOKUP($N491,Capa!$A:$AE,AV$5,0))))</f>
        <v/>
      </c>
      <c r="AW491" s="118" t="str">
        <f>IF(AW$6="","",IF(AW$3="Maior",IFERROR(IF(VLOOKUP($N491,Capa!$A:$AE,AW$5,0)="",0,VLOOKUP($N491,Capa!$A:$AE,AW$5,0)),0),IF(ISERROR(1/VLOOKUP($N491,Capa!$A:$AE,AW$5,0)),0,1/VLOOKUP($N491,Capa!$A:$AE,AW$5,0))))</f>
        <v/>
      </c>
      <c r="AX491" s="118" t="str">
        <f>IF(AX$6="","",IF(AX$3="Maior",IFERROR(IF(VLOOKUP($N491,Capa!$A:$AE,AX$5,0)="",0,VLOOKUP($N491,Capa!$A:$AE,AX$5,0)),0),IF(ISERROR(1/VLOOKUP($N491,Capa!$A:$AE,AX$5,0)),0,1/VLOOKUP($N491,Capa!$A:$AE,AX$5,0))))</f>
        <v/>
      </c>
      <c r="AY491" s="118" t="str">
        <f>IF(AY$6="","",IF(AY$3="Maior",IFERROR(IF(VLOOKUP($N491,Capa!$A:$AE,AY$5,0)="",0,VLOOKUP($N491,Capa!$A:$AE,AY$5,0)),0),IF(ISERROR(1/VLOOKUP($N491,Capa!$A:$AE,AY$5,0)),0,1/VLOOKUP($N491,Capa!$A:$AE,AY$5,0))))</f>
        <v/>
      </c>
      <c r="AZ491" s="118" t="str">
        <f>IF(AZ$6="","",IF(AZ$3="Maior",IFERROR(IF(VLOOKUP($N491,Capa!$A:$AE,AZ$5,0)="",0,VLOOKUP($N491,Capa!$A:$AE,AZ$5,0)),0),IF(ISERROR(1/VLOOKUP($N491,Capa!$A:$AE,AZ$5,0)),0,1/VLOOKUP($N491,Capa!$A:$AE,AZ$5,0))))</f>
        <v/>
      </c>
      <c r="BA491" s="118" t="str">
        <f>IF(BA$6="","",IF(BA$3="Maior",IFERROR(IF(VLOOKUP($N491,Capa!$A:$AE,BA$5,0)="",0,VLOOKUP($N491,Capa!$A:$AE,BA$5,0)),0),IF(ISERROR(1/VLOOKUP($N491,Capa!$A:$AE,BA$5,0)),0,1/VLOOKUP($N491,Capa!$A:$AE,BA$5,0))))</f>
        <v/>
      </c>
      <c r="BB491" s="118" t="str">
        <f>IF(BB$6="","",IF(BB$3="Maior",IFERROR(IF(VLOOKUP($N491,Capa!$A:$AE,BB$5,0)="",0,VLOOKUP($N491,Capa!$A:$AE,BB$5,0)),0),IF(ISERROR(1/VLOOKUP($N491,Capa!$A:$AE,BB$5,0)),0,1/VLOOKUP($N491,Capa!$A:$AE,BB$5,0))))</f>
        <v/>
      </c>
      <c r="BC491" s="118" t="str">
        <f>IF(BC$6="","",IF(BC$3="Maior",IFERROR(IF(VLOOKUP($N491,Capa!$A:$AE,BC$5,0)="",0,VLOOKUP($N491,Capa!$A:$AE,BC$5,0)),0),IF(ISERROR(1/VLOOKUP($N491,Capa!$A:$AE,BC$5,0)),0,1/VLOOKUP($N491,Capa!$A:$AE,BC$5,0))))</f>
        <v/>
      </c>
      <c r="BD491" s="118" t="str">
        <f>IF(BD$6="","",IF(BD$3="Maior",IFERROR(IF(VLOOKUP($N491,Capa!$A:$AE,BD$5,0)="",0,VLOOKUP($N491,Capa!$A:$AE,BD$5,0)),0),IF(ISERROR(1/VLOOKUP($N491,Capa!$A:$AE,BD$5,0)),0,1/VLOOKUP($N491,Capa!$A:$AE,BD$5,0))))</f>
        <v/>
      </c>
      <c r="BE491" s="118" t="str">
        <f>IF(BE$6="","",IF(BE$3="Maior",IFERROR(IF(VLOOKUP($N491,Capa!$A:$AE,BE$5,0)="",0,VLOOKUP($N491,Capa!$A:$AE,BE$5,0)),0),IF(ISERROR(1/VLOOKUP($N491,Capa!$A:$AE,BE$5,0)),0,1/VLOOKUP($N491,Capa!$A:$AE,BE$5,0))))</f>
        <v/>
      </c>
      <c r="BF491" s="118" t="str">
        <f>IF(BF$6="","",IF(BF$3="Maior",IFERROR(IF(VLOOKUP($N491,Capa!$A:$AE,BF$5,0)="",0,VLOOKUP($N491,Capa!$A:$AE,BF$5,0)),0),IF(ISERROR(1/VLOOKUP($N491,Capa!$A:$AE,BF$5,0)),0,1/VLOOKUP($N491,Capa!$A:$AE,BF$5,0))))</f>
        <v/>
      </c>
      <c r="BG491" s="118" t="str">
        <f>IF(BG$6="","",IF(BG$3="Maior",IFERROR(IF(VLOOKUP($N491,Capa!$A:$AE,BG$5,0)="",0,VLOOKUP($N491,Capa!$A:$AE,BG$5,0)),0),IF(ISERROR(1/VLOOKUP($N491,Capa!$A:$AE,BG$5,0)),0,1/VLOOKUP($N491,Capa!$A:$AE,BG$5,0))))</f>
        <v/>
      </c>
      <c r="BH491" s="118" t="str">
        <f>IF(BH$6="","",IF(BH$3="Maior",IFERROR(IF(VLOOKUP($N491,Capa!$A:$AE,BH$5,0)="",0,VLOOKUP($N491,Capa!$A:$AE,BH$5,0)),0),IF(ISERROR(1/VLOOKUP($N491,Capa!$A:$AE,BH$5,0)),0,1/VLOOKUP($N491,Capa!$A:$AE,BH$5,0))))</f>
        <v/>
      </c>
      <c r="BI491" s="118" t="str">
        <f>IF(BI$6="","",IF(BI$3="Maior",IFERROR(IF(VLOOKUP($N491,Capa!$A:$AE,BI$5,0)="",0,VLOOKUP($N491,Capa!$A:$AE,BI$5,0)),0),IF(ISERROR(1/VLOOKUP($N491,Capa!$A:$AE,BI$5,0)),0,1/VLOOKUP($N491,Capa!$A:$AE,BI$5,0))))</f>
        <v/>
      </c>
      <c r="BJ491" s="118" t="str">
        <f>IF(BJ$6="","",IF(BJ$3="Maior",IFERROR(IF(VLOOKUP($N491,Capa!$A:$AE,BJ$5,0)="",0,VLOOKUP($N491,Capa!$A:$AE,BJ$5,0)),0),IF(ISERROR(1/VLOOKUP($N491,Capa!$A:$AE,BJ$5,0)),0,1/VLOOKUP($N491,Capa!$A:$AE,BJ$5,0))))</f>
        <v/>
      </c>
      <c r="BK491" s="118" t="str">
        <f>IF(BK$6="","",IF(BK$3="Maior",IFERROR(IF(VLOOKUP($N491,Capa!$A:$AE,BK$5,0)="",0,VLOOKUP($N491,Capa!$A:$AE,BK$5,0)),0),IF(ISERROR(1/VLOOKUP($N491,Capa!$A:$AE,BK$5,0)),0,1/VLOOKUP($N491,Capa!$A:$AE,BK$5,0))))</f>
        <v/>
      </c>
      <c r="BL491" s="118" t="str">
        <f>IF(BL$6="","",IF(BL$3="Maior",IFERROR(IF(VLOOKUP($N491,Capa!$A:$AE,BL$5,0)="",0,VLOOKUP($N491,Capa!$A:$AE,BL$5,0)),0),IF(ISERROR(1/VLOOKUP($N491,Capa!$A:$AE,BL$5,0)),0,1/VLOOKUP($N491,Capa!$A:$AE,BL$5,0))))</f>
        <v/>
      </c>
      <c r="BM491" s="118" t="str">
        <f>IF(BM$6="","",IF(BM$3="Maior",IFERROR(IF(VLOOKUP($N491,Capa!$A:$AE,BM$5,0)="",0,VLOOKUP($N491,Capa!$A:$AE,BM$5,0)),0),IF(ISERROR(1/VLOOKUP($N491,Capa!$A:$AE,BM$5,0)),0,1/VLOOKUP($N491,Capa!$A:$AE,BM$5,0))))</f>
        <v/>
      </c>
      <c r="BN491" s="118" t="str">
        <f>IF(BN$6="","",IF(BN$3="Maior",IFERROR(IF(VLOOKUP($N491,Capa!$A:$AE,BN$5,0)="",0,VLOOKUP($N491,Capa!$A:$AE,BN$5,0)),0),IF(ISERROR(1/VLOOKUP($N491,Capa!$A:$AE,BN$5,0)),0,1/VLOOKUP($N491,Capa!$A:$AE,BN$5,0))))</f>
        <v/>
      </c>
      <c r="BO491" s="92"/>
    </row>
    <row r="492">
      <c r="I492" s="73"/>
      <c r="J492" s="74"/>
      <c r="N492" s="10" t="s">
        <v>538</v>
      </c>
      <c r="O492" s="113">
        <f t="shared" si="8"/>
        <v>1529.0284</v>
      </c>
      <c r="P492" s="114">
        <f>VLOOKUP(N492,'Dados StatusInvest'!A:Z,26,0)</f>
        <v>2924.33</v>
      </c>
      <c r="Q492" s="115">
        <f t="shared" si="9"/>
        <v>284.0284</v>
      </c>
      <c r="R492" s="116">
        <f t="shared" ref="R492:AO492" si="495">IF(AQ492="","", RANK(AQ492,AQ$7:AQ$503,0))</f>
        <v>223</v>
      </c>
      <c r="S492" s="115">
        <f t="shared" si="495"/>
        <v>22</v>
      </c>
      <c r="T492" s="115" t="str">
        <f t="shared" si="495"/>
        <v/>
      </c>
      <c r="U492" s="115" t="str">
        <f t="shared" si="495"/>
        <v/>
      </c>
      <c r="V492" s="115" t="str">
        <f t="shared" si="495"/>
        <v/>
      </c>
      <c r="W492" s="115" t="str">
        <f t="shared" si="495"/>
        <v/>
      </c>
      <c r="X492" s="115" t="str">
        <f t="shared" si="495"/>
        <v/>
      </c>
      <c r="Y492" s="115" t="str">
        <f t="shared" si="495"/>
        <v/>
      </c>
      <c r="Z492" s="115" t="str">
        <f t="shared" si="495"/>
        <v/>
      </c>
      <c r="AA492" s="115" t="str">
        <f t="shared" si="495"/>
        <v/>
      </c>
      <c r="AB492" s="115" t="str">
        <f t="shared" si="495"/>
        <v/>
      </c>
      <c r="AC492" s="115" t="str">
        <f t="shared" si="495"/>
        <v/>
      </c>
      <c r="AD492" s="115" t="str">
        <f t="shared" si="495"/>
        <v/>
      </c>
      <c r="AE492" s="115" t="str">
        <f t="shared" si="495"/>
        <v/>
      </c>
      <c r="AF492" s="115" t="str">
        <f t="shared" si="495"/>
        <v/>
      </c>
      <c r="AG492" s="115" t="str">
        <f t="shared" si="495"/>
        <v/>
      </c>
      <c r="AH492" s="115" t="str">
        <f t="shared" si="495"/>
        <v/>
      </c>
      <c r="AI492" s="115" t="str">
        <f t="shared" si="495"/>
        <v/>
      </c>
      <c r="AJ492" s="115" t="str">
        <f t="shared" si="495"/>
        <v/>
      </c>
      <c r="AK492" s="115" t="str">
        <f t="shared" si="495"/>
        <v/>
      </c>
      <c r="AL492" s="115" t="str">
        <f t="shared" si="495"/>
        <v/>
      </c>
      <c r="AM492" s="115" t="str">
        <f t="shared" si="495"/>
        <v/>
      </c>
      <c r="AN492" s="115" t="str">
        <f t="shared" si="495"/>
        <v/>
      </c>
      <c r="AO492" s="115" t="str">
        <f t="shared" si="495"/>
        <v/>
      </c>
      <c r="AP492" s="117">
        <f>IF(AP$6="","",IF(AP$3="Maior",IFERROR(IF(VLOOKUP($N492,Capa!$A:$AE,AP$5,0)="",0,VLOOKUP($N492,Capa!$A:$AE,AP$5,0)),0),IF(ISERROR(1/VLOOKUP($N492,Capa!$A:$AE,AP$5,0)),0,1/VLOOKUP($N492,Capa!$A:$AE,AP$5,0))))</f>
        <v>0.06321112516</v>
      </c>
      <c r="AQ492" s="118">
        <f>IF(AQ$6="","",IF(AQ$3="Maior",IFERROR(IF(VLOOKUP($N492,Capa!$A:$AE,AQ$5,0)="",0,VLOOKUP($N492,Capa!$A:$AE,AQ$5,0)),0),IF(ISERROR(1/VLOOKUP($N492,Capa!$A:$AE,AQ$5,0)),0,1/VLOOKUP($N492,Capa!$A:$AE,AQ$5,0))))</f>
        <v>10.08</v>
      </c>
      <c r="AR492" s="118">
        <f>IF(AR$6="","",IF(AR$3="Maior",IFERROR(IF(VLOOKUP($N492,Capa!$A:$AE,AR$5,0)="",0,VLOOKUP($N492,Capa!$A:$AE,AR$5,0)),0),IF(ISERROR(1/VLOOKUP($N492,Capa!$A:$AE,AR$5,0)),0,1/VLOOKUP($N492,Capa!$A:$AE,AR$5,0))))</f>
        <v>87.22</v>
      </c>
      <c r="AS492" s="118" t="str">
        <f>IF(AS$6="","",IF(AS$3="Maior",IFERROR(IF(VLOOKUP($N492,Capa!$A:$AE,AS$5,0)="",0,VLOOKUP($N492,Capa!$A:$AE,AS$5,0)),0),IF(ISERROR(1/VLOOKUP($N492,Capa!$A:$AE,AS$5,0)),0,1/VLOOKUP($N492,Capa!$A:$AE,AS$5,0))))</f>
        <v/>
      </c>
      <c r="AT492" s="118" t="str">
        <f>IF(AT$6="","",IF(AT$3="Maior",IFERROR(IF(VLOOKUP($N492,Capa!$A:$AE,AT$5,0)="",0,VLOOKUP($N492,Capa!$A:$AE,AT$5,0)),0),IF(ISERROR(1/VLOOKUP($N492,Capa!$A:$AE,AT$5,0)),0,1/VLOOKUP($N492,Capa!$A:$AE,AT$5,0))))</f>
        <v/>
      </c>
      <c r="AU492" s="118" t="str">
        <f>IF(AU$6="","",IF(AU$3="Maior",IFERROR(IF(VLOOKUP($N492,Capa!$A:$AE,AU$5,0)="",0,VLOOKUP($N492,Capa!$A:$AE,AU$5,0)),0),IF(ISERROR(1/VLOOKUP($N492,Capa!$A:$AE,AU$5,0)),0,1/VLOOKUP($N492,Capa!$A:$AE,AU$5,0))))</f>
        <v/>
      </c>
      <c r="AV492" s="118" t="str">
        <f>IF(AV$6="","",IF(AV$3="Maior",IFERROR(IF(VLOOKUP($N492,Capa!$A:$AE,AV$5,0)="",0,VLOOKUP($N492,Capa!$A:$AE,AV$5,0)),0),IF(ISERROR(1/VLOOKUP($N492,Capa!$A:$AE,AV$5,0)),0,1/VLOOKUP($N492,Capa!$A:$AE,AV$5,0))))</f>
        <v/>
      </c>
      <c r="AW492" s="118" t="str">
        <f>IF(AW$6="","",IF(AW$3="Maior",IFERROR(IF(VLOOKUP($N492,Capa!$A:$AE,AW$5,0)="",0,VLOOKUP($N492,Capa!$A:$AE,AW$5,0)),0),IF(ISERROR(1/VLOOKUP($N492,Capa!$A:$AE,AW$5,0)),0,1/VLOOKUP($N492,Capa!$A:$AE,AW$5,0))))</f>
        <v/>
      </c>
      <c r="AX492" s="118" t="str">
        <f>IF(AX$6="","",IF(AX$3="Maior",IFERROR(IF(VLOOKUP($N492,Capa!$A:$AE,AX$5,0)="",0,VLOOKUP($N492,Capa!$A:$AE,AX$5,0)),0),IF(ISERROR(1/VLOOKUP($N492,Capa!$A:$AE,AX$5,0)),0,1/VLOOKUP($N492,Capa!$A:$AE,AX$5,0))))</f>
        <v/>
      </c>
      <c r="AY492" s="118" t="str">
        <f>IF(AY$6="","",IF(AY$3="Maior",IFERROR(IF(VLOOKUP($N492,Capa!$A:$AE,AY$5,0)="",0,VLOOKUP($N492,Capa!$A:$AE,AY$5,0)),0),IF(ISERROR(1/VLOOKUP($N492,Capa!$A:$AE,AY$5,0)),0,1/VLOOKUP($N492,Capa!$A:$AE,AY$5,0))))</f>
        <v/>
      </c>
      <c r="AZ492" s="118" t="str">
        <f>IF(AZ$6="","",IF(AZ$3="Maior",IFERROR(IF(VLOOKUP($N492,Capa!$A:$AE,AZ$5,0)="",0,VLOOKUP($N492,Capa!$A:$AE,AZ$5,0)),0),IF(ISERROR(1/VLOOKUP($N492,Capa!$A:$AE,AZ$5,0)),0,1/VLOOKUP($N492,Capa!$A:$AE,AZ$5,0))))</f>
        <v/>
      </c>
      <c r="BA492" s="118" t="str">
        <f>IF(BA$6="","",IF(BA$3="Maior",IFERROR(IF(VLOOKUP($N492,Capa!$A:$AE,BA$5,0)="",0,VLOOKUP($N492,Capa!$A:$AE,BA$5,0)),0),IF(ISERROR(1/VLOOKUP($N492,Capa!$A:$AE,BA$5,0)),0,1/VLOOKUP($N492,Capa!$A:$AE,BA$5,0))))</f>
        <v/>
      </c>
      <c r="BB492" s="118" t="str">
        <f>IF(BB$6="","",IF(BB$3="Maior",IFERROR(IF(VLOOKUP($N492,Capa!$A:$AE,BB$5,0)="",0,VLOOKUP($N492,Capa!$A:$AE,BB$5,0)),0),IF(ISERROR(1/VLOOKUP($N492,Capa!$A:$AE,BB$5,0)),0,1/VLOOKUP($N492,Capa!$A:$AE,BB$5,0))))</f>
        <v/>
      </c>
      <c r="BC492" s="118" t="str">
        <f>IF(BC$6="","",IF(BC$3="Maior",IFERROR(IF(VLOOKUP($N492,Capa!$A:$AE,BC$5,0)="",0,VLOOKUP($N492,Capa!$A:$AE,BC$5,0)),0),IF(ISERROR(1/VLOOKUP($N492,Capa!$A:$AE,BC$5,0)),0,1/VLOOKUP($N492,Capa!$A:$AE,BC$5,0))))</f>
        <v/>
      </c>
      <c r="BD492" s="118" t="str">
        <f>IF(BD$6="","",IF(BD$3="Maior",IFERROR(IF(VLOOKUP($N492,Capa!$A:$AE,BD$5,0)="",0,VLOOKUP($N492,Capa!$A:$AE,BD$5,0)),0),IF(ISERROR(1/VLOOKUP($N492,Capa!$A:$AE,BD$5,0)),0,1/VLOOKUP($N492,Capa!$A:$AE,BD$5,0))))</f>
        <v/>
      </c>
      <c r="BE492" s="118" t="str">
        <f>IF(BE$6="","",IF(BE$3="Maior",IFERROR(IF(VLOOKUP($N492,Capa!$A:$AE,BE$5,0)="",0,VLOOKUP($N492,Capa!$A:$AE,BE$5,0)),0),IF(ISERROR(1/VLOOKUP($N492,Capa!$A:$AE,BE$5,0)),0,1/VLOOKUP($N492,Capa!$A:$AE,BE$5,0))))</f>
        <v/>
      </c>
      <c r="BF492" s="118" t="str">
        <f>IF(BF$6="","",IF(BF$3="Maior",IFERROR(IF(VLOOKUP($N492,Capa!$A:$AE,BF$5,0)="",0,VLOOKUP($N492,Capa!$A:$AE,BF$5,0)),0),IF(ISERROR(1/VLOOKUP($N492,Capa!$A:$AE,BF$5,0)),0,1/VLOOKUP($N492,Capa!$A:$AE,BF$5,0))))</f>
        <v/>
      </c>
      <c r="BG492" s="118" t="str">
        <f>IF(BG$6="","",IF(BG$3="Maior",IFERROR(IF(VLOOKUP($N492,Capa!$A:$AE,BG$5,0)="",0,VLOOKUP($N492,Capa!$A:$AE,BG$5,0)),0),IF(ISERROR(1/VLOOKUP($N492,Capa!$A:$AE,BG$5,0)),0,1/VLOOKUP($N492,Capa!$A:$AE,BG$5,0))))</f>
        <v/>
      </c>
      <c r="BH492" s="118" t="str">
        <f>IF(BH$6="","",IF(BH$3="Maior",IFERROR(IF(VLOOKUP($N492,Capa!$A:$AE,BH$5,0)="",0,VLOOKUP($N492,Capa!$A:$AE,BH$5,0)),0),IF(ISERROR(1/VLOOKUP($N492,Capa!$A:$AE,BH$5,0)),0,1/VLOOKUP($N492,Capa!$A:$AE,BH$5,0))))</f>
        <v/>
      </c>
      <c r="BI492" s="118" t="str">
        <f>IF(BI$6="","",IF(BI$3="Maior",IFERROR(IF(VLOOKUP($N492,Capa!$A:$AE,BI$5,0)="",0,VLOOKUP($N492,Capa!$A:$AE,BI$5,0)),0),IF(ISERROR(1/VLOOKUP($N492,Capa!$A:$AE,BI$5,0)),0,1/VLOOKUP($N492,Capa!$A:$AE,BI$5,0))))</f>
        <v/>
      </c>
      <c r="BJ492" s="118" t="str">
        <f>IF(BJ$6="","",IF(BJ$3="Maior",IFERROR(IF(VLOOKUP($N492,Capa!$A:$AE,BJ$5,0)="",0,VLOOKUP($N492,Capa!$A:$AE,BJ$5,0)),0),IF(ISERROR(1/VLOOKUP($N492,Capa!$A:$AE,BJ$5,0)),0,1/VLOOKUP($N492,Capa!$A:$AE,BJ$5,0))))</f>
        <v/>
      </c>
      <c r="BK492" s="118" t="str">
        <f>IF(BK$6="","",IF(BK$3="Maior",IFERROR(IF(VLOOKUP($N492,Capa!$A:$AE,BK$5,0)="",0,VLOOKUP($N492,Capa!$A:$AE,BK$5,0)),0),IF(ISERROR(1/VLOOKUP($N492,Capa!$A:$AE,BK$5,0)),0,1/VLOOKUP($N492,Capa!$A:$AE,BK$5,0))))</f>
        <v/>
      </c>
      <c r="BL492" s="118" t="str">
        <f>IF(BL$6="","",IF(BL$3="Maior",IFERROR(IF(VLOOKUP($N492,Capa!$A:$AE,BL$5,0)="",0,VLOOKUP($N492,Capa!$A:$AE,BL$5,0)),0),IF(ISERROR(1/VLOOKUP($N492,Capa!$A:$AE,BL$5,0)),0,1/VLOOKUP($N492,Capa!$A:$AE,BL$5,0))))</f>
        <v/>
      </c>
      <c r="BM492" s="118" t="str">
        <f>IF(BM$6="","",IF(BM$3="Maior",IFERROR(IF(VLOOKUP($N492,Capa!$A:$AE,BM$5,0)="",0,VLOOKUP($N492,Capa!$A:$AE,BM$5,0)),0),IF(ISERROR(1/VLOOKUP($N492,Capa!$A:$AE,BM$5,0)),0,1/VLOOKUP($N492,Capa!$A:$AE,BM$5,0))))</f>
        <v/>
      </c>
      <c r="BN492" s="118" t="str">
        <f>IF(BN$6="","",IF(BN$3="Maior",IFERROR(IF(VLOOKUP($N492,Capa!$A:$AE,BN$5,0)="",0,VLOOKUP($N492,Capa!$A:$AE,BN$5,0)),0),IF(ISERROR(1/VLOOKUP($N492,Capa!$A:$AE,BN$5,0)),0,1/VLOOKUP($N492,Capa!$A:$AE,BN$5,0))))</f>
        <v/>
      </c>
      <c r="BO492" s="92"/>
    </row>
    <row r="493">
      <c r="I493" s="73"/>
      <c r="J493" s="74"/>
      <c r="N493" s="10" t="s">
        <v>539</v>
      </c>
      <c r="O493" s="113">
        <f t="shared" si="8"/>
        <v>1291.0015</v>
      </c>
      <c r="P493" s="114">
        <f>VLOOKUP(N493,'Dados StatusInvest'!A:Z,26,0)</f>
        <v>3197.67</v>
      </c>
      <c r="Q493" s="115">
        <f t="shared" si="9"/>
        <v>15.0015</v>
      </c>
      <c r="R493" s="116">
        <f t="shared" ref="R493:AO493" si="496">IF(AQ493="","", RANK(AQ493,AQ$7:AQ$503,0))</f>
        <v>57</v>
      </c>
      <c r="S493" s="115">
        <f t="shared" si="496"/>
        <v>219</v>
      </c>
      <c r="T493" s="115" t="str">
        <f t="shared" si="496"/>
        <v/>
      </c>
      <c r="U493" s="115" t="str">
        <f t="shared" si="496"/>
        <v/>
      </c>
      <c r="V493" s="115" t="str">
        <f t="shared" si="496"/>
        <v/>
      </c>
      <c r="W493" s="115" t="str">
        <f t="shared" si="496"/>
        <v/>
      </c>
      <c r="X493" s="115" t="str">
        <f t="shared" si="496"/>
        <v/>
      </c>
      <c r="Y493" s="115" t="str">
        <f t="shared" si="496"/>
        <v/>
      </c>
      <c r="Z493" s="115" t="str">
        <f t="shared" si="496"/>
        <v/>
      </c>
      <c r="AA493" s="115" t="str">
        <f t="shared" si="496"/>
        <v/>
      </c>
      <c r="AB493" s="115" t="str">
        <f t="shared" si="496"/>
        <v/>
      </c>
      <c r="AC493" s="115" t="str">
        <f t="shared" si="496"/>
        <v/>
      </c>
      <c r="AD493" s="115" t="str">
        <f t="shared" si="496"/>
        <v/>
      </c>
      <c r="AE493" s="115" t="str">
        <f t="shared" si="496"/>
        <v/>
      </c>
      <c r="AF493" s="115" t="str">
        <f t="shared" si="496"/>
        <v/>
      </c>
      <c r="AG493" s="115" t="str">
        <f t="shared" si="496"/>
        <v/>
      </c>
      <c r="AH493" s="115" t="str">
        <f t="shared" si="496"/>
        <v/>
      </c>
      <c r="AI493" s="115" t="str">
        <f t="shared" si="496"/>
        <v/>
      </c>
      <c r="AJ493" s="115" t="str">
        <f t="shared" si="496"/>
        <v/>
      </c>
      <c r="AK493" s="115" t="str">
        <f t="shared" si="496"/>
        <v/>
      </c>
      <c r="AL493" s="115" t="str">
        <f t="shared" si="496"/>
        <v/>
      </c>
      <c r="AM493" s="115" t="str">
        <f t="shared" si="496"/>
        <v/>
      </c>
      <c r="AN493" s="115" t="str">
        <f t="shared" si="496"/>
        <v/>
      </c>
      <c r="AO493" s="115" t="str">
        <f t="shared" si="496"/>
        <v/>
      </c>
      <c r="AP493" s="117">
        <f>IF(AP$6="","",IF(AP$3="Maior",IFERROR(IF(VLOOKUP($N493,Capa!$A:$AE,AP$5,0)="",0,VLOOKUP($N493,Capa!$A:$AE,AP$5,0)),0),IF(ISERROR(1/VLOOKUP($N493,Capa!$A:$AE,AP$5,0)),0,1/VLOOKUP($N493,Capa!$A:$AE,AP$5,0))))</f>
        <v>0.487804878</v>
      </c>
      <c r="AQ493" s="118">
        <f>IF(AQ$6="","",IF(AQ$3="Maior",IFERROR(IF(VLOOKUP($N493,Capa!$A:$AE,AQ$5,0)="",0,VLOOKUP($N493,Capa!$A:$AE,AQ$5,0)),0),IF(ISERROR(1/VLOOKUP($N493,Capa!$A:$AE,AQ$5,0)),0,1/VLOOKUP($N493,Capa!$A:$AE,AQ$5,0))))</f>
        <v>24.18</v>
      </c>
      <c r="AR493" s="118">
        <f>IF(AR$6="","",IF(AR$3="Maior",IFERROR(IF(VLOOKUP($N493,Capa!$A:$AE,AR$5,0)="",0,VLOOKUP($N493,Capa!$A:$AE,AR$5,0)),0),IF(ISERROR(1/VLOOKUP($N493,Capa!$A:$AE,AR$5,0)),0,1/VLOOKUP($N493,Capa!$A:$AE,AR$5,0))))</f>
        <v>0</v>
      </c>
      <c r="AS493" s="118" t="str">
        <f>IF(AS$6="","",IF(AS$3="Maior",IFERROR(IF(VLOOKUP($N493,Capa!$A:$AE,AS$5,0)="",0,VLOOKUP($N493,Capa!$A:$AE,AS$5,0)),0),IF(ISERROR(1/VLOOKUP($N493,Capa!$A:$AE,AS$5,0)),0,1/VLOOKUP($N493,Capa!$A:$AE,AS$5,0))))</f>
        <v/>
      </c>
      <c r="AT493" s="118" t="str">
        <f>IF(AT$6="","",IF(AT$3="Maior",IFERROR(IF(VLOOKUP($N493,Capa!$A:$AE,AT$5,0)="",0,VLOOKUP($N493,Capa!$A:$AE,AT$5,0)),0),IF(ISERROR(1/VLOOKUP($N493,Capa!$A:$AE,AT$5,0)),0,1/VLOOKUP($N493,Capa!$A:$AE,AT$5,0))))</f>
        <v/>
      </c>
      <c r="AU493" s="118" t="str">
        <f>IF(AU$6="","",IF(AU$3="Maior",IFERROR(IF(VLOOKUP($N493,Capa!$A:$AE,AU$5,0)="",0,VLOOKUP($N493,Capa!$A:$AE,AU$5,0)),0),IF(ISERROR(1/VLOOKUP($N493,Capa!$A:$AE,AU$5,0)),0,1/VLOOKUP($N493,Capa!$A:$AE,AU$5,0))))</f>
        <v/>
      </c>
      <c r="AV493" s="118" t="str">
        <f>IF(AV$6="","",IF(AV$3="Maior",IFERROR(IF(VLOOKUP($N493,Capa!$A:$AE,AV$5,0)="",0,VLOOKUP($N493,Capa!$A:$AE,AV$5,0)),0),IF(ISERROR(1/VLOOKUP($N493,Capa!$A:$AE,AV$5,0)),0,1/VLOOKUP($N493,Capa!$A:$AE,AV$5,0))))</f>
        <v/>
      </c>
      <c r="AW493" s="118" t="str">
        <f>IF(AW$6="","",IF(AW$3="Maior",IFERROR(IF(VLOOKUP($N493,Capa!$A:$AE,AW$5,0)="",0,VLOOKUP($N493,Capa!$A:$AE,AW$5,0)),0),IF(ISERROR(1/VLOOKUP($N493,Capa!$A:$AE,AW$5,0)),0,1/VLOOKUP($N493,Capa!$A:$AE,AW$5,0))))</f>
        <v/>
      </c>
      <c r="AX493" s="118" t="str">
        <f>IF(AX$6="","",IF(AX$3="Maior",IFERROR(IF(VLOOKUP($N493,Capa!$A:$AE,AX$5,0)="",0,VLOOKUP($N493,Capa!$A:$AE,AX$5,0)),0),IF(ISERROR(1/VLOOKUP($N493,Capa!$A:$AE,AX$5,0)),0,1/VLOOKUP($N493,Capa!$A:$AE,AX$5,0))))</f>
        <v/>
      </c>
      <c r="AY493" s="118" t="str">
        <f>IF(AY$6="","",IF(AY$3="Maior",IFERROR(IF(VLOOKUP($N493,Capa!$A:$AE,AY$5,0)="",0,VLOOKUP($N493,Capa!$A:$AE,AY$5,0)),0),IF(ISERROR(1/VLOOKUP($N493,Capa!$A:$AE,AY$5,0)),0,1/VLOOKUP($N493,Capa!$A:$AE,AY$5,0))))</f>
        <v/>
      </c>
      <c r="AZ493" s="118" t="str">
        <f>IF(AZ$6="","",IF(AZ$3="Maior",IFERROR(IF(VLOOKUP($N493,Capa!$A:$AE,AZ$5,0)="",0,VLOOKUP($N493,Capa!$A:$AE,AZ$5,0)),0),IF(ISERROR(1/VLOOKUP($N493,Capa!$A:$AE,AZ$5,0)),0,1/VLOOKUP($N493,Capa!$A:$AE,AZ$5,0))))</f>
        <v/>
      </c>
      <c r="BA493" s="118" t="str">
        <f>IF(BA$6="","",IF(BA$3="Maior",IFERROR(IF(VLOOKUP($N493,Capa!$A:$AE,BA$5,0)="",0,VLOOKUP($N493,Capa!$A:$AE,BA$5,0)),0),IF(ISERROR(1/VLOOKUP($N493,Capa!$A:$AE,BA$5,0)),0,1/VLOOKUP($N493,Capa!$A:$AE,BA$5,0))))</f>
        <v/>
      </c>
      <c r="BB493" s="118" t="str">
        <f>IF(BB$6="","",IF(BB$3="Maior",IFERROR(IF(VLOOKUP($N493,Capa!$A:$AE,BB$5,0)="",0,VLOOKUP($N493,Capa!$A:$AE,BB$5,0)),0),IF(ISERROR(1/VLOOKUP($N493,Capa!$A:$AE,BB$5,0)),0,1/VLOOKUP($N493,Capa!$A:$AE,BB$5,0))))</f>
        <v/>
      </c>
      <c r="BC493" s="118" t="str">
        <f>IF(BC$6="","",IF(BC$3="Maior",IFERROR(IF(VLOOKUP($N493,Capa!$A:$AE,BC$5,0)="",0,VLOOKUP($N493,Capa!$A:$AE,BC$5,0)),0),IF(ISERROR(1/VLOOKUP($N493,Capa!$A:$AE,BC$5,0)),0,1/VLOOKUP($N493,Capa!$A:$AE,BC$5,0))))</f>
        <v/>
      </c>
      <c r="BD493" s="118" t="str">
        <f>IF(BD$6="","",IF(BD$3="Maior",IFERROR(IF(VLOOKUP($N493,Capa!$A:$AE,BD$5,0)="",0,VLOOKUP($N493,Capa!$A:$AE,BD$5,0)),0),IF(ISERROR(1/VLOOKUP($N493,Capa!$A:$AE,BD$5,0)),0,1/VLOOKUP($N493,Capa!$A:$AE,BD$5,0))))</f>
        <v/>
      </c>
      <c r="BE493" s="118" t="str">
        <f>IF(BE$6="","",IF(BE$3="Maior",IFERROR(IF(VLOOKUP($N493,Capa!$A:$AE,BE$5,0)="",0,VLOOKUP($N493,Capa!$A:$AE,BE$5,0)),0),IF(ISERROR(1/VLOOKUP($N493,Capa!$A:$AE,BE$5,0)),0,1/VLOOKUP($N493,Capa!$A:$AE,BE$5,0))))</f>
        <v/>
      </c>
      <c r="BF493" s="118" t="str">
        <f>IF(BF$6="","",IF(BF$3="Maior",IFERROR(IF(VLOOKUP($N493,Capa!$A:$AE,BF$5,0)="",0,VLOOKUP($N493,Capa!$A:$AE,BF$5,0)),0),IF(ISERROR(1/VLOOKUP($N493,Capa!$A:$AE,BF$5,0)),0,1/VLOOKUP($N493,Capa!$A:$AE,BF$5,0))))</f>
        <v/>
      </c>
      <c r="BG493" s="118" t="str">
        <f>IF(BG$6="","",IF(BG$3="Maior",IFERROR(IF(VLOOKUP($N493,Capa!$A:$AE,BG$5,0)="",0,VLOOKUP($N493,Capa!$A:$AE,BG$5,0)),0),IF(ISERROR(1/VLOOKUP($N493,Capa!$A:$AE,BG$5,0)),0,1/VLOOKUP($N493,Capa!$A:$AE,BG$5,0))))</f>
        <v/>
      </c>
      <c r="BH493" s="118" t="str">
        <f>IF(BH$6="","",IF(BH$3="Maior",IFERROR(IF(VLOOKUP($N493,Capa!$A:$AE,BH$5,0)="",0,VLOOKUP($N493,Capa!$A:$AE,BH$5,0)),0),IF(ISERROR(1/VLOOKUP($N493,Capa!$A:$AE,BH$5,0)),0,1/VLOOKUP($N493,Capa!$A:$AE,BH$5,0))))</f>
        <v/>
      </c>
      <c r="BI493" s="118" t="str">
        <f>IF(BI$6="","",IF(BI$3="Maior",IFERROR(IF(VLOOKUP($N493,Capa!$A:$AE,BI$5,0)="",0,VLOOKUP($N493,Capa!$A:$AE,BI$5,0)),0),IF(ISERROR(1/VLOOKUP($N493,Capa!$A:$AE,BI$5,0)),0,1/VLOOKUP($N493,Capa!$A:$AE,BI$5,0))))</f>
        <v/>
      </c>
      <c r="BJ493" s="118" t="str">
        <f>IF(BJ$6="","",IF(BJ$3="Maior",IFERROR(IF(VLOOKUP($N493,Capa!$A:$AE,BJ$5,0)="",0,VLOOKUP($N493,Capa!$A:$AE,BJ$5,0)),0),IF(ISERROR(1/VLOOKUP($N493,Capa!$A:$AE,BJ$5,0)),0,1/VLOOKUP($N493,Capa!$A:$AE,BJ$5,0))))</f>
        <v/>
      </c>
      <c r="BK493" s="118" t="str">
        <f>IF(BK$6="","",IF(BK$3="Maior",IFERROR(IF(VLOOKUP($N493,Capa!$A:$AE,BK$5,0)="",0,VLOOKUP($N493,Capa!$A:$AE,BK$5,0)),0),IF(ISERROR(1/VLOOKUP($N493,Capa!$A:$AE,BK$5,0)),0,1/VLOOKUP($N493,Capa!$A:$AE,BK$5,0))))</f>
        <v/>
      </c>
      <c r="BL493" s="118" t="str">
        <f>IF(BL$6="","",IF(BL$3="Maior",IFERROR(IF(VLOOKUP($N493,Capa!$A:$AE,BL$5,0)="",0,VLOOKUP($N493,Capa!$A:$AE,BL$5,0)),0),IF(ISERROR(1/VLOOKUP($N493,Capa!$A:$AE,BL$5,0)),0,1/VLOOKUP($N493,Capa!$A:$AE,BL$5,0))))</f>
        <v/>
      </c>
      <c r="BM493" s="118" t="str">
        <f>IF(BM$6="","",IF(BM$3="Maior",IFERROR(IF(VLOOKUP($N493,Capa!$A:$AE,BM$5,0)="",0,VLOOKUP($N493,Capa!$A:$AE,BM$5,0)),0),IF(ISERROR(1/VLOOKUP($N493,Capa!$A:$AE,BM$5,0)),0,1/VLOOKUP($N493,Capa!$A:$AE,BM$5,0))))</f>
        <v/>
      </c>
      <c r="BN493" s="118" t="str">
        <f>IF(BN$6="","",IF(BN$3="Maior",IFERROR(IF(VLOOKUP($N493,Capa!$A:$AE,BN$5,0)="",0,VLOOKUP($N493,Capa!$A:$AE,BN$5,0)),0),IF(ISERROR(1/VLOOKUP($N493,Capa!$A:$AE,BN$5,0)),0,1/VLOOKUP($N493,Capa!$A:$AE,BN$5,0))))</f>
        <v/>
      </c>
      <c r="BO493" s="92"/>
    </row>
    <row r="494">
      <c r="I494" s="73"/>
      <c r="J494" s="74"/>
      <c r="N494" s="10" t="s">
        <v>540</v>
      </c>
      <c r="O494" s="113">
        <f t="shared" si="8"/>
        <v>2210.048</v>
      </c>
      <c r="P494" s="114">
        <f>VLOOKUP(N494,'Dados StatusInvest'!A:Z,26,0)</f>
        <v>1053.67</v>
      </c>
      <c r="Q494" s="115">
        <f t="shared" si="9"/>
        <v>480.048</v>
      </c>
      <c r="R494" s="116">
        <f t="shared" ref="R494:AO494" si="497">IF(AQ494="","", RANK(AQ494,AQ$7:AQ$503,0))</f>
        <v>246</v>
      </c>
      <c r="S494" s="115">
        <f t="shared" si="497"/>
        <v>484</v>
      </c>
      <c r="T494" s="115" t="str">
        <f t="shared" si="497"/>
        <v/>
      </c>
      <c r="U494" s="115" t="str">
        <f t="shared" si="497"/>
        <v/>
      </c>
      <c r="V494" s="115" t="str">
        <f t="shared" si="497"/>
        <v/>
      </c>
      <c r="W494" s="115" t="str">
        <f t="shared" si="497"/>
        <v/>
      </c>
      <c r="X494" s="115" t="str">
        <f t="shared" si="497"/>
        <v/>
      </c>
      <c r="Y494" s="115" t="str">
        <f t="shared" si="497"/>
        <v/>
      </c>
      <c r="Z494" s="115" t="str">
        <f t="shared" si="497"/>
        <v/>
      </c>
      <c r="AA494" s="115" t="str">
        <f t="shared" si="497"/>
        <v/>
      </c>
      <c r="AB494" s="115" t="str">
        <f t="shared" si="497"/>
        <v/>
      </c>
      <c r="AC494" s="115" t="str">
        <f t="shared" si="497"/>
        <v/>
      </c>
      <c r="AD494" s="115" t="str">
        <f t="shared" si="497"/>
        <v/>
      </c>
      <c r="AE494" s="115" t="str">
        <f t="shared" si="497"/>
        <v/>
      </c>
      <c r="AF494" s="115" t="str">
        <f t="shared" si="497"/>
        <v/>
      </c>
      <c r="AG494" s="115" t="str">
        <f t="shared" si="497"/>
        <v/>
      </c>
      <c r="AH494" s="115" t="str">
        <f t="shared" si="497"/>
        <v/>
      </c>
      <c r="AI494" s="115" t="str">
        <f t="shared" si="497"/>
        <v/>
      </c>
      <c r="AJ494" s="115" t="str">
        <f t="shared" si="497"/>
        <v/>
      </c>
      <c r="AK494" s="115" t="str">
        <f t="shared" si="497"/>
        <v/>
      </c>
      <c r="AL494" s="115" t="str">
        <f t="shared" si="497"/>
        <v/>
      </c>
      <c r="AM494" s="115" t="str">
        <f t="shared" si="497"/>
        <v/>
      </c>
      <c r="AN494" s="115" t="str">
        <f t="shared" si="497"/>
        <v/>
      </c>
      <c r="AO494" s="115" t="str">
        <f t="shared" si="497"/>
        <v/>
      </c>
      <c r="AP494" s="117">
        <f>IF(AP$6="","",IF(AP$3="Maior",IFERROR(IF(VLOOKUP($N494,Capa!$A:$AE,AP$5,0)="",0,VLOOKUP($N494,Capa!$A:$AE,AP$5,0)),0),IF(ISERROR(1/VLOOKUP($N494,Capa!$A:$AE,AP$5,0)),0,1/VLOOKUP($N494,Capa!$A:$AE,AP$5,0))))</f>
        <v>-0.2280860553</v>
      </c>
      <c r="AQ494" s="118">
        <f>IF(AQ$6="","",IF(AQ$3="Maior",IFERROR(IF(VLOOKUP($N494,Capa!$A:$AE,AQ$5,0)="",0,VLOOKUP($N494,Capa!$A:$AE,AQ$5,0)),0),IF(ISERROR(1/VLOOKUP($N494,Capa!$A:$AE,AQ$5,0)),0,1/VLOOKUP($N494,Capa!$A:$AE,AQ$5,0))))</f>
        <v>8.38</v>
      </c>
      <c r="AR494" s="118">
        <f>IF(AR$6="","",IF(AR$3="Maior",IFERROR(IF(VLOOKUP($N494,Capa!$A:$AE,AR$5,0)="",0,VLOOKUP($N494,Capa!$A:$AE,AR$5,0)),0),IF(ISERROR(1/VLOOKUP($N494,Capa!$A:$AE,AR$5,0)),0,1/VLOOKUP($N494,Capa!$A:$AE,AR$5,0))))</f>
        <v>-16.72</v>
      </c>
      <c r="AS494" s="118" t="str">
        <f>IF(AS$6="","",IF(AS$3="Maior",IFERROR(IF(VLOOKUP($N494,Capa!$A:$AE,AS$5,0)="",0,VLOOKUP($N494,Capa!$A:$AE,AS$5,0)),0),IF(ISERROR(1/VLOOKUP($N494,Capa!$A:$AE,AS$5,0)),0,1/VLOOKUP($N494,Capa!$A:$AE,AS$5,0))))</f>
        <v/>
      </c>
      <c r="AT494" s="118" t="str">
        <f>IF(AT$6="","",IF(AT$3="Maior",IFERROR(IF(VLOOKUP($N494,Capa!$A:$AE,AT$5,0)="",0,VLOOKUP($N494,Capa!$A:$AE,AT$5,0)),0),IF(ISERROR(1/VLOOKUP($N494,Capa!$A:$AE,AT$5,0)),0,1/VLOOKUP($N494,Capa!$A:$AE,AT$5,0))))</f>
        <v/>
      </c>
      <c r="AU494" s="118" t="str">
        <f>IF(AU$6="","",IF(AU$3="Maior",IFERROR(IF(VLOOKUP($N494,Capa!$A:$AE,AU$5,0)="",0,VLOOKUP($N494,Capa!$A:$AE,AU$5,0)),0),IF(ISERROR(1/VLOOKUP($N494,Capa!$A:$AE,AU$5,0)),0,1/VLOOKUP($N494,Capa!$A:$AE,AU$5,0))))</f>
        <v/>
      </c>
      <c r="AV494" s="118" t="str">
        <f>IF(AV$6="","",IF(AV$3="Maior",IFERROR(IF(VLOOKUP($N494,Capa!$A:$AE,AV$5,0)="",0,VLOOKUP($N494,Capa!$A:$AE,AV$5,0)),0),IF(ISERROR(1/VLOOKUP($N494,Capa!$A:$AE,AV$5,0)),0,1/VLOOKUP($N494,Capa!$A:$AE,AV$5,0))))</f>
        <v/>
      </c>
      <c r="AW494" s="118" t="str">
        <f>IF(AW$6="","",IF(AW$3="Maior",IFERROR(IF(VLOOKUP($N494,Capa!$A:$AE,AW$5,0)="",0,VLOOKUP($N494,Capa!$A:$AE,AW$5,0)),0),IF(ISERROR(1/VLOOKUP($N494,Capa!$A:$AE,AW$5,0)),0,1/VLOOKUP($N494,Capa!$A:$AE,AW$5,0))))</f>
        <v/>
      </c>
      <c r="AX494" s="118" t="str">
        <f>IF(AX$6="","",IF(AX$3="Maior",IFERROR(IF(VLOOKUP($N494,Capa!$A:$AE,AX$5,0)="",0,VLOOKUP($N494,Capa!$A:$AE,AX$5,0)),0),IF(ISERROR(1/VLOOKUP($N494,Capa!$A:$AE,AX$5,0)),0,1/VLOOKUP($N494,Capa!$A:$AE,AX$5,0))))</f>
        <v/>
      </c>
      <c r="AY494" s="118" t="str">
        <f>IF(AY$6="","",IF(AY$3="Maior",IFERROR(IF(VLOOKUP($N494,Capa!$A:$AE,AY$5,0)="",0,VLOOKUP($N494,Capa!$A:$AE,AY$5,0)),0),IF(ISERROR(1/VLOOKUP($N494,Capa!$A:$AE,AY$5,0)),0,1/VLOOKUP($N494,Capa!$A:$AE,AY$5,0))))</f>
        <v/>
      </c>
      <c r="AZ494" s="118" t="str">
        <f>IF(AZ$6="","",IF(AZ$3="Maior",IFERROR(IF(VLOOKUP($N494,Capa!$A:$AE,AZ$5,0)="",0,VLOOKUP($N494,Capa!$A:$AE,AZ$5,0)),0),IF(ISERROR(1/VLOOKUP($N494,Capa!$A:$AE,AZ$5,0)),0,1/VLOOKUP($N494,Capa!$A:$AE,AZ$5,0))))</f>
        <v/>
      </c>
      <c r="BA494" s="118" t="str">
        <f>IF(BA$6="","",IF(BA$3="Maior",IFERROR(IF(VLOOKUP($N494,Capa!$A:$AE,BA$5,0)="",0,VLOOKUP($N494,Capa!$A:$AE,BA$5,0)),0),IF(ISERROR(1/VLOOKUP($N494,Capa!$A:$AE,BA$5,0)),0,1/VLOOKUP($N494,Capa!$A:$AE,BA$5,0))))</f>
        <v/>
      </c>
      <c r="BB494" s="118" t="str">
        <f>IF(BB$6="","",IF(BB$3="Maior",IFERROR(IF(VLOOKUP($N494,Capa!$A:$AE,BB$5,0)="",0,VLOOKUP($N494,Capa!$A:$AE,BB$5,0)),0),IF(ISERROR(1/VLOOKUP($N494,Capa!$A:$AE,BB$5,0)),0,1/VLOOKUP($N494,Capa!$A:$AE,BB$5,0))))</f>
        <v/>
      </c>
      <c r="BC494" s="118" t="str">
        <f>IF(BC$6="","",IF(BC$3="Maior",IFERROR(IF(VLOOKUP($N494,Capa!$A:$AE,BC$5,0)="",0,VLOOKUP($N494,Capa!$A:$AE,BC$5,0)),0),IF(ISERROR(1/VLOOKUP($N494,Capa!$A:$AE,BC$5,0)),0,1/VLOOKUP($N494,Capa!$A:$AE,BC$5,0))))</f>
        <v/>
      </c>
      <c r="BD494" s="118" t="str">
        <f>IF(BD$6="","",IF(BD$3="Maior",IFERROR(IF(VLOOKUP($N494,Capa!$A:$AE,BD$5,0)="",0,VLOOKUP($N494,Capa!$A:$AE,BD$5,0)),0),IF(ISERROR(1/VLOOKUP($N494,Capa!$A:$AE,BD$5,0)),0,1/VLOOKUP($N494,Capa!$A:$AE,BD$5,0))))</f>
        <v/>
      </c>
      <c r="BE494" s="118" t="str">
        <f>IF(BE$6="","",IF(BE$3="Maior",IFERROR(IF(VLOOKUP($N494,Capa!$A:$AE,BE$5,0)="",0,VLOOKUP($N494,Capa!$A:$AE,BE$5,0)),0),IF(ISERROR(1/VLOOKUP($N494,Capa!$A:$AE,BE$5,0)),0,1/VLOOKUP($N494,Capa!$A:$AE,BE$5,0))))</f>
        <v/>
      </c>
      <c r="BF494" s="118" t="str">
        <f>IF(BF$6="","",IF(BF$3="Maior",IFERROR(IF(VLOOKUP($N494,Capa!$A:$AE,BF$5,0)="",0,VLOOKUP($N494,Capa!$A:$AE,BF$5,0)),0),IF(ISERROR(1/VLOOKUP($N494,Capa!$A:$AE,BF$5,0)),0,1/VLOOKUP($N494,Capa!$A:$AE,BF$5,0))))</f>
        <v/>
      </c>
      <c r="BG494" s="118" t="str">
        <f>IF(BG$6="","",IF(BG$3="Maior",IFERROR(IF(VLOOKUP($N494,Capa!$A:$AE,BG$5,0)="",0,VLOOKUP($N494,Capa!$A:$AE,BG$5,0)),0),IF(ISERROR(1/VLOOKUP($N494,Capa!$A:$AE,BG$5,0)),0,1/VLOOKUP($N494,Capa!$A:$AE,BG$5,0))))</f>
        <v/>
      </c>
      <c r="BH494" s="118" t="str">
        <f>IF(BH$6="","",IF(BH$3="Maior",IFERROR(IF(VLOOKUP($N494,Capa!$A:$AE,BH$5,0)="",0,VLOOKUP($N494,Capa!$A:$AE,BH$5,0)),0),IF(ISERROR(1/VLOOKUP($N494,Capa!$A:$AE,BH$5,0)),0,1/VLOOKUP($N494,Capa!$A:$AE,BH$5,0))))</f>
        <v/>
      </c>
      <c r="BI494" s="118" t="str">
        <f>IF(BI$6="","",IF(BI$3="Maior",IFERROR(IF(VLOOKUP($N494,Capa!$A:$AE,BI$5,0)="",0,VLOOKUP($N494,Capa!$A:$AE,BI$5,0)),0),IF(ISERROR(1/VLOOKUP($N494,Capa!$A:$AE,BI$5,0)),0,1/VLOOKUP($N494,Capa!$A:$AE,BI$5,0))))</f>
        <v/>
      </c>
      <c r="BJ494" s="118" t="str">
        <f>IF(BJ$6="","",IF(BJ$3="Maior",IFERROR(IF(VLOOKUP($N494,Capa!$A:$AE,BJ$5,0)="",0,VLOOKUP($N494,Capa!$A:$AE,BJ$5,0)),0),IF(ISERROR(1/VLOOKUP($N494,Capa!$A:$AE,BJ$5,0)),0,1/VLOOKUP($N494,Capa!$A:$AE,BJ$5,0))))</f>
        <v/>
      </c>
      <c r="BK494" s="118" t="str">
        <f>IF(BK$6="","",IF(BK$3="Maior",IFERROR(IF(VLOOKUP($N494,Capa!$A:$AE,BK$5,0)="",0,VLOOKUP($N494,Capa!$A:$AE,BK$5,0)),0),IF(ISERROR(1/VLOOKUP($N494,Capa!$A:$AE,BK$5,0)),0,1/VLOOKUP($N494,Capa!$A:$AE,BK$5,0))))</f>
        <v/>
      </c>
      <c r="BL494" s="118" t="str">
        <f>IF(BL$6="","",IF(BL$3="Maior",IFERROR(IF(VLOOKUP($N494,Capa!$A:$AE,BL$5,0)="",0,VLOOKUP($N494,Capa!$A:$AE,BL$5,0)),0),IF(ISERROR(1/VLOOKUP($N494,Capa!$A:$AE,BL$5,0)),0,1/VLOOKUP($N494,Capa!$A:$AE,BL$5,0))))</f>
        <v/>
      </c>
      <c r="BM494" s="118" t="str">
        <f>IF(BM$6="","",IF(BM$3="Maior",IFERROR(IF(VLOOKUP($N494,Capa!$A:$AE,BM$5,0)="",0,VLOOKUP($N494,Capa!$A:$AE,BM$5,0)),0),IF(ISERROR(1/VLOOKUP($N494,Capa!$A:$AE,BM$5,0)),0,1/VLOOKUP($N494,Capa!$A:$AE,BM$5,0))))</f>
        <v/>
      </c>
      <c r="BN494" s="118" t="str">
        <f>IF(BN$6="","",IF(BN$3="Maior",IFERROR(IF(VLOOKUP($N494,Capa!$A:$AE,BN$5,0)="",0,VLOOKUP($N494,Capa!$A:$AE,BN$5,0)),0),IF(ISERROR(1/VLOOKUP($N494,Capa!$A:$AE,BN$5,0)),0,1/VLOOKUP($N494,Capa!$A:$AE,BN$5,0))))</f>
        <v/>
      </c>
      <c r="BO494" s="92"/>
    </row>
    <row r="495">
      <c r="I495" s="73"/>
      <c r="J495" s="74"/>
      <c r="N495" s="10" t="s">
        <v>541</v>
      </c>
      <c r="O495" s="113">
        <f t="shared" si="8"/>
        <v>2203.0473</v>
      </c>
      <c r="P495" s="114">
        <f>VLOOKUP(N495,'Dados StatusInvest'!A:Z,26,0)</f>
        <v>1801.2</v>
      </c>
      <c r="Q495" s="115">
        <f t="shared" si="9"/>
        <v>473.0473</v>
      </c>
      <c r="R495" s="116">
        <f t="shared" ref="R495:AO495" si="498">IF(AQ495="","", RANK(AQ495,AQ$7:AQ$503,0))</f>
        <v>246</v>
      </c>
      <c r="S495" s="115">
        <f t="shared" si="498"/>
        <v>484</v>
      </c>
      <c r="T495" s="115" t="str">
        <f t="shared" si="498"/>
        <v/>
      </c>
      <c r="U495" s="115" t="str">
        <f t="shared" si="498"/>
        <v/>
      </c>
      <c r="V495" s="115" t="str">
        <f t="shared" si="498"/>
        <v/>
      </c>
      <c r="W495" s="115" t="str">
        <f t="shared" si="498"/>
        <v/>
      </c>
      <c r="X495" s="115" t="str">
        <f t="shared" si="498"/>
        <v/>
      </c>
      <c r="Y495" s="115" t="str">
        <f t="shared" si="498"/>
        <v/>
      </c>
      <c r="Z495" s="115" t="str">
        <f t="shared" si="498"/>
        <v/>
      </c>
      <c r="AA495" s="115" t="str">
        <f t="shared" si="498"/>
        <v/>
      </c>
      <c r="AB495" s="115" t="str">
        <f t="shared" si="498"/>
        <v/>
      </c>
      <c r="AC495" s="115" t="str">
        <f t="shared" si="498"/>
        <v/>
      </c>
      <c r="AD495" s="115" t="str">
        <f t="shared" si="498"/>
        <v/>
      </c>
      <c r="AE495" s="115" t="str">
        <f t="shared" si="498"/>
        <v/>
      </c>
      <c r="AF495" s="115" t="str">
        <f t="shared" si="498"/>
        <v/>
      </c>
      <c r="AG495" s="115" t="str">
        <f t="shared" si="498"/>
        <v/>
      </c>
      <c r="AH495" s="115" t="str">
        <f t="shared" si="498"/>
        <v/>
      </c>
      <c r="AI495" s="115" t="str">
        <f t="shared" si="498"/>
        <v/>
      </c>
      <c r="AJ495" s="115" t="str">
        <f t="shared" si="498"/>
        <v/>
      </c>
      <c r="AK495" s="115" t="str">
        <f t="shared" si="498"/>
        <v/>
      </c>
      <c r="AL495" s="115" t="str">
        <f t="shared" si="498"/>
        <v/>
      </c>
      <c r="AM495" s="115" t="str">
        <f t="shared" si="498"/>
        <v/>
      </c>
      <c r="AN495" s="115" t="str">
        <f t="shared" si="498"/>
        <v/>
      </c>
      <c r="AO495" s="115" t="str">
        <f t="shared" si="498"/>
        <v/>
      </c>
      <c r="AP495" s="117">
        <f>IF(AP$6="","",IF(AP$3="Maior",IFERROR(IF(VLOOKUP($N495,Capa!$A:$AE,AP$5,0)="",0,VLOOKUP($N495,Capa!$A:$AE,AP$5,0)),0),IF(ISERROR(1/VLOOKUP($N495,Capa!$A:$AE,AP$5,0)),0,1/VLOOKUP($N495,Capa!$A:$AE,AP$5,0))))</f>
        <v>-0.2057613169</v>
      </c>
      <c r="AQ495" s="118">
        <f>IF(AQ$6="","",IF(AQ$3="Maior",IFERROR(IF(VLOOKUP($N495,Capa!$A:$AE,AQ$5,0)="",0,VLOOKUP($N495,Capa!$A:$AE,AQ$5,0)),0),IF(ISERROR(1/VLOOKUP($N495,Capa!$A:$AE,AQ$5,0)),0,1/VLOOKUP($N495,Capa!$A:$AE,AQ$5,0))))</f>
        <v>8.38</v>
      </c>
      <c r="AR495" s="118">
        <f>IF(AR$6="","",IF(AR$3="Maior",IFERROR(IF(VLOOKUP($N495,Capa!$A:$AE,AR$5,0)="",0,VLOOKUP($N495,Capa!$A:$AE,AR$5,0)),0),IF(ISERROR(1/VLOOKUP($N495,Capa!$A:$AE,AR$5,0)),0,1/VLOOKUP($N495,Capa!$A:$AE,AR$5,0))))</f>
        <v>-16.72</v>
      </c>
      <c r="AS495" s="118" t="str">
        <f>IF(AS$6="","",IF(AS$3="Maior",IFERROR(IF(VLOOKUP($N495,Capa!$A:$AE,AS$5,0)="",0,VLOOKUP($N495,Capa!$A:$AE,AS$5,0)),0),IF(ISERROR(1/VLOOKUP($N495,Capa!$A:$AE,AS$5,0)),0,1/VLOOKUP($N495,Capa!$A:$AE,AS$5,0))))</f>
        <v/>
      </c>
      <c r="AT495" s="118" t="str">
        <f>IF(AT$6="","",IF(AT$3="Maior",IFERROR(IF(VLOOKUP($N495,Capa!$A:$AE,AT$5,0)="",0,VLOOKUP($N495,Capa!$A:$AE,AT$5,0)),0),IF(ISERROR(1/VLOOKUP($N495,Capa!$A:$AE,AT$5,0)),0,1/VLOOKUP($N495,Capa!$A:$AE,AT$5,0))))</f>
        <v/>
      </c>
      <c r="AU495" s="118" t="str">
        <f>IF(AU$6="","",IF(AU$3="Maior",IFERROR(IF(VLOOKUP($N495,Capa!$A:$AE,AU$5,0)="",0,VLOOKUP($N495,Capa!$A:$AE,AU$5,0)),0),IF(ISERROR(1/VLOOKUP($N495,Capa!$A:$AE,AU$5,0)),0,1/VLOOKUP($N495,Capa!$A:$AE,AU$5,0))))</f>
        <v/>
      </c>
      <c r="AV495" s="118" t="str">
        <f>IF(AV$6="","",IF(AV$3="Maior",IFERROR(IF(VLOOKUP($N495,Capa!$A:$AE,AV$5,0)="",0,VLOOKUP($N495,Capa!$A:$AE,AV$5,0)),0),IF(ISERROR(1/VLOOKUP($N495,Capa!$A:$AE,AV$5,0)),0,1/VLOOKUP($N495,Capa!$A:$AE,AV$5,0))))</f>
        <v/>
      </c>
      <c r="AW495" s="118" t="str">
        <f>IF(AW$6="","",IF(AW$3="Maior",IFERROR(IF(VLOOKUP($N495,Capa!$A:$AE,AW$5,0)="",0,VLOOKUP($N495,Capa!$A:$AE,AW$5,0)),0),IF(ISERROR(1/VLOOKUP($N495,Capa!$A:$AE,AW$5,0)),0,1/VLOOKUP($N495,Capa!$A:$AE,AW$5,0))))</f>
        <v/>
      </c>
      <c r="AX495" s="118" t="str">
        <f>IF(AX$6="","",IF(AX$3="Maior",IFERROR(IF(VLOOKUP($N495,Capa!$A:$AE,AX$5,0)="",0,VLOOKUP($N495,Capa!$A:$AE,AX$5,0)),0),IF(ISERROR(1/VLOOKUP($N495,Capa!$A:$AE,AX$5,0)),0,1/VLOOKUP($N495,Capa!$A:$AE,AX$5,0))))</f>
        <v/>
      </c>
      <c r="AY495" s="118" t="str">
        <f>IF(AY$6="","",IF(AY$3="Maior",IFERROR(IF(VLOOKUP($N495,Capa!$A:$AE,AY$5,0)="",0,VLOOKUP($N495,Capa!$A:$AE,AY$5,0)),0),IF(ISERROR(1/VLOOKUP($N495,Capa!$A:$AE,AY$5,0)),0,1/VLOOKUP($N495,Capa!$A:$AE,AY$5,0))))</f>
        <v/>
      </c>
      <c r="AZ495" s="118" t="str">
        <f>IF(AZ$6="","",IF(AZ$3="Maior",IFERROR(IF(VLOOKUP($N495,Capa!$A:$AE,AZ$5,0)="",0,VLOOKUP($N495,Capa!$A:$AE,AZ$5,0)),0),IF(ISERROR(1/VLOOKUP($N495,Capa!$A:$AE,AZ$5,0)),0,1/VLOOKUP($N495,Capa!$A:$AE,AZ$5,0))))</f>
        <v/>
      </c>
      <c r="BA495" s="118" t="str">
        <f>IF(BA$6="","",IF(BA$3="Maior",IFERROR(IF(VLOOKUP($N495,Capa!$A:$AE,BA$5,0)="",0,VLOOKUP($N495,Capa!$A:$AE,BA$5,0)),0),IF(ISERROR(1/VLOOKUP($N495,Capa!$A:$AE,BA$5,0)),0,1/VLOOKUP($N495,Capa!$A:$AE,BA$5,0))))</f>
        <v/>
      </c>
      <c r="BB495" s="118" t="str">
        <f>IF(BB$6="","",IF(BB$3="Maior",IFERROR(IF(VLOOKUP($N495,Capa!$A:$AE,BB$5,0)="",0,VLOOKUP($N495,Capa!$A:$AE,BB$5,0)),0),IF(ISERROR(1/VLOOKUP($N495,Capa!$A:$AE,BB$5,0)),0,1/VLOOKUP($N495,Capa!$A:$AE,BB$5,0))))</f>
        <v/>
      </c>
      <c r="BC495" s="118" t="str">
        <f>IF(BC$6="","",IF(BC$3="Maior",IFERROR(IF(VLOOKUP($N495,Capa!$A:$AE,BC$5,0)="",0,VLOOKUP($N495,Capa!$A:$AE,BC$5,0)),0),IF(ISERROR(1/VLOOKUP($N495,Capa!$A:$AE,BC$5,0)),0,1/VLOOKUP($N495,Capa!$A:$AE,BC$5,0))))</f>
        <v/>
      </c>
      <c r="BD495" s="118" t="str">
        <f>IF(BD$6="","",IF(BD$3="Maior",IFERROR(IF(VLOOKUP($N495,Capa!$A:$AE,BD$5,0)="",0,VLOOKUP($N495,Capa!$A:$AE,BD$5,0)),0),IF(ISERROR(1/VLOOKUP($N495,Capa!$A:$AE,BD$5,0)),0,1/VLOOKUP($N495,Capa!$A:$AE,BD$5,0))))</f>
        <v/>
      </c>
      <c r="BE495" s="118" t="str">
        <f>IF(BE$6="","",IF(BE$3="Maior",IFERROR(IF(VLOOKUP($N495,Capa!$A:$AE,BE$5,0)="",0,VLOOKUP($N495,Capa!$A:$AE,BE$5,0)),0),IF(ISERROR(1/VLOOKUP($N495,Capa!$A:$AE,BE$5,0)),0,1/VLOOKUP($N495,Capa!$A:$AE,BE$5,0))))</f>
        <v/>
      </c>
      <c r="BF495" s="118" t="str">
        <f>IF(BF$6="","",IF(BF$3="Maior",IFERROR(IF(VLOOKUP($N495,Capa!$A:$AE,BF$5,0)="",0,VLOOKUP($N495,Capa!$A:$AE,BF$5,0)),0),IF(ISERROR(1/VLOOKUP($N495,Capa!$A:$AE,BF$5,0)),0,1/VLOOKUP($N495,Capa!$A:$AE,BF$5,0))))</f>
        <v/>
      </c>
      <c r="BG495" s="118" t="str">
        <f>IF(BG$6="","",IF(BG$3="Maior",IFERROR(IF(VLOOKUP($N495,Capa!$A:$AE,BG$5,0)="",0,VLOOKUP($N495,Capa!$A:$AE,BG$5,0)),0),IF(ISERROR(1/VLOOKUP($N495,Capa!$A:$AE,BG$5,0)),0,1/VLOOKUP($N495,Capa!$A:$AE,BG$5,0))))</f>
        <v/>
      </c>
      <c r="BH495" s="118" t="str">
        <f>IF(BH$6="","",IF(BH$3="Maior",IFERROR(IF(VLOOKUP($N495,Capa!$A:$AE,BH$5,0)="",0,VLOOKUP($N495,Capa!$A:$AE,BH$5,0)),0),IF(ISERROR(1/VLOOKUP($N495,Capa!$A:$AE,BH$5,0)),0,1/VLOOKUP($N495,Capa!$A:$AE,BH$5,0))))</f>
        <v/>
      </c>
      <c r="BI495" s="118" t="str">
        <f>IF(BI$6="","",IF(BI$3="Maior",IFERROR(IF(VLOOKUP($N495,Capa!$A:$AE,BI$5,0)="",0,VLOOKUP($N495,Capa!$A:$AE,BI$5,0)),0),IF(ISERROR(1/VLOOKUP($N495,Capa!$A:$AE,BI$5,0)),0,1/VLOOKUP($N495,Capa!$A:$AE,BI$5,0))))</f>
        <v/>
      </c>
      <c r="BJ495" s="118" t="str">
        <f>IF(BJ$6="","",IF(BJ$3="Maior",IFERROR(IF(VLOOKUP($N495,Capa!$A:$AE,BJ$5,0)="",0,VLOOKUP($N495,Capa!$A:$AE,BJ$5,0)),0),IF(ISERROR(1/VLOOKUP($N495,Capa!$A:$AE,BJ$5,0)),0,1/VLOOKUP($N495,Capa!$A:$AE,BJ$5,0))))</f>
        <v/>
      </c>
      <c r="BK495" s="118" t="str">
        <f>IF(BK$6="","",IF(BK$3="Maior",IFERROR(IF(VLOOKUP($N495,Capa!$A:$AE,BK$5,0)="",0,VLOOKUP($N495,Capa!$A:$AE,BK$5,0)),0),IF(ISERROR(1/VLOOKUP($N495,Capa!$A:$AE,BK$5,0)),0,1/VLOOKUP($N495,Capa!$A:$AE,BK$5,0))))</f>
        <v/>
      </c>
      <c r="BL495" s="118" t="str">
        <f>IF(BL$6="","",IF(BL$3="Maior",IFERROR(IF(VLOOKUP($N495,Capa!$A:$AE,BL$5,0)="",0,VLOOKUP($N495,Capa!$A:$AE,BL$5,0)),0),IF(ISERROR(1/VLOOKUP($N495,Capa!$A:$AE,BL$5,0)),0,1/VLOOKUP($N495,Capa!$A:$AE,BL$5,0))))</f>
        <v/>
      </c>
      <c r="BM495" s="118" t="str">
        <f>IF(BM$6="","",IF(BM$3="Maior",IFERROR(IF(VLOOKUP($N495,Capa!$A:$AE,BM$5,0)="",0,VLOOKUP($N495,Capa!$A:$AE,BM$5,0)),0),IF(ISERROR(1/VLOOKUP($N495,Capa!$A:$AE,BM$5,0)),0,1/VLOOKUP($N495,Capa!$A:$AE,BM$5,0))))</f>
        <v/>
      </c>
      <c r="BN495" s="118" t="str">
        <f>IF(BN$6="","",IF(BN$3="Maior",IFERROR(IF(VLOOKUP($N495,Capa!$A:$AE,BN$5,0)="",0,VLOOKUP($N495,Capa!$A:$AE,BN$5,0)),0),IF(ISERROR(1/VLOOKUP($N495,Capa!$A:$AE,BN$5,0)),0,1/VLOOKUP($N495,Capa!$A:$AE,BN$5,0))))</f>
        <v/>
      </c>
      <c r="BO495" s="92"/>
    </row>
    <row r="496">
      <c r="I496" s="73"/>
      <c r="J496" s="74"/>
      <c r="N496" s="10" t="s">
        <v>542</v>
      </c>
      <c r="O496" s="113">
        <f t="shared" si="8"/>
        <v>2048.0454</v>
      </c>
      <c r="P496" s="114">
        <f>VLOOKUP(N496,'Dados StatusInvest'!A:Z,26,0)</f>
        <v>1894.75</v>
      </c>
      <c r="Q496" s="115">
        <f t="shared" si="9"/>
        <v>454.0454</v>
      </c>
      <c r="R496" s="116">
        <f t="shared" ref="R496:AO496" si="499">IF(AQ496="","", RANK(AQ496,AQ$7:AQ$503,0))</f>
        <v>375</v>
      </c>
      <c r="S496" s="115">
        <f t="shared" si="499"/>
        <v>219</v>
      </c>
      <c r="T496" s="115" t="str">
        <f t="shared" si="499"/>
        <v/>
      </c>
      <c r="U496" s="115" t="str">
        <f t="shared" si="499"/>
        <v/>
      </c>
      <c r="V496" s="115" t="str">
        <f t="shared" si="499"/>
        <v/>
      </c>
      <c r="W496" s="115" t="str">
        <f t="shared" si="499"/>
        <v/>
      </c>
      <c r="X496" s="115" t="str">
        <f t="shared" si="499"/>
        <v/>
      </c>
      <c r="Y496" s="115" t="str">
        <f t="shared" si="499"/>
        <v/>
      </c>
      <c r="Z496" s="115" t="str">
        <f t="shared" si="499"/>
        <v/>
      </c>
      <c r="AA496" s="115" t="str">
        <f t="shared" si="499"/>
        <v/>
      </c>
      <c r="AB496" s="115" t="str">
        <f t="shared" si="499"/>
        <v/>
      </c>
      <c r="AC496" s="115" t="str">
        <f t="shared" si="499"/>
        <v/>
      </c>
      <c r="AD496" s="115" t="str">
        <f t="shared" si="499"/>
        <v/>
      </c>
      <c r="AE496" s="115" t="str">
        <f t="shared" si="499"/>
        <v/>
      </c>
      <c r="AF496" s="115" t="str">
        <f t="shared" si="499"/>
        <v/>
      </c>
      <c r="AG496" s="115" t="str">
        <f t="shared" si="499"/>
        <v/>
      </c>
      <c r="AH496" s="115" t="str">
        <f t="shared" si="499"/>
        <v/>
      </c>
      <c r="AI496" s="115" t="str">
        <f t="shared" si="499"/>
        <v/>
      </c>
      <c r="AJ496" s="115" t="str">
        <f t="shared" si="499"/>
        <v/>
      </c>
      <c r="AK496" s="115" t="str">
        <f t="shared" si="499"/>
        <v/>
      </c>
      <c r="AL496" s="115" t="str">
        <f t="shared" si="499"/>
        <v/>
      </c>
      <c r="AM496" s="115" t="str">
        <f t="shared" si="499"/>
        <v/>
      </c>
      <c r="AN496" s="115" t="str">
        <f t="shared" si="499"/>
        <v/>
      </c>
      <c r="AO496" s="115" t="str">
        <f t="shared" si="499"/>
        <v/>
      </c>
      <c r="AP496" s="117">
        <f>IF(AP$6="","",IF(AP$3="Maior",IFERROR(IF(VLOOKUP($N496,Capa!$A:$AE,AP$5,0)="",0,VLOOKUP($N496,Capa!$A:$AE,AP$5,0)),0),IF(ISERROR(1/VLOOKUP($N496,Capa!$A:$AE,AP$5,0)),0,1/VLOOKUP($N496,Capa!$A:$AE,AP$5,0))))</f>
        <v>-0.1293661061</v>
      </c>
      <c r="AQ496" s="118">
        <f>IF(AQ$6="","",IF(AQ$3="Maior",IFERROR(IF(VLOOKUP($N496,Capa!$A:$AE,AQ$5,0)="",0,VLOOKUP($N496,Capa!$A:$AE,AQ$5,0)),0),IF(ISERROR(1/VLOOKUP($N496,Capa!$A:$AE,AQ$5,0)),0,1/VLOOKUP($N496,Capa!$A:$AE,AQ$5,0))))</f>
        <v>0</v>
      </c>
      <c r="AR496" s="118">
        <f>IF(AR$6="","",IF(AR$3="Maior",IFERROR(IF(VLOOKUP($N496,Capa!$A:$AE,AR$5,0)="",0,VLOOKUP($N496,Capa!$A:$AE,AR$5,0)),0),IF(ISERROR(1/VLOOKUP($N496,Capa!$A:$AE,AR$5,0)),0,1/VLOOKUP($N496,Capa!$A:$AE,AR$5,0))))</f>
        <v>0</v>
      </c>
      <c r="AS496" s="118" t="str">
        <f>IF(AS$6="","",IF(AS$3="Maior",IFERROR(IF(VLOOKUP($N496,Capa!$A:$AE,AS$5,0)="",0,VLOOKUP($N496,Capa!$A:$AE,AS$5,0)),0),IF(ISERROR(1/VLOOKUP($N496,Capa!$A:$AE,AS$5,0)),0,1/VLOOKUP($N496,Capa!$A:$AE,AS$5,0))))</f>
        <v/>
      </c>
      <c r="AT496" s="118" t="str">
        <f>IF(AT$6="","",IF(AT$3="Maior",IFERROR(IF(VLOOKUP($N496,Capa!$A:$AE,AT$5,0)="",0,VLOOKUP($N496,Capa!$A:$AE,AT$5,0)),0),IF(ISERROR(1/VLOOKUP($N496,Capa!$A:$AE,AT$5,0)),0,1/VLOOKUP($N496,Capa!$A:$AE,AT$5,0))))</f>
        <v/>
      </c>
      <c r="AU496" s="118" t="str">
        <f>IF(AU$6="","",IF(AU$3="Maior",IFERROR(IF(VLOOKUP($N496,Capa!$A:$AE,AU$5,0)="",0,VLOOKUP($N496,Capa!$A:$AE,AU$5,0)),0),IF(ISERROR(1/VLOOKUP($N496,Capa!$A:$AE,AU$5,0)),0,1/VLOOKUP($N496,Capa!$A:$AE,AU$5,0))))</f>
        <v/>
      </c>
      <c r="AV496" s="118" t="str">
        <f>IF(AV$6="","",IF(AV$3="Maior",IFERROR(IF(VLOOKUP($N496,Capa!$A:$AE,AV$5,0)="",0,VLOOKUP($N496,Capa!$A:$AE,AV$5,0)),0),IF(ISERROR(1/VLOOKUP($N496,Capa!$A:$AE,AV$5,0)),0,1/VLOOKUP($N496,Capa!$A:$AE,AV$5,0))))</f>
        <v/>
      </c>
      <c r="AW496" s="118" t="str">
        <f>IF(AW$6="","",IF(AW$3="Maior",IFERROR(IF(VLOOKUP($N496,Capa!$A:$AE,AW$5,0)="",0,VLOOKUP($N496,Capa!$A:$AE,AW$5,0)),0),IF(ISERROR(1/VLOOKUP($N496,Capa!$A:$AE,AW$5,0)),0,1/VLOOKUP($N496,Capa!$A:$AE,AW$5,0))))</f>
        <v/>
      </c>
      <c r="AX496" s="118" t="str">
        <f>IF(AX$6="","",IF(AX$3="Maior",IFERROR(IF(VLOOKUP($N496,Capa!$A:$AE,AX$5,0)="",0,VLOOKUP($N496,Capa!$A:$AE,AX$5,0)),0),IF(ISERROR(1/VLOOKUP($N496,Capa!$A:$AE,AX$5,0)),0,1/VLOOKUP($N496,Capa!$A:$AE,AX$5,0))))</f>
        <v/>
      </c>
      <c r="AY496" s="118" t="str">
        <f>IF(AY$6="","",IF(AY$3="Maior",IFERROR(IF(VLOOKUP($N496,Capa!$A:$AE,AY$5,0)="",0,VLOOKUP($N496,Capa!$A:$AE,AY$5,0)),0),IF(ISERROR(1/VLOOKUP($N496,Capa!$A:$AE,AY$5,0)),0,1/VLOOKUP($N496,Capa!$A:$AE,AY$5,0))))</f>
        <v/>
      </c>
      <c r="AZ496" s="118" t="str">
        <f>IF(AZ$6="","",IF(AZ$3="Maior",IFERROR(IF(VLOOKUP($N496,Capa!$A:$AE,AZ$5,0)="",0,VLOOKUP($N496,Capa!$A:$AE,AZ$5,0)),0),IF(ISERROR(1/VLOOKUP($N496,Capa!$A:$AE,AZ$5,0)),0,1/VLOOKUP($N496,Capa!$A:$AE,AZ$5,0))))</f>
        <v/>
      </c>
      <c r="BA496" s="118" t="str">
        <f>IF(BA$6="","",IF(BA$3="Maior",IFERROR(IF(VLOOKUP($N496,Capa!$A:$AE,BA$5,0)="",0,VLOOKUP($N496,Capa!$A:$AE,BA$5,0)),0),IF(ISERROR(1/VLOOKUP($N496,Capa!$A:$AE,BA$5,0)),0,1/VLOOKUP($N496,Capa!$A:$AE,BA$5,0))))</f>
        <v/>
      </c>
      <c r="BB496" s="118" t="str">
        <f>IF(BB$6="","",IF(BB$3="Maior",IFERROR(IF(VLOOKUP($N496,Capa!$A:$AE,BB$5,0)="",0,VLOOKUP($N496,Capa!$A:$AE,BB$5,0)),0),IF(ISERROR(1/VLOOKUP($N496,Capa!$A:$AE,BB$5,0)),0,1/VLOOKUP($N496,Capa!$A:$AE,BB$5,0))))</f>
        <v/>
      </c>
      <c r="BC496" s="118" t="str">
        <f>IF(BC$6="","",IF(BC$3="Maior",IFERROR(IF(VLOOKUP($N496,Capa!$A:$AE,BC$5,0)="",0,VLOOKUP($N496,Capa!$A:$AE,BC$5,0)),0),IF(ISERROR(1/VLOOKUP($N496,Capa!$A:$AE,BC$5,0)),0,1/VLOOKUP($N496,Capa!$A:$AE,BC$5,0))))</f>
        <v/>
      </c>
      <c r="BD496" s="118" t="str">
        <f>IF(BD$6="","",IF(BD$3="Maior",IFERROR(IF(VLOOKUP($N496,Capa!$A:$AE,BD$5,0)="",0,VLOOKUP($N496,Capa!$A:$AE,BD$5,0)),0),IF(ISERROR(1/VLOOKUP($N496,Capa!$A:$AE,BD$5,0)),0,1/VLOOKUP($N496,Capa!$A:$AE,BD$5,0))))</f>
        <v/>
      </c>
      <c r="BE496" s="118" t="str">
        <f>IF(BE$6="","",IF(BE$3="Maior",IFERROR(IF(VLOOKUP($N496,Capa!$A:$AE,BE$5,0)="",0,VLOOKUP($N496,Capa!$A:$AE,BE$5,0)),0),IF(ISERROR(1/VLOOKUP($N496,Capa!$A:$AE,BE$5,0)),0,1/VLOOKUP($N496,Capa!$A:$AE,BE$5,0))))</f>
        <v/>
      </c>
      <c r="BF496" s="118" t="str">
        <f>IF(BF$6="","",IF(BF$3="Maior",IFERROR(IF(VLOOKUP($N496,Capa!$A:$AE,BF$5,0)="",0,VLOOKUP($N496,Capa!$A:$AE,BF$5,0)),0),IF(ISERROR(1/VLOOKUP($N496,Capa!$A:$AE,BF$5,0)),0,1/VLOOKUP($N496,Capa!$A:$AE,BF$5,0))))</f>
        <v/>
      </c>
      <c r="BG496" s="118" t="str">
        <f>IF(BG$6="","",IF(BG$3="Maior",IFERROR(IF(VLOOKUP($N496,Capa!$A:$AE,BG$5,0)="",0,VLOOKUP($N496,Capa!$A:$AE,BG$5,0)),0),IF(ISERROR(1/VLOOKUP($N496,Capa!$A:$AE,BG$5,0)),0,1/VLOOKUP($N496,Capa!$A:$AE,BG$5,0))))</f>
        <v/>
      </c>
      <c r="BH496" s="118" t="str">
        <f>IF(BH$6="","",IF(BH$3="Maior",IFERROR(IF(VLOOKUP($N496,Capa!$A:$AE,BH$5,0)="",0,VLOOKUP($N496,Capa!$A:$AE,BH$5,0)),0),IF(ISERROR(1/VLOOKUP($N496,Capa!$A:$AE,BH$5,0)),0,1/VLOOKUP($N496,Capa!$A:$AE,BH$5,0))))</f>
        <v/>
      </c>
      <c r="BI496" s="118" t="str">
        <f>IF(BI$6="","",IF(BI$3="Maior",IFERROR(IF(VLOOKUP($N496,Capa!$A:$AE,BI$5,0)="",0,VLOOKUP($N496,Capa!$A:$AE,BI$5,0)),0),IF(ISERROR(1/VLOOKUP($N496,Capa!$A:$AE,BI$5,0)),0,1/VLOOKUP($N496,Capa!$A:$AE,BI$5,0))))</f>
        <v/>
      </c>
      <c r="BJ496" s="118" t="str">
        <f>IF(BJ$6="","",IF(BJ$3="Maior",IFERROR(IF(VLOOKUP($N496,Capa!$A:$AE,BJ$5,0)="",0,VLOOKUP($N496,Capa!$A:$AE,BJ$5,0)),0),IF(ISERROR(1/VLOOKUP($N496,Capa!$A:$AE,BJ$5,0)),0,1/VLOOKUP($N496,Capa!$A:$AE,BJ$5,0))))</f>
        <v/>
      </c>
      <c r="BK496" s="118" t="str">
        <f>IF(BK$6="","",IF(BK$3="Maior",IFERROR(IF(VLOOKUP($N496,Capa!$A:$AE,BK$5,0)="",0,VLOOKUP($N496,Capa!$A:$AE,BK$5,0)),0),IF(ISERROR(1/VLOOKUP($N496,Capa!$A:$AE,BK$5,0)),0,1/VLOOKUP($N496,Capa!$A:$AE,BK$5,0))))</f>
        <v/>
      </c>
      <c r="BL496" s="118" t="str">
        <f>IF(BL$6="","",IF(BL$3="Maior",IFERROR(IF(VLOOKUP($N496,Capa!$A:$AE,BL$5,0)="",0,VLOOKUP($N496,Capa!$A:$AE,BL$5,0)),0),IF(ISERROR(1/VLOOKUP($N496,Capa!$A:$AE,BL$5,0)),0,1/VLOOKUP($N496,Capa!$A:$AE,BL$5,0))))</f>
        <v/>
      </c>
      <c r="BM496" s="118" t="str">
        <f>IF(BM$6="","",IF(BM$3="Maior",IFERROR(IF(VLOOKUP($N496,Capa!$A:$AE,BM$5,0)="",0,VLOOKUP($N496,Capa!$A:$AE,BM$5,0)),0),IF(ISERROR(1/VLOOKUP($N496,Capa!$A:$AE,BM$5,0)),0,1/VLOOKUP($N496,Capa!$A:$AE,BM$5,0))))</f>
        <v/>
      </c>
      <c r="BN496" s="118" t="str">
        <f>IF(BN$6="","",IF(BN$3="Maior",IFERROR(IF(VLOOKUP($N496,Capa!$A:$AE,BN$5,0)="",0,VLOOKUP($N496,Capa!$A:$AE,BN$5,0)),0),IF(ISERROR(1/VLOOKUP($N496,Capa!$A:$AE,BN$5,0)),0,1/VLOOKUP($N496,Capa!$A:$AE,BN$5,0))))</f>
        <v/>
      </c>
      <c r="BO496" s="92"/>
    </row>
    <row r="497">
      <c r="I497" s="73"/>
      <c r="J497" s="74"/>
      <c r="N497" s="10" t="s">
        <v>543</v>
      </c>
      <c r="O497" s="113">
        <f t="shared" si="8"/>
        <v>2204.0474</v>
      </c>
      <c r="P497" s="114">
        <f>VLOOKUP(N497,'Dados StatusInvest'!A:Z,26,0)</f>
        <v>1041</v>
      </c>
      <c r="Q497" s="115">
        <f t="shared" si="9"/>
        <v>474.0474</v>
      </c>
      <c r="R497" s="116">
        <f t="shared" ref="R497:AO497" si="500">IF(AQ497="","", RANK(AQ497,AQ$7:AQ$503,0))</f>
        <v>246</v>
      </c>
      <c r="S497" s="115">
        <f t="shared" si="500"/>
        <v>484</v>
      </c>
      <c r="T497" s="115" t="str">
        <f t="shared" si="500"/>
        <v/>
      </c>
      <c r="U497" s="115" t="str">
        <f t="shared" si="500"/>
        <v/>
      </c>
      <c r="V497" s="115" t="str">
        <f t="shared" si="500"/>
        <v/>
      </c>
      <c r="W497" s="115" t="str">
        <f t="shared" si="500"/>
        <v/>
      </c>
      <c r="X497" s="115" t="str">
        <f t="shared" si="500"/>
        <v/>
      </c>
      <c r="Y497" s="115" t="str">
        <f t="shared" si="500"/>
        <v/>
      </c>
      <c r="Z497" s="115" t="str">
        <f t="shared" si="500"/>
        <v/>
      </c>
      <c r="AA497" s="115" t="str">
        <f t="shared" si="500"/>
        <v/>
      </c>
      <c r="AB497" s="115" t="str">
        <f t="shared" si="500"/>
        <v/>
      </c>
      <c r="AC497" s="115" t="str">
        <f t="shared" si="500"/>
        <v/>
      </c>
      <c r="AD497" s="115" t="str">
        <f t="shared" si="500"/>
        <v/>
      </c>
      <c r="AE497" s="115" t="str">
        <f t="shared" si="500"/>
        <v/>
      </c>
      <c r="AF497" s="115" t="str">
        <f t="shared" si="500"/>
        <v/>
      </c>
      <c r="AG497" s="115" t="str">
        <f t="shared" si="500"/>
        <v/>
      </c>
      <c r="AH497" s="115" t="str">
        <f t="shared" si="500"/>
        <v/>
      </c>
      <c r="AI497" s="115" t="str">
        <f t="shared" si="500"/>
        <v/>
      </c>
      <c r="AJ497" s="115" t="str">
        <f t="shared" si="500"/>
        <v/>
      </c>
      <c r="AK497" s="115" t="str">
        <f t="shared" si="500"/>
        <v/>
      </c>
      <c r="AL497" s="115" t="str">
        <f t="shared" si="500"/>
        <v/>
      </c>
      <c r="AM497" s="115" t="str">
        <f t="shared" si="500"/>
        <v/>
      </c>
      <c r="AN497" s="115" t="str">
        <f t="shared" si="500"/>
        <v/>
      </c>
      <c r="AO497" s="115" t="str">
        <f t="shared" si="500"/>
        <v/>
      </c>
      <c r="AP497" s="117">
        <f>IF(AP$6="","",IF(AP$3="Maior",IFERROR(IF(VLOOKUP($N497,Capa!$A:$AE,AP$5,0)="",0,VLOOKUP($N497,Capa!$A:$AE,AP$5,0)),0),IF(ISERROR(1/VLOOKUP($N497,Capa!$A:$AE,AP$5,0)),0,1/VLOOKUP($N497,Capa!$A:$AE,AP$5,0))))</f>
        <v>-0.2057613169</v>
      </c>
      <c r="AQ497" s="118">
        <f>IF(AQ$6="","",IF(AQ$3="Maior",IFERROR(IF(VLOOKUP($N497,Capa!$A:$AE,AQ$5,0)="",0,VLOOKUP($N497,Capa!$A:$AE,AQ$5,0)),0),IF(ISERROR(1/VLOOKUP($N497,Capa!$A:$AE,AQ$5,0)),0,1/VLOOKUP($N497,Capa!$A:$AE,AQ$5,0))))</f>
        <v>8.38</v>
      </c>
      <c r="AR497" s="118">
        <f>IF(AR$6="","",IF(AR$3="Maior",IFERROR(IF(VLOOKUP($N497,Capa!$A:$AE,AR$5,0)="",0,VLOOKUP($N497,Capa!$A:$AE,AR$5,0)),0),IF(ISERROR(1/VLOOKUP($N497,Capa!$A:$AE,AR$5,0)),0,1/VLOOKUP($N497,Capa!$A:$AE,AR$5,0))))</f>
        <v>-16.72</v>
      </c>
      <c r="AS497" s="118" t="str">
        <f>IF(AS$6="","",IF(AS$3="Maior",IFERROR(IF(VLOOKUP($N497,Capa!$A:$AE,AS$5,0)="",0,VLOOKUP($N497,Capa!$A:$AE,AS$5,0)),0),IF(ISERROR(1/VLOOKUP($N497,Capa!$A:$AE,AS$5,0)),0,1/VLOOKUP($N497,Capa!$A:$AE,AS$5,0))))</f>
        <v/>
      </c>
      <c r="AT497" s="118" t="str">
        <f>IF(AT$6="","",IF(AT$3="Maior",IFERROR(IF(VLOOKUP($N497,Capa!$A:$AE,AT$5,0)="",0,VLOOKUP($N497,Capa!$A:$AE,AT$5,0)),0),IF(ISERROR(1/VLOOKUP($N497,Capa!$A:$AE,AT$5,0)),0,1/VLOOKUP($N497,Capa!$A:$AE,AT$5,0))))</f>
        <v/>
      </c>
      <c r="AU497" s="118" t="str">
        <f>IF(AU$6="","",IF(AU$3="Maior",IFERROR(IF(VLOOKUP($N497,Capa!$A:$AE,AU$5,0)="",0,VLOOKUP($N497,Capa!$A:$AE,AU$5,0)),0),IF(ISERROR(1/VLOOKUP($N497,Capa!$A:$AE,AU$5,0)),0,1/VLOOKUP($N497,Capa!$A:$AE,AU$5,0))))</f>
        <v/>
      </c>
      <c r="AV497" s="118" t="str">
        <f>IF(AV$6="","",IF(AV$3="Maior",IFERROR(IF(VLOOKUP($N497,Capa!$A:$AE,AV$5,0)="",0,VLOOKUP($N497,Capa!$A:$AE,AV$5,0)),0),IF(ISERROR(1/VLOOKUP($N497,Capa!$A:$AE,AV$5,0)),0,1/VLOOKUP($N497,Capa!$A:$AE,AV$5,0))))</f>
        <v/>
      </c>
      <c r="AW497" s="118" t="str">
        <f>IF(AW$6="","",IF(AW$3="Maior",IFERROR(IF(VLOOKUP($N497,Capa!$A:$AE,AW$5,0)="",0,VLOOKUP($N497,Capa!$A:$AE,AW$5,0)),0),IF(ISERROR(1/VLOOKUP($N497,Capa!$A:$AE,AW$5,0)),0,1/VLOOKUP($N497,Capa!$A:$AE,AW$5,0))))</f>
        <v/>
      </c>
      <c r="AX497" s="118" t="str">
        <f>IF(AX$6="","",IF(AX$3="Maior",IFERROR(IF(VLOOKUP($N497,Capa!$A:$AE,AX$5,0)="",0,VLOOKUP($N497,Capa!$A:$AE,AX$5,0)),0),IF(ISERROR(1/VLOOKUP($N497,Capa!$A:$AE,AX$5,0)),0,1/VLOOKUP($N497,Capa!$A:$AE,AX$5,0))))</f>
        <v/>
      </c>
      <c r="AY497" s="118" t="str">
        <f>IF(AY$6="","",IF(AY$3="Maior",IFERROR(IF(VLOOKUP($N497,Capa!$A:$AE,AY$5,0)="",0,VLOOKUP($N497,Capa!$A:$AE,AY$5,0)),0),IF(ISERROR(1/VLOOKUP($N497,Capa!$A:$AE,AY$5,0)),0,1/VLOOKUP($N497,Capa!$A:$AE,AY$5,0))))</f>
        <v/>
      </c>
      <c r="AZ497" s="118" t="str">
        <f>IF(AZ$6="","",IF(AZ$3="Maior",IFERROR(IF(VLOOKUP($N497,Capa!$A:$AE,AZ$5,0)="",0,VLOOKUP($N497,Capa!$A:$AE,AZ$5,0)),0),IF(ISERROR(1/VLOOKUP($N497,Capa!$A:$AE,AZ$5,0)),0,1/VLOOKUP($N497,Capa!$A:$AE,AZ$5,0))))</f>
        <v/>
      </c>
      <c r="BA497" s="118" t="str">
        <f>IF(BA$6="","",IF(BA$3="Maior",IFERROR(IF(VLOOKUP($N497,Capa!$A:$AE,BA$5,0)="",0,VLOOKUP($N497,Capa!$A:$AE,BA$5,0)),0),IF(ISERROR(1/VLOOKUP($N497,Capa!$A:$AE,BA$5,0)),0,1/VLOOKUP($N497,Capa!$A:$AE,BA$5,0))))</f>
        <v/>
      </c>
      <c r="BB497" s="118" t="str">
        <f>IF(BB$6="","",IF(BB$3="Maior",IFERROR(IF(VLOOKUP($N497,Capa!$A:$AE,BB$5,0)="",0,VLOOKUP($N497,Capa!$A:$AE,BB$5,0)),0),IF(ISERROR(1/VLOOKUP($N497,Capa!$A:$AE,BB$5,0)),0,1/VLOOKUP($N497,Capa!$A:$AE,BB$5,0))))</f>
        <v/>
      </c>
      <c r="BC497" s="118" t="str">
        <f>IF(BC$6="","",IF(BC$3="Maior",IFERROR(IF(VLOOKUP($N497,Capa!$A:$AE,BC$5,0)="",0,VLOOKUP($N497,Capa!$A:$AE,BC$5,0)),0),IF(ISERROR(1/VLOOKUP($N497,Capa!$A:$AE,BC$5,0)),0,1/VLOOKUP($N497,Capa!$A:$AE,BC$5,0))))</f>
        <v/>
      </c>
      <c r="BD497" s="118" t="str">
        <f>IF(BD$6="","",IF(BD$3="Maior",IFERROR(IF(VLOOKUP($N497,Capa!$A:$AE,BD$5,0)="",0,VLOOKUP($N497,Capa!$A:$AE,BD$5,0)),0),IF(ISERROR(1/VLOOKUP($N497,Capa!$A:$AE,BD$5,0)),0,1/VLOOKUP($N497,Capa!$A:$AE,BD$5,0))))</f>
        <v/>
      </c>
      <c r="BE497" s="118" t="str">
        <f>IF(BE$6="","",IF(BE$3="Maior",IFERROR(IF(VLOOKUP($N497,Capa!$A:$AE,BE$5,0)="",0,VLOOKUP($N497,Capa!$A:$AE,BE$5,0)),0),IF(ISERROR(1/VLOOKUP($N497,Capa!$A:$AE,BE$5,0)),0,1/VLOOKUP($N497,Capa!$A:$AE,BE$5,0))))</f>
        <v/>
      </c>
      <c r="BF497" s="118" t="str">
        <f>IF(BF$6="","",IF(BF$3="Maior",IFERROR(IF(VLOOKUP($N497,Capa!$A:$AE,BF$5,0)="",0,VLOOKUP($N497,Capa!$A:$AE,BF$5,0)),0),IF(ISERROR(1/VLOOKUP($N497,Capa!$A:$AE,BF$5,0)),0,1/VLOOKUP($N497,Capa!$A:$AE,BF$5,0))))</f>
        <v/>
      </c>
      <c r="BG497" s="118" t="str">
        <f>IF(BG$6="","",IF(BG$3="Maior",IFERROR(IF(VLOOKUP($N497,Capa!$A:$AE,BG$5,0)="",0,VLOOKUP($N497,Capa!$A:$AE,BG$5,0)),0),IF(ISERROR(1/VLOOKUP($N497,Capa!$A:$AE,BG$5,0)),0,1/VLOOKUP($N497,Capa!$A:$AE,BG$5,0))))</f>
        <v/>
      </c>
      <c r="BH497" s="118" t="str">
        <f>IF(BH$6="","",IF(BH$3="Maior",IFERROR(IF(VLOOKUP($N497,Capa!$A:$AE,BH$5,0)="",0,VLOOKUP($N497,Capa!$A:$AE,BH$5,0)),0),IF(ISERROR(1/VLOOKUP($N497,Capa!$A:$AE,BH$5,0)),0,1/VLOOKUP($N497,Capa!$A:$AE,BH$5,0))))</f>
        <v/>
      </c>
      <c r="BI497" s="118" t="str">
        <f>IF(BI$6="","",IF(BI$3="Maior",IFERROR(IF(VLOOKUP($N497,Capa!$A:$AE,BI$5,0)="",0,VLOOKUP($N497,Capa!$A:$AE,BI$5,0)),0),IF(ISERROR(1/VLOOKUP($N497,Capa!$A:$AE,BI$5,0)),0,1/VLOOKUP($N497,Capa!$A:$AE,BI$5,0))))</f>
        <v/>
      </c>
      <c r="BJ497" s="118" t="str">
        <f>IF(BJ$6="","",IF(BJ$3="Maior",IFERROR(IF(VLOOKUP($N497,Capa!$A:$AE,BJ$5,0)="",0,VLOOKUP($N497,Capa!$A:$AE,BJ$5,0)),0),IF(ISERROR(1/VLOOKUP($N497,Capa!$A:$AE,BJ$5,0)),0,1/VLOOKUP($N497,Capa!$A:$AE,BJ$5,0))))</f>
        <v/>
      </c>
      <c r="BK497" s="118" t="str">
        <f>IF(BK$6="","",IF(BK$3="Maior",IFERROR(IF(VLOOKUP($N497,Capa!$A:$AE,BK$5,0)="",0,VLOOKUP($N497,Capa!$A:$AE,BK$5,0)),0),IF(ISERROR(1/VLOOKUP($N497,Capa!$A:$AE,BK$5,0)),0,1/VLOOKUP($N497,Capa!$A:$AE,BK$5,0))))</f>
        <v/>
      </c>
      <c r="BL497" s="118" t="str">
        <f>IF(BL$6="","",IF(BL$3="Maior",IFERROR(IF(VLOOKUP($N497,Capa!$A:$AE,BL$5,0)="",0,VLOOKUP($N497,Capa!$A:$AE,BL$5,0)),0),IF(ISERROR(1/VLOOKUP($N497,Capa!$A:$AE,BL$5,0)),0,1/VLOOKUP($N497,Capa!$A:$AE,BL$5,0))))</f>
        <v/>
      </c>
      <c r="BM497" s="118" t="str">
        <f>IF(BM$6="","",IF(BM$3="Maior",IFERROR(IF(VLOOKUP($N497,Capa!$A:$AE,BM$5,0)="",0,VLOOKUP($N497,Capa!$A:$AE,BM$5,0)),0),IF(ISERROR(1/VLOOKUP($N497,Capa!$A:$AE,BM$5,0)),0,1/VLOOKUP($N497,Capa!$A:$AE,BM$5,0))))</f>
        <v/>
      </c>
      <c r="BN497" s="118" t="str">
        <f>IF(BN$6="","",IF(BN$3="Maior",IFERROR(IF(VLOOKUP($N497,Capa!$A:$AE,BN$5,0)="",0,VLOOKUP($N497,Capa!$A:$AE,BN$5,0)),0),IF(ISERROR(1/VLOOKUP($N497,Capa!$A:$AE,BN$5,0)),0,1/VLOOKUP($N497,Capa!$A:$AE,BN$5,0))))</f>
        <v/>
      </c>
      <c r="BO497" s="92"/>
    </row>
    <row r="498">
      <c r="I498" s="73"/>
      <c r="J498" s="74"/>
      <c r="N498" s="10" t="s">
        <v>548</v>
      </c>
      <c r="O498" s="113">
        <f t="shared" si="8"/>
        <v>1706.0486</v>
      </c>
      <c r="P498" s="114">
        <f>VLOOKUP(N498,'Dados StatusInvest'!A:Z,26,0)</f>
        <v>0</v>
      </c>
      <c r="Q498" s="115">
        <f t="shared" si="9"/>
        <v>486.0486</v>
      </c>
      <c r="R498" s="116">
        <f t="shared" ref="R498:AO498" si="501">IF(AQ498="","", RANK(AQ498,AQ$7:AQ$503,0))</f>
        <v>1</v>
      </c>
      <c r="S498" s="115">
        <f t="shared" si="501"/>
        <v>219</v>
      </c>
      <c r="T498" s="115" t="str">
        <f t="shared" si="501"/>
        <v/>
      </c>
      <c r="U498" s="115" t="str">
        <f t="shared" si="501"/>
        <v/>
      </c>
      <c r="V498" s="115" t="str">
        <f t="shared" si="501"/>
        <v/>
      </c>
      <c r="W498" s="115" t="str">
        <f t="shared" si="501"/>
        <v/>
      </c>
      <c r="X498" s="115" t="str">
        <f t="shared" si="501"/>
        <v/>
      </c>
      <c r="Y498" s="115" t="str">
        <f t="shared" si="501"/>
        <v/>
      </c>
      <c r="Z498" s="115" t="str">
        <f t="shared" si="501"/>
        <v/>
      </c>
      <c r="AA498" s="115" t="str">
        <f t="shared" si="501"/>
        <v/>
      </c>
      <c r="AB498" s="115" t="str">
        <f t="shared" si="501"/>
        <v/>
      </c>
      <c r="AC498" s="115" t="str">
        <f t="shared" si="501"/>
        <v/>
      </c>
      <c r="AD498" s="115" t="str">
        <f t="shared" si="501"/>
        <v/>
      </c>
      <c r="AE498" s="115" t="str">
        <f t="shared" si="501"/>
        <v/>
      </c>
      <c r="AF498" s="115" t="str">
        <f t="shared" si="501"/>
        <v/>
      </c>
      <c r="AG498" s="115" t="str">
        <f t="shared" si="501"/>
        <v/>
      </c>
      <c r="AH498" s="115" t="str">
        <f t="shared" si="501"/>
        <v/>
      </c>
      <c r="AI498" s="115" t="str">
        <f t="shared" si="501"/>
        <v/>
      </c>
      <c r="AJ498" s="115" t="str">
        <f t="shared" si="501"/>
        <v/>
      </c>
      <c r="AK498" s="115" t="str">
        <f t="shared" si="501"/>
        <v/>
      </c>
      <c r="AL498" s="115" t="str">
        <f t="shared" si="501"/>
        <v/>
      </c>
      <c r="AM498" s="115" t="str">
        <f t="shared" si="501"/>
        <v/>
      </c>
      <c r="AN498" s="115" t="str">
        <f t="shared" si="501"/>
        <v/>
      </c>
      <c r="AO498" s="115" t="str">
        <f t="shared" si="501"/>
        <v/>
      </c>
      <c r="AP498" s="117">
        <f>IF(AP$6="","",IF(AP$3="Maior",IFERROR(IF(VLOOKUP($N498,Capa!$A:$AE,AP$5,0)="",0,VLOOKUP($N498,Capa!$A:$AE,AP$5,0)),0),IF(ISERROR(1/VLOOKUP($N498,Capa!$A:$AE,AP$5,0)),0,1/VLOOKUP($N498,Capa!$A:$AE,AP$5,0))))</f>
        <v>-0.395256917</v>
      </c>
      <c r="AQ498" s="118">
        <f>IF(AQ$6="","",IF(AQ$3="Maior",IFERROR(IF(VLOOKUP($N498,Capa!$A:$AE,AQ$5,0)="",0,VLOOKUP($N498,Capa!$A:$AE,AQ$5,0)),0),IF(ISERROR(1/VLOOKUP($N498,Capa!$A:$AE,AQ$5,0)),0,1/VLOOKUP($N498,Capa!$A:$AE,AQ$5,0))))</f>
        <v>1220.05</v>
      </c>
      <c r="AR498" s="118">
        <f>IF(AR$6="","",IF(AR$3="Maior",IFERROR(IF(VLOOKUP($N498,Capa!$A:$AE,AR$5,0)="",0,VLOOKUP($N498,Capa!$A:$AE,AR$5,0)),0),IF(ISERROR(1/VLOOKUP($N498,Capa!$A:$AE,AR$5,0)),0,1/VLOOKUP($N498,Capa!$A:$AE,AR$5,0))))</f>
        <v>0</v>
      </c>
      <c r="AS498" s="118" t="str">
        <f>IF(AS$6="","",IF(AS$3="Maior",IFERROR(IF(VLOOKUP($N498,Capa!$A:$AE,AS$5,0)="",0,VLOOKUP($N498,Capa!$A:$AE,AS$5,0)),0),IF(ISERROR(1/VLOOKUP($N498,Capa!$A:$AE,AS$5,0)),0,1/VLOOKUP($N498,Capa!$A:$AE,AS$5,0))))</f>
        <v/>
      </c>
      <c r="AT498" s="118" t="str">
        <f>IF(AT$6="","",IF(AT$3="Maior",IFERROR(IF(VLOOKUP($N498,Capa!$A:$AE,AT$5,0)="",0,VLOOKUP($N498,Capa!$A:$AE,AT$5,0)),0),IF(ISERROR(1/VLOOKUP($N498,Capa!$A:$AE,AT$5,0)),0,1/VLOOKUP($N498,Capa!$A:$AE,AT$5,0))))</f>
        <v/>
      </c>
      <c r="AU498" s="118" t="str">
        <f>IF(AU$6="","",IF(AU$3="Maior",IFERROR(IF(VLOOKUP($N498,Capa!$A:$AE,AU$5,0)="",0,VLOOKUP($N498,Capa!$A:$AE,AU$5,0)),0),IF(ISERROR(1/VLOOKUP($N498,Capa!$A:$AE,AU$5,0)),0,1/VLOOKUP($N498,Capa!$A:$AE,AU$5,0))))</f>
        <v/>
      </c>
      <c r="AV498" s="118" t="str">
        <f>IF(AV$6="","",IF(AV$3="Maior",IFERROR(IF(VLOOKUP($N498,Capa!$A:$AE,AV$5,0)="",0,VLOOKUP($N498,Capa!$A:$AE,AV$5,0)),0),IF(ISERROR(1/VLOOKUP($N498,Capa!$A:$AE,AV$5,0)),0,1/VLOOKUP($N498,Capa!$A:$AE,AV$5,0))))</f>
        <v/>
      </c>
      <c r="AW498" s="118" t="str">
        <f>IF(AW$6="","",IF(AW$3="Maior",IFERROR(IF(VLOOKUP($N498,Capa!$A:$AE,AW$5,0)="",0,VLOOKUP($N498,Capa!$A:$AE,AW$5,0)),0),IF(ISERROR(1/VLOOKUP($N498,Capa!$A:$AE,AW$5,0)),0,1/VLOOKUP($N498,Capa!$A:$AE,AW$5,0))))</f>
        <v/>
      </c>
      <c r="AX498" s="118" t="str">
        <f>IF(AX$6="","",IF(AX$3="Maior",IFERROR(IF(VLOOKUP($N498,Capa!$A:$AE,AX$5,0)="",0,VLOOKUP($N498,Capa!$A:$AE,AX$5,0)),0),IF(ISERROR(1/VLOOKUP($N498,Capa!$A:$AE,AX$5,0)),0,1/VLOOKUP($N498,Capa!$A:$AE,AX$5,0))))</f>
        <v/>
      </c>
      <c r="AY498" s="118" t="str">
        <f>IF(AY$6="","",IF(AY$3="Maior",IFERROR(IF(VLOOKUP($N498,Capa!$A:$AE,AY$5,0)="",0,VLOOKUP($N498,Capa!$A:$AE,AY$5,0)),0),IF(ISERROR(1/VLOOKUP($N498,Capa!$A:$AE,AY$5,0)),0,1/VLOOKUP($N498,Capa!$A:$AE,AY$5,0))))</f>
        <v/>
      </c>
      <c r="AZ498" s="118" t="str">
        <f>IF(AZ$6="","",IF(AZ$3="Maior",IFERROR(IF(VLOOKUP($N498,Capa!$A:$AE,AZ$5,0)="",0,VLOOKUP($N498,Capa!$A:$AE,AZ$5,0)),0),IF(ISERROR(1/VLOOKUP($N498,Capa!$A:$AE,AZ$5,0)),0,1/VLOOKUP($N498,Capa!$A:$AE,AZ$5,0))))</f>
        <v/>
      </c>
      <c r="BA498" s="118" t="str">
        <f>IF(BA$6="","",IF(BA$3="Maior",IFERROR(IF(VLOOKUP($N498,Capa!$A:$AE,BA$5,0)="",0,VLOOKUP($N498,Capa!$A:$AE,BA$5,0)),0),IF(ISERROR(1/VLOOKUP($N498,Capa!$A:$AE,BA$5,0)),0,1/VLOOKUP($N498,Capa!$A:$AE,BA$5,0))))</f>
        <v/>
      </c>
      <c r="BB498" s="118" t="str">
        <f>IF(BB$6="","",IF(BB$3="Maior",IFERROR(IF(VLOOKUP($N498,Capa!$A:$AE,BB$5,0)="",0,VLOOKUP($N498,Capa!$A:$AE,BB$5,0)),0),IF(ISERROR(1/VLOOKUP($N498,Capa!$A:$AE,BB$5,0)),0,1/VLOOKUP($N498,Capa!$A:$AE,BB$5,0))))</f>
        <v/>
      </c>
      <c r="BC498" s="118" t="str">
        <f>IF(BC$6="","",IF(BC$3="Maior",IFERROR(IF(VLOOKUP($N498,Capa!$A:$AE,BC$5,0)="",0,VLOOKUP($N498,Capa!$A:$AE,BC$5,0)),0),IF(ISERROR(1/VLOOKUP($N498,Capa!$A:$AE,BC$5,0)),0,1/VLOOKUP($N498,Capa!$A:$AE,BC$5,0))))</f>
        <v/>
      </c>
      <c r="BD498" s="118" t="str">
        <f>IF(BD$6="","",IF(BD$3="Maior",IFERROR(IF(VLOOKUP($N498,Capa!$A:$AE,BD$5,0)="",0,VLOOKUP($N498,Capa!$A:$AE,BD$5,0)),0),IF(ISERROR(1/VLOOKUP($N498,Capa!$A:$AE,BD$5,0)),0,1/VLOOKUP($N498,Capa!$A:$AE,BD$5,0))))</f>
        <v/>
      </c>
      <c r="BE498" s="118" t="str">
        <f>IF(BE$6="","",IF(BE$3="Maior",IFERROR(IF(VLOOKUP($N498,Capa!$A:$AE,BE$5,0)="",0,VLOOKUP($N498,Capa!$A:$AE,BE$5,0)),0),IF(ISERROR(1/VLOOKUP($N498,Capa!$A:$AE,BE$5,0)),0,1/VLOOKUP($N498,Capa!$A:$AE,BE$5,0))))</f>
        <v/>
      </c>
      <c r="BF498" s="118" t="str">
        <f>IF(BF$6="","",IF(BF$3="Maior",IFERROR(IF(VLOOKUP($N498,Capa!$A:$AE,BF$5,0)="",0,VLOOKUP($N498,Capa!$A:$AE,BF$5,0)),0),IF(ISERROR(1/VLOOKUP($N498,Capa!$A:$AE,BF$5,0)),0,1/VLOOKUP($N498,Capa!$A:$AE,BF$5,0))))</f>
        <v/>
      </c>
      <c r="BG498" s="118" t="str">
        <f>IF(BG$6="","",IF(BG$3="Maior",IFERROR(IF(VLOOKUP($N498,Capa!$A:$AE,BG$5,0)="",0,VLOOKUP($N498,Capa!$A:$AE,BG$5,0)),0),IF(ISERROR(1/VLOOKUP($N498,Capa!$A:$AE,BG$5,0)),0,1/VLOOKUP($N498,Capa!$A:$AE,BG$5,0))))</f>
        <v/>
      </c>
      <c r="BH498" s="118" t="str">
        <f>IF(BH$6="","",IF(BH$3="Maior",IFERROR(IF(VLOOKUP($N498,Capa!$A:$AE,BH$5,0)="",0,VLOOKUP($N498,Capa!$A:$AE,BH$5,0)),0),IF(ISERROR(1/VLOOKUP($N498,Capa!$A:$AE,BH$5,0)),0,1/VLOOKUP($N498,Capa!$A:$AE,BH$5,0))))</f>
        <v/>
      </c>
      <c r="BI498" s="118" t="str">
        <f>IF(BI$6="","",IF(BI$3="Maior",IFERROR(IF(VLOOKUP($N498,Capa!$A:$AE,BI$5,0)="",0,VLOOKUP($N498,Capa!$A:$AE,BI$5,0)),0),IF(ISERROR(1/VLOOKUP($N498,Capa!$A:$AE,BI$5,0)),0,1/VLOOKUP($N498,Capa!$A:$AE,BI$5,0))))</f>
        <v/>
      </c>
      <c r="BJ498" s="118" t="str">
        <f>IF(BJ$6="","",IF(BJ$3="Maior",IFERROR(IF(VLOOKUP($N498,Capa!$A:$AE,BJ$5,0)="",0,VLOOKUP($N498,Capa!$A:$AE,BJ$5,0)),0),IF(ISERROR(1/VLOOKUP($N498,Capa!$A:$AE,BJ$5,0)),0,1/VLOOKUP($N498,Capa!$A:$AE,BJ$5,0))))</f>
        <v/>
      </c>
      <c r="BK498" s="118" t="str">
        <f>IF(BK$6="","",IF(BK$3="Maior",IFERROR(IF(VLOOKUP($N498,Capa!$A:$AE,BK$5,0)="",0,VLOOKUP($N498,Capa!$A:$AE,BK$5,0)),0),IF(ISERROR(1/VLOOKUP($N498,Capa!$A:$AE,BK$5,0)),0,1/VLOOKUP($N498,Capa!$A:$AE,BK$5,0))))</f>
        <v/>
      </c>
      <c r="BL498" s="118" t="str">
        <f>IF(BL$6="","",IF(BL$3="Maior",IFERROR(IF(VLOOKUP($N498,Capa!$A:$AE,BL$5,0)="",0,VLOOKUP($N498,Capa!$A:$AE,BL$5,0)),0),IF(ISERROR(1/VLOOKUP($N498,Capa!$A:$AE,BL$5,0)),0,1/VLOOKUP($N498,Capa!$A:$AE,BL$5,0))))</f>
        <v/>
      </c>
      <c r="BM498" s="118" t="str">
        <f>IF(BM$6="","",IF(BM$3="Maior",IFERROR(IF(VLOOKUP($N498,Capa!$A:$AE,BM$5,0)="",0,VLOOKUP($N498,Capa!$A:$AE,BM$5,0)),0),IF(ISERROR(1/VLOOKUP($N498,Capa!$A:$AE,BM$5,0)),0,1/VLOOKUP($N498,Capa!$A:$AE,BM$5,0))))</f>
        <v/>
      </c>
      <c r="BN498" s="118" t="str">
        <f>IF(BN$6="","",IF(BN$3="Maior",IFERROR(IF(VLOOKUP($N498,Capa!$A:$AE,BN$5,0)="",0,VLOOKUP($N498,Capa!$A:$AE,BN$5,0)),0),IF(ISERROR(1/VLOOKUP($N498,Capa!$A:$AE,BN$5,0)),0,1/VLOOKUP($N498,Capa!$A:$AE,BN$5,0))))</f>
        <v/>
      </c>
      <c r="BO498" s="92"/>
    </row>
    <row r="499">
      <c r="I499" s="73"/>
      <c r="J499" s="74"/>
      <c r="N499" s="10" t="s">
        <v>545</v>
      </c>
      <c r="O499" s="113">
        <f t="shared" si="8"/>
        <v>2127.0456</v>
      </c>
      <c r="P499" s="114">
        <f>VLOOKUP(N499,'Dados StatusInvest'!A:Z,26,0)</f>
        <v>0</v>
      </c>
      <c r="Q499" s="115">
        <f t="shared" si="9"/>
        <v>456.0456</v>
      </c>
      <c r="R499" s="116">
        <f t="shared" ref="R499:AO499" si="502">IF(AQ499="","", RANK(AQ499,AQ$7:AQ$503,0))</f>
        <v>452</v>
      </c>
      <c r="S499" s="115">
        <f t="shared" si="502"/>
        <v>219</v>
      </c>
      <c r="T499" s="115" t="str">
        <f t="shared" si="502"/>
        <v/>
      </c>
      <c r="U499" s="115" t="str">
        <f t="shared" si="502"/>
        <v/>
      </c>
      <c r="V499" s="115" t="str">
        <f t="shared" si="502"/>
        <v/>
      </c>
      <c r="W499" s="115" t="str">
        <f t="shared" si="502"/>
        <v/>
      </c>
      <c r="X499" s="115" t="str">
        <f t="shared" si="502"/>
        <v/>
      </c>
      <c r="Y499" s="115" t="str">
        <f t="shared" si="502"/>
        <v/>
      </c>
      <c r="Z499" s="115" t="str">
        <f t="shared" si="502"/>
        <v/>
      </c>
      <c r="AA499" s="115" t="str">
        <f t="shared" si="502"/>
        <v/>
      </c>
      <c r="AB499" s="115" t="str">
        <f t="shared" si="502"/>
        <v/>
      </c>
      <c r="AC499" s="115" t="str">
        <f t="shared" si="502"/>
        <v/>
      </c>
      <c r="AD499" s="115" t="str">
        <f t="shared" si="502"/>
        <v/>
      </c>
      <c r="AE499" s="115" t="str">
        <f t="shared" si="502"/>
        <v/>
      </c>
      <c r="AF499" s="115" t="str">
        <f t="shared" si="502"/>
        <v/>
      </c>
      <c r="AG499" s="115" t="str">
        <f t="shared" si="502"/>
        <v/>
      </c>
      <c r="AH499" s="115" t="str">
        <f t="shared" si="502"/>
        <v/>
      </c>
      <c r="AI499" s="115" t="str">
        <f t="shared" si="502"/>
        <v/>
      </c>
      <c r="AJ499" s="115" t="str">
        <f t="shared" si="502"/>
        <v/>
      </c>
      <c r="AK499" s="115" t="str">
        <f t="shared" si="502"/>
        <v/>
      </c>
      <c r="AL499" s="115" t="str">
        <f t="shared" si="502"/>
        <v/>
      </c>
      <c r="AM499" s="115" t="str">
        <f t="shared" si="502"/>
        <v/>
      </c>
      <c r="AN499" s="115" t="str">
        <f t="shared" si="502"/>
        <v/>
      </c>
      <c r="AO499" s="115" t="str">
        <f t="shared" si="502"/>
        <v/>
      </c>
      <c r="AP499" s="117">
        <f>IF(AP$6="","",IF(AP$3="Maior",IFERROR(IF(VLOOKUP($N499,Capa!$A:$AE,AP$5,0)="",0,VLOOKUP($N499,Capa!$A:$AE,AP$5,0)),0),IF(ISERROR(1/VLOOKUP($N499,Capa!$A:$AE,AP$5,0)),0,1/VLOOKUP($N499,Capa!$A:$AE,AP$5,0))))</f>
        <v>-0.1367989056</v>
      </c>
      <c r="AQ499" s="118">
        <f>IF(AQ$6="","",IF(AQ$3="Maior",IFERROR(IF(VLOOKUP($N499,Capa!$A:$AE,AQ$5,0)="",0,VLOOKUP($N499,Capa!$A:$AE,AQ$5,0)),0),IF(ISERROR(1/VLOOKUP($N499,Capa!$A:$AE,AQ$5,0)),0,1/VLOOKUP($N499,Capa!$A:$AE,AQ$5,0))))</f>
        <v>-7.07</v>
      </c>
      <c r="AR499" s="118">
        <f>IF(AR$6="","",IF(AR$3="Maior",IFERROR(IF(VLOOKUP($N499,Capa!$A:$AE,AR$5,0)="",0,VLOOKUP($N499,Capa!$A:$AE,AR$5,0)),0),IF(ISERROR(1/VLOOKUP($N499,Capa!$A:$AE,AR$5,0)),0,1/VLOOKUP($N499,Capa!$A:$AE,AR$5,0))))</f>
        <v>0</v>
      </c>
      <c r="AS499" s="118" t="str">
        <f>IF(AS$6="","",IF(AS$3="Maior",IFERROR(IF(VLOOKUP($N499,Capa!$A:$AE,AS$5,0)="",0,VLOOKUP($N499,Capa!$A:$AE,AS$5,0)),0),IF(ISERROR(1/VLOOKUP($N499,Capa!$A:$AE,AS$5,0)),0,1/VLOOKUP($N499,Capa!$A:$AE,AS$5,0))))</f>
        <v/>
      </c>
      <c r="AT499" s="118" t="str">
        <f>IF(AT$6="","",IF(AT$3="Maior",IFERROR(IF(VLOOKUP($N499,Capa!$A:$AE,AT$5,0)="",0,VLOOKUP($N499,Capa!$A:$AE,AT$5,0)),0),IF(ISERROR(1/VLOOKUP($N499,Capa!$A:$AE,AT$5,0)),0,1/VLOOKUP($N499,Capa!$A:$AE,AT$5,0))))</f>
        <v/>
      </c>
      <c r="AU499" s="118" t="str">
        <f>IF(AU$6="","",IF(AU$3="Maior",IFERROR(IF(VLOOKUP($N499,Capa!$A:$AE,AU$5,0)="",0,VLOOKUP($N499,Capa!$A:$AE,AU$5,0)),0),IF(ISERROR(1/VLOOKUP($N499,Capa!$A:$AE,AU$5,0)),0,1/VLOOKUP($N499,Capa!$A:$AE,AU$5,0))))</f>
        <v/>
      </c>
      <c r="AV499" s="118" t="str">
        <f>IF(AV$6="","",IF(AV$3="Maior",IFERROR(IF(VLOOKUP($N499,Capa!$A:$AE,AV$5,0)="",0,VLOOKUP($N499,Capa!$A:$AE,AV$5,0)),0),IF(ISERROR(1/VLOOKUP($N499,Capa!$A:$AE,AV$5,0)),0,1/VLOOKUP($N499,Capa!$A:$AE,AV$5,0))))</f>
        <v/>
      </c>
      <c r="AW499" s="118" t="str">
        <f>IF(AW$6="","",IF(AW$3="Maior",IFERROR(IF(VLOOKUP($N499,Capa!$A:$AE,AW$5,0)="",0,VLOOKUP($N499,Capa!$A:$AE,AW$5,0)),0),IF(ISERROR(1/VLOOKUP($N499,Capa!$A:$AE,AW$5,0)),0,1/VLOOKUP($N499,Capa!$A:$AE,AW$5,0))))</f>
        <v/>
      </c>
      <c r="AX499" s="118" t="str">
        <f>IF(AX$6="","",IF(AX$3="Maior",IFERROR(IF(VLOOKUP($N499,Capa!$A:$AE,AX$5,0)="",0,VLOOKUP($N499,Capa!$A:$AE,AX$5,0)),0),IF(ISERROR(1/VLOOKUP($N499,Capa!$A:$AE,AX$5,0)),0,1/VLOOKUP($N499,Capa!$A:$AE,AX$5,0))))</f>
        <v/>
      </c>
      <c r="AY499" s="118" t="str">
        <f>IF(AY$6="","",IF(AY$3="Maior",IFERROR(IF(VLOOKUP($N499,Capa!$A:$AE,AY$5,0)="",0,VLOOKUP($N499,Capa!$A:$AE,AY$5,0)),0),IF(ISERROR(1/VLOOKUP($N499,Capa!$A:$AE,AY$5,0)),0,1/VLOOKUP($N499,Capa!$A:$AE,AY$5,0))))</f>
        <v/>
      </c>
      <c r="AZ499" s="118" t="str">
        <f>IF(AZ$6="","",IF(AZ$3="Maior",IFERROR(IF(VLOOKUP($N499,Capa!$A:$AE,AZ$5,0)="",0,VLOOKUP($N499,Capa!$A:$AE,AZ$5,0)),0),IF(ISERROR(1/VLOOKUP($N499,Capa!$A:$AE,AZ$5,0)),0,1/VLOOKUP($N499,Capa!$A:$AE,AZ$5,0))))</f>
        <v/>
      </c>
      <c r="BA499" s="118" t="str">
        <f>IF(BA$6="","",IF(BA$3="Maior",IFERROR(IF(VLOOKUP($N499,Capa!$A:$AE,BA$5,0)="",0,VLOOKUP($N499,Capa!$A:$AE,BA$5,0)),0),IF(ISERROR(1/VLOOKUP($N499,Capa!$A:$AE,BA$5,0)),0,1/VLOOKUP($N499,Capa!$A:$AE,BA$5,0))))</f>
        <v/>
      </c>
      <c r="BB499" s="118" t="str">
        <f>IF(BB$6="","",IF(BB$3="Maior",IFERROR(IF(VLOOKUP($N499,Capa!$A:$AE,BB$5,0)="",0,VLOOKUP($N499,Capa!$A:$AE,BB$5,0)),0),IF(ISERROR(1/VLOOKUP($N499,Capa!$A:$AE,BB$5,0)),0,1/VLOOKUP($N499,Capa!$A:$AE,BB$5,0))))</f>
        <v/>
      </c>
      <c r="BC499" s="118" t="str">
        <f>IF(BC$6="","",IF(BC$3="Maior",IFERROR(IF(VLOOKUP($N499,Capa!$A:$AE,BC$5,0)="",0,VLOOKUP($N499,Capa!$A:$AE,BC$5,0)),0),IF(ISERROR(1/VLOOKUP($N499,Capa!$A:$AE,BC$5,0)),0,1/VLOOKUP($N499,Capa!$A:$AE,BC$5,0))))</f>
        <v/>
      </c>
      <c r="BD499" s="118" t="str">
        <f>IF(BD$6="","",IF(BD$3="Maior",IFERROR(IF(VLOOKUP($N499,Capa!$A:$AE,BD$5,0)="",0,VLOOKUP($N499,Capa!$A:$AE,BD$5,0)),0),IF(ISERROR(1/VLOOKUP($N499,Capa!$A:$AE,BD$5,0)),0,1/VLOOKUP($N499,Capa!$A:$AE,BD$5,0))))</f>
        <v/>
      </c>
      <c r="BE499" s="118" t="str">
        <f>IF(BE$6="","",IF(BE$3="Maior",IFERROR(IF(VLOOKUP($N499,Capa!$A:$AE,BE$5,0)="",0,VLOOKUP($N499,Capa!$A:$AE,BE$5,0)),0),IF(ISERROR(1/VLOOKUP($N499,Capa!$A:$AE,BE$5,0)),0,1/VLOOKUP($N499,Capa!$A:$AE,BE$5,0))))</f>
        <v/>
      </c>
      <c r="BF499" s="118" t="str">
        <f>IF(BF$6="","",IF(BF$3="Maior",IFERROR(IF(VLOOKUP($N499,Capa!$A:$AE,BF$5,0)="",0,VLOOKUP($N499,Capa!$A:$AE,BF$5,0)),0),IF(ISERROR(1/VLOOKUP($N499,Capa!$A:$AE,BF$5,0)),0,1/VLOOKUP($N499,Capa!$A:$AE,BF$5,0))))</f>
        <v/>
      </c>
      <c r="BG499" s="118" t="str">
        <f>IF(BG$6="","",IF(BG$3="Maior",IFERROR(IF(VLOOKUP($N499,Capa!$A:$AE,BG$5,0)="",0,VLOOKUP($N499,Capa!$A:$AE,BG$5,0)),0),IF(ISERROR(1/VLOOKUP($N499,Capa!$A:$AE,BG$5,0)),0,1/VLOOKUP($N499,Capa!$A:$AE,BG$5,0))))</f>
        <v/>
      </c>
      <c r="BH499" s="118" t="str">
        <f>IF(BH$6="","",IF(BH$3="Maior",IFERROR(IF(VLOOKUP($N499,Capa!$A:$AE,BH$5,0)="",0,VLOOKUP($N499,Capa!$A:$AE,BH$5,0)),0),IF(ISERROR(1/VLOOKUP($N499,Capa!$A:$AE,BH$5,0)),0,1/VLOOKUP($N499,Capa!$A:$AE,BH$5,0))))</f>
        <v/>
      </c>
      <c r="BI499" s="118" t="str">
        <f>IF(BI$6="","",IF(BI$3="Maior",IFERROR(IF(VLOOKUP($N499,Capa!$A:$AE,BI$5,0)="",0,VLOOKUP($N499,Capa!$A:$AE,BI$5,0)),0),IF(ISERROR(1/VLOOKUP($N499,Capa!$A:$AE,BI$5,0)),0,1/VLOOKUP($N499,Capa!$A:$AE,BI$5,0))))</f>
        <v/>
      </c>
      <c r="BJ499" s="118" t="str">
        <f>IF(BJ$6="","",IF(BJ$3="Maior",IFERROR(IF(VLOOKUP($N499,Capa!$A:$AE,BJ$5,0)="",0,VLOOKUP($N499,Capa!$A:$AE,BJ$5,0)),0),IF(ISERROR(1/VLOOKUP($N499,Capa!$A:$AE,BJ$5,0)),0,1/VLOOKUP($N499,Capa!$A:$AE,BJ$5,0))))</f>
        <v/>
      </c>
      <c r="BK499" s="118" t="str">
        <f>IF(BK$6="","",IF(BK$3="Maior",IFERROR(IF(VLOOKUP($N499,Capa!$A:$AE,BK$5,0)="",0,VLOOKUP($N499,Capa!$A:$AE,BK$5,0)),0),IF(ISERROR(1/VLOOKUP($N499,Capa!$A:$AE,BK$5,0)),0,1/VLOOKUP($N499,Capa!$A:$AE,BK$5,0))))</f>
        <v/>
      </c>
      <c r="BL499" s="118" t="str">
        <f>IF(BL$6="","",IF(BL$3="Maior",IFERROR(IF(VLOOKUP($N499,Capa!$A:$AE,BL$5,0)="",0,VLOOKUP($N499,Capa!$A:$AE,BL$5,0)),0),IF(ISERROR(1/VLOOKUP($N499,Capa!$A:$AE,BL$5,0)),0,1/VLOOKUP($N499,Capa!$A:$AE,BL$5,0))))</f>
        <v/>
      </c>
      <c r="BM499" s="118" t="str">
        <f>IF(BM$6="","",IF(BM$3="Maior",IFERROR(IF(VLOOKUP($N499,Capa!$A:$AE,BM$5,0)="",0,VLOOKUP($N499,Capa!$A:$AE,BM$5,0)),0),IF(ISERROR(1/VLOOKUP($N499,Capa!$A:$AE,BM$5,0)),0,1/VLOOKUP($N499,Capa!$A:$AE,BM$5,0))))</f>
        <v/>
      </c>
      <c r="BN499" s="118" t="str">
        <f>IF(BN$6="","",IF(BN$3="Maior",IFERROR(IF(VLOOKUP($N499,Capa!$A:$AE,BN$5,0)="",0,VLOOKUP($N499,Capa!$A:$AE,BN$5,0)),0),IF(ISERROR(1/VLOOKUP($N499,Capa!$A:$AE,BN$5,0)),0,1/VLOOKUP($N499,Capa!$A:$AE,BN$5,0))))</f>
        <v/>
      </c>
      <c r="BO499" s="92"/>
    </row>
    <row r="500">
      <c r="I500" s="73"/>
      <c r="J500" s="74"/>
      <c r="N500" s="10" t="s">
        <v>546</v>
      </c>
      <c r="O500" s="113">
        <f t="shared" si="8"/>
        <v>1834.0175</v>
      </c>
      <c r="P500" s="114">
        <f>VLOOKUP(N500,'Dados StatusInvest'!A:Z,26,0)</f>
        <v>0</v>
      </c>
      <c r="Q500" s="115">
        <f t="shared" si="9"/>
        <v>175.0175</v>
      </c>
      <c r="R500" s="116">
        <f t="shared" ref="R500:AO500" si="503">IF(AQ500="","", RANK(AQ500,AQ$7:AQ$503,0))</f>
        <v>440</v>
      </c>
      <c r="S500" s="115">
        <f t="shared" si="503"/>
        <v>219</v>
      </c>
      <c r="T500" s="115" t="str">
        <f t="shared" si="503"/>
        <v/>
      </c>
      <c r="U500" s="115" t="str">
        <f t="shared" si="503"/>
        <v/>
      </c>
      <c r="V500" s="115" t="str">
        <f t="shared" si="503"/>
        <v/>
      </c>
      <c r="W500" s="115" t="str">
        <f t="shared" si="503"/>
        <v/>
      </c>
      <c r="X500" s="115" t="str">
        <f t="shared" si="503"/>
        <v/>
      </c>
      <c r="Y500" s="115" t="str">
        <f t="shared" si="503"/>
        <v/>
      </c>
      <c r="Z500" s="115" t="str">
        <f t="shared" si="503"/>
        <v/>
      </c>
      <c r="AA500" s="115" t="str">
        <f t="shared" si="503"/>
        <v/>
      </c>
      <c r="AB500" s="115" t="str">
        <f t="shared" si="503"/>
        <v/>
      </c>
      <c r="AC500" s="115" t="str">
        <f t="shared" si="503"/>
        <v/>
      </c>
      <c r="AD500" s="115" t="str">
        <f t="shared" si="503"/>
        <v/>
      </c>
      <c r="AE500" s="115" t="str">
        <f t="shared" si="503"/>
        <v/>
      </c>
      <c r="AF500" s="115" t="str">
        <f t="shared" si="503"/>
        <v/>
      </c>
      <c r="AG500" s="115" t="str">
        <f t="shared" si="503"/>
        <v/>
      </c>
      <c r="AH500" s="115" t="str">
        <f t="shared" si="503"/>
        <v/>
      </c>
      <c r="AI500" s="115" t="str">
        <f t="shared" si="503"/>
        <v/>
      </c>
      <c r="AJ500" s="115" t="str">
        <f t="shared" si="503"/>
        <v/>
      </c>
      <c r="AK500" s="115" t="str">
        <f t="shared" si="503"/>
        <v/>
      </c>
      <c r="AL500" s="115" t="str">
        <f t="shared" si="503"/>
        <v/>
      </c>
      <c r="AM500" s="115" t="str">
        <f t="shared" si="503"/>
        <v/>
      </c>
      <c r="AN500" s="115" t="str">
        <f t="shared" si="503"/>
        <v/>
      </c>
      <c r="AO500" s="115" t="str">
        <f t="shared" si="503"/>
        <v/>
      </c>
      <c r="AP500" s="117">
        <f>IF(AP$6="","",IF(AP$3="Maior",IFERROR(IF(VLOOKUP($N500,Capa!$A:$AE,AP$5,0)="",0,VLOOKUP($N500,Capa!$A:$AE,AP$5,0)),0),IF(ISERROR(1/VLOOKUP($N500,Capa!$A:$AE,AP$5,0)),0,1/VLOOKUP($N500,Capa!$A:$AE,AP$5,0))))</f>
        <v>0.1198346551</v>
      </c>
      <c r="AQ500" s="118">
        <f>IF(AQ$6="","",IF(AQ$3="Maior",IFERROR(IF(VLOOKUP($N500,Capa!$A:$AE,AQ$5,0)="",0,VLOOKUP($N500,Capa!$A:$AE,AQ$5,0)),0),IF(ISERROR(1/VLOOKUP($N500,Capa!$A:$AE,AQ$5,0)),0,1/VLOOKUP($N500,Capa!$A:$AE,AQ$5,0))))</f>
        <v>-3.47</v>
      </c>
      <c r="AR500" s="118">
        <f>IF(AR$6="","",IF(AR$3="Maior",IFERROR(IF(VLOOKUP($N500,Capa!$A:$AE,AR$5,0)="",0,VLOOKUP($N500,Capa!$A:$AE,AR$5,0)),0),IF(ISERROR(1/VLOOKUP($N500,Capa!$A:$AE,AR$5,0)),0,1/VLOOKUP($N500,Capa!$A:$AE,AR$5,0))))</f>
        <v>0</v>
      </c>
      <c r="AS500" s="118" t="str">
        <f>IF(AS$6="","",IF(AS$3="Maior",IFERROR(IF(VLOOKUP($N500,Capa!$A:$AE,AS$5,0)="",0,VLOOKUP($N500,Capa!$A:$AE,AS$5,0)),0),IF(ISERROR(1/VLOOKUP($N500,Capa!$A:$AE,AS$5,0)),0,1/VLOOKUP($N500,Capa!$A:$AE,AS$5,0))))</f>
        <v/>
      </c>
      <c r="AT500" s="118" t="str">
        <f>IF(AT$6="","",IF(AT$3="Maior",IFERROR(IF(VLOOKUP($N500,Capa!$A:$AE,AT$5,0)="",0,VLOOKUP($N500,Capa!$A:$AE,AT$5,0)),0),IF(ISERROR(1/VLOOKUP($N500,Capa!$A:$AE,AT$5,0)),0,1/VLOOKUP($N500,Capa!$A:$AE,AT$5,0))))</f>
        <v/>
      </c>
      <c r="AU500" s="118" t="str">
        <f>IF(AU$6="","",IF(AU$3="Maior",IFERROR(IF(VLOOKUP($N500,Capa!$A:$AE,AU$5,0)="",0,VLOOKUP($N500,Capa!$A:$AE,AU$5,0)),0),IF(ISERROR(1/VLOOKUP($N500,Capa!$A:$AE,AU$5,0)),0,1/VLOOKUP($N500,Capa!$A:$AE,AU$5,0))))</f>
        <v/>
      </c>
      <c r="AV500" s="118" t="str">
        <f>IF(AV$6="","",IF(AV$3="Maior",IFERROR(IF(VLOOKUP($N500,Capa!$A:$AE,AV$5,0)="",0,VLOOKUP($N500,Capa!$A:$AE,AV$5,0)),0),IF(ISERROR(1/VLOOKUP($N500,Capa!$A:$AE,AV$5,0)),0,1/VLOOKUP($N500,Capa!$A:$AE,AV$5,0))))</f>
        <v/>
      </c>
      <c r="AW500" s="118" t="str">
        <f>IF(AW$6="","",IF(AW$3="Maior",IFERROR(IF(VLOOKUP($N500,Capa!$A:$AE,AW$5,0)="",0,VLOOKUP($N500,Capa!$A:$AE,AW$5,0)),0),IF(ISERROR(1/VLOOKUP($N500,Capa!$A:$AE,AW$5,0)),0,1/VLOOKUP($N500,Capa!$A:$AE,AW$5,0))))</f>
        <v/>
      </c>
      <c r="AX500" s="118" t="str">
        <f>IF(AX$6="","",IF(AX$3="Maior",IFERROR(IF(VLOOKUP($N500,Capa!$A:$AE,AX$5,0)="",0,VLOOKUP($N500,Capa!$A:$AE,AX$5,0)),0),IF(ISERROR(1/VLOOKUP($N500,Capa!$A:$AE,AX$5,0)),0,1/VLOOKUP($N500,Capa!$A:$AE,AX$5,0))))</f>
        <v/>
      </c>
      <c r="AY500" s="118" t="str">
        <f>IF(AY$6="","",IF(AY$3="Maior",IFERROR(IF(VLOOKUP($N500,Capa!$A:$AE,AY$5,0)="",0,VLOOKUP($N500,Capa!$A:$AE,AY$5,0)),0),IF(ISERROR(1/VLOOKUP($N500,Capa!$A:$AE,AY$5,0)),0,1/VLOOKUP($N500,Capa!$A:$AE,AY$5,0))))</f>
        <v/>
      </c>
      <c r="AZ500" s="118" t="str">
        <f>IF(AZ$6="","",IF(AZ$3="Maior",IFERROR(IF(VLOOKUP($N500,Capa!$A:$AE,AZ$5,0)="",0,VLOOKUP($N500,Capa!$A:$AE,AZ$5,0)),0),IF(ISERROR(1/VLOOKUP($N500,Capa!$A:$AE,AZ$5,0)),0,1/VLOOKUP($N500,Capa!$A:$AE,AZ$5,0))))</f>
        <v/>
      </c>
      <c r="BA500" s="118" t="str">
        <f>IF(BA$6="","",IF(BA$3="Maior",IFERROR(IF(VLOOKUP($N500,Capa!$A:$AE,BA$5,0)="",0,VLOOKUP($N500,Capa!$A:$AE,BA$5,0)),0),IF(ISERROR(1/VLOOKUP($N500,Capa!$A:$AE,BA$5,0)),0,1/VLOOKUP($N500,Capa!$A:$AE,BA$5,0))))</f>
        <v/>
      </c>
      <c r="BB500" s="118" t="str">
        <f>IF(BB$6="","",IF(BB$3="Maior",IFERROR(IF(VLOOKUP($N500,Capa!$A:$AE,BB$5,0)="",0,VLOOKUP($N500,Capa!$A:$AE,BB$5,0)),0),IF(ISERROR(1/VLOOKUP($N500,Capa!$A:$AE,BB$5,0)),0,1/VLOOKUP($N500,Capa!$A:$AE,BB$5,0))))</f>
        <v/>
      </c>
      <c r="BC500" s="118" t="str">
        <f>IF(BC$6="","",IF(BC$3="Maior",IFERROR(IF(VLOOKUP($N500,Capa!$A:$AE,BC$5,0)="",0,VLOOKUP($N500,Capa!$A:$AE,BC$5,0)),0),IF(ISERROR(1/VLOOKUP($N500,Capa!$A:$AE,BC$5,0)),0,1/VLOOKUP($N500,Capa!$A:$AE,BC$5,0))))</f>
        <v/>
      </c>
      <c r="BD500" s="118" t="str">
        <f>IF(BD$6="","",IF(BD$3="Maior",IFERROR(IF(VLOOKUP($N500,Capa!$A:$AE,BD$5,0)="",0,VLOOKUP($N500,Capa!$A:$AE,BD$5,0)),0),IF(ISERROR(1/VLOOKUP($N500,Capa!$A:$AE,BD$5,0)),0,1/VLOOKUP($N500,Capa!$A:$AE,BD$5,0))))</f>
        <v/>
      </c>
      <c r="BE500" s="118" t="str">
        <f>IF(BE$6="","",IF(BE$3="Maior",IFERROR(IF(VLOOKUP($N500,Capa!$A:$AE,BE$5,0)="",0,VLOOKUP($N500,Capa!$A:$AE,BE$5,0)),0),IF(ISERROR(1/VLOOKUP($N500,Capa!$A:$AE,BE$5,0)),0,1/VLOOKUP($N500,Capa!$A:$AE,BE$5,0))))</f>
        <v/>
      </c>
      <c r="BF500" s="118" t="str">
        <f>IF(BF$6="","",IF(BF$3="Maior",IFERROR(IF(VLOOKUP($N500,Capa!$A:$AE,BF$5,0)="",0,VLOOKUP($N500,Capa!$A:$AE,BF$5,0)),0),IF(ISERROR(1/VLOOKUP($N500,Capa!$A:$AE,BF$5,0)),0,1/VLOOKUP($N500,Capa!$A:$AE,BF$5,0))))</f>
        <v/>
      </c>
      <c r="BG500" s="118" t="str">
        <f>IF(BG$6="","",IF(BG$3="Maior",IFERROR(IF(VLOOKUP($N500,Capa!$A:$AE,BG$5,0)="",0,VLOOKUP($N500,Capa!$A:$AE,BG$5,0)),0),IF(ISERROR(1/VLOOKUP($N500,Capa!$A:$AE,BG$5,0)),0,1/VLOOKUP($N500,Capa!$A:$AE,BG$5,0))))</f>
        <v/>
      </c>
      <c r="BH500" s="118" t="str">
        <f>IF(BH$6="","",IF(BH$3="Maior",IFERROR(IF(VLOOKUP($N500,Capa!$A:$AE,BH$5,0)="",0,VLOOKUP($N500,Capa!$A:$AE,BH$5,0)),0),IF(ISERROR(1/VLOOKUP($N500,Capa!$A:$AE,BH$5,0)),0,1/VLOOKUP($N500,Capa!$A:$AE,BH$5,0))))</f>
        <v/>
      </c>
      <c r="BI500" s="118" t="str">
        <f>IF(BI$6="","",IF(BI$3="Maior",IFERROR(IF(VLOOKUP($N500,Capa!$A:$AE,BI$5,0)="",0,VLOOKUP($N500,Capa!$A:$AE,BI$5,0)),0),IF(ISERROR(1/VLOOKUP($N500,Capa!$A:$AE,BI$5,0)),0,1/VLOOKUP($N500,Capa!$A:$AE,BI$5,0))))</f>
        <v/>
      </c>
      <c r="BJ500" s="118" t="str">
        <f>IF(BJ$6="","",IF(BJ$3="Maior",IFERROR(IF(VLOOKUP($N500,Capa!$A:$AE,BJ$5,0)="",0,VLOOKUP($N500,Capa!$A:$AE,BJ$5,0)),0),IF(ISERROR(1/VLOOKUP($N500,Capa!$A:$AE,BJ$5,0)),0,1/VLOOKUP($N500,Capa!$A:$AE,BJ$5,0))))</f>
        <v/>
      </c>
      <c r="BK500" s="118" t="str">
        <f>IF(BK$6="","",IF(BK$3="Maior",IFERROR(IF(VLOOKUP($N500,Capa!$A:$AE,BK$5,0)="",0,VLOOKUP($N500,Capa!$A:$AE,BK$5,0)),0),IF(ISERROR(1/VLOOKUP($N500,Capa!$A:$AE,BK$5,0)),0,1/VLOOKUP($N500,Capa!$A:$AE,BK$5,0))))</f>
        <v/>
      </c>
      <c r="BL500" s="118" t="str">
        <f>IF(BL$6="","",IF(BL$3="Maior",IFERROR(IF(VLOOKUP($N500,Capa!$A:$AE,BL$5,0)="",0,VLOOKUP($N500,Capa!$A:$AE,BL$5,0)),0),IF(ISERROR(1/VLOOKUP($N500,Capa!$A:$AE,BL$5,0)),0,1/VLOOKUP($N500,Capa!$A:$AE,BL$5,0))))</f>
        <v/>
      </c>
      <c r="BM500" s="118" t="str">
        <f>IF(BM$6="","",IF(BM$3="Maior",IFERROR(IF(VLOOKUP($N500,Capa!$A:$AE,BM$5,0)="",0,VLOOKUP($N500,Capa!$A:$AE,BM$5,0)),0),IF(ISERROR(1/VLOOKUP($N500,Capa!$A:$AE,BM$5,0)),0,1/VLOOKUP($N500,Capa!$A:$AE,BM$5,0))))</f>
        <v/>
      </c>
      <c r="BN500" s="118" t="str">
        <f>IF(BN$6="","",IF(BN$3="Maior",IFERROR(IF(VLOOKUP($N500,Capa!$A:$AE,BN$5,0)="",0,VLOOKUP($N500,Capa!$A:$AE,BN$5,0)),0),IF(ISERROR(1/VLOOKUP($N500,Capa!$A:$AE,BN$5,0)),0,1/VLOOKUP($N500,Capa!$A:$AE,BN$5,0))))</f>
        <v/>
      </c>
      <c r="BO500" s="92"/>
    </row>
    <row r="501">
      <c r="I501" s="73"/>
      <c r="J501" s="74"/>
      <c r="N501" s="10" t="s">
        <v>549</v>
      </c>
      <c r="O501" s="113">
        <f t="shared" si="8"/>
        <v>1671.0363</v>
      </c>
      <c r="P501" s="114">
        <f>VLOOKUP(N501,'Dados StatusInvest'!A:Z,26,0)</f>
        <v>0</v>
      </c>
      <c r="Q501" s="115">
        <f t="shared" si="9"/>
        <v>363.0363</v>
      </c>
      <c r="R501" s="116">
        <f t="shared" ref="R501:AO501" si="504">IF(AQ501="","", RANK(AQ501,AQ$7:AQ$503,0))</f>
        <v>276</v>
      </c>
      <c r="S501" s="115">
        <f t="shared" si="504"/>
        <v>32</v>
      </c>
      <c r="T501" s="115" t="str">
        <f t="shared" si="504"/>
        <v/>
      </c>
      <c r="U501" s="115" t="str">
        <f t="shared" si="504"/>
        <v/>
      </c>
      <c r="V501" s="115" t="str">
        <f t="shared" si="504"/>
        <v/>
      </c>
      <c r="W501" s="115" t="str">
        <f t="shared" si="504"/>
        <v/>
      </c>
      <c r="X501" s="115" t="str">
        <f t="shared" si="504"/>
        <v/>
      </c>
      <c r="Y501" s="115" t="str">
        <f t="shared" si="504"/>
        <v/>
      </c>
      <c r="Z501" s="115" t="str">
        <f t="shared" si="504"/>
        <v/>
      </c>
      <c r="AA501" s="115" t="str">
        <f t="shared" si="504"/>
        <v/>
      </c>
      <c r="AB501" s="115" t="str">
        <f t="shared" si="504"/>
        <v/>
      </c>
      <c r="AC501" s="115" t="str">
        <f t="shared" si="504"/>
        <v/>
      </c>
      <c r="AD501" s="115" t="str">
        <f t="shared" si="504"/>
        <v/>
      </c>
      <c r="AE501" s="115" t="str">
        <f t="shared" si="504"/>
        <v/>
      </c>
      <c r="AF501" s="115" t="str">
        <f t="shared" si="504"/>
        <v/>
      </c>
      <c r="AG501" s="115" t="str">
        <f t="shared" si="504"/>
        <v/>
      </c>
      <c r="AH501" s="115" t="str">
        <f t="shared" si="504"/>
        <v/>
      </c>
      <c r="AI501" s="115" t="str">
        <f t="shared" si="504"/>
        <v/>
      </c>
      <c r="AJ501" s="115" t="str">
        <f t="shared" si="504"/>
        <v/>
      </c>
      <c r="AK501" s="115" t="str">
        <f t="shared" si="504"/>
        <v/>
      </c>
      <c r="AL501" s="115" t="str">
        <f t="shared" si="504"/>
        <v/>
      </c>
      <c r="AM501" s="115" t="str">
        <f t="shared" si="504"/>
        <v/>
      </c>
      <c r="AN501" s="115" t="str">
        <f t="shared" si="504"/>
        <v/>
      </c>
      <c r="AO501" s="115" t="str">
        <f t="shared" si="504"/>
        <v/>
      </c>
      <c r="AP501" s="117">
        <f>IF(AP$6="","",IF(AP$3="Maior",IFERROR(IF(VLOOKUP($N501,Capa!$A:$AE,AP$5,0)="",0,VLOOKUP($N501,Capa!$A:$AE,AP$5,0)),0),IF(ISERROR(1/VLOOKUP($N501,Capa!$A:$AE,AP$5,0)),0,1/VLOOKUP($N501,Capa!$A:$AE,AP$5,0))))</f>
        <v>0.02346866933</v>
      </c>
      <c r="AQ501" s="118">
        <f>IF(AQ$6="","",IF(AQ$3="Maior",IFERROR(IF(VLOOKUP($N501,Capa!$A:$AE,AQ$5,0)="",0,VLOOKUP($N501,Capa!$A:$AE,AQ$5,0)),0),IF(ISERROR(1/VLOOKUP($N501,Capa!$A:$AE,AQ$5,0)),0,1/VLOOKUP($N501,Capa!$A:$AE,AQ$5,0))))</f>
        <v>6.36</v>
      </c>
      <c r="AR501" s="118">
        <f>IF(AR$6="","",IF(AR$3="Maior",IFERROR(IF(VLOOKUP($N501,Capa!$A:$AE,AR$5,0)="",0,VLOOKUP($N501,Capa!$A:$AE,AR$5,0)),0),IF(ISERROR(1/VLOOKUP($N501,Capa!$A:$AE,AR$5,0)),0,1/VLOOKUP($N501,Capa!$A:$AE,AR$5,0))))</f>
        <v>61.83</v>
      </c>
      <c r="AS501" s="118" t="str">
        <f>IF(AS$6="","",IF(AS$3="Maior",IFERROR(IF(VLOOKUP($N501,Capa!$A:$AE,AS$5,0)="",0,VLOOKUP($N501,Capa!$A:$AE,AS$5,0)),0),IF(ISERROR(1/VLOOKUP($N501,Capa!$A:$AE,AS$5,0)),0,1/VLOOKUP($N501,Capa!$A:$AE,AS$5,0))))</f>
        <v/>
      </c>
      <c r="AT501" s="118" t="str">
        <f>IF(AT$6="","",IF(AT$3="Maior",IFERROR(IF(VLOOKUP($N501,Capa!$A:$AE,AT$5,0)="",0,VLOOKUP($N501,Capa!$A:$AE,AT$5,0)),0),IF(ISERROR(1/VLOOKUP($N501,Capa!$A:$AE,AT$5,0)),0,1/VLOOKUP($N501,Capa!$A:$AE,AT$5,0))))</f>
        <v/>
      </c>
      <c r="AU501" s="118" t="str">
        <f>IF(AU$6="","",IF(AU$3="Maior",IFERROR(IF(VLOOKUP($N501,Capa!$A:$AE,AU$5,0)="",0,VLOOKUP($N501,Capa!$A:$AE,AU$5,0)),0),IF(ISERROR(1/VLOOKUP($N501,Capa!$A:$AE,AU$5,0)),0,1/VLOOKUP($N501,Capa!$A:$AE,AU$5,0))))</f>
        <v/>
      </c>
      <c r="AV501" s="118" t="str">
        <f>IF(AV$6="","",IF(AV$3="Maior",IFERROR(IF(VLOOKUP($N501,Capa!$A:$AE,AV$5,0)="",0,VLOOKUP($N501,Capa!$A:$AE,AV$5,0)),0),IF(ISERROR(1/VLOOKUP($N501,Capa!$A:$AE,AV$5,0)),0,1/VLOOKUP($N501,Capa!$A:$AE,AV$5,0))))</f>
        <v/>
      </c>
      <c r="AW501" s="118" t="str">
        <f>IF(AW$6="","",IF(AW$3="Maior",IFERROR(IF(VLOOKUP($N501,Capa!$A:$AE,AW$5,0)="",0,VLOOKUP($N501,Capa!$A:$AE,AW$5,0)),0),IF(ISERROR(1/VLOOKUP($N501,Capa!$A:$AE,AW$5,0)),0,1/VLOOKUP($N501,Capa!$A:$AE,AW$5,0))))</f>
        <v/>
      </c>
      <c r="AX501" s="118" t="str">
        <f>IF(AX$6="","",IF(AX$3="Maior",IFERROR(IF(VLOOKUP($N501,Capa!$A:$AE,AX$5,0)="",0,VLOOKUP($N501,Capa!$A:$AE,AX$5,0)),0),IF(ISERROR(1/VLOOKUP($N501,Capa!$A:$AE,AX$5,0)),0,1/VLOOKUP($N501,Capa!$A:$AE,AX$5,0))))</f>
        <v/>
      </c>
      <c r="AY501" s="118" t="str">
        <f>IF(AY$6="","",IF(AY$3="Maior",IFERROR(IF(VLOOKUP($N501,Capa!$A:$AE,AY$5,0)="",0,VLOOKUP($N501,Capa!$A:$AE,AY$5,0)),0),IF(ISERROR(1/VLOOKUP($N501,Capa!$A:$AE,AY$5,0)),0,1/VLOOKUP($N501,Capa!$A:$AE,AY$5,0))))</f>
        <v/>
      </c>
      <c r="AZ501" s="118" t="str">
        <f>IF(AZ$6="","",IF(AZ$3="Maior",IFERROR(IF(VLOOKUP($N501,Capa!$A:$AE,AZ$5,0)="",0,VLOOKUP($N501,Capa!$A:$AE,AZ$5,0)),0),IF(ISERROR(1/VLOOKUP($N501,Capa!$A:$AE,AZ$5,0)),0,1/VLOOKUP($N501,Capa!$A:$AE,AZ$5,0))))</f>
        <v/>
      </c>
      <c r="BA501" s="118" t="str">
        <f>IF(BA$6="","",IF(BA$3="Maior",IFERROR(IF(VLOOKUP($N501,Capa!$A:$AE,BA$5,0)="",0,VLOOKUP($N501,Capa!$A:$AE,BA$5,0)),0),IF(ISERROR(1/VLOOKUP($N501,Capa!$A:$AE,BA$5,0)),0,1/VLOOKUP($N501,Capa!$A:$AE,BA$5,0))))</f>
        <v/>
      </c>
      <c r="BB501" s="118" t="str">
        <f>IF(BB$6="","",IF(BB$3="Maior",IFERROR(IF(VLOOKUP($N501,Capa!$A:$AE,BB$5,0)="",0,VLOOKUP($N501,Capa!$A:$AE,BB$5,0)),0),IF(ISERROR(1/VLOOKUP($N501,Capa!$A:$AE,BB$5,0)),0,1/VLOOKUP($N501,Capa!$A:$AE,BB$5,0))))</f>
        <v/>
      </c>
      <c r="BC501" s="118" t="str">
        <f>IF(BC$6="","",IF(BC$3="Maior",IFERROR(IF(VLOOKUP($N501,Capa!$A:$AE,BC$5,0)="",0,VLOOKUP($N501,Capa!$A:$AE,BC$5,0)),0),IF(ISERROR(1/VLOOKUP($N501,Capa!$A:$AE,BC$5,0)),0,1/VLOOKUP($N501,Capa!$A:$AE,BC$5,0))))</f>
        <v/>
      </c>
      <c r="BD501" s="118" t="str">
        <f>IF(BD$6="","",IF(BD$3="Maior",IFERROR(IF(VLOOKUP($N501,Capa!$A:$AE,BD$5,0)="",0,VLOOKUP($N501,Capa!$A:$AE,BD$5,0)),0),IF(ISERROR(1/VLOOKUP($N501,Capa!$A:$AE,BD$5,0)),0,1/VLOOKUP($N501,Capa!$A:$AE,BD$5,0))))</f>
        <v/>
      </c>
      <c r="BE501" s="118" t="str">
        <f>IF(BE$6="","",IF(BE$3="Maior",IFERROR(IF(VLOOKUP($N501,Capa!$A:$AE,BE$5,0)="",0,VLOOKUP($N501,Capa!$A:$AE,BE$5,0)),0),IF(ISERROR(1/VLOOKUP($N501,Capa!$A:$AE,BE$5,0)),0,1/VLOOKUP($N501,Capa!$A:$AE,BE$5,0))))</f>
        <v/>
      </c>
      <c r="BF501" s="118" t="str">
        <f>IF(BF$6="","",IF(BF$3="Maior",IFERROR(IF(VLOOKUP($N501,Capa!$A:$AE,BF$5,0)="",0,VLOOKUP($N501,Capa!$A:$AE,BF$5,0)),0),IF(ISERROR(1/VLOOKUP($N501,Capa!$A:$AE,BF$5,0)),0,1/VLOOKUP($N501,Capa!$A:$AE,BF$5,0))))</f>
        <v/>
      </c>
      <c r="BG501" s="118" t="str">
        <f>IF(BG$6="","",IF(BG$3="Maior",IFERROR(IF(VLOOKUP($N501,Capa!$A:$AE,BG$5,0)="",0,VLOOKUP($N501,Capa!$A:$AE,BG$5,0)),0),IF(ISERROR(1/VLOOKUP($N501,Capa!$A:$AE,BG$5,0)),0,1/VLOOKUP($N501,Capa!$A:$AE,BG$5,0))))</f>
        <v/>
      </c>
      <c r="BH501" s="118" t="str">
        <f>IF(BH$6="","",IF(BH$3="Maior",IFERROR(IF(VLOOKUP($N501,Capa!$A:$AE,BH$5,0)="",0,VLOOKUP($N501,Capa!$A:$AE,BH$5,0)),0),IF(ISERROR(1/VLOOKUP($N501,Capa!$A:$AE,BH$5,0)),0,1/VLOOKUP($N501,Capa!$A:$AE,BH$5,0))))</f>
        <v/>
      </c>
      <c r="BI501" s="118" t="str">
        <f>IF(BI$6="","",IF(BI$3="Maior",IFERROR(IF(VLOOKUP($N501,Capa!$A:$AE,BI$5,0)="",0,VLOOKUP($N501,Capa!$A:$AE,BI$5,0)),0),IF(ISERROR(1/VLOOKUP($N501,Capa!$A:$AE,BI$5,0)),0,1/VLOOKUP($N501,Capa!$A:$AE,BI$5,0))))</f>
        <v/>
      </c>
      <c r="BJ501" s="118" t="str">
        <f>IF(BJ$6="","",IF(BJ$3="Maior",IFERROR(IF(VLOOKUP($N501,Capa!$A:$AE,BJ$5,0)="",0,VLOOKUP($N501,Capa!$A:$AE,BJ$5,0)),0),IF(ISERROR(1/VLOOKUP($N501,Capa!$A:$AE,BJ$5,0)),0,1/VLOOKUP($N501,Capa!$A:$AE,BJ$5,0))))</f>
        <v/>
      </c>
      <c r="BK501" s="118" t="str">
        <f>IF(BK$6="","",IF(BK$3="Maior",IFERROR(IF(VLOOKUP($N501,Capa!$A:$AE,BK$5,0)="",0,VLOOKUP($N501,Capa!$A:$AE,BK$5,0)),0),IF(ISERROR(1/VLOOKUP($N501,Capa!$A:$AE,BK$5,0)),0,1/VLOOKUP($N501,Capa!$A:$AE,BK$5,0))))</f>
        <v/>
      </c>
      <c r="BL501" s="118" t="str">
        <f>IF(BL$6="","",IF(BL$3="Maior",IFERROR(IF(VLOOKUP($N501,Capa!$A:$AE,BL$5,0)="",0,VLOOKUP($N501,Capa!$A:$AE,BL$5,0)),0),IF(ISERROR(1/VLOOKUP($N501,Capa!$A:$AE,BL$5,0)),0,1/VLOOKUP($N501,Capa!$A:$AE,BL$5,0))))</f>
        <v/>
      </c>
      <c r="BM501" s="118" t="str">
        <f>IF(BM$6="","",IF(BM$3="Maior",IFERROR(IF(VLOOKUP($N501,Capa!$A:$AE,BM$5,0)="",0,VLOOKUP($N501,Capa!$A:$AE,BM$5,0)),0),IF(ISERROR(1/VLOOKUP($N501,Capa!$A:$AE,BM$5,0)),0,1/VLOOKUP($N501,Capa!$A:$AE,BM$5,0))))</f>
        <v/>
      </c>
      <c r="BN501" s="118" t="str">
        <f>IF(BN$6="","",IF(BN$3="Maior",IFERROR(IF(VLOOKUP($N501,Capa!$A:$AE,BN$5,0)="",0,VLOOKUP($N501,Capa!$A:$AE,BN$5,0)),0),IF(ISERROR(1/VLOOKUP($N501,Capa!$A:$AE,BN$5,0)),0,1/VLOOKUP($N501,Capa!$A:$AE,BN$5,0))))</f>
        <v/>
      </c>
      <c r="BO501" s="92"/>
    </row>
    <row r="502">
      <c r="I502" s="73"/>
      <c r="J502" s="74"/>
      <c r="N502" s="10" t="s">
        <v>544</v>
      </c>
      <c r="O502" s="113">
        <f t="shared" si="8"/>
        <v>2021.0443</v>
      </c>
      <c r="P502" s="114">
        <f>VLOOKUP(N502,'Dados StatusInvest'!A:Z,26,0)</f>
        <v>0</v>
      </c>
      <c r="Q502" s="115">
        <f t="shared" si="9"/>
        <v>443.0443</v>
      </c>
      <c r="R502" s="116">
        <f t="shared" ref="R502:AO502" si="505">IF(AQ502="","", RANK(AQ502,AQ$7:AQ$503,0))</f>
        <v>359</v>
      </c>
      <c r="S502" s="115">
        <f t="shared" si="505"/>
        <v>219</v>
      </c>
      <c r="T502" s="115" t="str">
        <f t="shared" si="505"/>
        <v/>
      </c>
      <c r="U502" s="115" t="str">
        <f t="shared" si="505"/>
        <v/>
      </c>
      <c r="V502" s="115" t="str">
        <f t="shared" si="505"/>
        <v/>
      </c>
      <c r="W502" s="115" t="str">
        <f t="shared" si="505"/>
        <v/>
      </c>
      <c r="X502" s="115" t="str">
        <f t="shared" si="505"/>
        <v/>
      </c>
      <c r="Y502" s="115" t="str">
        <f t="shared" si="505"/>
        <v/>
      </c>
      <c r="Z502" s="115" t="str">
        <f t="shared" si="505"/>
        <v/>
      </c>
      <c r="AA502" s="115" t="str">
        <f t="shared" si="505"/>
        <v/>
      </c>
      <c r="AB502" s="115" t="str">
        <f t="shared" si="505"/>
        <v/>
      </c>
      <c r="AC502" s="115" t="str">
        <f t="shared" si="505"/>
        <v/>
      </c>
      <c r="AD502" s="115" t="str">
        <f t="shared" si="505"/>
        <v/>
      </c>
      <c r="AE502" s="115" t="str">
        <f t="shared" si="505"/>
        <v/>
      </c>
      <c r="AF502" s="115" t="str">
        <f t="shared" si="505"/>
        <v/>
      </c>
      <c r="AG502" s="115" t="str">
        <f t="shared" si="505"/>
        <v/>
      </c>
      <c r="AH502" s="115" t="str">
        <f t="shared" si="505"/>
        <v/>
      </c>
      <c r="AI502" s="115" t="str">
        <f t="shared" si="505"/>
        <v/>
      </c>
      <c r="AJ502" s="115" t="str">
        <f t="shared" si="505"/>
        <v/>
      </c>
      <c r="AK502" s="115" t="str">
        <f t="shared" si="505"/>
        <v/>
      </c>
      <c r="AL502" s="115" t="str">
        <f t="shared" si="505"/>
        <v/>
      </c>
      <c r="AM502" s="115" t="str">
        <f t="shared" si="505"/>
        <v/>
      </c>
      <c r="AN502" s="115" t="str">
        <f t="shared" si="505"/>
        <v/>
      </c>
      <c r="AO502" s="115" t="str">
        <f t="shared" si="505"/>
        <v/>
      </c>
      <c r="AP502" s="117">
        <f>IF(AP$6="","",IF(AP$3="Maior",IFERROR(IF(VLOOKUP($N502,Capa!$A:$AE,AP$5,0)="",0,VLOOKUP($N502,Capa!$A:$AE,AP$5,0)),0),IF(ISERROR(1/VLOOKUP($N502,Capa!$A:$AE,AP$5,0)),0,1/VLOOKUP($N502,Capa!$A:$AE,AP$5,0))))</f>
        <v>-0.08433420894</v>
      </c>
      <c r="AQ502" s="118">
        <f>IF(AQ$6="","",IF(AQ$3="Maior",IFERROR(IF(VLOOKUP($N502,Capa!$A:$AE,AQ$5,0)="",0,VLOOKUP($N502,Capa!$A:$AE,AQ$5,0)),0),IF(ISERROR(1/VLOOKUP($N502,Capa!$A:$AE,AQ$5,0)),0,1/VLOOKUP($N502,Capa!$A:$AE,AQ$5,0))))</f>
        <v>1.31</v>
      </c>
      <c r="AR502" s="118">
        <f>IF(AR$6="","",IF(AR$3="Maior",IFERROR(IF(VLOOKUP($N502,Capa!$A:$AE,AR$5,0)="",0,VLOOKUP($N502,Capa!$A:$AE,AR$5,0)),0),IF(ISERROR(1/VLOOKUP($N502,Capa!$A:$AE,AR$5,0)),0,1/VLOOKUP($N502,Capa!$A:$AE,AR$5,0))))</f>
        <v>0</v>
      </c>
      <c r="AS502" s="118" t="str">
        <f>IF(AS$6="","",IF(AS$3="Maior",IFERROR(IF(VLOOKUP($N502,Capa!$A:$AE,AS$5,0)="",0,VLOOKUP($N502,Capa!$A:$AE,AS$5,0)),0),IF(ISERROR(1/VLOOKUP($N502,Capa!$A:$AE,AS$5,0)),0,1/VLOOKUP($N502,Capa!$A:$AE,AS$5,0))))</f>
        <v/>
      </c>
      <c r="AT502" s="118" t="str">
        <f>IF(AT$6="","",IF(AT$3="Maior",IFERROR(IF(VLOOKUP($N502,Capa!$A:$AE,AT$5,0)="",0,VLOOKUP($N502,Capa!$A:$AE,AT$5,0)),0),IF(ISERROR(1/VLOOKUP($N502,Capa!$A:$AE,AT$5,0)),0,1/VLOOKUP($N502,Capa!$A:$AE,AT$5,0))))</f>
        <v/>
      </c>
      <c r="AU502" s="118" t="str">
        <f>IF(AU$6="","",IF(AU$3="Maior",IFERROR(IF(VLOOKUP($N502,Capa!$A:$AE,AU$5,0)="",0,VLOOKUP($N502,Capa!$A:$AE,AU$5,0)),0),IF(ISERROR(1/VLOOKUP($N502,Capa!$A:$AE,AU$5,0)),0,1/VLOOKUP($N502,Capa!$A:$AE,AU$5,0))))</f>
        <v/>
      </c>
      <c r="AV502" s="118" t="str">
        <f>IF(AV$6="","",IF(AV$3="Maior",IFERROR(IF(VLOOKUP($N502,Capa!$A:$AE,AV$5,0)="",0,VLOOKUP($N502,Capa!$A:$AE,AV$5,0)),0),IF(ISERROR(1/VLOOKUP($N502,Capa!$A:$AE,AV$5,0)),0,1/VLOOKUP($N502,Capa!$A:$AE,AV$5,0))))</f>
        <v/>
      </c>
      <c r="AW502" s="118" t="str">
        <f>IF(AW$6="","",IF(AW$3="Maior",IFERROR(IF(VLOOKUP($N502,Capa!$A:$AE,AW$5,0)="",0,VLOOKUP($N502,Capa!$A:$AE,AW$5,0)),0),IF(ISERROR(1/VLOOKUP($N502,Capa!$A:$AE,AW$5,0)),0,1/VLOOKUP($N502,Capa!$A:$AE,AW$5,0))))</f>
        <v/>
      </c>
      <c r="AX502" s="118" t="str">
        <f>IF(AX$6="","",IF(AX$3="Maior",IFERROR(IF(VLOOKUP($N502,Capa!$A:$AE,AX$5,0)="",0,VLOOKUP($N502,Capa!$A:$AE,AX$5,0)),0),IF(ISERROR(1/VLOOKUP($N502,Capa!$A:$AE,AX$5,0)),0,1/VLOOKUP($N502,Capa!$A:$AE,AX$5,0))))</f>
        <v/>
      </c>
      <c r="AY502" s="118" t="str">
        <f>IF(AY$6="","",IF(AY$3="Maior",IFERROR(IF(VLOOKUP($N502,Capa!$A:$AE,AY$5,0)="",0,VLOOKUP($N502,Capa!$A:$AE,AY$5,0)),0),IF(ISERROR(1/VLOOKUP($N502,Capa!$A:$AE,AY$5,0)),0,1/VLOOKUP($N502,Capa!$A:$AE,AY$5,0))))</f>
        <v/>
      </c>
      <c r="AZ502" s="118" t="str">
        <f>IF(AZ$6="","",IF(AZ$3="Maior",IFERROR(IF(VLOOKUP($N502,Capa!$A:$AE,AZ$5,0)="",0,VLOOKUP($N502,Capa!$A:$AE,AZ$5,0)),0),IF(ISERROR(1/VLOOKUP($N502,Capa!$A:$AE,AZ$5,0)),0,1/VLOOKUP($N502,Capa!$A:$AE,AZ$5,0))))</f>
        <v/>
      </c>
      <c r="BA502" s="118" t="str">
        <f>IF(BA$6="","",IF(BA$3="Maior",IFERROR(IF(VLOOKUP($N502,Capa!$A:$AE,BA$5,0)="",0,VLOOKUP($N502,Capa!$A:$AE,BA$5,0)),0),IF(ISERROR(1/VLOOKUP($N502,Capa!$A:$AE,BA$5,0)),0,1/VLOOKUP($N502,Capa!$A:$AE,BA$5,0))))</f>
        <v/>
      </c>
      <c r="BB502" s="118" t="str">
        <f>IF(BB$6="","",IF(BB$3="Maior",IFERROR(IF(VLOOKUP($N502,Capa!$A:$AE,BB$5,0)="",0,VLOOKUP($N502,Capa!$A:$AE,BB$5,0)),0),IF(ISERROR(1/VLOOKUP($N502,Capa!$A:$AE,BB$5,0)),0,1/VLOOKUP($N502,Capa!$A:$AE,BB$5,0))))</f>
        <v/>
      </c>
      <c r="BC502" s="118" t="str">
        <f>IF(BC$6="","",IF(BC$3="Maior",IFERROR(IF(VLOOKUP($N502,Capa!$A:$AE,BC$5,0)="",0,VLOOKUP($N502,Capa!$A:$AE,BC$5,0)),0),IF(ISERROR(1/VLOOKUP($N502,Capa!$A:$AE,BC$5,0)),0,1/VLOOKUP($N502,Capa!$A:$AE,BC$5,0))))</f>
        <v/>
      </c>
      <c r="BD502" s="118" t="str">
        <f>IF(BD$6="","",IF(BD$3="Maior",IFERROR(IF(VLOOKUP($N502,Capa!$A:$AE,BD$5,0)="",0,VLOOKUP($N502,Capa!$A:$AE,BD$5,0)),0),IF(ISERROR(1/VLOOKUP($N502,Capa!$A:$AE,BD$5,0)),0,1/VLOOKUP($N502,Capa!$A:$AE,BD$5,0))))</f>
        <v/>
      </c>
      <c r="BE502" s="118" t="str">
        <f>IF(BE$6="","",IF(BE$3="Maior",IFERROR(IF(VLOOKUP($N502,Capa!$A:$AE,BE$5,0)="",0,VLOOKUP($N502,Capa!$A:$AE,BE$5,0)),0),IF(ISERROR(1/VLOOKUP($N502,Capa!$A:$AE,BE$5,0)),0,1/VLOOKUP($N502,Capa!$A:$AE,BE$5,0))))</f>
        <v/>
      </c>
      <c r="BF502" s="118" t="str">
        <f>IF(BF$6="","",IF(BF$3="Maior",IFERROR(IF(VLOOKUP($N502,Capa!$A:$AE,BF$5,0)="",0,VLOOKUP($N502,Capa!$A:$AE,BF$5,0)),0),IF(ISERROR(1/VLOOKUP($N502,Capa!$A:$AE,BF$5,0)),0,1/VLOOKUP($N502,Capa!$A:$AE,BF$5,0))))</f>
        <v/>
      </c>
      <c r="BG502" s="118" t="str">
        <f>IF(BG$6="","",IF(BG$3="Maior",IFERROR(IF(VLOOKUP($N502,Capa!$A:$AE,BG$5,0)="",0,VLOOKUP($N502,Capa!$A:$AE,BG$5,0)),0),IF(ISERROR(1/VLOOKUP($N502,Capa!$A:$AE,BG$5,0)),0,1/VLOOKUP($N502,Capa!$A:$AE,BG$5,0))))</f>
        <v/>
      </c>
      <c r="BH502" s="118" t="str">
        <f>IF(BH$6="","",IF(BH$3="Maior",IFERROR(IF(VLOOKUP($N502,Capa!$A:$AE,BH$5,0)="",0,VLOOKUP($N502,Capa!$A:$AE,BH$5,0)),0),IF(ISERROR(1/VLOOKUP($N502,Capa!$A:$AE,BH$5,0)),0,1/VLOOKUP($N502,Capa!$A:$AE,BH$5,0))))</f>
        <v/>
      </c>
      <c r="BI502" s="118" t="str">
        <f>IF(BI$6="","",IF(BI$3="Maior",IFERROR(IF(VLOOKUP($N502,Capa!$A:$AE,BI$5,0)="",0,VLOOKUP($N502,Capa!$A:$AE,BI$5,0)),0),IF(ISERROR(1/VLOOKUP($N502,Capa!$A:$AE,BI$5,0)),0,1/VLOOKUP($N502,Capa!$A:$AE,BI$5,0))))</f>
        <v/>
      </c>
      <c r="BJ502" s="118" t="str">
        <f>IF(BJ$6="","",IF(BJ$3="Maior",IFERROR(IF(VLOOKUP($N502,Capa!$A:$AE,BJ$5,0)="",0,VLOOKUP($N502,Capa!$A:$AE,BJ$5,0)),0),IF(ISERROR(1/VLOOKUP($N502,Capa!$A:$AE,BJ$5,0)),0,1/VLOOKUP($N502,Capa!$A:$AE,BJ$5,0))))</f>
        <v/>
      </c>
      <c r="BK502" s="118" t="str">
        <f>IF(BK$6="","",IF(BK$3="Maior",IFERROR(IF(VLOOKUP($N502,Capa!$A:$AE,BK$5,0)="",0,VLOOKUP($N502,Capa!$A:$AE,BK$5,0)),0),IF(ISERROR(1/VLOOKUP($N502,Capa!$A:$AE,BK$5,0)),0,1/VLOOKUP($N502,Capa!$A:$AE,BK$5,0))))</f>
        <v/>
      </c>
      <c r="BL502" s="118" t="str">
        <f>IF(BL$6="","",IF(BL$3="Maior",IFERROR(IF(VLOOKUP($N502,Capa!$A:$AE,BL$5,0)="",0,VLOOKUP($N502,Capa!$A:$AE,BL$5,0)),0),IF(ISERROR(1/VLOOKUP($N502,Capa!$A:$AE,BL$5,0)),0,1/VLOOKUP($N502,Capa!$A:$AE,BL$5,0))))</f>
        <v/>
      </c>
      <c r="BM502" s="118" t="str">
        <f>IF(BM$6="","",IF(BM$3="Maior",IFERROR(IF(VLOOKUP($N502,Capa!$A:$AE,BM$5,0)="",0,VLOOKUP($N502,Capa!$A:$AE,BM$5,0)),0),IF(ISERROR(1/VLOOKUP($N502,Capa!$A:$AE,BM$5,0)),0,1/VLOOKUP($N502,Capa!$A:$AE,BM$5,0))))</f>
        <v/>
      </c>
      <c r="BN502" s="118" t="str">
        <f>IF(BN$6="","",IF(BN$3="Maior",IFERROR(IF(VLOOKUP($N502,Capa!$A:$AE,BN$5,0)="",0,VLOOKUP($N502,Capa!$A:$AE,BN$5,0)),0),IF(ISERROR(1/VLOOKUP($N502,Capa!$A:$AE,BN$5,0)),0,1/VLOOKUP($N502,Capa!$A:$AE,BN$5,0))))</f>
        <v/>
      </c>
      <c r="BO502" s="92"/>
    </row>
    <row r="503">
      <c r="I503" s="73"/>
      <c r="J503" s="74"/>
      <c r="N503" s="10" t="s">
        <v>547</v>
      </c>
      <c r="O503" s="113">
        <f t="shared" si="8"/>
        <v>1519.0204</v>
      </c>
      <c r="P503" s="114">
        <f>VLOOKUP(N503,'Dados StatusInvest'!A:Z,26,0)</f>
        <v>0</v>
      </c>
      <c r="Q503" s="115">
        <f t="shared" si="9"/>
        <v>204.0204</v>
      </c>
      <c r="R503" s="116">
        <f t="shared" ref="R503:AO503" si="506">IF(AQ503="","", RANK(AQ503,AQ$7:AQ$503,0))</f>
        <v>145</v>
      </c>
      <c r="S503" s="115">
        <f t="shared" si="506"/>
        <v>170</v>
      </c>
      <c r="T503" s="115" t="str">
        <f t="shared" si="506"/>
        <v/>
      </c>
      <c r="U503" s="115" t="str">
        <f t="shared" si="506"/>
        <v/>
      </c>
      <c r="V503" s="115" t="str">
        <f t="shared" si="506"/>
        <v/>
      </c>
      <c r="W503" s="115" t="str">
        <f t="shared" si="506"/>
        <v/>
      </c>
      <c r="X503" s="115" t="str">
        <f t="shared" si="506"/>
        <v/>
      </c>
      <c r="Y503" s="115" t="str">
        <f t="shared" si="506"/>
        <v/>
      </c>
      <c r="Z503" s="115" t="str">
        <f t="shared" si="506"/>
        <v/>
      </c>
      <c r="AA503" s="115" t="str">
        <f t="shared" si="506"/>
        <v/>
      </c>
      <c r="AB503" s="115" t="str">
        <f t="shared" si="506"/>
        <v/>
      </c>
      <c r="AC503" s="115" t="str">
        <f t="shared" si="506"/>
        <v/>
      </c>
      <c r="AD503" s="115" t="str">
        <f t="shared" si="506"/>
        <v/>
      </c>
      <c r="AE503" s="115" t="str">
        <f t="shared" si="506"/>
        <v/>
      </c>
      <c r="AF503" s="115" t="str">
        <f t="shared" si="506"/>
        <v/>
      </c>
      <c r="AG503" s="115" t="str">
        <f t="shared" si="506"/>
        <v/>
      </c>
      <c r="AH503" s="115" t="str">
        <f t="shared" si="506"/>
        <v/>
      </c>
      <c r="AI503" s="115" t="str">
        <f t="shared" si="506"/>
        <v/>
      </c>
      <c r="AJ503" s="115" t="str">
        <f t="shared" si="506"/>
        <v/>
      </c>
      <c r="AK503" s="115" t="str">
        <f t="shared" si="506"/>
        <v/>
      </c>
      <c r="AL503" s="115" t="str">
        <f t="shared" si="506"/>
        <v/>
      </c>
      <c r="AM503" s="115" t="str">
        <f t="shared" si="506"/>
        <v/>
      </c>
      <c r="AN503" s="115" t="str">
        <f t="shared" si="506"/>
        <v/>
      </c>
      <c r="AO503" s="115" t="str">
        <f t="shared" si="506"/>
        <v/>
      </c>
      <c r="AP503" s="117">
        <f>IF(AP$6="","",IF(AP$3="Maior",IFERROR(IF(VLOOKUP($N503,Capa!$A:$AE,AP$5,0)="",0,VLOOKUP($N503,Capa!$A:$AE,AP$5,0)),0),IF(ISERROR(1/VLOOKUP($N503,Capa!$A:$AE,AP$5,0)),0,1/VLOOKUP($N503,Capa!$A:$AE,AP$5,0))))</f>
        <v>0.1047438573</v>
      </c>
      <c r="AQ503" s="118">
        <f>IF(AQ$6="","",IF(AQ$3="Maior",IFERROR(IF(VLOOKUP($N503,Capa!$A:$AE,AQ$5,0)="",0,VLOOKUP($N503,Capa!$A:$AE,AQ$5,0)),0),IF(ISERROR(1/VLOOKUP($N503,Capa!$A:$AE,AQ$5,0)),0,1/VLOOKUP($N503,Capa!$A:$AE,AQ$5,0))))</f>
        <v>14.32</v>
      </c>
      <c r="AR503" s="118">
        <f>IF(AR$6="","",IF(AR$3="Maior",IFERROR(IF(VLOOKUP($N503,Capa!$A:$AE,AR$5,0)="",0,VLOOKUP($N503,Capa!$A:$AE,AR$5,0)),0),IF(ISERROR(1/VLOOKUP($N503,Capa!$A:$AE,AR$5,0)),0,1/VLOOKUP($N503,Capa!$A:$AE,AR$5,0))))</f>
        <v>10.16</v>
      </c>
      <c r="AS503" s="118" t="str">
        <f>IF(AS$6="","",IF(AS$3="Maior",IFERROR(IF(VLOOKUP($N503,Capa!$A:$AE,AS$5,0)="",0,VLOOKUP($N503,Capa!$A:$AE,AS$5,0)),0),IF(ISERROR(1/VLOOKUP($N503,Capa!$A:$AE,AS$5,0)),0,1/VLOOKUP($N503,Capa!$A:$AE,AS$5,0))))</f>
        <v/>
      </c>
      <c r="AT503" s="118" t="str">
        <f>IF(AT$6="","",IF(AT$3="Maior",IFERROR(IF(VLOOKUP($N503,Capa!$A:$AE,AT$5,0)="",0,VLOOKUP($N503,Capa!$A:$AE,AT$5,0)),0),IF(ISERROR(1/VLOOKUP($N503,Capa!$A:$AE,AT$5,0)),0,1/VLOOKUP($N503,Capa!$A:$AE,AT$5,0))))</f>
        <v/>
      </c>
      <c r="AU503" s="118" t="str">
        <f>IF(AU$6="","",IF(AU$3="Maior",IFERROR(IF(VLOOKUP($N503,Capa!$A:$AE,AU$5,0)="",0,VLOOKUP($N503,Capa!$A:$AE,AU$5,0)),0),IF(ISERROR(1/VLOOKUP($N503,Capa!$A:$AE,AU$5,0)),0,1/VLOOKUP($N503,Capa!$A:$AE,AU$5,0))))</f>
        <v/>
      </c>
      <c r="AV503" s="118" t="str">
        <f>IF(AV$6="","",IF(AV$3="Maior",IFERROR(IF(VLOOKUP($N503,Capa!$A:$AE,AV$5,0)="",0,VLOOKUP($N503,Capa!$A:$AE,AV$5,0)),0),IF(ISERROR(1/VLOOKUP($N503,Capa!$A:$AE,AV$5,0)),0,1/VLOOKUP($N503,Capa!$A:$AE,AV$5,0))))</f>
        <v/>
      </c>
      <c r="AW503" s="118" t="str">
        <f>IF(AW$6="","",IF(AW$3="Maior",IFERROR(IF(VLOOKUP($N503,Capa!$A:$AE,AW$5,0)="",0,VLOOKUP($N503,Capa!$A:$AE,AW$5,0)),0),IF(ISERROR(1/VLOOKUP($N503,Capa!$A:$AE,AW$5,0)),0,1/VLOOKUP($N503,Capa!$A:$AE,AW$5,0))))</f>
        <v/>
      </c>
      <c r="AX503" s="118" t="str">
        <f>IF(AX$6="","",IF(AX$3="Maior",IFERROR(IF(VLOOKUP($N503,Capa!$A:$AE,AX$5,0)="",0,VLOOKUP($N503,Capa!$A:$AE,AX$5,0)),0),IF(ISERROR(1/VLOOKUP($N503,Capa!$A:$AE,AX$5,0)),0,1/VLOOKUP($N503,Capa!$A:$AE,AX$5,0))))</f>
        <v/>
      </c>
      <c r="AY503" s="118" t="str">
        <f>IF(AY$6="","",IF(AY$3="Maior",IFERROR(IF(VLOOKUP($N503,Capa!$A:$AE,AY$5,0)="",0,VLOOKUP($N503,Capa!$A:$AE,AY$5,0)),0),IF(ISERROR(1/VLOOKUP($N503,Capa!$A:$AE,AY$5,0)),0,1/VLOOKUP($N503,Capa!$A:$AE,AY$5,0))))</f>
        <v/>
      </c>
      <c r="AZ503" s="118" t="str">
        <f>IF(AZ$6="","",IF(AZ$3="Maior",IFERROR(IF(VLOOKUP($N503,Capa!$A:$AE,AZ$5,0)="",0,VLOOKUP($N503,Capa!$A:$AE,AZ$5,0)),0),IF(ISERROR(1/VLOOKUP($N503,Capa!$A:$AE,AZ$5,0)),0,1/VLOOKUP($N503,Capa!$A:$AE,AZ$5,0))))</f>
        <v/>
      </c>
      <c r="BA503" s="118" t="str">
        <f>IF(BA$6="","",IF(BA$3="Maior",IFERROR(IF(VLOOKUP($N503,Capa!$A:$AE,BA$5,0)="",0,VLOOKUP($N503,Capa!$A:$AE,BA$5,0)),0),IF(ISERROR(1/VLOOKUP($N503,Capa!$A:$AE,BA$5,0)),0,1/VLOOKUP($N503,Capa!$A:$AE,BA$5,0))))</f>
        <v/>
      </c>
      <c r="BB503" s="118" t="str">
        <f>IF(BB$6="","",IF(BB$3="Maior",IFERROR(IF(VLOOKUP($N503,Capa!$A:$AE,BB$5,0)="",0,VLOOKUP($N503,Capa!$A:$AE,BB$5,0)),0),IF(ISERROR(1/VLOOKUP($N503,Capa!$A:$AE,BB$5,0)),0,1/VLOOKUP($N503,Capa!$A:$AE,BB$5,0))))</f>
        <v/>
      </c>
      <c r="BC503" s="118" t="str">
        <f>IF(BC$6="","",IF(BC$3="Maior",IFERROR(IF(VLOOKUP($N503,Capa!$A:$AE,BC$5,0)="",0,VLOOKUP($N503,Capa!$A:$AE,BC$5,0)),0),IF(ISERROR(1/VLOOKUP($N503,Capa!$A:$AE,BC$5,0)),0,1/VLOOKUP($N503,Capa!$A:$AE,BC$5,0))))</f>
        <v/>
      </c>
      <c r="BD503" s="118" t="str">
        <f>IF(BD$6="","",IF(BD$3="Maior",IFERROR(IF(VLOOKUP($N503,Capa!$A:$AE,BD$5,0)="",0,VLOOKUP($N503,Capa!$A:$AE,BD$5,0)),0),IF(ISERROR(1/VLOOKUP($N503,Capa!$A:$AE,BD$5,0)),0,1/VLOOKUP($N503,Capa!$A:$AE,BD$5,0))))</f>
        <v/>
      </c>
      <c r="BE503" s="118" t="str">
        <f>IF(BE$6="","",IF(BE$3="Maior",IFERROR(IF(VLOOKUP($N503,Capa!$A:$AE,BE$5,0)="",0,VLOOKUP($N503,Capa!$A:$AE,BE$5,0)),0),IF(ISERROR(1/VLOOKUP($N503,Capa!$A:$AE,BE$5,0)),0,1/VLOOKUP($N503,Capa!$A:$AE,BE$5,0))))</f>
        <v/>
      </c>
      <c r="BF503" s="118" t="str">
        <f>IF(BF$6="","",IF(BF$3="Maior",IFERROR(IF(VLOOKUP($N503,Capa!$A:$AE,BF$5,0)="",0,VLOOKUP($N503,Capa!$A:$AE,BF$5,0)),0),IF(ISERROR(1/VLOOKUP($N503,Capa!$A:$AE,BF$5,0)),0,1/VLOOKUP($N503,Capa!$A:$AE,BF$5,0))))</f>
        <v/>
      </c>
      <c r="BG503" s="118" t="str">
        <f>IF(BG$6="","",IF(BG$3="Maior",IFERROR(IF(VLOOKUP($N503,Capa!$A:$AE,BG$5,0)="",0,VLOOKUP($N503,Capa!$A:$AE,BG$5,0)),0),IF(ISERROR(1/VLOOKUP($N503,Capa!$A:$AE,BG$5,0)),0,1/VLOOKUP($N503,Capa!$A:$AE,BG$5,0))))</f>
        <v/>
      </c>
      <c r="BH503" s="118" t="str">
        <f>IF(BH$6="","",IF(BH$3="Maior",IFERROR(IF(VLOOKUP($N503,Capa!$A:$AE,BH$5,0)="",0,VLOOKUP($N503,Capa!$A:$AE,BH$5,0)),0),IF(ISERROR(1/VLOOKUP($N503,Capa!$A:$AE,BH$5,0)),0,1/VLOOKUP($N503,Capa!$A:$AE,BH$5,0))))</f>
        <v/>
      </c>
      <c r="BI503" s="118" t="str">
        <f>IF(BI$6="","",IF(BI$3="Maior",IFERROR(IF(VLOOKUP($N503,Capa!$A:$AE,BI$5,0)="",0,VLOOKUP($N503,Capa!$A:$AE,BI$5,0)),0),IF(ISERROR(1/VLOOKUP($N503,Capa!$A:$AE,BI$5,0)),0,1/VLOOKUP($N503,Capa!$A:$AE,BI$5,0))))</f>
        <v/>
      </c>
      <c r="BJ503" s="118" t="str">
        <f>IF(BJ$6="","",IF(BJ$3="Maior",IFERROR(IF(VLOOKUP($N503,Capa!$A:$AE,BJ$5,0)="",0,VLOOKUP($N503,Capa!$A:$AE,BJ$5,0)),0),IF(ISERROR(1/VLOOKUP($N503,Capa!$A:$AE,BJ$5,0)),0,1/VLOOKUP($N503,Capa!$A:$AE,BJ$5,0))))</f>
        <v/>
      </c>
      <c r="BK503" s="118" t="str">
        <f>IF(BK$6="","",IF(BK$3="Maior",IFERROR(IF(VLOOKUP($N503,Capa!$A:$AE,BK$5,0)="",0,VLOOKUP($N503,Capa!$A:$AE,BK$5,0)),0),IF(ISERROR(1/VLOOKUP($N503,Capa!$A:$AE,BK$5,0)),0,1/VLOOKUP($N503,Capa!$A:$AE,BK$5,0))))</f>
        <v/>
      </c>
      <c r="BL503" s="118" t="str">
        <f>IF(BL$6="","",IF(BL$3="Maior",IFERROR(IF(VLOOKUP($N503,Capa!$A:$AE,BL$5,0)="",0,VLOOKUP($N503,Capa!$A:$AE,BL$5,0)),0),IF(ISERROR(1/VLOOKUP($N503,Capa!$A:$AE,BL$5,0)),0,1/VLOOKUP($N503,Capa!$A:$AE,BL$5,0))))</f>
        <v/>
      </c>
      <c r="BM503" s="118" t="str">
        <f>IF(BM$6="","",IF(BM$3="Maior",IFERROR(IF(VLOOKUP($N503,Capa!$A:$AE,BM$5,0)="",0,VLOOKUP($N503,Capa!$A:$AE,BM$5,0)),0),IF(ISERROR(1/VLOOKUP($N503,Capa!$A:$AE,BM$5,0)),0,1/VLOOKUP($N503,Capa!$A:$AE,BM$5,0))))</f>
        <v/>
      </c>
      <c r="BN503" s="118" t="str">
        <f>IF(BN$6="","",IF(BN$3="Maior",IFERROR(IF(VLOOKUP($N503,Capa!$A:$AE,BN$5,0)="",0,VLOOKUP($N503,Capa!$A:$AE,BN$5,0)),0),IF(ISERROR(1/VLOOKUP($N503,Capa!$A:$AE,BN$5,0)),0,1/VLOOKUP($N503,Capa!$A:$AE,BN$5,0))))</f>
        <v/>
      </c>
      <c r="BO503" s="92"/>
    </row>
    <row r="504">
      <c r="I504" s="73"/>
      <c r="J504" s="74"/>
      <c r="O504" s="113"/>
      <c r="P504" s="114"/>
      <c r="Q504" s="115"/>
      <c r="R504" s="116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5"/>
      <c r="AJ504" s="115"/>
      <c r="AK504" s="115"/>
      <c r="AL504" s="115"/>
      <c r="AM504" s="115"/>
      <c r="AN504" s="115"/>
      <c r="AO504" s="115"/>
      <c r="AP504" s="117"/>
      <c r="AQ504" s="118"/>
      <c r="AR504" s="118"/>
      <c r="AS504" s="118"/>
      <c r="AT504" s="118"/>
      <c r="AU504" s="118"/>
      <c r="AV504" s="118"/>
      <c r="AW504" s="118"/>
      <c r="AX504" s="118"/>
      <c r="AY504" s="118"/>
      <c r="AZ504" s="118"/>
      <c r="BA504" s="118"/>
      <c r="BB504" s="118"/>
      <c r="BC504" s="118"/>
      <c r="BD504" s="118"/>
      <c r="BE504" s="118"/>
      <c r="BF504" s="118"/>
      <c r="BG504" s="118"/>
      <c r="BH504" s="118"/>
      <c r="BI504" s="118"/>
      <c r="BJ504" s="118"/>
      <c r="BK504" s="118"/>
      <c r="BL504" s="118"/>
      <c r="BM504" s="118"/>
      <c r="BN504" s="133"/>
      <c r="BO504" s="92"/>
    </row>
    <row r="505">
      <c r="I505" s="73"/>
      <c r="J505" s="74"/>
      <c r="O505" s="113"/>
      <c r="P505" s="114"/>
      <c r="Q505" s="115"/>
      <c r="R505" s="116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  <c r="AM505" s="115"/>
      <c r="AN505" s="115"/>
      <c r="AO505" s="115"/>
      <c r="AP505" s="117"/>
      <c r="AQ505" s="118"/>
      <c r="AR505" s="118"/>
      <c r="AS505" s="118"/>
      <c r="AT505" s="118"/>
      <c r="AU505" s="118"/>
      <c r="AV505" s="118"/>
      <c r="AW505" s="118"/>
      <c r="AX505" s="118"/>
      <c r="AY505" s="118"/>
      <c r="AZ505" s="118"/>
      <c r="BA505" s="118"/>
      <c r="BB505" s="118"/>
      <c r="BC505" s="118"/>
      <c r="BD505" s="118"/>
      <c r="BE505" s="118"/>
      <c r="BF505" s="118"/>
      <c r="BG505" s="118"/>
      <c r="BH505" s="118"/>
      <c r="BI505" s="118"/>
      <c r="BJ505" s="118"/>
      <c r="BK505" s="118"/>
      <c r="BL505" s="118"/>
      <c r="BM505" s="118"/>
      <c r="BN505" s="133"/>
      <c r="BO505" s="92"/>
    </row>
    <row r="506">
      <c r="I506" s="73"/>
      <c r="J506" s="74"/>
      <c r="O506" s="113"/>
      <c r="P506" s="114"/>
      <c r="Q506" s="115"/>
      <c r="R506" s="116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5"/>
      <c r="AJ506" s="115"/>
      <c r="AK506" s="115"/>
      <c r="AL506" s="115"/>
      <c r="AM506" s="115"/>
      <c r="AN506" s="115"/>
      <c r="AO506" s="115"/>
      <c r="AP506" s="117"/>
      <c r="AQ506" s="118"/>
      <c r="AR506" s="118"/>
      <c r="AS506" s="118"/>
      <c r="AT506" s="118"/>
      <c r="AU506" s="118"/>
      <c r="AV506" s="118"/>
      <c r="AW506" s="118"/>
      <c r="AX506" s="118"/>
      <c r="AY506" s="118"/>
      <c r="AZ506" s="118"/>
      <c r="BA506" s="118"/>
      <c r="BB506" s="118"/>
      <c r="BC506" s="118"/>
      <c r="BD506" s="118"/>
      <c r="BE506" s="118"/>
      <c r="BF506" s="118"/>
      <c r="BG506" s="118"/>
      <c r="BH506" s="118"/>
      <c r="BI506" s="118"/>
      <c r="BJ506" s="118"/>
      <c r="BK506" s="118"/>
      <c r="BL506" s="118"/>
      <c r="BM506" s="118"/>
      <c r="BN506" s="133"/>
      <c r="BO506" s="92"/>
    </row>
    <row r="507">
      <c r="I507" s="73"/>
      <c r="J507" s="74"/>
      <c r="O507" s="113"/>
      <c r="P507" s="114"/>
      <c r="Q507" s="115"/>
      <c r="R507" s="116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5"/>
      <c r="AJ507" s="115"/>
      <c r="AK507" s="115"/>
      <c r="AL507" s="115"/>
      <c r="AM507" s="115"/>
      <c r="AN507" s="115"/>
      <c r="AO507" s="115"/>
      <c r="AP507" s="117"/>
      <c r="AQ507" s="118"/>
      <c r="AR507" s="118"/>
      <c r="AS507" s="118"/>
      <c r="AT507" s="118"/>
      <c r="AU507" s="118"/>
      <c r="AV507" s="118"/>
      <c r="AW507" s="118"/>
      <c r="AX507" s="118"/>
      <c r="AY507" s="118"/>
      <c r="AZ507" s="118"/>
      <c r="BA507" s="118"/>
      <c r="BB507" s="118"/>
      <c r="BC507" s="118"/>
      <c r="BD507" s="118"/>
      <c r="BE507" s="118"/>
      <c r="BF507" s="118"/>
      <c r="BG507" s="118"/>
      <c r="BH507" s="118"/>
      <c r="BI507" s="118"/>
      <c r="BJ507" s="118"/>
      <c r="BK507" s="118"/>
      <c r="BL507" s="118"/>
      <c r="BM507" s="118"/>
      <c r="BN507" s="133"/>
      <c r="BO507" s="92"/>
    </row>
    <row r="508">
      <c r="I508" s="73"/>
      <c r="J508" s="74"/>
      <c r="O508" s="113"/>
      <c r="P508" s="114"/>
      <c r="Q508" s="115"/>
      <c r="R508" s="116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5"/>
      <c r="AJ508" s="115"/>
      <c r="AK508" s="115"/>
      <c r="AL508" s="115"/>
      <c r="AM508" s="115"/>
      <c r="AN508" s="115"/>
      <c r="AO508" s="115"/>
      <c r="AP508" s="117"/>
      <c r="AQ508" s="118"/>
      <c r="AR508" s="118"/>
      <c r="AS508" s="118"/>
      <c r="AT508" s="118"/>
      <c r="AU508" s="118"/>
      <c r="AV508" s="118"/>
      <c r="AW508" s="118"/>
      <c r="AX508" s="118"/>
      <c r="AY508" s="118"/>
      <c r="AZ508" s="118"/>
      <c r="BA508" s="118"/>
      <c r="BB508" s="118"/>
      <c r="BC508" s="118"/>
      <c r="BD508" s="118"/>
      <c r="BE508" s="118"/>
      <c r="BF508" s="118"/>
      <c r="BG508" s="118"/>
      <c r="BH508" s="118"/>
      <c r="BI508" s="118"/>
      <c r="BJ508" s="118"/>
      <c r="BK508" s="118"/>
      <c r="BL508" s="118"/>
      <c r="BM508" s="118"/>
      <c r="BN508" s="133"/>
      <c r="BO508" s="92"/>
    </row>
    <row r="509">
      <c r="I509" s="73"/>
      <c r="J509" s="74"/>
      <c r="O509" s="113"/>
      <c r="P509" s="114"/>
      <c r="Q509" s="115"/>
      <c r="R509" s="116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5"/>
      <c r="AJ509" s="115"/>
      <c r="AK509" s="115"/>
      <c r="AL509" s="115"/>
      <c r="AM509" s="115"/>
      <c r="AN509" s="115"/>
      <c r="AO509" s="115"/>
      <c r="AP509" s="117"/>
      <c r="AQ509" s="118"/>
      <c r="AR509" s="118"/>
      <c r="AS509" s="118"/>
      <c r="AT509" s="118"/>
      <c r="AU509" s="118"/>
      <c r="AV509" s="118"/>
      <c r="AW509" s="118"/>
      <c r="AX509" s="118"/>
      <c r="AY509" s="118"/>
      <c r="AZ509" s="118"/>
      <c r="BA509" s="118"/>
      <c r="BB509" s="118"/>
      <c r="BC509" s="118"/>
      <c r="BD509" s="118"/>
      <c r="BE509" s="118"/>
      <c r="BF509" s="118"/>
      <c r="BG509" s="118"/>
      <c r="BH509" s="118"/>
      <c r="BI509" s="118"/>
      <c r="BJ509" s="118"/>
      <c r="BK509" s="118"/>
      <c r="BL509" s="118"/>
      <c r="BM509" s="118"/>
      <c r="BN509" s="133"/>
      <c r="BO509" s="92"/>
    </row>
    <row r="510">
      <c r="I510" s="73"/>
      <c r="J510" s="74"/>
      <c r="O510" s="113"/>
      <c r="P510" s="114"/>
      <c r="Q510" s="115"/>
      <c r="R510" s="116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  <c r="AM510" s="115"/>
      <c r="AN510" s="115"/>
      <c r="AO510" s="115"/>
      <c r="AP510" s="117"/>
      <c r="AQ510" s="118"/>
      <c r="AR510" s="118"/>
      <c r="AS510" s="118"/>
      <c r="AT510" s="118"/>
      <c r="AU510" s="118"/>
      <c r="AV510" s="118"/>
      <c r="AW510" s="118"/>
      <c r="AX510" s="118"/>
      <c r="AY510" s="118"/>
      <c r="AZ510" s="118"/>
      <c r="BA510" s="118"/>
      <c r="BB510" s="118"/>
      <c r="BC510" s="118"/>
      <c r="BD510" s="118"/>
      <c r="BE510" s="118"/>
      <c r="BF510" s="118"/>
      <c r="BG510" s="118"/>
      <c r="BH510" s="118"/>
      <c r="BI510" s="118"/>
      <c r="BJ510" s="118"/>
      <c r="BK510" s="118"/>
      <c r="BL510" s="118"/>
      <c r="BM510" s="118"/>
      <c r="BN510" s="133"/>
      <c r="BO510" s="92"/>
    </row>
    <row r="511">
      <c r="I511" s="73"/>
      <c r="J511" s="74"/>
      <c r="O511" s="113"/>
      <c r="P511" s="114"/>
      <c r="Q511" s="115"/>
      <c r="R511" s="116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  <c r="AM511" s="115"/>
      <c r="AN511" s="115"/>
      <c r="AO511" s="115"/>
      <c r="AP511" s="117"/>
      <c r="AQ511" s="118"/>
      <c r="AR511" s="118"/>
      <c r="AS511" s="118"/>
      <c r="AT511" s="118"/>
      <c r="AU511" s="118"/>
      <c r="AV511" s="118"/>
      <c r="AW511" s="118"/>
      <c r="AX511" s="118"/>
      <c r="AY511" s="118"/>
      <c r="AZ511" s="118"/>
      <c r="BA511" s="118"/>
      <c r="BB511" s="118"/>
      <c r="BC511" s="118"/>
      <c r="BD511" s="118"/>
      <c r="BE511" s="118"/>
      <c r="BF511" s="118"/>
      <c r="BG511" s="118"/>
      <c r="BH511" s="118"/>
      <c r="BI511" s="118"/>
      <c r="BJ511" s="118"/>
      <c r="BK511" s="118"/>
      <c r="BL511" s="118"/>
      <c r="BM511" s="118"/>
      <c r="BN511" s="133"/>
      <c r="BO511" s="92"/>
    </row>
    <row r="512">
      <c r="I512" s="73"/>
      <c r="J512" s="74"/>
      <c r="O512" s="113"/>
      <c r="P512" s="114"/>
      <c r="Q512" s="115"/>
      <c r="R512" s="116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  <c r="AM512" s="115"/>
      <c r="AN512" s="115"/>
      <c r="AO512" s="115"/>
      <c r="AP512" s="117"/>
      <c r="AQ512" s="118"/>
      <c r="AR512" s="118"/>
      <c r="AS512" s="118"/>
      <c r="AT512" s="118"/>
      <c r="AU512" s="118"/>
      <c r="AV512" s="118"/>
      <c r="AW512" s="118"/>
      <c r="AX512" s="118"/>
      <c r="AY512" s="118"/>
      <c r="AZ512" s="118"/>
      <c r="BA512" s="118"/>
      <c r="BB512" s="118"/>
      <c r="BC512" s="118"/>
      <c r="BD512" s="118"/>
      <c r="BE512" s="118"/>
      <c r="BF512" s="118"/>
      <c r="BG512" s="118"/>
      <c r="BH512" s="118"/>
      <c r="BI512" s="118"/>
      <c r="BJ512" s="118"/>
      <c r="BK512" s="118"/>
      <c r="BL512" s="118"/>
      <c r="BM512" s="118"/>
      <c r="BN512" s="133"/>
      <c r="BO512" s="92"/>
    </row>
    <row r="513">
      <c r="I513" s="73"/>
      <c r="J513" s="74"/>
      <c r="O513" s="113"/>
      <c r="P513" s="114"/>
      <c r="Q513" s="115"/>
      <c r="R513" s="116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  <c r="AM513" s="115"/>
      <c r="AN513" s="115"/>
      <c r="AO513" s="115"/>
      <c r="AP513" s="117"/>
      <c r="AQ513" s="118"/>
      <c r="AR513" s="118"/>
      <c r="AS513" s="118"/>
      <c r="AT513" s="118"/>
      <c r="AU513" s="118"/>
      <c r="AV513" s="118"/>
      <c r="AW513" s="118"/>
      <c r="AX513" s="118"/>
      <c r="AY513" s="118"/>
      <c r="AZ513" s="118"/>
      <c r="BA513" s="118"/>
      <c r="BB513" s="118"/>
      <c r="BC513" s="118"/>
      <c r="BD513" s="118"/>
      <c r="BE513" s="118"/>
      <c r="BF513" s="118"/>
      <c r="BG513" s="118"/>
      <c r="BH513" s="118"/>
      <c r="BI513" s="118"/>
      <c r="BJ513" s="118"/>
      <c r="BK513" s="118"/>
      <c r="BL513" s="118"/>
      <c r="BM513" s="118"/>
      <c r="BN513" s="133"/>
      <c r="BO513" s="92"/>
    </row>
    <row r="514">
      <c r="I514" s="73"/>
      <c r="J514" s="74"/>
      <c r="O514" s="113"/>
      <c r="P514" s="114"/>
      <c r="Q514" s="115"/>
      <c r="R514" s="116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5"/>
      <c r="AJ514" s="115"/>
      <c r="AK514" s="115"/>
      <c r="AL514" s="115"/>
      <c r="AM514" s="115"/>
      <c r="AN514" s="115"/>
      <c r="AO514" s="115"/>
      <c r="AP514" s="117"/>
      <c r="AQ514" s="118"/>
      <c r="AR514" s="118"/>
      <c r="AS514" s="118"/>
      <c r="AT514" s="118"/>
      <c r="AU514" s="118"/>
      <c r="AV514" s="118"/>
      <c r="AW514" s="118"/>
      <c r="AX514" s="118"/>
      <c r="AY514" s="118"/>
      <c r="AZ514" s="118"/>
      <c r="BA514" s="118"/>
      <c r="BB514" s="118"/>
      <c r="BC514" s="118"/>
      <c r="BD514" s="118"/>
      <c r="BE514" s="118"/>
      <c r="BF514" s="118"/>
      <c r="BG514" s="118"/>
      <c r="BH514" s="118"/>
      <c r="BI514" s="118"/>
      <c r="BJ514" s="118"/>
      <c r="BK514" s="118"/>
      <c r="BL514" s="118"/>
      <c r="BM514" s="118"/>
      <c r="BN514" s="133"/>
      <c r="BO514" s="92"/>
    </row>
    <row r="515">
      <c r="I515" s="73"/>
      <c r="J515" s="74"/>
      <c r="O515" s="113"/>
      <c r="P515" s="114"/>
      <c r="Q515" s="115"/>
      <c r="R515" s="116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5"/>
      <c r="AJ515" s="115"/>
      <c r="AK515" s="115"/>
      <c r="AL515" s="115"/>
      <c r="AM515" s="115"/>
      <c r="AN515" s="115"/>
      <c r="AO515" s="115"/>
      <c r="AP515" s="117"/>
      <c r="AQ515" s="118"/>
      <c r="AR515" s="118"/>
      <c r="AS515" s="118"/>
      <c r="AT515" s="118"/>
      <c r="AU515" s="118"/>
      <c r="AV515" s="118"/>
      <c r="AW515" s="118"/>
      <c r="AX515" s="118"/>
      <c r="AY515" s="118"/>
      <c r="AZ515" s="118"/>
      <c r="BA515" s="118"/>
      <c r="BB515" s="118"/>
      <c r="BC515" s="118"/>
      <c r="BD515" s="118"/>
      <c r="BE515" s="118"/>
      <c r="BF515" s="118"/>
      <c r="BG515" s="118"/>
      <c r="BH515" s="118"/>
      <c r="BI515" s="118"/>
      <c r="BJ515" s="118"/>
      <c r="BK515" s="118"/>
      <c r="BL515" s="118"/>
      <c r="BM515" s="118"/>
      <c r="BN515" s="133"/>
      <c r="BO515" s="92"/>
    </row>
    <row r="516">
      <c r="I516" s="73"/>
      <c r="J516" s="74"/>
      <c r="O516" s="113"/>
      <c r="P516" s="114"/>
      <c r="Q516" s="115"/>
      <c r="R516" s="116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5"/>
      <c r="AJ516" s="115"/>
      <c r="AK516" s="115"/>
      <c r="AL516" s="115"/>
      <c r="AM516" s="115"/>
      <c r="AN516" s="115"/>
      <c r="AO516" s="115"/>
      <c r="AP516" s="117"/>
      <c r="AQ516" s="118"/>
      <c r="AR516" s="118"/>
      <c r="AS516" s="118"/>
      <c r="AT516" s="118"/>
      <c r="AU516" s="118"/>
      <c r="AV516" s="118"/>
      <c r="AW516" s="118"/>
      <c r="AX516" s="118"/>
      <c r="AY516" s="118"/>
      <c r="AZ516" s="118"/>
      <c r="BA516" s="118"/>
      <c r="BB516" s="118"/>
      <c r="BC516" s="118"/>
      <c r="BD516" s="118"/>
      <c r="BE516" s="118"/>
      <c r="BF516" s="118"/>
      <c r="BG516" s="118"/>
      <c r="BH516" s="118"/>
      <c r="BI516" s="118"/>
      <c r="BJ516" s="118"/>
      <c r="BK516" s="118"/>
      <c r="BL516" s="118"/>
      <c r="BM516" s="118"/>
      <c r="BN516" s="133"/>
      <c r="BO516" s="92"/>
    </row>
    <row r="517">
      <c r="I517" s="73"/>
      <c r="J517" s="74"/>
      <c r="O517" s="113"/>
      <c r="P517" s="114"/>
      <c r="Q517" s="115"/>
      <c r="R517" s="116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5"/>
      <c r="AJ517" s="115"/>
      <c r="AK517" s="115"/>
      <c r="AL517" s="115"/>
      <c r="AM517" s="115"/>
      <c r="AN517" s="115"/>
      <c r="AO517" s="115"/>
      <c r="AP517" s="117"/>
      <c r="AQ517" s="118"/>
      <c r="AR517" s="118"/>
      <c r="AS517" s="118"/>
      <c r="AT517" s="118"/>
      <c r="AU517" s="118"/>
      <c r="AV517" s="118"/>
      <c r="AW517" s="118"/>
      <c r="AX517" s="118"/>
      <c r="AY517" s="118"/>
      <c r="AZ517" s="118"/>
      <c r="BA517" s="118"/>
      <c r="BB517" s="118"/>
      <c r="BC517" s="118"/>
      <c r="BD517" s="118"/>
      <c r="BE517" s="118"/>
      <c r="BF517" s="118"/>
      <c r="BG517" s="118"/>
      <c r="BH517" s="118"/>
      <c r="BI517" s="118"/>
      <c r="BJ517" s="118"/>
      <c r="BK517" s="118"/>
      <c r="BL517" s="118"/>
      <c r="BM517" s="118"/>
      <c r="BN517" s="133"/>
      <c r="BO517" s="92"/>
    </row>
    <row r="518">
      <c r="I518" s="73"/>
      <c r="J518" s="74"/>
      <c r="O518" s="113"/>
      <c r="P518" s="114"/>
      <c r="Q518" s="115"/>
      <c r="R518" s="116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5"/>
      <c r="AJ518" s="115"/>
      <c r="AK518" s="115"/>
      <c r="AL518" s="115"/>
      <c r="AM518" s="115"/>
      <c r="AN518" s="115"/>
      <c r="AO518" s="115"/>
      <c r="AP518" s="117"/>
      <c r="AQ518" s="118"/>
      <c r="AR518" s="118"/>
      <c r="AS518" s="118"/>
      <c r="AT518" s="118"/>
      <c r="AU518" s="118"/>
      <c r="AV518" s="118"/>
      <c r="AW518" s="118"/>
      <c r="AX518" s="118"/>
      <c r="AY518" s="118"/>
      <c r="AZ518" s="118"/>
      <c r="BA518" s="118"/>
      <c r="BB518" s="118"/>
      <c r="BC518" s="118"/>
      <c r="BD518" s="118"/>
      <c r="BE518" s="118"/>
      <c r="BF518" s="118"/>
      <c r="BG518" s="118"/>
      <c r="BH518" s="118"/>
      <c r="BI518" s="118"/>
      <c r="BJ518" s="118"/>
      <c r="BK518" s="118"/>
      <c r="BL518" s="118"/>
      <c r="BM518" s="118"/>
      <c r="BN518" s="133"/>
      <c r="BO518" s="92"/>
    </row>
    <row r="519">
      <c r="I519" s="73"/>
      <c r="J519" s="74"/>
      <c r="O519" s="113"/>
      <c r="P519" s="114"/>
      <c r="Q519" s="115"/>
      <c r="R519" s="116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5"/>
      <c r="AJ519" s="115"/>
      <c r="AK519" s="115"/>
      <c r="AL519" s="115"/>
      <c r="AM519" s="115"/>
      <c r="AN519" s="115"/>
      <c r="AO519" s="115"/>
      <c r="AP519" s="117"/>
      <c r="AQ519" s="118"/>
      <c r="AR519" s="118"/>
      <c r="AS519" s="118"/>
      <c r="AT519" s="118"/>
      <c r="AU519" s="118"/>
      <c r="AV519" s="118"/>
      <c r="AW519" s="118"/>
      <c r="AX519" s="118"/>
      <c r="AY519" s="118"/>
      <c r="AZ519" s="118"/>
      <c r="BA519" s="118"/>
      <c r="BB519" s="118"/>
      <c r="BC519" s="118"/>
      <c r="BD519" s="118"/>
      <c r="BE519" s="118"/>
      <c r="BF519" s="118"/>
      <c r="BG519" s="118"/>
      <c r="BH519" s="118"/>
      <c r="BI519" s="118"/>
      <c r="BJ519" s="118"/>
      <c r="BK519" s="118"/>
      <c r="BL519" s="118"/>
      <c r="BM519" s="118"/>
      <c r="BN519" s="133"/>
      <c r="BO519" s="92"/>
    </row>
    <row r="520">
      <c r="I520" s="73"/>
      <c r="J520" s="74"/>
      <c r="O520" s="113"/>
      <c r="P520" s="114"/>
      <c r="Q520" s="115"/>
      <c r="R520" s="116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  <c r="AM520" s="115"/>
      <c r="AN520" s="115"/>
      <c r="AO520" s="115"/>
      <c r="AP520" s="117"/>
      <c r="AQ520" s="118"/>
      <c r="AR520" s="118"/>
      <c r="AS520" s="118"/>
      <c r="AT520" s="118"/>
      <c r="AU520" s="118"/>
      <c r="AV520" s="118"/>
      <c r="AW520" s="118"/>
      <c r="AX520" s="118"/>
      <c r="AY520" s="118"/>
      <c r="AZ520" s="118"/>
      <c r="BA520" s="118"/>
      <c r="BB520" s="118"/>
      <c r="BC520" s="118"/>
      <c r="BD520" s="118"/>
      <c r="BE520" s="118"/>
      <c r="BF520" s="118"/>
      <c r="BG520" s="118"/>
      <c r="BH520" s="118"/>
      <c r="BI520" s="118"/>
      <c r="BJ520" s="118"/>
      <c r="BK520" s="118"/>
      <c r="BL520" s="118"/>
      <c r="BM520" s="118"/>
      <c r="BN520" s="133"/>
      <c r="BO520" s="92"/>
    </row>
    <row r="521">
      <c r="I521" s="73"/>
      <c r="J521" s="74"/>
      <c r="O521" s="113"/>
      <c r="P521" s="114"/>
      <c r="Q521" s="115"/>
      <c r="R521" s="116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  <c r="AM521" s="115"/>
      <c r="AN521" s="115"/>
      <c r="AO521" s="115"/>
      <c r="AP521" s="117"/>
      <c r="AQ521" s="118"/>
      <c r="AR521" s="118"/>
      <c r="AS521" s="118"/>
      <c r="AT521" s="118"/>
      <c r="AU521" s="118"/>
      <c r="AV521" s="118"/>
      <c r="AW521" s="118"/>
      <c r="AX521" s="118"/>
      <c r="AY521" s="118"/>
      <c r="AZ521" s="118"/>
      <c r="BA521" s="118"/>
      <c r="BB521" s="118"/>
      <c r="BC521" s="118"/>
      <c r="BD521" s="118"/>
      <c r="BE521" s="118"/>
      <c r="BF521" s="118"/>
      <c r="BG521" s="118"/>
      <c r="BH521" s="118"/>
      <c r="BI521" s="118"/>
      <c r="BJ521" s="118"/>
      <c r="BK521" s="118"/>
      <c r="BL521" s="118"/>
      <c r="BM521" s="118"/>
      <c r="BN521" s="133"/>
      <c r="BO521" s="92"/>
    </row>
    <row r="522">
      <c r="I522" s="73"/>
      <c r="J522" s="74"/>
      <c r="O522" s="113"/>
      <c r="P522" s="114"/>
      <c r="Q522" s="115"/>
      <c r="R522" s="116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5"/>
      <c r="AJ522" s="115"/>
      <c r="AK522" s="115"/>
      <c r="AL522" s="115"/>
      <c r="AM522" s="115"/>
      <c r="AN522" s="115"/>
      <c r="AO522" s="115"/>
      <c r="AP522" s="117"/>
      <c r="AQ522" s="118"/>
      <c r="AR522" s="118"/>
      <c r="AS522" s="118"/>
      <c r="AT522" s="118"/>
      <c r="AU522" s="118"/>
      <c r="AV522" s="118"/>
      <c r="AW522" s="118"/>
      <c r="AX522" s="118"/>
      <c r="AY522" s="118"/>
      <c r="AZ522" s="118"/>
      <c r="BA522" s="118"/>
      <c r="BB522" s="118"/>
      <c r="BC522" s="118"/>
      <c r="BD522" s="118"/>
      <c r="BE522" s="118"/>
      <c r="BF522" s="118"/>
      <c r="BG522" s="118"/>
      <c r="BH522" s="118"/>
      <c r="BI522" s="118"/>
      <c r="BJ522" s="118"/>
      <c r="BK522" s="118"/>
      <c r="BL522" s="118"/>
      <c r="BM522" s="118"/>
      <c r="BN522" s="133"/>
      <c r="BO522" s="92"/>
    </row>
    <row r="523">
      <c r="I523" s="73"/>
      <c r="J523" s="74"/>
      <c r="O523" s="113"/>
      <c r="P523" s="114"/>
      <c r="Q523" s="115"/>
      <c r="R523" s="116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5"/>
      <c r="AJ523" s="115"/>
      <c r="AK523" s="115"/>
      <c r="AL523" s="115"/>
      <c r="AM523" s="115"/>
      <c r="AN523" s="115"/>
      <c r="AO523" s="115"/>
      <c r="AP523" s="117"/>
      <c r="AQ523" s="118"/>
      <c r="AR523" s="118"/>
      <c r="AS523" s="118"/>
      <c r="AT523" s="118"/>
      <c r="AU523" s="118"/>
      <c r="AV523" s="118"/>
      <c r="AW523" s="118"/>
      <c r="AX523" s="118"/>
      <c r="AY523" s="118"/>
      <c r="AZ523" s="118"/>
      <c r="BA523" s="118"/>
      <c r="BB523" s="118"/>
      <c r="BC523" s="118"/>
      <c r="BD523" s="118"/>
      <c r="BE523" s="118"/>
      <c r="BF523" s="118"/>
      <c r="BG523" s="118"/>
      <c r="BH523" s="118"/>
      <c r="BI523" s="118"/>
      <c r="BJ523" s="118"/>
      <c r="BK523" s="118"/>
      <c r="BL523" s="118"/>
      <c r="BM523" s="118"/>
      <c r="BN523" s="133"/>
      <c r="BO523" s="92"/>
    </row>
    <row r="524">
      <c r="I524" s="73"/>
      <c r="J524" s="74"/>
      <c r="O524" s="113"/>
      <c r="P524" s="114"/>
      <c r="Q524" s="115"/>
      <c r="R524" s="116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  <c r="AM524" s="115"/>
      <c r="AN524" s="115"/>
      <c r="AO524" s="115"/>
      <c r="AP524" s="117"/>
      <c r="AQ524" s="118"/>
      <c r="AR524" s="118"/>
      <c r="AS524" s="118"/>
      <c r="AT524" s="118"/>
      <c r="AU524" s="118"/>
      <c r="AV524" s="118"/>
      <c r="AW524" s="118"/>
      <c r="AX524" s="118"/>
      <c r="AY524" s="118"/>
      <c r="AZ524" s="118"/>
      <c r="BA524" s="118"/>
      <c r="BB524" s="118"/>
      <c r="BC524" s="118"/>
      <c r="BD524" s="118"/>
      <c r="BE524" s="118"/>
      <c r="BF524" s="118"/>
      <c r="BG524" s="118"/>
      <c r="BH524" s="118"/>
      <c r="BI524" s="118"/>
      <c r="BJ524" s="118"/>
      <c r="BK524" s="118"/>
      <c r="BL524" s="118"/>
      <c r="BM524" s="118"/>
      <c r="BN524" s="133"/>
      <c r="BO524" s="92"/>
    </row>
    <row r="525">
      <c r="I525" s="73"/>
      <c r="J525" s="74"/>
      <c r="O525" s="113"/>
      <c r="P525" s="114"/>
      <c r="Q525" s="115"/>
      <c r="R525" s="116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  <c r="AM525" s="115"/>
      <c r="AN525" s="115"/>
      <c r="AO525" s="115"/>
      <c r="AP525" s="117"/>
      <c r="AQ525" s="118"/>
      <c r="AR525" s="118"/>
      <c r="AS525" s="118"/>
      <c r="AT525" s="118"/>
      <c r="AU525" s="118"/>
      <c r="AV525" s="118"/>
      <c r="AW525" s="118"/>
      <c r="AX525" s="118"/>
      <c r="AY525" s="118"/>
      <c r="AZ525" s="118"/>
      <c r="BA525" s="118"/>
      <c r="BB525" s="118"/>
      <c r="BC525" s="118"/>
      <c r="BD525" s="118"/>
      <c r="BE525" s="118"/>
      <c r="BF525" s="118"/>
      <c r="BG525" s="118"/>
      <c r="BH525" s="118"/>
      <c r="BI525" s="118"/>
      <c r="BJ525" s="118"/>
      <c r="BK525" s="118"/>
      <c r="BL525" s="118"/>
      <c r="BM525" s="118"/>
      <c r="BN525" s="133"/>
      <c r="BO525" s="92"/>
    </row>
    <row r="526">
      <c r="I526" s="73"/>
      <c r="J526" s="74"/>
      <c r="O526" s="113"/>
      <c r="P526" s="114"/>
      <c r="Q526" s="115"/>
      <c r="R526" s="116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  <c r="AM526" s="115"/>
      <c r="AN526" s="115"/>
      <c r="AO526" s="115"/>
      <c r="AP526" s="117"/>
      <c r="AQ526" s="118"/>
      <c r="AR526" s="118"/>
      <c r="AS526" s="118"/>
      <c r="AT526" s="118"/>
      <c r="AU526" s="118"/>
      <c r="AV526" s="118"/>
      <c r="AW526" s="118"/>
      <c r="AX526" s="118"/>
      <c r="AY526" s="118"/>
      <c r="AZ526" s="118"/>
      <c r="BA526" s="118"/>
      <c r="BB526" s="118"/>
      <c r="BC526" s="118"/>
      <c r="BD526" s="118"/>
      <c r="BE526" s="118"/>
      <c r="BF526" s="118"/>
      <c r="BG526" s="118"/>
      <c r="BH526" s="118"/>
      <c r="BI526" s="118"/>
      <c r="BJ526" s="118"/>
      <c r="BK526" s="118"/>
      <c r="BL526" s="118"/>
      <c r="BM526" s="118"/>
      <c r="BN526" s="133"/>
      <c r="BO526" s="92"/>
    </row>
    <row r="527">
      <c r="I527" s="73"/>
      <c r="J527" s="74"/>
      <c r="O527" s="113"/>
      <c r="P527" s="114"/>
      <c r="Q527" s="115"/>
      <c r="R527" s="116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  <c r="AM527" s="115"/>
      <c r="AN527" s="115"/>
      <c r="AO527" s="115"/>
      <c r="AP527" s="117"/>
      <c r="AQ527" s="118"/>
      <c r="AR527" s="118"/>
      <c r="AS527" s="118"/>
      <c r="AT527" s="118"/>
      <c r="AU527" s="118"/>
      <c r="AV527" s="118"/>
      <c r="AW527" s="118"/>
      <c r="AX527" s="118"/>
      <c r="AY527" s="118"/>
      <c r="AZ527" s="118"/>
      <c r="BA527" s="118"/>
      <c r="BB527" s="118"/>
      <c r="BC527" s="118"/>
      <c r="BD527" s="118"/>
      <c r="BE527" s="118"/>
      <c r="BF527" s="118"/>
      <c r="BG527" s="118"/>
      <c r="BH527" s="118"/>
      <c r="BI527" s="118"/>
      <c r="BJ527" s="118"/>
      <c r="BK527" s="118"/>
      <c r="BL527" s="118"/>
      <c r="BM527" s="118"/>
      <c r="BN527" s="133"/>
      <c r="BO527" s="92"/>
    </row>
    <row r="528">
      <c r="I528" s="73"/>
      <c r="J528" s="74"/>
      <c r="O528" s="113"/>
      <c r="P528" s="114"/>
      <c r="Q528" s="115"/>
      <c r="R528" s="116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  <c r="AP528" s="117"/>
      <c r="AQ528" s="118"/>
      <c r="AR528" s="118"/>
      <c r="AS528" s="118"/>
      <c r="AT528" s="118"/>
      <c r="AU528" s="118"/>
      <c r="AV528" s="118"/>
      <c r="AW528" s="118"/>
      <c r="AX528" s="118"/>
      <c r="AY528" s="118"/>
      <c r="AZ528" s="118"/>
      <c r="BA528" s="118"/>
      <c r="BB528" s="118"/>
      <c r="BC528" s="118"/>
      <c r="BD528" s="118"/>
      <c r="BE528" s="118"/>
      <c r="BF528" s="118"/>
      <c r="BG528" s="118"/>
      <c r="BH528" s="118"/>
      <c r="BI528" s="118"/>
      <c r="BJ528" s="118"/>
      <c r="BK528" s="118"/>
      <c r="BL528" s="118"/>
      <c r="BM528" s="118"/>
      <c r="BN528" s="133"/>
      <c r="BO528" s="92"/>
    </row>
    <row r="529">
      <c r="I529" s="73"/>
      <c r="J529" s="74"/>
      <c r="O529" s="113"/>
      <c r="P529" s="114"/>
      <c r="Q529" s="115"/>
      <c r="R529" s="116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  <c r="AM529" s="115"/>
      <c r="AN529" s="115"/>
      <c r="AO529" s="115"/>
      <c r="AP529" s="117"/>
      <c r="AQ529" s="118"/>
      <c r="AR529" s="118"/>
      <c r="AS529" s="118"/>
      <c r="AT529" s="118"/>
      <c r="AU529" s="118"/>
      <c r="AV529" s="118"/>
      <c r="AW529" s="118"/>
      <c r="AX529" s="118"/>
      <c r="AY529" s="118"/>
      <c r="AZ529" s="118"/>
      <c r="BA529" s="118"/>
      <c r="BB529" s="118"/>
      <c r="BC529" s="118"/>
      <c r="BD529" s="118"/>
      <c r="BE529" s="118"/>
      <c r="BF529" s="118"/>
      <c r="BG529" s="118"/>
      <c r="BH529" s="118"/>
      <c r="BI529" s="118"/>
      <c r="BJ529" s="118"/>
      <c r="BK529" s="118"/>
      <c r="BL529" s="118"/>
      <c r="BM529" s="118"/>
      <c r="BN529" s="133"/>
      <c r="BO529" s="92"/>
    </row>
    <row r="530">
      <c r="I530" s="73"/>
      <c r="J530" s="74"/>
      <c r="O530" s="113"/>
      <c r="P530" s="114"/>
      <c r="Q530" s="115"/>
      <c r="R530" s="116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  <c r="AM530" s="115"/>
      <c r="AN530" s="115"/>
      <c r="AO530" s="115"/>
      <c r="AP530" s="117"/>
      <c r="AQ530" s="118"/>
      <c r="AR530" s="118"/>
      <c r="AS530" s="118"/>
      <c r="AT530" s="118"/>
      <c r="AU530" s="118"/>
      <c r="AV530" s="118"/>
      <c r="AW530" s="118"/>
      <c r="AX530" s="118"/>
      <c r="AY530" s="118"/>
      <c r="AZ530" s="118"/>
      <c r="BA530" s="118"/>
      <c r="BB530" s="118"/>
      <c r="BC530" s="118"/>
      <c r="BD530" s="118"/>
      <c r="BE530" s="118"/>
      <c r="BF530" s="118"/>
      <c r="BG530" s="118"/>
      <c r="BH530" s="118"/>
      <c r="BI530" s="118"/>
      <c r="BJ530" s="118"/>
      <c r="BK530" s="118"/>
      <c r="BL530" s="118"/>
      <c r="BM530" s="118"/>
      <c r="BN530" s="133"/>
      <c r="BO530" s="92"/>
    </row>
    <row r="531">
      <c r="I531" s="73"/>
      <c r="J531" s="74"/>
      <c r="O531" s="113"/>
      <c r="P531" s="114"/>
      <c r="Q531" s="115"/>
      <c r="R531" s="116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5"/>
      <c r="AJ531" s="115"/>
      <c r="AK531" s="115"/>
      <c r="AL531" s="115"/>
      <c r="AM531" s="115"/>
      <c r="AN531" s="115"/>
      <c r="AO531" s="115"/>
      <c r="AP531" s="117"/>
      <c r="AQ531" s="118"/>
      <c r="AR531" s="118"/>
      <c r="AS531" s="118"/>
      <c r="AT531" s="118"/>
      <c r="AU531" s="118"/>
      <c r="AV531" s="118"/>
      <c r="AW531" s="118"/>
      <c r="AX531" s="118"/>
      <c r="AY531" s="118"/>
      <c r="AZ531" s="118"/>
      <c r="BA531" s="118"/>
      <c r="BB531" s="118"/>
      <c r="BC531" s="118"/>
      <c r="BD531" s="118"/>
      <c r="BE531" s="118"/>
      <c r="BF531" s="118"/>
      <c r="BG531" s="118"/>
      <c r="BH531" s="118"/>
      <c r="BI531" s="118"/>
      <c r="BJ531" s="118"/>
      <c r="BK531" s="118"/>
      <c r="BL531" s="118"/>
      <c r="BM531" s="118"/>
      <c r="BN531" s="133"/>
      <c r="BO531" s="92"/>
    </row>
    <row r="532">
      <c r="I532" s="73"/>
      <c r="J532" s="74"/>
      <c r="O532" s="113"/>
      <c r="P532" s="114"/>
      <c r="Q532" s="115"/>
      <c r="R532" s="116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5"/>
      <c r="AJ532" s="115"/>
      <c r="AK532" s="115"/>
      <c r="AL532" s="115"/>
      <c r="AM532" s="115"/>
      <c r="AN532" s="115"/>
      <c r="AO532" s="115"/>
      <c r="AP532" s="117"/>
      <c r="AQ532" s="118"/>
      <c r="AR532" s="118"/>
      <c r="AS532" s="118"/>
      <c r="AT532" s="118"/>
      <c r="AU532" s="118"/>
      <c r="AV532" s="118"/>
      <c r="AW532" s="118"/>
      <c r="AX532" s="118"/>
      <c r="AY532" s="118"/>
      <c r="AZ532" s="118"/>
      <c r="BA532" s="118"/>
      <c r="BB532" s="118"/>
      <c r="BC532" s="118"/>
      <c r="BD532" s="118"/>
      <c r="BE532" s="118"/>
      <c r="BF532" s="118"/>
      <c r="BG532" s="118"/>
      <c r="BH532" s="118"/>
      <c r="BI532" s="118"/>
      <c r="BJ532" s="118"/>
      <c r="BK532" s="118"/>
      <c r="BL532" s="118"/>
      <c r="BM532" s="118"/>
      <c r="BN532" s="133"/>
      <c r="BO532" s="92"/>
    </row>
    <row r="533">
      <c r="I533" s="73"/>
      <c r="J533" s="74"/>
      <c r="O533" s="113"/>
      <c r="P533" s="114"/>
      <c r="Q533" s="115"/>
      <c r="R533" s="116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  <c r="AP533" s="117"/>
      <c r="AQ533" s="118"/>
      <c r="AR533" s="118"/>
      <c r="AS533" s="118"/>
      <c r="AT533" s="118"/>
      <c r="AU533" s="118"/>
      <c r="AV533" s="118"/>
      <c r="AW533" s="118"/>
      <c r="AX533" s="118"/>
      <c r="AY533" s="118"/>
      <c r="AZ533" s="118"/>
      <c r="BA533" s="118"/>
      <c r="BB533" s="118"/>
      <c r="BC533" s="118"/>
      <c r="BD533" s="118"/>
      <c r="BE533" s="118"/>
      <c r="BF533" s="118"/>
      <c r="BG533" s="118"/>
      <c r="BH533" s="118"/>
      <c r="BI533" s="118"/>
      <c r="BJ533" s="118"/>
      <c r="BK533" s="118"/>
      <c r="BL533" s="118"/>
      <c r="BM533" s="118"/>
      <c r="BN533" s="133"/>
      <c r="BO533" s="92"/>
    </row>
    <row r="534">
      <c r="I534" s="73"/>
      <c r="J534" s="74"/>
      <c r="O534" s="113"/>
      <c r="P534" s="114"/>
      <c r="Q534" s="115"/>
      <c r="R534" s="116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  <c r="AM534" s="115"/>
      <c r="AN534" s="115"/>
      <c r="AO534" s="115"/>
      <c r="AP534" s="117"/>
      <c r="AQ534" s="118"/>
      <c r="AR534" s="118"/>
      <c r="AS534" s="118"/>
      <c r="AT534" s="118"/>
      <c r="AU534" s="118"/>
      <c r="AV534" s="118"/>
      <c r="AW534" s="118"/>
      <c r="AX534" s="118"/>
      <c r="AY534" s="118"/>
      <c r="AZ534" s="118"/>
      <c r="BA534" s="118"/>
      <c r="BB534" s="118"/>
      <c r="BC534" s="118"/>
      <c r="BD534" s="118"/>
      <c r="BE534" s="118"/>
      <c r="BF534" s="118"/>
      <c r="BG534" s="118"/>
      <c r="BH534" s="118"/>
      <c r="BI534" s="118"/>
      <c r="BJ534" s="118"/>
      <c r="BK534" s="118"/>
      <c r="BL534" s="118"/>
      <c r="BM534" s="118"/>
      <c r="BN534" s="133"/>
      <c r="BO534" s="92"/>
    </row>
    <row r="535">
      <c r="I535" s="73"/>
      <c r="J535" s="74"/>
      <c r="O535" s="113"/>
      <c r="P535" s="114"/>
      <c r="Q535" s="115"/>
      <c r="R535" s="116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  <c r="AM535" s="115"/>
      <c r="AN535" s="115"/>
      <c r="AO535" s="115"/>
      <c r="AP535" s="117"/>
      <c r="AQ535" s="118"/>
      <c r="AR535" s="118"/>
      <c r="AS535" s="118"/>
      <c r="AT535" s="118"/>
      <c r="AU535" s="118"/>
      <c r="AV535" s="118"/>
      <c r="AW535" s="118"/>
      <c r="AX535" s="118"/>
      <c r="AY535" s="118"/>
      <c r="AZ535" s="118"/>
      <c r="BA535" s="118"/>
      <c r="BB535" s="118"/>
      <c r="BC535" s="118"/>
      <c r="BD535" s="118"/>
      <c r="BE535" s="118"/>
      <c r="BF535" s="118"/>
      <c r="BG535" s="118"/>
      <c r="BH535" s="118"/>
      <c r="BI535" s="118"/>
      <c r="BJ535" s="118"/>
      <c r="BK535" s="118"/>
      <c r="BL535" s="118"/>
      <c r="BM535" s="118"/>
      <c r="BN535" s="133"/>
      <c r="BO535" s="92"/>
    </row>
    <row r="536">
      <c r="I536" s="73"/>
      <c r="J536" s="74"/>
      <c r="O536" s="113"/>
      <c r="P536" s="114"/>
      <c r="Q536" s="115"/>
      <c r="R536" s="116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5"/>
      <c r="AJ536" s="115"/>
      <c r="AK536" s="115"/>
      <c r="AL536" s="115"/>
      <c r="AM536" s="115"/>
      <c r="AN536" s="115"/>
      <c r="AO536" s="115"/>
      <c r="AP536" s="117"/>
      <c r="AQ536" s="118"/>
      <c r="AR536" s="118"/>
      <c r="AS536" s="118"/>
      <c r="AT536" s="118"/>
      <c r="AU536" s="118"/>
      <c r="AV536" s="118"/>
      <c r="AW536" s="118"/>
      <c r="AX536" s="118"/>
      <c r="AY536" s="118"/>
      <c r="AZ536" s="118"/>
      <c r="BA536" s="118"/>
      <c r="BB536" s="118"/>
      <c r="BC536" s="118"/>
      <c r="BD536" s="118"/>
      <c r="BE536" s="118"/>
      <c r="BF536" s="118"/>
      <c r="BG536" s="118"/>
      <c r="BH536" s="118"/>
      <c r="BI536" s="118"/>
      <c r="BJ536" s="118"/>
      <c r="BK536" s="118"/>
      <c r="BL536" s="118"/>
      <c r="BM536" s="118"/>
      <c r="BN536" s="133"/>
      <c r="BO536" s="92"/>
    </row>
    <row r="537">
      <c r="I537" s="73"/>
      <c r="J537" s="74"/>
      <c r="O537" s="113"/>
      <c r="P537" s="114"/>
      <c r="Q537" s="115"/>
      <c r="R537" s="116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5"/>
      <c r="AJ537" s="115"/>
      <c r="AK537" s="115"/>
      <c r="AL537" s="115"/>
      <c r="AM537" s="115"/>
      <c r="AN537" s="115"/>
      <c r="AO537" s="115"/>
      <c r="AP537" s="117"/>
      <c r="AQ537" s="118"/>
      <c r="AR537" s="118"/>
      <c r="AS537" s="118"/>
      <c r="AT537" s="118"/>
      <c r="AU537" s="118"/>
      <c r="AV537" s="118"/>
      <c r="AW537" s="118"/>
      <c r="AX537" s="118"/>
      <c r="AY537" s="118"/>
      <c r="AZ537" s="118"/>
      <c r="BA537" s="118"/>
      <c r="BB537" s="118"/>
      <c r="BC537" s="118"/>
      <c r="BD537" s="118"/>
      <c r="BE537" s="118"/>
      <c r="BF537" s="118"/>
      <c r="BG537" s="118"/>
      <c r="BH537" s="118"/>
      <c r="BI537" s="118"/>
      <c r="BJ537" s="118"/>
      <c r="BK537" s="118"/>
      <c r="BL537" s="118"/>
      <c r="BM537" s="118"/>
      <c r="BN537" s="133"/>
      <c r="BO537" s="92"/>
    </row>
    <row r="538">
      <c r="I538" s="73"/>
      <c r="J538" s="74"/>
      <c r="O538" s="113"/>
      <c r="P538" s="114"/>
      <c r="Q538" s="115"/>
      <c r="R538" s="116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  <c r="AM538" s="115"/>
      <c r="AN538" s="115"/>
      <c r="AO538" s="115"/>
      <c r="AP538" s="117"/>
      <c r="AQ538" s="118"/>
      <c r="AR538" s="118"/>
      <c r="AS538" s="118"/>
      <c r="AT538" s="118"/>
      <c r="AU538" s="118"/>
      <c r="AV538" s="118"/>
      <c r="AW538" s="118"/>
      <c r="AX538" s="118"/>
      <c r="AY538" s="118"/>
      <c r="AZ538" s="118"/>
      <c r="BA538" s="118"/>
      <c r="BB538" s="118"/>
      <c r="BC538" s="118"/>
      <c r="BD538" s="118"/>
      <c r="BE538" s="118"/>
      <c r="BF538" s="118"/>
      <c r="BG538" s="118"/>
      <c r="BH538" s="118"/>
      <c r="BI538" s="118"/>
      <c r="BJ538" s="118"/>
      <c r="BK538" s="118"/>
      <c r="BL538" s="118"/>
      <c r="BM538" s="118"/>
      <c r="BN538" s="133"/>
      <c r="BO538" s="92"/>
    </row>
    <row r="539">
      <c r="I539" s="73"/>
      <c r="J539" s="74"/>
      <c r="O539" s="113"/>
      <c r="P539" s="114"/>
      <c r="Q539" s="115"/>
      <c r="R539" s="116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  <c r="AM539" s="115"/>
      <c r="AN539" s="115"/>
      <c r="AO539" s="115"/>
      <c r="AP539" s="117"/>
      <c r="AQ539" s="118"/>
      <c r="AR539" s="118"/>
      <c r="AS539" s="118"/>
      <c r="AT539" s="118"/>
      <c r="AU539" s="118"/>
      <c r="AV539" s="118"/>
      <c r="AW539" s="118"/>
      <c r="AX539" s="118"/>
      <c r="AY539" s="118"/>
      <c r="AZ539" s="118"/>
      <c r="BA539" s="118"/>
      <c r="BB539" s="118"/>
      <c r="BC539" s="118"/>
      <c r="BD539" s="118"/>
      <c r="BE539" s="118"/>
      <c r="BF539" s="118"/>
      <c r="BG539" s="118"/>
      <c r="BH539" s="118"/>
      <c r="BI539" s="118"/>
      <c r="BJ539" s="118"/>
      <c r="BK539" s="118"/>
      <c r="BL539" s="118"/>
      <c r="BM539" s="118"/>
      <c r="BN539" s="133"/>
      <c r="BO539" s="92"/>
    </row>
    <row r="540">
      <c r="I540" s="73"/>
      <c r="J540" s="74"/>
      <c r="O540" s="113"/>
      <c r="P540" s="114"/>
      <c r="Q540" s="115"/>
      <c r="R540" s="116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  <c r="AM540" s="115"/>
      <c r="AN540" s="115"/>
      <c r="AO540" s="115"/>
      <c r="AP540" s="117"/>
      <c r="AQ540" s="118"/>
      <c r="AR540" s="118"/>
      <c r="AS540" s="118"/>
      <c r="AT540" s="118"/>
      <c r="AU540" s="118"/>
      <c r="AV540" s="118"/>
      <c r="AW540" s="118"/>
      <c r="AX540" s="118"/>
      <c r="AY540" s="118"/>
      <c r="AZ540" s="118"/>
      <c r="BA540" s="118"/>
      <c r="BB540" s="118"/>
      <c r="BC540" s="118"/>
      <c r="BD540" s="118"/>
      <c r="BE540" s="118"/>
      <c r="BF540" s="118"/>
      <c r="BG540" s="118"/>
      <c r="BH540" s="118"/>
      <c r="BI540" s="118"/>
      <c r="BJ540" s="118"/>
      <c r="BK540" s="118"/>
      <c r="BL540" s="118"/>
      <c r="BM540" s="118"/>
      <c r="BN540" s="133"/>
      <c r="BO540" s="92"/>
    </row>
    <row r="541">
      <c r="I541" s="73"/>
      <c r="J541" s="74"/>
      <c r="O541" s="113"/>
      <c r="P541" s="114"/>
      <c r="Q541" s="115"/>
      <c r="R541" s="116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5"/>
      <c r="AJ541" s="115"/>
      <c r="AK541" s="115"/>
      <c r="AL541" s="115"/>
      <c r="AM541" s="115"/>
      <c r="AN541" s="115"/>
      <c r="AO541" s="115"/>
      <c r="AP541" s="117"/>
      <c r="AQ541" s="118"/>
      <c r="AR541" s="118"/>
      <c r="AS541" s="118"/>
      <c r="AT541" s="118"/>
      <c r="AU541" s="118"/>
      <c r="AV541" s="118"/>
      <c r="AW541" s="118"/>
      <c r="AX541" s="118"/>
      <c r="AY541" s="118"/>
      <c r="AZ541" s="118"/>
      <c r="BA541" s="118"/>
      <c r="BB541" s="118"/>
      <c r="BC541" s="118"/>
      <c r="BD541" s="118"/>
      <c r="BE541" s="118"/>
      <c r="BF541" s="118"/>
      <c r="BG541" s="118"/>
      <c r="BH541" s="118"/>
      <c r="BI541" s="118"/>
      <c r="BJ541" s="118"/>
      <c r="BK541" s="118"/>
      <c r="BL541" s="118"/>
      <c r="BM541" s="118"/>
      <c r="BN541" s="133"/>
      <c r="BO541" s="92"/>
    </row>
    <row r="542">
      <c r="I542" s="73"/>
      <c r="J542" s="74"/>
      <c r="O542" s="113"/>
      <c r="P542" s="114"/>
      <c r="Q542" s="115"/>
      <c r="R542" s="116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5"/>
      <c r="AJ542" s="115"/>
      <c r="AK542" s="115"/>
      <c r="AL542" s="115"/>
      <c r="AM542" s="115"/>
      <c r="AN542" s="115"/>
      <c r="AO542" s="115"/>
      <c r="AP542" s="117"/>
      <c r="AQ542" s="118"/>
      <c r="AR542" s="118"/>
      <c r="AS542" s="118"/>
      <c r="AT542" s="118"/>
      <c r="AU542" s="118"/>
      <c r="AV542" s="118"/>
      <c r="AW542" s="118"/>
      <c r="AX542" s="118"/>
      <c r="AY542" s="118"/>
      <c r="AZ542" s="118"/>
      <c r="BA542" s="118"/>
      <c r="BB542" s="118"/>
      <c r="BC542" s="118"/>
      <c r="BD542" s="118"/>
      <c r="BE542" s="118"/>
      <c r="BF542" s="118"/>
      <c r="BG542" s="118"/>
      <c r="BH542" s="118"/>
      <c r="BI542" s="118"/>
      <c r="BJ542" s="118"/>
      <c r="BK542" s="118"/>
      <c r="BL542" s="118"/>
      <c r="BM542" s="118"/>
      <c r="BN542" s="133"/>
      <c r="BO542" s="92"/>
    </row>
    <row r="543">
      <c r="I543" s="73"/>
      <c r="J543" s="74"/>
      <c r="O543" s="113"/>
      <c r="P543" s="114"/>
      <c r="Q543" s="115"/>
      <c r="R543" s="116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5"/>
      <c r="AJ543" s="115"/>
      <c r="AK543" s="115"/>
      <c r="AL543" s="115"/>
      <c r="AM543" s="115"/>
      <c r="AN543" s="115"/>
      <c r="AO543" s="115"/>
      <c r="AP543" s="117"/>
      <c r="AQ543" s="118"/>
      <c r="AR543" s="118"/>
      <c r="AS543" s="118"/>
      <c r="AT543" s="118"/>
      <c r="AU543" s="118"/>
      <c r="AV543" s="118"/>
      <c r="AW543" s="118"/>
      <c r="AX543" s="118"/>
      <c r="AY543" s="118"/>
      <c r="AZ543" s="118"/>
      <c r="BA543" s="118"/>
      <c r="BB543" s="118"/>
      <c r="BC543" s="118"/>
      <c r="BD543" s="118"/>
      <c r="BE543" s="118"/>
      <c r="BF543" s="118"/>
      <c r="BG543" s="118"/>
      <c r="BH543" s="118"/>
      <c r="BI543" s="118"/>
      <c r="BJ543" s="118"/>
      <c r="BK543" s="118"/>
      <c r="BL543" s="118"/>
      <c r="BM543" s="118"/>
      <c r="BN543" s="133"/>
      <c r="BO543" s="92"/>
    </row>
    <row r="544">
      <c r="I544" s="73"/>
      <c r="J544" s="74"/>
      <c r="O544" s="113"/>
      <c r="P544" s="114"/>
      <c r="Q544" s="115"/>
      <c r="R544" s="116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5"/>
      <c r="AJ544" s="115"/>
      <c r="AK544" s="115"/>
      <c r="AL544" s="115"/>
      <c r="AM544" s="115"/>
      <c r="AN544" s="115"/>
      <c r="AO544" s="115"/>
      <c r="AP544" s="117"/>
      <c r="AQ544" s="118"/>
      <c r="AR544" s="118"/>
      <c r="AS544" s="118"/>
      <c r="AT544" s="118"/>
      <c r="AU544" s="118"/>
      <c r="AV544" s="118"/>
      <c r="AW544" s="118"/>
      <c r="AX544" s="118"/>
      <c r="AY544" s="118"/>
      <c r="AZ544" s="118"/>
      <c r="BA544" s="118"/>
      <c r="BB544" s="118"/>
      <c r="BC544" s="118"/>
      <c r="BD544" s="118"/>
      <c r="BE544" s="118"/>
      <c r="BF544" s="118"/>
      <c r="BG544" s="118"/>
      <c r="BH544" s="118"/>
      <c r="BI544" s="118"/>
      <c r="BJ544" s="118"/>
      <c r="BK544" s="118"/>
      <c r="BL544" s="118"/>
      <c r="BM544" s="118"/>
      <c r="BN544" s="133"/>
      <c r="BO544" s="92"/>
    </row>
    <row r="545">
      <c r="I545" s="73"/>
      <c r="J545" s="74"/>
      <c r="O545" s="113"/>
      <c r="P545" s="114"/>
      <c r="Q545" s="115"/>
      <c r="R545" s="116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5"/>
      <c r="AJ545" s="115"/>
      <c r="AK545" s="115"/>
      <c r="AL545" s="115"/>
      <c r="AM545" s="115"/>
      <c r="AN545" s="115"/>
      <c r="AO545" s="115"/>
      <c r="AP545" s="117"/>
      <c r="AQ545" s="118"/>
      <c r="AR545" s="118"/>
      <c r="AS545" s="118"/>
      <c r="AT545" s="118"/>
      <c r="AU545" s="118"/>
      <c r="AV545" s="118"/>
      <c r="AW545" s="118"/>
      <c r="AX545" s="118"/>
      <c r="AY545" s="118"/>
      <c r="AZ545" s="118"/>
      <c r="BA545" s="118"/>
      <c r="BB545" s="118"/>
      <c r="BC545" s="118"/>
      <c r="BD545" s="118"/>
      <c r="BE545" s="118"/>
      <c r="BF545" s="118"/>
      <c r="BG545" s="118"/>
      <c r="BH545" s="118"/>
      <c r="BI545" s="118"/>
      <c r="BJ545" s="118"/>
      <c r="BK545" s="118"/>
      <c r="BL545" s="118"/>
      <c r="BM545" s="118"/>
      <c r="BN545" s="133"/>
      <c r="BO545" s="92"/>
    </row>
    <row r="546">
      <c r="I546" s="73"/>
      <c r="J546" s="74"/>
      <c r="O546" s="113"/>
      <c r="P546" s="114"/>
      <c r="Q546" s="115"/>
      <c r="R546" s="116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5"/>
      <c r="AJ546" s="115"/>
      <c r="AK546" s="115"/>
      <c r="AL546" s="115"/>
      <c r="AM546" s="115"/>
      <c r="AN546" s="115"/>
      <c r="AO546" s="115"/>
      <c r="AP546" s="117"/>
      <c r="AQ546" s="118"/>
      <c r="AR546" s="118"/>
      <c r="AS546" s="118"/>
      <c r="AT546" s="118"/>
      <c r="AU546" s="118"/>
      <c r="AV546" s="118"/>
      <c r="AW546" s="118"/>
      <c r="AX546" s="118"/>
      <c r="AY546" s="118"/>
      <c r="AZ546" s="118"/>
      <c r="BA546" s="118"/>
      <c r="BB546" s="118"/>
      <c r="BC546" s="118"/>
      <c r="BD546" s="118"/>
      <c r="BE546" s="118"/>
      <c r="BF546" s="118"/>
      <c r="BG546" s="118"/>
      <c r="BH546" s="118"/>
      <c r="BI546" s="118"/>
      <c r="BJ546" s="118"/>
      <c r="BK546" s="118"/>
      <c r="BL546" s="118"/>
      <c r="BM546" s="118"/>
      <c r="BN546" s="133"/>
      <c r="BO546" s="92"/>
    </row>
    <row r="547">
      <c r="I547" s="73"/>
      <c r="J547" s="74"/>
      <c r="O547" s="113"/>
      <c r="P547" s="114"/>
      <c r="Q547" s="115"/>
      <c r="R547" s="116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5"/>
      <c r="AJ547" s="115"/>
      <c r="AK547" s="115"/>
      <c r="AL547" s="115"/>
      <c r="AM547" s="115"/>
      <c r="AN547" s="115"/>
      <c r="AO547" s="115"/>
      <c r="AP547" s="117"/>
      <c r="AQ547" s="118"/>
      <c r="AR547" s="118"/>
      <c r="AS547" s="118"/>
      <c r="AT547" s="118"/>
      <c r="AU547" s="118"/>
      <c r="AV547" s="118"/>
      <c r="AW547" s="118"/>
      <c r="AX547" s="118"/>
      <c r="AY547" s="118"/>
      <c r="AZ547" s="118"/>
      <c r="BA547" s="118"/>
      <c r="BB547" s="118"/>
      <c r="BC547" s="118"/>
      <c r="BD547" s="118"/>
      <c r="BE547" s="118"/>
      <c r="BF547" s="118"/>
      <c r="BG547" s="118"/>
      <c r="BH547" s="118"/>
      <c r="BI547" s="118"/>
      <c r="BJ547" s="118"/>
      <c r="BK547" s="118"/>
      <c r="BL547" s="118"/>
      <c r="BM547" s="118"/>
      <c r="BN547" s="133"/>
      <c r="BO547" s="92"/>
    </row>
    <row r="548">
      <c r="I548" s="73"/>
      <c r="J548" s="74"/>
      <c r="O548" s="113"/>
      <c r="P548" s="114"/>
      <c r="Q548" s="115"/>
      <c r="R548" s="116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5"/>
      <c r="AJ548" s="115"/>
      <c r="AK548" s="115"/>
      <c r="AL548" s="115"/>
      <c r="AM548" s="115"/>
      <c r="AN548" s="115"/>
      <c r="AO548" s="115"/>
      <c r="AP548" s="117"/>
      <c r="AQ548" s="118"/>
      <c r="AR548" s="118"/>
      <c r="AS548" s="118"/>
      <c r="AT548" s="118"/>
      <c r="AU548" s="118"/>
      <c r="AV548" s="118"/>
      <c r="AW548" s="118"/>
      <c r="AX548" s="118"/>
      <c r="AY548" s="118"/>
      <c r="AZ548" s="118"/>
      <c r="BA548" s="118"/>
      <c r="BB548" s="118"/>
      <c r="BC548" s="118"/>
      <c r="BD548" s="118"/>
      <c r="BE548" s="118"/>
      <c r="BF548" s="118"/>
      <c r="BG548" s="118"/>
      <c r="BH548" s="118"/>
      <c r="BI548" s="118"/>
      <c r="BJ548" s="118"/>
      <c r="BK548" s="118"/>
      <c r="BL548" s="118"/>
      <c r="BM548" s="118"/>
      <c r="BN548" s="133"/>
      <c r="BO548" s="92"/>
    </row>
    <row r="549">
      <c r="I549" s="73"/>
      <c r="J549" s="74"/>
      <c r="O549" s="113"/>
      <c r="P549" s="114"/>
      <c r="Q549" s="115"/>
      <c r="R549" s="116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  <c r="AM549" s="115"/>
      <c r="AN549" s="115"/>
      <c r="AO549" s="115"/>
      <c r="AP549" s="117"/>
      <c r="AQ549" s="118"/>
      <c r="AR549" s="118"/>
      <c r="AS549" s="118"/>
      <c r="AT549" s="118"/>
      <c r="AU549" s="118"/>
      <c r="AV549" s="118"/>
      <c r="AW549" s="118"/>
      <c r="AX549" s="118"/>
      <c r="AY549" s="118"/>
      <c r="AZ549" s="118"/>
      <c r="BA549" s="118"/>
      <c r="BB549" s="118"/>
      <c r="BC549" s="118"/>
      <c r="BD549" s="118"/>
      <c r="BE549" s="118"/>
      <c r="BF549" s="118"/>
      <c r="BG549" s="118"/>
      <c r="BH549" s="118"/>
      <c r="BI549" s="118"/>
      <c r="BJ549" s="118"/>
      <c r="BK549" s="118"/>
      <c r="BL549" s="118"/>
      <c r="BM549" s="118"/>
      <c r="BN549" s="133"/>
      <c r="BO549" s="92"/>
    </row>
    <row r="550">
      <c r="I550" s="73"/>
      <c r="J550" s="74"/>
      <c r="O550" s="113"/>
      <c r="P550" s="114"/>
      <c r="Q550" s="115"/>
      <c r="R550" s="116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5"/>
      <c r="AJ550" s="115"/>
      <c r="AK550" s="115"/>
      <c r="AL550" s="115"/>
      <c r="AM550" s="115"/>
      <c r="AN550" s="115"/>
      <c r="AO550" s="115"/>
      <c r="AP550" s="117"/>
      <c r="AQ550" s="118"/>
      <c r="AR550" s="118"/>
      <c r="AS550" s="118"/>
      <c r="AT550" s="118"/>
      <c r="AU550" s="118"/>
      <c r="AV550" s="118"/>
      <c r="AW550" s="118"/>
      <c r="AX550" s="118"/>
      <c r="AY550" s="118"/>
      <c r="AZ550" s="118"/>
      <c r="BA550" s="118"/>
      <c r="BB550" s="118"/>
      <c r="BC550" s="118"/>
      <c r="BD550" s="118"/>
      <c r="BE550" s="118"/>
      <c r="BF550" s="118"/>
      <c r="BG550" s="118"/>
      <c r="BH550" s="118"/>
      <c r="BI550" s="118"/>
      <c r="BJ550" s="118"/>
      <c r="BK550" s="118"/>
      <c r="BL550" s="118"/>
      <c r="BM550" s="118"/>
      <c r="BN550" s="133"/>
      <c r="BO550" s="92"/>
    </row>
    <row r="551">
      <c r="I551" s="73"/>
      <c r="J551" s="74"/>
      <c r="O551" s="113"/>
      <c r="P551" s="114"/>
      <c r="Q551" s="115"/>
      <c r="R551" s="116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5"/>
      <c r="AJ551" s="115"/>
      <c r="AK551" s="115"/>
      <c r="AL551" s="115"/>
      <c r="AM551" s="115"/>
      <c r="AN551" s="115"/>
      <c r="AO551" s="115"/>
      <c r="AP551" s="117"/>
      <c r="AQ551" s="118"/>
      <c r="AR551" s="118"/>
      <c r="AS551" s="118"/>
      <c r="AT551" s="118"/>
      <c r="AU551" s="118"/>
      <c r="AV551" s="118"/>
      <c r="AW551" s="118"/>
      <c r="AX551" s="118"/>
      <c r="AY551" s="118"/>
      <c r="AZ551" s="118"/>
      <c r="BA551" s="118"/>
      <c r="BB551" s="118"/>
      <c r="BC551" s="118"/>
      <c r="BD551" s="118"/>
      <c r="BE551" s="118"/>
      <c r="BF551" s="118"/>
      <c r="BG551" s="118"/>
      <c r="BH551" s="118"/>
      <c r="BI551" s="118"/>
      <c r="BJ551" s="118"/>
      <c r="BK551" s="118"/>
      <c r="BL551" s="118"/>
      <c r="BM551" s="118"/>
      <c r="BN551" s="133"/>
      <c r="BO551" s="92"/>
    </row>
    <row r="552">
      <c r="I552" s="73"/>
      <c r="J552" s="74"/>
      <c r="O552" s="113"/>
      <c r="P552" s="114"/>
      <c r="Q552" s="115"/>
      <c r="R552" s="116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  <c r="AM552" s="115"/>
      <c r="AN552" s="115"/>
      <c r="AO552" s="115"/>
      <c r="AP552" s="117"/>
      <c r="AQ552" s="118"/>
      <c r="AR552" s="118"/>
      <c r="AS552" s="118"/>
      <c r="AT552" s="118"/>
      <c r="AU552" s="118"/>
      <c r="AV552" s="118"/>
      <c r="AW552" s="118"/>
      <c r="AX552" s="118"/>
      <c r="AY552" s="118"/>
      <c r="AZ552" s="118"/>
      <c r="BA552" s="118"/>
      <c r="BB552" s="118"/>
      <c r="BC552" s="118"/>
      <c r="BD552" s="118"/>
      <c r="BE552" s="118"/>
      <c r="BF552" s="118"/>
      <c r="BG552" s="118"/>
      <c r="BH552" s="118"/>
      <c r="BI552" s="118"/>
      <c r="BJ552" s="118"/>
      <c r="BK552" s="118"/>
      <c r="BL552" s="118"/>
      <c r="BM552" s="118"/>
      <c r="BN552" s="133"/>
      <c r="BO552" s="92"/>
    </row>
    <row r="553">
      <c r="I553" s="73"/>
      <c r="J553" s="74"/>
      <c r="O553" s="113"/>
      <c r="P553" s="114"/>
      <c r="Q553" s="115"/>
      <c r="R553" s="116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5"/>
      <c r="AJ553" s="115"/>
      <c r="AK553" s="115"/>
      <c r="AL553" s="115"/>
      <c r="AM553" s="115"/>
      <c r="AN553" s="115"/>
      <c r="AO553" s="115"/>
      <c r="AP553" s="117"/>
      <c r="AQ553" s="118"/>
      <c r="AR553" s="118"/>
      <c r="AS553" s="118"/>
      <c r="AT553" s="118"/>
      <c r="AU553" s="118"/>
      <c r="AV553" s="118"/>
      <c r="AW553" s="118"/>
      <c r="AX553" s="118"/>
      <c r="AY553" s="118"/>
      <c r="AZ553" s="118"/>
      <c r="BA553" s="118"/>
      <c r="BB553" s="118"/>
      <c r="BC553" s="118"/>
      <c r="BD553" s="118"/>
      <c r="BE553" s="118"/>
      <c r="BF553" s="118"/>
      <c r="BG553" s="118"/>
      <c r="BH553" s="118"/>
      <c r="BI553" s="118"/>
      <c r="BJ553" s="118"/>
      <c r="BK553" s="118"/>
      <c r="BL553" s="118"/>
      <c r="BM553" s="118"/>
      <c r="BN553" s="133"/>
      <c r="BO553" s="92"/>
    </row>
    <row r="554">
      <c r="I554" s="73"/>
      <c r="J554" s="74"/>
      <c r="O554" s="113"/>
      <c r="P554" s="114"/>
      <c r="Q554" s="115"/>
      <c r="R554" s="116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  <c r="AM554" s="115"/>
      <c r="AN554" s="115"/>
      <c r="AO554" s="115"/>
      <c r="AP554" s="117"/>
      <c r="AQ554" s="118"/>
      <c r="AR554" s="118"/>
      <c r="AS554" s="118"/>
      <c r="AT554" s="118"/>
      <c r="AU554" s="118"/>
      <c r="AV554" s="118"/>
      <c r="AW554" s="118"/>
      <c r="AX554" s="118"/>
      <c r="AY554" s="118"/>
      <c r="AZ554" s="118"/>
      <c r="BA554" s="118"/>
      <c r="BB554" s="118"/>
      <c r="BC554" s="118"/>
      <c r="BD554" s="118"/>
      <c r="BE554" s="118"/>
      <c r="BF554" s="118"/>
      <c r="BG554" s="118"/>
      <c r="BH554" s="118"/>
      <c r="BI554" s="118"/>
      <c r="BJ554" s="118"/>
      <c r="BK554" s="118"/>
      <c r="BL554" s="118"/>
      <c r="BM554" s="118"/>
      <c r="BN554" s="133"/>
      <c r="BO554" s="92"/>
    </row>
    <row r="555">
      <c r="I555" s="73"/>
      <c r="J555" s="74"/>
      <c r="O555" s="113"/>
      <c r="P555" s="114"/>
      <c r="Q555" s="115"/>
      <c r="R555" s="116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5"/>
      <c r="AJ555" s="115"/>
      <c r="AK555" s="115"/>
      <c r="AL555" s="115"/>
      <c r="AM555" s="115"/>
      <c r="AN555" s="115"/>
      <c r="AO555" s="115"/>
      <c r="AP555" s="117"/>
      <c r="AQ555" s="118"/>
      <c r="AR555" s="118"/>
      <c r="AS555" s="118"/>
      <c r="AT555" s="118"/>
      <c r="AU555" s="118"/>
      <c r="AV555" s="118"/>
      <c r="AW555" s="118"/>
      <c r="AX555" s="118"/>
      <c r="AY555" s="118"/>
      <c r="AZ555" s="118"/>
      <c r="BA555" s="118"/>
      <c r="BB555" s="118"/>
      <c r="BC555" s="118"/>
      <c r="BD555" s="118"/>
      <c r="BE555" s="118"/>
      <c r="BF555" s="118"/>
      <c r="BG555" s="118"/>
      <c r="BH555" s="118"/>
      <c r="BI555" s="118"/>
      <c r="BJ555" s="118"/>
      <c r="BK555" s="118"/>
      <c r="BL555" s="118"/>
      <c r="BM555" s="118"/>
      <c r="BN555" s="133"/>
      <c r="BO555" s="92"/>
    </row>
    <row r="556">
      <c r="I556" s="73"/>
      <c r="J556" s="74"/>
      <c r="O556" s="113"/>
      <c r="P556" s="114"/>
      <c r="Q556" s="115"/>
      <c r="R556" s="116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5"/>
      <c r="AJ556" s="115"/>
      <c r="AK556" s="115"/>
      <c r="AL556" s="115"/>
      <c r="AM556" s="115"/>
      <c r="AN556" s="115"/>
      <c r="AO556" s="115"/>
      <c r="AP556" s="117"/>
      <c r="AQ556" s="118"/>
      <c r="AR556" s="118"/>
      <c r="AS556" s="118"/>
      <c r="AT556" s="118"/>
      <c r="AU556" s="118"/>
      <c r="AV556" s="118"/>
      <c r="AW556" s="118"/>
      <c r="AX556" s="118"/>
      <c r="AY556" s="118"/>
      <c r="AZ556" s="118"/>
      <c r="BA556" s="118"/>
      <c r="BB556" s="118"/>
      <c r="BC556" s="118"/>
      <c r="BD556" s="118"/>
      <c r="BE556" s="118"/>
      <c r="BF556" s="118"/>
      <c r="BG556" s="118"/>
      <c r="BH556" s="118"/>
      <c r="BI556" s="118"/>
      <c r="BJ556" s="118"/>
      <c r="BK556" s="118"/>
      <c r="BL556" s="118"/>
      <c r="BM556" s="118"/>
      <c r="BN556" s="133"/>
      <c r="BO556" s="92"/>
    </row>
    <row r="557">
      <c r="I557" s="73"/>
      <c r="J557" s="74"/>
      <c r="O557" s="113"/>
      <c r="P557" s="114"/>
      <c r="Q557" s="115"/>
      <c r="R557" s="116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  <c r="AM557" s="115"/>
      <c r="AN557" s="115"/>
      <c r="AO557" s="115"/>
      <c r="AP557" s="117"/>
      <c r="AQ557" s="118"/>
      <c r="AR557" s="118"/>
      <c r="AS557" s="118"/>
      <c r="AT557" s="118"/>
      <c r="AU557" s="118"/>
      <c r="AV557" s="118"/>
      <c r="AW557" s="118"/>
      <c r="AX557" s="118"/>
      <c r="AY557" s="118"/>
      <c r="AZ557" s="118"/>
      <c r="BA557" s="118"/>
      <c r="BB557" s="118"/>
      <c r="BC557" s="118"/>
      <c r="BD557" s="118"/>
      <c r="BE557" s="118"/>
      <c r="BF557" s="118"/>
      <c r="BG557" s="118"/>
      <c r="BH557" s="118"/>
      <c r="BI557" s="118"/>
      <c r="BJ557" s="118"/>
      <c r="BK557" s="118"/>
      <c r="BL557" s="118"/>
      <c r="BM557" s="118"/>
      <c r="BN557" s="133"/>
      <c r="BO557" s="92"/>
    </row>
    <row r="558">
      <c r="I558" s="73"/>
      <c r="J558" s="74"/>
      <c r="O558" s="113"/>
      <c r="P558" s="114"/>
      <c r="Q558" s="115"/>
      <c r="R558" s="116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5"/>
      <c r="AJ558" s="115"/>
      <c r="AK558" s="115"/>
      <c r="AL558" s="115"/>
      <c r="AM558" s="115"/>
      <c r="AN558" s="115"/>
      <c r="AO558" s="115"/>
      <c r="AP558" s="117"/>
      <c r="AQ558" s="118"/>
      <c r="AR558" s="118"/>
      <c r="AS558" s="118"/>
      <c r="AT558" s="118"/>
      <c r="AU558" s="118"/>
      <c r="AV558" s="118"/>
      <c r="AW558" s="118"/>
      <c r="AX558" s="118"/>
      <c r="AY558" s="118"/>
      <c r="AZ558" s="118"/>
      <c r="BA558" s="118"/>
      <c r="BB558" s="118"/>
      <c r="BC558" s="118"/>
      <c r="BD558" s="118"/>
      <c r="BE558" s="118"/>
      <c r="BF558" s="118"/>
      <c r="BG558" s="118"/>
      <c r="BH558" s="118"/>
      <c r="BI558" s="118"/>
      <c r="BJ558" s="118"/>
      <c r="BK558" s="118"/>
      <c r="BL558" s="118"/>
      <c r="BM558" s="118"/>
      <c r="BN558" s="133"/>
      <c r="BO558" s="92"/>
    </row>
    <row r="559">
      <c r="I559" s="73"/>
      <c r="J559" s="74"/>
      <c r="O559" s="113"/>
      <c r="P559" s="114"/>
      <c r="Q559" s="115"/>
      <c r="R559" s="116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5"/>
      <c r="AJ559" s="115"/>
      <c r="AK559" s="115"/>
      <c r="AL559" s="115"/>
      <c r="AM559" s="115"/>
      <c r="AN559" s="115"/>
      <c r="AO559" s="115"/>
      <c r="AP559" s="117"/>
      <c r="AQ559" s="118"/>
      <c r="AR559" s="118"/>
      <c r="AS559" s="118"/>
      <c r="AT559" s="118"/>
      <c r="AU559" s="118"/>
      <c r="AV559" s="118"/>
      <c r="AW559" s="118"/>
      <c r="AX559" s="118"/>
      <c r="AY559" s="118"/>
      <c r="AZ559" s="118"/>
      <c r="BA559" s="118"/>
      <c r="BB559" s="118"/>
      <c r="BC559" s="118"/>
      <c r="BD559" s="118"/>
      <c r="BE559" s="118"/>
      <c r="BF559" s="118"/>
      <c r="BG559" s="118"/>
      <c r="BH559" s="118"/>
      <c r="BI559" s="118"/>
      <c r="BJ559" s="118"/>
      <c r="BK559" s="118"/>
      <c r="BL559" s="118"/>
      <c r="BM559" s="118"/>
      <c r="BN559" s="133"/>
      <c r="BO559" s="92"/>
    </row>
    <row r="560">
      <c r="I560" s="73"/>
      <c r="J560" s="74"/>
      <c r="O560" s="113"/>
      <c r="P560" s="114"/>
      <c r="Q560" s="115"/>
      <c r="R560" s="116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5"/>
      <c r="AJ560" s="115"/>
      <c r="AK560" s="115"/>
      <c r="AL560" s="115"/>
      <c r="AM560" s="115"/>
      <c r="AN560" s="115"/>
      <c r="AO560" s="115"/>
      <c r="AP560" s="117"/>
      <c r="AQ560" s="118"/>
      <c r="AR560" s="118"/>
      <c r="AS560" s="118"/>
      <c r="AT560" s="118"/>
      <c r="AU560" s="118"/>
      <c r="AV560" s="118"/>
      <c r="AW560" s="118"/>
      <c r="AX560" s="118"/>
      <c r="AY560" s="118"/>
      <c r="AZ560" s="118"/>
      <c r="BA560" s="118"/>
      <c r="BB560" s="118"/>
      <c r="BC560" s="118"/>
      <c r="BD560" s="118"/>
      <c r="BE560" s="118"/>
      <c r="BF560" s="118"/>
      <c r="BG560" s="118"/>
      <c r="BH560" s="118"/>
      <c r="BI560" s="118"/>
      <c r="BJ560" s="118"/>
      <c r="BK560" s="118"/>
      <c r="BL560" s="118"/>
      <c r="BM560" s="118"/>
      <c r="BN560" s="133"/>
      <c r="BO560" s="92"/>
    </row>
    <row r="561">
      <c r="I561" s="73"/>
      <c r="J561" s="74"/>
      <c r="O561" s="113"/>
      <c r="P561" s="114"/>
      <c r="Q561" s="115"/>
      <c r="R561" s="116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5"/>
      <c r="AJ561" s="115"/>
      <c r="AK561" s="115"/>
      <c r="AL561" s="115"/>
      <c r="AM561" s="115"/>
      <c r="AN561" s="115"/>
      <c r="AO561" s="115"/>
      <c r="AP561" s="117"/>
      <c r="AQ561" s="118"/>
      <c r="AR561" s="118"/>
      <c r="AS561" s="118"/>
      <c r="AT561" s="118"/>
      <c r="AU561" s="118"/>
      <c r="AV561" s="118"/>
      <c r="AW561" s="118"/>
      <c r="AX561" s="118"/>
      <c r="AY561" s="118"/>
      <c r="AZ561" s="118"/>
      <c r="BA561" s="118"/>
      <c r="BB561" s="118"/>
      <c r="BC561" s="118"/>
      <c r="BD561" s="118"/>
      <c r="BE561" s="118"/>
      <c r="BF561" s="118"/>
      <c r="BG561" s="118"/>
      <c r="BH561" s="118"/>
      <c r="BI561" s="118"/>
      <c r="BJ561" s="118"/>
      <c r="BK561" s="118"/>
      <c r="BL561" s="118"/>
      <c r="BM561" s="118"/>
      <c r="BN561" s="133"/>
      <c r="BO561" s="92"/>
    </row>
    <row r="562">
      <c r="I562" s="73"/>
      <c r="J562" s="74"/>
      <c r="O562" s="113"/>
      <c r="P562" s="114"/>
      <c r="Q562" s="115"/>
      <c r="R562" s="116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5"/>
      <c r="AJ562" s="115"/>
      <c r="AK562" s="115"/>
      <c r="AL562" s="115"/>
      <c r="AM562" s="115"/>
      <c r="AN562" s="115"/>
      <c r="AO562" s="115"/>
      <c r="AP562" s="117"/>
      <c r="AQ562" s="118"/>
      <c r="AR562" s="118"/>
      <c r="AS562" s="118"/>
      <c r="AT562" s="118"/>
      <c r="AU562" s="118"/>
      <c r="AV562" s="118"/>
      <c r="AW562" s="118"/>
      <c r="AX562" s="118"/>
      <c r="AY562" s="118"/>
      <c r="AZ562" s="118"/>
      <c r="BA562" s="118"/>
      <c r="BB562" s="118"/>
      <c r="BC562" s="118"/>
      <c r="BD562" s="118"/>
      <c r="BE562" s="118"/>
      <c r="BF562" s="118"/>
      <c r="BG562" s="118"/>
      <c r="BH562" s="118"/>
      <c r="BI562" s="118"/>
      <c r="BJ562" s="118"/>
      <c r="BK562" s="118"/>
      <c r="BL562" s="118"/>
      <c r="BM562" s="118"/>
      <c r="BN562" s="133"/>
      <c r="BO562" s="92"/>
    </row>
    <row r="563">
      <c r="I563" s="73"/>
      <c r="J563" s="74"/>
      <c r="O563" s="113"/>
      <c r="P563" s="114"/>
      <c r="Q563" s="115"/>
      <c r="R563" s="116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5"/>
      <c r="AJ563" s="115"/>
      <c r="AK563" s="115"/>
      <c r="AL563" s="115"/>
      <c r="AM563" s="115"/>
      <c r="AN563" s="115"/>
      <c r="AO563" s="115"/>
      <c r="AP563" s="117"/>
      <c r="AQ563" s="118"/>
      <c r="AR563" s="118"/>
      <c r="AS563" s="118"/>
      <c r="AT563" s="118"/>
      <c r="AU563" s="118"/>
      <c r="AV563" s="118"/>
      <c r="AW563" s="118"/>
      <c r="AX563" s="118"/>
      <c r="AY563" s="118"/>
      <c r="AZ563" s="118"/>
      <c r="BA563" s="118"/>
      <c r="BB563" s="118"/>
      <c r="BC563" s="118"/>
      <c r="BD563" s="118"/>
      <c r="BE563" s="118"/>
      <c r="BF563" s="118"/>
      <c r="BG563" s="118"/>
      <c r="BH563" s="118"/>
      <c r="BI563" s="118"/>
      <c r="BJ563" s="118"/>
      <c r="BK563" s="118"/>
      <c r="BL563" s="118"/>
      <c r="BM563" s="118"/>
      <c r="BN563" s="133"/>
      <c r="BO563" s="92"/>
    </row>
    <row r="564">
      <c r="I564" s="73"/>
      <c r="J564" s="74"/>
      <c r="O564" s="113"/>
      <c r="P564" s="114"/>
      <c r="Q564" s="115"/>
      <c r="R564" s="116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5"/>
      <c r="AJ564" s="115"/>
      <c r="AK564" s="115"/>
      <c r="AL564" s="115"/>
      <c r="AM564" s="115"/>
      <c r="AN564" s="115"/>
      <c r="AO564" s="115"/>
      <c r="AP564" s="117"/>
      <c r="AQ564" s="118"/>
      <c r="AR564" s="118"/>
      <c r="AS564" s="118"/>
      <c r="AT564" s="118"/>
      <c r="AU564" s="118"/>
      <c r="AV564" s="118"/>
      <c r="AW564" s="118"/>
      <c r="AX564" s="118"/>
      <c r="AY564" s="118"/>
      <c r="AZ564" s="118"/>
      <c r="BA564" s="118"/>
      <c r="BB564" s="118"/>
      <c r="BC564" s="118"/>
      <c r="BD564" s="118"/>
      <c r="BE564" s="118"/>
      <c r="BF564" s="118"/>
      <c r="BG564" s="118"/>
      <c r="BH564" s="118"/>
      <c r="BI564" s="118"/>
      <c r="BJ564" s="118"/>
      <c r="BK564" s="118"/>
      <c r="BL564" s="118"/>
      <c r="BM564" s="118"/>
      <c r="BN564" s="133"/>
      <c r="BO564" s="92"/>
    </row>
    <row r="565">
      <c r="I565" s="73"/>
      <c r="J565" s="74"/>
      <c r="O565" s="113"/>
      <c r="P565" s="114"/>
      <c r="Q565" s="115"/>
      <c r="R565" s="116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5"/>
      <c r="AJ565" s="115"/>
      <c r="AK565" s="115"/>
      <c r="AL565" s="115"/>
      <c r="AM565" s="115"/>
      <c r="AN565" s="115"/>
      <c r="AO565" s="115"/>
      <c r="AP565" s="117"/>
      <c r="AQ565" s="118"/>
      <c r="AR565" s="118"/>
      <c r="AS565" s="118"/>
      <c r="AT565" s="118"/>
      <c r="AU565" s="118"/>
      <c r="AV565" s="118"/>
      <c r="AW565" s="118"/>
      <c r="AX565" s="118"/>
      <c r="AY565" s="118"/>
      <c r="AZ565" s="118"/>
      <c r="BA565" s="118"/>
      <c r="BB565" s="118"/>
      <c r="BC565" s="118"/>
      <c r="BD565" s="118"/>
      <c r="BE565" s="118"/>
      <c r="BF565" s="118"/>
      <c r="BG565" s="118"/>
      <c r="BH565" s="118"/>
      <c r="BI565" s="118"/>
      <c r="BJ565" s="118"/>
      <c r="BK565" s="118"/>
      <c r="BL565" s="118"/>
      <c r="BM565" s="118"/>
      <c r="BN565" s="133"/>
      <c r="BO565" s="92"/>
    </row>
    <row r="566">
      <c r="I566" s="73"/>
      <c r="J566" s="74"/>
      <c r="O566" s="113"/>
      <c r="P566" s="114"/>
      <c r="Q566" s="115"/>
      <c r="R566" s="116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5"/>
      <c r="AJ566" s="115"/>
      <c r="AK566" s="115"/>
      <c r="AL566" s="115"/>
      <c r="AM566" s="115"/>
      <c r="AN566" s="115"/>
      <c r="AO566" s="115"/>
      <c r="AP566" s="117"/>
      <c r="AQ566" s="118"/>
      <c r="AR566" s="118"/>
      <c r="AS566" s="118"/>
      <c r="AT566" s="118"/>
      <c r="AU566" s="118"/>
      <c r="AV566" s="118"/>
      <c r="AW566" s="118"/>
      <c r="AX566" s="118"/>
      <c r="AY566" s="118"/>
      <c r="AZ566" s="118"/>
      <c r="BA566" s="118"/>
      <c r="BB566" s="118"/>
      <c r="BC566" s="118"/>
      <c r="BD566" s="118"/>
      <c r="BE566" s="118"/>
      <c r="BF566" s="118"/>
      <c r="BG566" s="118"/>
      <c r="BH566" s="118"/>
      <c r="BI566" s="118"/>
      <c r="BJ566" s="118"/>
      <c r="BK566" s="118"/>
      <c r="BL566" s="118"/>
      <c r="BM566" s="118"/>
      <c r="BN566" s="133"/>
      <c r="BO566" s="92"/>
    </row>
    <row r="567">
      <c r="I567" s="73"/>
      <c r="J567" s="74"/>
      <c r="O567" s="113"/>
      <c r="P567" s="114"/>
      <c r="Q567" s="115"/>
      <c r="R567" s="116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5"/>
      <c r="AJ567" s="115"/>
      <c r="AK567" s="115"/>
      <c r="AL567" s="115"/>
      <c r="AM567" s="115"/>
      <c r="AN567" s="115"/>
      <c r="AO567" s="115"/>
      <c r="AP567" s="117"/>
      <c r="AQ567" s="118"/>
      <c r="AR567" s="118"/>
      <c r="AS567" s="118"/>
      <c r="AT567" s="118"/>
      <c r="AU567" s="118"/>
      <c r="AV567" s="118"/>
      <c r="AW567" s="118"/>
      <c r="AX567" s="118"/>
      <c r="AY567" s="118"/>
      <c r="AZ567" s="118"/>
      <c r="BA567" s="118"/>
      <c r="BB567" s="118"/>
      <c r="BC567" s="118"/>
      <c r="BD567" s="118"/>
      <c r="BE567" s="118"/>
      <c r="BF567" s="118"/>
      <c r="BG567" s="118"/>
      <c r="BH567" s="118"/>
      <c r="BI567" s="118"/>
      <c r="BJ567" s="118"/>
      <c r="BK567" s="118"/>
      <c r="BL567" s="118"/>
      <c r="BM567" s="118"/>
      <c r="BN567" s="133"/>
      <c r="BO567" s="92"/>
    </row>
    <row r="568">
      <c r="I568" s="73"/>
      <c r="J568" s="74"/>
      <c r="O568" s="113"/>
      <c r="P568" s="114"/>
      <c r="Q568" s="115"/>
      <c r="R568" s="116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15"/>
      <c r="AL568" s="115"/>
      <c r="AM568" s="115"/>
      <c r="AN568" s="115"/>
      <c r="AO568" s="115"/>
      <c r="AP568" s="117"/>
      <c r="AQ568" s="118"/>
      <c r="AR568" s="118"/>
      <c r="AS568" s="118"/>
      <c r="AT568" s="118"/>
      <c r="AU568" s="118"/>
      <c r="AV568" s="118"/>
      <c r="AW568" s="118"/>
      <c r="AX568" s="118"/>
      <c r="AY568" s="118"/>
      <c r="AZ568" s="118"/>
      <c r="BA568" s="118"/>
      <c r="BB568" s="118"/>
      <c r="BC568" s="118"/>
      <c r="BD568" s="118"/>
      <c r="BE568" s="118"/>
      <c r="BF568" s="118"/>
      <c r="BG568" s="118"/>
      <c r="BH568" s="118"/>
      <c r="BI568" s="118"/>
      <c r="BJ568" s="118"/>
      <c r="BK568" s="118"/>
      <c r="BL568" s="118"/>
      <c r="BM568" s="118"/>
      <c r="BN568" s="133"/>
      <c r="BO568" s="92"/>
    </row>
    <row r="569">
      <c r="I569" s="73"/>
      <c r="J569" s="74"/>
      <c r="O569" s="113"/>
      <c r="P569" s="114"/>
      <c r="Q569" s="115"/>
      <c r="R569" s="116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15"/>
      <c r="AL569" s="115"/>
      <c r="AM569" s="115"/>
      <c r="AN569" s="115"/>
      <c r="AO569" s="115"/>
      <c r="AP569" s="117"/>
      <c r="AQ569" s="118"/>
      <c r="AR569" s="118"/>
      <c r="AS569" s="118"/>
      <c r="AT569" s="118"/>
      <c r="AU569" s="118"/>
      <c r="AV569" s="118"/>
      <c r="AW569" s="118"/>
      <c r="AX569" s="118"/>
      <c r="AY569" s="118"/>
      <c r="AZ569" s="118"/>
      <c r="BA569" s="118"/>
      <c r="BB569" s="118"/>
      <c r="BC569" s="118"/>
      <c r="BD569" s="118"/>
      <c r="BE569" s="118"/>
      <c r="BF569" s="118"/>
      <c r="BG569" s="118"/>
      <c r="BH569" s="118"/>
      <c r="BI569" s="118"/>
      <c r="BJ569" s="118"/>
      <c r="BK569" s="118"/>
      <c r="BL569" s="118"/>
      <c r="BM569" s="118"/>
      <c r="BN569" s="133"/>
      <c r="BO569" s="92"/>
    </row>
    <row r="570">
      <c r="I570" s="73"/>
      <c r="J570" s="74"/>
      <c r="O570" s="113"/>
      <c r="P570" s="114"/>
      <c r="Q570" s="115"/>
      <c r="R570" s="116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15"/>
      <c r="AL570" s="115"/>
      <c r="AM570" s="115"/>
      <c r="AN570" s="115"/>
      <c r="AO570" s="115"/>
      <c r="AP570" s="117"/>
      <c r="AQ570" s="118"/>
      <c r="AR570" s="118"/>
      <c r="AS570" s="118"/>
      <c r="AT570" s="118"/>
      <c r="AU570" s="118"/>
      <c r="AV570" s="118"/>
      <c r="AW570" s="118"/>
      <c r="AX570" s="118"/>
      <c r="AY570" s="118"/>
      <c r="AZ570" s="118"/>
      <c r="BA570" s="118"/>
      <c r="BB570" s="118"/>
      <c r="BC570" s="118"/>
      <c r="BD570" s="118"/>
      <c r="BE570" s="118"/>
      <c r="BF570" s="118"/>
      <c r="BG570" s="118"/>
      <c r="BH570" s="118"/>
      <c r="BI570" s="118"/>
      <c r="BJ570" s="118"/>
      <c r="BK570" s="118"/>
      <c r="BL570" s="118"/>
      <c r="BM570" s="118"/>
      <c r="BN570" s="133"/>
      <c r="BO570" s="92"/>
    </row>
    <row r="571">
      <c r="I571" s="73"/>
      <c r="J571" s="74"/>
      <c r="O571" s="113"/>
      <c r="P571" s="114"/>
      <c r="Q571" s="115"/>
      <c r="R571" s="116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15"/>
      <c r="AL571" s="115"/>
      <c r="AM571" s="115"/>
      <c r="AN571" s="115"/>
      <c r="AO571" s="115"/>
      <c r="AP571" s="117"/>
      <c r="AQ571" s="118"/>
      <c r="AR571" s="118"/>
      <c r="AS571" s="118"/>
      <c r="AT571" s="118"/>
      <c r="AU571" s="118"/>
      <c r="AV571" s="118"/>
      <c r="AW571" s="118"/>
      <c r="AX571" s="118"/>
      <c r="AY571" s="118"/>
      <c r="AZ571" s="118"/>
      <c r="BA571" s="118"/>
      <c r="BB571" s="118"/>
      <c r="BC571" s="118"/>
      <c r="BD571" s="118"/>
      <c r="BE571" s="118"/>
      <c r="BF571" s="118"/>
      <c r="BG571" s="118"/>
      <c r="BH571" s="118"/>
      <c r="BI571" s="118"/>
      <c r="BJ571" s="118"/>
      <c r="BK571" s="118"/>
      <c r="BL571" s="118"/>
      <c r="BM571" s="118"/>
      <c r="BN571" s="133"/>
      <c r="BO571" s="92"/>
    </row>
    <row r="572">
      <c r="I572" s="73"/>
      <c r="J572" s="74"/>
      <c r="O572" s="113"/>
      <c r="P572" s="114"/>
      <c r="Q572" s="115"/>
      <c r="R572" s="116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  <c r="AM572" s="115"/>
      <c r="AN572" s="115"/>
      <c r="AO572" s="115"/>
      <c r="AP572" s="117"/>
      <c r="AQ572" s="118"/>
      <c r="AR572" s="118"/>
      <c r="AS572" s="118"/>
      <c r="AT572" s="118"/>
      <c r="AU572" s="118"/>
      <c r="AV572" s="118"/>
      <c r="AW572" s="118"/>
      <c r="AX572" s="118"/>
      <c r="AY572" s="118"/>
      <c r="AZ572" s="118"/>
      <c r="BA572" s="118"/>
      <c r="BB572" s="118"/>
      <c r="BC572" s="118"/>
      <c r="BD572" s="118"/>
      <c r="BE572" s="118"/>
      <c r="BF572" s="118"/>
      <c r="BG572" s="118"/>
      <c r="BH572" s="118"/>
      <c r="BI572" s="118"/>
      <c r="BJ572" s="118"/>
      <c r="BK572" s="118"/>
      <c r="BL572" s="118"/>
      <c r="BM572" s="118"/>
      <c r="BN572" s="133"/>
      <c r="BO572" s="92"/>
    </row>
    <row r="573">
      <c r="I573" s="73"/>
      <c r="J573" s="74"/>
      <c r="O573" s="113"/>
      <c r="P573" s="114"/>
      <c r="Q573" s="115"/>
      <c r="R573" s="116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15"/>
      <c r="AL573" s="115"/>
      <c r="AM573" s="115"/>
      <c r="AN573" s="115"/>
      <c r="AO573" s="115"/>
      <c r="AP573" s="117"/>
      <c r="AQ573" s="118"/>
      <c r="AR573" s="118"/>
      <c r="AS573" s="118"/>
      <c r="AT573" s="118"/>
      <c r="AU573" s="118"/>
      <c r="AV573" s="118"/>
      <c r="AW573" s="118"/>
      <c r="AX573" s="118"/>
      <c r="AY573" s="118"/>
      <c r="AZ573" s="118"/>
      <c r="BA573" s="118"/>
      <c r="BB573" s="118"/>
      <c r="BC573" s="118"/>
      <c r="BD573" s="118"/>
      <c r="BE573" s="118"/>
      <c r="BF573" s="118"/>
      <c r="BG573" s="118"/>
      <c r="BH573" s="118"/>
      <c r="BI573" s="118"/>
      <c r="BJ573" s="118"/>
      <c r="BK573" s="118"/>
      <c r="BL573" s="118"/>
      <c r="BM573" s="118"/>
      <c r="BN573" s="133"/>
      <c r="BO573" s="92"/>
    </row>
    <row r="574">
      <c r="I574" s="73"/>
      <c r="J574" s="74"/>
      <c r="O574" s="113"/>
      <c r="P574" s="114"/>
      <c r="Q574" s="115"/>
      <c r="R574" s="116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15"/>
      <c r="AL574" s="115"/>
      <c r="AM574" s="115"/>
      <c r="AN574" s="115"/>
      <c r="AO574" s="115"/>
      <c r="AP574" s="117"/>
      <c r="AQ574" s="118"/>
      <c r="AR574" s="118"/>
      <c r="AS574" s="118"/>
      <c r="AT574" s="118"/>
      <c r="AU574" s="118"/>
      <c r="AV574" s="118"/>
      <c r="AW574" s="118"/>
      <c r="AX574" s="118"/>
      <c r="AY574" s="118"/>
      <c r="AZ574" s="118"/>
      <c r="BA574" s="118"/>
      <c r="BB574" s="118"/>
      <c r="BC574" s="118"/>
      <c r="BD574" s="118"/>
      <c r="BE574" s="118"/>
      <c r="BF574" s="118"/>
      <c r="BG574" s="118"/>
      <c r="BH574" s="118"/>
      <c r="BI574" s="118"/>
      <c r="BJ574" s="118"/>
      <c r="BK574" s="118"/>
      <c r="BL574" s="118"/>
      <c r="BM574" s="118"/>
      <c r="BN574" s="133"/>
      <c r="BO574" s="92"/>
    </row>
    <row r="575">
      <c r="I575" s="73"/>
      <c r="J575" s="74"/>
      <c r="O575" s="113"/>
      <c r="P575" s="114"/>
      <c r="Q575" s="115"/>
      <c r="R575" s="116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15"/>
      <c r="AL575" s="115"/>
      <c r="AM575" s="115"/>
      <c r="AN575" s="115"/>
      <c r="AO575" s="115"/>
      <c r="AP575" s="117"/>
      <c r="AQ575" s="118"/>
      <c r="AR575" s="118"/>
      <c r="AS575" s="118"/>
      <c r="AT575" s="118"/>
      <c r="AU575" s="118"/>
      <c r="AV575" s="118"/>
      <c r="AW575" s="118"/>
      <c r="AX575" s="118"/>
      <c r="AY575" s="118"/>
      <c r="AZ575" s="118"/>
      <c r="BA575" s="118"/>
      <c r="BB575" s="118"/>
      <c r="BC575" s="118"/>
      <c r="BD575" s="118"/>
      <c r="BE575" s="118"/>
      <c r="BF575" s="118"/>
      <c r="BG575" s="118"/>
      <c r="BH575" s="118"/>
      <c r="BI575" s="118"/>
      <c r="BJ575" s="118"/>
      <c r="BK575" s="118"/>
      <c r="BL575" s="118"/>
      <c r="BM575" s="118"/>
      <c r="BN575" s="133"/>
      <c r="BO575" s="92"/>
    </row>
    <row r="576">
      <c r="I576" s="73"/>
      <c r="J576" s="74"/>
      <c r="O576" s="113"/>
      <c r="P576" s="114"/>
      <c r="Q576" s="115"/>
      <c r="R576" s="116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15"/>
      <c r="AL576" s="115"/>
      <c r="AM576" s="115"/>
      <c r="AN576" s="115"/>
      <c r="AO576" s="115"/>
      <c r="AP576" s="117"/>
      <c r="AQ576" s="118"/>
      <c r="AR576" s="118"/>
      <c r="AS576" s="118"/>
      <c r="AT576" s="118"/>
      <c r="AU576" s="118"/>
      <c r="AV576" s="118"/>
      <c r="AW576" s="118"/>
      <c r="AX576" s="118"/>
      <c r="AY576" s="118"/>
      <c r="AZ576" s="118"/>
      <c r="BA576" s="118"/>
      <c r="BB576" s="118"/>
      <c r="BC576" s="118"/>
      <c r="BD576" s="118"/>
      <c r="BE576" s="118"/>
      <c r="BF576" s="118"/>
      <c r="BG576" s="118"/>
      <c r="BH576" s="118"/>
      <c r="BI576" s="118"/>
      <c r="BJ576" s="118"/>
      <c r="BK576" s="118"/>
      <c r="BL576" s="118"/>
      <c r="BM576" s="118"/>
      <c r="BN576" s="133"/>
      <c r="BO576" s="92"/>
    </row>
    <row r="577">
      <c r="I577" s="73"/>
      <c r="J577" s="74"/>
      <c r="O577" s="113"/>
      <c r="P577" s="114"/>
      <c r="Q577" s="115"/>
      <c r="R577" s="116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15"/>
      <c r="AL577" s="115"/>
      <c r="AM577" s="115"/>
      <c r="AN577" s="115"/>
      <c r="AO577" s="115"/>
      <c r="AP577" s="117"/>
      <c r="AQ577" s="118"/>
      <c r="AR577" s="118"/>
      <c r="AS577" s="118"/>
      <c r="AT577" s="118"/>
      <c r="AU577" s="118"/>
      <c r="AV577" s="118"/>
      <c r="AW577" s="118"/>
      <c r="AX577" s="118"/>
      <c r="AY577" s="118"/>
      <c r="AZ577" s="118"/>
      <c r="BA577" s="118"/>
      <c r="BB577" s="118"/>
      <c r="BC577" s="118"/>
      <c r="BD577" s="118"/>
      <c r="BE577" s="118"/>
      <c r="BF577" s="118"/>
      <c r="BG577" s="118"/>
      <c r="BH577" s="118"/>
      <c r="BI577" s="118"/>
      <c r="BJ577" s="118"/>
      <c r="BK577" s="118"/>
      <c r="BL577" s="118"/>
      <c r="BM577" s="118"/>
      <c r="BN577" s="133"/>
      <c r="BO577" s="92"/>
    </row>
    <row r="578">
      <c r="I578" s="73"/>
      <c r="J578" s="74"/>
      <c r="O578" s="113"/>
      <c r="P578" s="114"/>
      <c r="Q578" s="115"/>
      <c r="R578" s="116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15"/>
      <c r="AL578" s="115"/>
      <c r="AM578" s="115"/>
      <c r="AN578" s="115"/>
      <c r="AO578" s="115"/>
      <c r="AP578" s="117"/>
      <c r="AQ578" s="118"/>
      <c r="AR578" s="118"/>
      <c r="AS578" s="118"/>
      <c r="AT578" s="118"/>
      <c r="AU578" s="118"/>
      <c r="AV578" s="118"/>
      <c r="AW578" s="118"/>
      <c r="AX578" s="118"/>
      <c r="AY578" s="118"/>
      <c r="AZ578" s="118"/>
      <c r="BA578" s="118"/>
      <c r="BB578" s="118"/>
      <c r="BC578" s="118"/>
      <c r="BD578" s="118"/>
      <c r="BE578" s="118"/>
      <c r="BF578" s="118"/>
      <c r="BG578" s="118"/>
      <c r="BH578" s="118"/>
      <c r="BI578" s="118"/>
      <c r="BJ578" s="118"/>
      <c r="BK578" s="118"/>
      <c r="BL578" s="118"/>
      <c r="BM578" s="118"/>
      <c r="BN578" s="133"/>
      <c r="BO578" s="92"/>
    </row>
    <row r="579">
      <c r="I579" s="73"/>
      <c r="J579" s="74"/>
      <c r="O579" s="113"/>
      <c r="P579" s="114"/>
      <c r="Q579" s="115"/>
      <c r="R579" s="116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15"/>
      <c r="AL579" s="115"/>
      <c r="AM579" s="115"/>
      <c r="AN579" s="115"/>
      <c r="AO579" s="115"/>
      <c r="AP579" s="117"/>
      <c r="AQ579" s="118"/>
      <c r="AR579" s="118"/>
      <c r="AS579" s="118"/>
      <c r="AT579" s="118"/>
      <c r="AU579" s="118"/>
      <c r="AV579" s="118"/>
      <c r="AW579" s="118"/>
      <c r="AX579" s="118"/>
      <c r="AY579" s="118"/>
      <c r="AZ579" s="118"/>
      <c r="BA579" s="118"/>
      <c r="BB579" s="118"/>
      <c r="BC579" s="118"/>
      <c r="BD579" s="118"/>
      <c r="BE579" s="118"/>
      <c r="BF579" s="118"/>
      <c r="BG579" s="118"/>
      <c r="BH579" s="118"/>
      <c r="BI579" s="118"/>
      <c r="BJ579" s="118"/>
      <c r="BK579" s="118"/>
      <c r="BL579" s="118"/>
      <c r="BM579" s="118"/>
      <c r="BN579" s="133"/>
      <c r="BO579" s="92"/>
    </row>
    <row r="580">
      <c r="I580" s="73"/>
      <c r="J580" s="74"/>
      <c r="O580" s="113"/>
      <c r="P580" s="114"/>
      <c r="Q580" s="115"/>
      <c r="R580" s="116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15"/>
      <c r="AL580" s="115"/>
      <c r="AM580" s="115"/>
      <c r="AN580" s="115"/>
      <c r="AO580" s="115"/>
      <c r="AP580" s="117"/>
      <c r="AQ580" s="118"/>
      <c r="AR580" s="118"/>
      <c r="AS580" s="118"/>
      <c r="AT580" s="118"/>
      <c r="AU580" s="118"/>
      <c r="AV580" s="118"/>
      <c r="AW580" s="118"/>
      <c r="AX580" s="118"/>
      <c r="AY580" s="118"/>
      <c r="AZ580" s="118"/>
      <c r="BA580" s="118"/>
      <c r="BB580" s="118"/>
      <c r="BC580" s="118"/>
      <c r="BD580" s="118"/>
      <c r="BE580" s="118"/>
      <c r="BF580" s="118"/>
      <c r="BG580" s="118"/>
      <c r="BH580" s="118"/>
      <c r="BI580" s="118"/>
      <c r="BJ580" s="118"/>
      <c r="BK580" s="118"/>
      <c r="BL580" s="118"/>
      <c r="BM580" s="118"/>
      <c r="BN580" s="133"/>
      <c r="BO580" s="92"/>
    </row>
    <row r="581">
      <c r="I581" s="73"/>
      <c r="J581" s="74"/>
      <c r="O581" s="113"/>
      <c r="P581" s="114"/>
      <c r="Q581" s="115"/>
      <c r="R581" s="116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15"/>
      <c r="AL581" s="115"/>
      <c r="AM581" s="115"/>
      <c r="AN581" s="115"/>
      <c r="AO581" s="115"/>
      <c r="AP581" s="117"/>
      <c r="AQ581" s="118"/>
      <c r="AR581" s="118"/>
      <c r="AS581" s="118"/>
      <c r="AT581" s="118"/>
      <c r="AU581" s="118"/>
      <c r="AV581" s="118"/>
      <c r="AW581" s="118"/>
      <c r="AX581" s="118"/>
      <c r="AY581" s="118"/>
      <c r="AZ581" s="118"/>
      <c r="BA581" s="118"/>
      <c r="BB581" s="118"/>
      <c r="BC581" s="118"/>
      <c r="BD581" s="118"/>
      <c r="BE581" s="118"/>
      <c r="BF581" s="118"/>
      <c r="BG581" s="118"/>
      <c r="BH581" s="118"/>
      <c r="BI581" s="118"/>
      <c r="BJ581" s="118"/>
      <c r="BK581" s="118"/>
      <c r="BL581" s="118"/>
      <c r="BM581" s="118"/>
      <c r="BN581" s="133"/>
      <c r="BO581" s="92"/>
    </row>
    <row r="582">
      <c r="I582" s="73"/>
      <c r="J582" s="74"/>
      <c r="O582" s="113"/>
      <c r="P582" s="114"/>
      <c r="Q582" s="115"/>
      <c r="R582" s="116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  <c r="AM582" s="115"/>
      <c r="AN582" s="115"/>
      <c r="AO582" s="115"/>
      <c r="AP582" s="117"/>
      <c r="AQ582" s="118"/>
      <c r="AR582" s="118"/>
      <c r="AS582" s="118"/>
      <c r="AT582" s="118"/>
      <c r="AU582" s="118"/>
      <c r="AV582" s="118"/>
      <c r="AW582" s="118"/>
      <c r="AX582" s="118"/>
      <c r="AY582" s="118"/>
      <c r="AZ582" s="118"/>
      <c r="BA582" s="118"/>
      <c r="BB582" s="118"/>
      <c r="BC582" s="118"/>
      <c r="BD582" s="118"/>
      <c r="BE582" s="118"/>
      <c r="BF582" s="118"/>
      <c r="BG582" s="118"/>
      <c r="BH582" s="118"/>
      <c r="BI582" s="118"/>
      <c r="BJ582" s="118"/>
      <c r="BK582" s="118"/>
      <c r="BL582" s="118"/>
      <c r="BM582" s="118"/>
      <c r="BN582" s="133"/>
      <c r="BO582" s="92"/>
    </row>
    <row r="583">
      <c r="I583" s="73"/>
      <c r="J583" s="74"/>
      <c r="O583" s="113"/>
      <c r="P583" s="114"/>
      <c r="Q583" s="115"/>
      <c r="R583" s="116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  <c r="AM583" s="115"/>
      <c r="AN583" s="115"/>
      <c r="AO583" s="115"/>
      <c r="AP583" s="117"/>
      <c r="AQ583" s="118"/>
      <c r="AR583" s="118"/>
      <c r="AS583" s="118"/>
      <c r="AT583" s="118"/>
      <c r="AU583" s="118"/>
      <c r="AV583" s="118"/>
      <c r="AW583" s="118"/>
      <c r="AX583" s="118"/>
      <c r="AY583" s="118"/>
      <c r="AZ583" s="118"/>
      <c r="BA583" s="118"/>
      <c r="BB583" s="118"/>
      <c r="BC583" s="118"/>
      <c r="BD583" s="118"/>
      <c r="BE583" s="118"/>
      <c r="BF583" s="118"/>
      <c r="BG583" s="118"/>
      <c r="BH583" s="118"/>
      <c r="BI583" s="118"/>
      <c r="BJ583" s="118"/>
      <c r="BK583" s="118"/>
      <c r="BL583" s="118"/>
      <c r="BM583" s="118"/>
      <c r="BN583" s="133"/>
      <c r="BO583" s="92"/>
    </row>
    <row r="584">
      <c r="I584" s="73"/>
      <c r="J584" s="74"/>
      <c r="O584" s="113"/>
      <c r="P584" s="114"/>
      <c r="Q584" s="115"/>
      <c r="R584" s="116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  <c r="AM584" s="115"/>
      <c r="AN584" s="115"/>
      <c r="AO584" s="115"/>
      <c r="AP584" s="117"/>
      <c r="AQ584" s="118"/>
      <c r="AR584" s="118"/>
      <c r="AS584" s="118"/>
      <c r="AT584" s="118"/>
      <c r="AU584" s="118"/>
      <c r="AV584" s="118"/>
      <c r="AW584" s="118"/>
      <c r="AX584" s="118"/>
      <c r="AY584" s="118"/>
      <c r="AZ584" s="118"/>
      <c r="BA584" s="118"/>
      <c r="BB584" s="118"/>
      <c r="BC584" s="118"/>
      <c r="BD584" s="118"/>
      <c r="BE584" s="118"/>
      <c r="BF584" s="118"/>
      <c r="BG584" s="118"/>
      <c r="BH584" s="118"/>
      <c r="BI584" s="118"/>
      <c r="BJ584" s="118"/>
      <c r="BK584" s="118"/>
      <c r="BL584" s="118"/>
      <c r="BM584" s="118"/>
      <c r="BN584" s="133"/>
      <c r="BO584" s="92"/>
    </row>
    <row r="585">
      <c r="I585" s="73"/>
      <c r="J585" s="74"/>
      <c r="O585" s="113"/>
      <c r="P585" s="114"/>
      <c r="Q585" s="115"/>
      <c r="R585" s="116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  <c r="AM585" s="115"/>
      <c r="AN585" s="115"/>
      <c r="AO585" s="115"/>
      <c r="AP585" s="117"/>
      <c r="AQ585" s="118"/>
      <c r="AR585" s="118"/>
      <c r="AS585" s="118"/>
      <c r="AT585" s="118"/>
      <c r="AU585" s="118"/>
      <c r="AV585" s="118"/>
      <c r="AW585" s="118"/>
      <c r="AX585" s="118"/>
      <c r="AY585" s="118"/>
      <c r="AZ585" s="118"/>
      <c r="BA585" s="118"/>
      <c r="BB585" s="118"/>
      <c r="BC585" s="118"/>
      <c r="BD585" s="118"/>
      <c r="BE585" s="118"/>
      <c r="BF585" s="118"/>
      <c r="BG585" s="118"/>
      <c r="BH585" s="118"/>
      <c r="BI585" s="118"/>
      <c r="BJ585" s="118"/>
      <c r="BK585" s="118"/>
      <c r="BL585" s="118"/>
      <c r="BM585" s="118"/>
      <c r="BN585" s="133"/>
      <c r="BO585" s="92"/>
    </row>
    <row r="586">
      <c r="I586" s="73"/>
      <c r="J586" s="74"/>
      <c r="O586" s="113"/>
      <c r="P586" s="114"/>
      <c r="Q586" s="115"/>
      <c r="R586" s="116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  <c r="AM586" s="115"/>
      <c r="AN586" s="115"/>
      <c r="AO586" s="115"/>
      <c r="AP586" s="117"/>
      <c r="AQ586" s="118"/>
      <c r="AR586" s="118"/>
      <c r="AS586" s="118"/>
      <c r="AT586" s="118"/>
      <c r="AU586" s="118"/>
      <c r="AV586" s="118"/>
      <c r="AW586" s="118"/>
      <c r="AX586" s="118"/>
      <c r="AY586" s="118"/>
      <c r="AZ586" s="118"/>
      <c r="BA586" s="118"/>
      <c r="BB586" s="118"/>
      <c r="BC586" s="118"/>
      <c r="BD586" s="118"/>
      <c r="BE586" s="118"/>
      <c r="BF586" s="118"/>
      <c r="BG586" s="118"/>
      <c r="BH586" s="118"/>
      <c r="BI586" s="118"/>
      <c r="BJ586" s="118"/>
      <c r="BK586" s="118"/>
      <c r="BL586" s="118"/>
      <c r="BM586" s="118"/>
      <c r="BN586" s="133"/>
      <c r="BO586" s="92"/>
    </row>
    <row r="587">
      <c r="I587" s="73"/>
      <c r="J587" s="74"/>
      <c r="O587" s="113"/>
      <c r="P587" s="114"/>
      <c r="Q587" s="115"/>
      <c r="R587" s="116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15"/>
      <c r="AL587" s="115"/>
      <c r="AM587" s="115"/>
      <c r="AN587" s="115"/>
      <c r="AO587" s="115"/>
      <c r="AP587" s="117"/>
      <c r="AQ587" s="118"/>
      <c r="AR587" s="118"/>
      <c r="AS587" s="118"/>
      <c r="AT587" s="118"/>
      <c r="AU587" s="118"/>
      <c r="AV587" s="118"/>
      <c r="AW587" s="118"/>
      <c r="AX587" s="118"/>
      <c r="AY587" s="118"/>
      <c r="AZ587" s="118"/>
      <c r="BA587" s="118"/>
      <c r="BB587" s="118"/>
      <c r="BC587" s="118"/>
      <c r="BD587" s="118"/>
      <c r="BE587" s="118"/>
      <c r="BF587" s="118"/>
      <c r="BG587" s="118"/>
      <c r="BH587" s="118"/>
      <c r="BI587" s="118"/>
      <c r="BJ587" s="118"/>
      <c r="BK587" s="118"/>
      <c r="BL587" s="118"/>
      <c r="BM587" s="118"/>
      <c r="BN587" s="133"/>
      <c r="BO587" s="92"/>
    </row>
    <row r="588">
      <c r="I588" s="73"/>
      <c r="J588" s="74"/>
      <c r="O588" s="113"/>
      <c r="P588" s="114"/>
      <c r="Q588" s="115"/>
      <c r="R588" s="116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  <c r="AM588" s="115"/>
      <c r="AN588" s="115"/>
      <c r="AO588" s="115"/>
      <c r="AP588" s="117"/>
      <c r="AQ588" s="118"/>
      <c r="AR588" s="118"/>
      <c r="AS588" s="118"/>
      <c r="AT588" s="118"/>
      <c r="AU588" s="118"/>
      <c r="AV588" s="118"/>
      <c r="AW588" s="118"/>
      <c r="AX588" s="118"/>
      <c r="AY588" s="118"/>
      <c r="AZ588" s="118"/>
      <c r="BA588" s="118"/>
      <c r="BB588" s="118"/>
      <c r="BC588" s="118"/>
      <c r="BD588" s="118"/>
      <c r="BE588" s="118"/>
      <c r="BF588" s="118"/>
      <c r="BG588" s="118"/>
      <c r="BH588" s="118"/>
      <c r="BI588" s="118"/>
      <c r="BJ588" s="118"/>
      <c r="BK588" s="118"/>
      <c r="BL588" s="118"/>
      <c r="BM588" s="118"/>
      <c r="BN588" s="133"/>
      <c r="BO588" s="92"/>
    </row>
    <row r="589">
      <c r="I589" s="73"/>
      <c r="J589" s="74"/>
      <c r="O589" s="113"/>
      <c r="P589" s="114"/>
      <c r="Q589" s="115"/>
      <c r="R589" s="116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  <c r="AM589" s="115"/>
      <c r="AN589" s="115"/>
      <c r="AO589" s="115"/>
      <c r="AP589" s="117"/>
      <c r="AQ589" s="118"/>
      <c r="AR589" s="118"/>
      <c r="AS589" s="118"/>
      <c r="AT589" s="118"/>
      <c r="AU589" s="118"/>
      <c r="AV589" s="118"/>
      <c r="AW589" s="118"/>
      <c r="AX589" s="118"/>
      <c r="AY589" s="118"/>
      <c r="AZ589" s="118"/>
      <c r="BA589" s="118"/>
      <c r="BB589" s="118"/>
      <c r="BC589" s="118"/>
      <c r="BD589" s="118"/>
      <c r="BE589" s="118"/>
      <c r="BF589" s="118"/>
      <c r="BG589" s="118"/>
      <c r="BH589" s="118"/>
      <c r="BI589" s="118"/>
      <c r="BJ589" s="118"/>
      <c r="BK589" s="118"/>
      <c r="BL589" s="118"/>
      <c r="BM589" s="118"/>
      <c r="BN589" s="133"/>
      <c r="BO589" s="92"/>
    </row>
    <row r="590">
      <c r="I590" s="73"/>
      <c r="J590" s="74"/>
      <c r="O590" s="113"/>
      <c r="P590" s="114"/>
      <c r="Q590" s="115"/>
      <c r="R590" s="116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  <c r="AM590" s="115"/>
      <c r="AN590" s="115"/>
      <c r="AO590" s="115"/>
      <c r="AP590" s="117"/>
      <c r="AQ590" s="118"/>
      <c r="AR590" s="118"/>
      <c r="AS590" s="118"/>
      <c r="AT590" s="118"/>
      <c r="AU590" s="118"/>
      <c r="AV590" s="118"/>
      <c r="AW590" s="118"/>
      <c r="AX590" s="118"/>
      <c r="AY590" s="118"/>
      <c r="AZ590" s="118"/>
      <c r="BA590" s="118"/>
      <c r="BB590" s="118"/>
      <c r="BC590" s="118"/>
      <c r="BD590" s="118"/>
      <c r="BE590" s="118"/>
      <c r="BF590" s="118"/>
      <c r="BG590" s="118"/>
      <c r="BH590" s="118"/>
      <c r="BI590" s="118"/>
      <c r="BJ590" s="118"/>
      <c r="BK590" s="118"/>
      <c r="BL590" s="118"/>
      <c r="BM590" s="118"/>
      <c r="BN590" s="133"/>
      <c r="BO590" s="92"/>
    </row>
    <row r="591">
      <c r="I591" s="73"/>
      <c r="J591" s="74"/>
      <c r="O591" s="113"/>
      <c r="P591" s="114"/>
      <c r="Q591" s="115"/>
      <c r="R591" s="116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  <c r="AM591" s="115"/>
      <c r="AN591" s="115"/>
      <c r="AO591" s="115"/>
      <c r="AP591" s="117"/>
      <c r="AQ591" s="118"/>
      <c r="AR591" s="118"/>
      <c r="AS591" s="118"/>
      <c r="AT591" s="118"/>
      <c r="AU591" s="118"/>
      <c r="AV591" s="118"/>
      <c r="AW591" s="118"/>
      <c r="AX591" s="118"/>
      <c r="AY591" s="118"/>
      <c r="AZ591" s="118"/>
      <c r="BA591" s="118"/>
      <c r="BB591" s="118"/>
      <c r="BC591" s="118"/>
      <c r="BD591" s="118"/>
      <c r="BE591" s="118"/>
      <c r="BF591" s="118"/>
      <c r="BG591" s="118"/>
      <c r="BH591" s="118"/>
      <c r="BI591" s="118"/>
      <c r="BJ591" s="118"/>
      <c r="BK591" s="118"/>
      <c r="BL591" s="118"/>
      <c r="BM591" s="118"/>
      <c r="BN591" s="133"/>
      <c r="BO591" s="92"/>
    </row>
    <row r="592">
      <c r="I592" s="73"/>
      <c r="J592" s="74"/>
      <c r="O592" s="113"/>
      <c r="P592" s="114"/>
      <c r="Q592" s="115"/>
      <c r="R592" s="116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  <c r="AM592" s="115"/>
      <c r="AN592" s="115"/>
      <c r="AO592" s="115"/>
      <c r="AP592" s="117"/>
      <c r="AQ592" s="118"/>
      <c r="AR592" s="118"/>
      <c r="AS592" s="118"/>
      <c r="AT592" s="118"/>
      <c r="AU592" s="118"/>
      <c r="AV592" s="118"/>
      <c r="AW592" s="118"/>
      <c r="AX592" s="118"/>
      <c r="AY592" s="118"/>
      <c r="AZ592" s="118"/>
      <c r="BA592" s="118"/>
      <c r="BB592" s="118"/>
      <c r="BC592" s="118"/>
      <c r="BD592" s="118"/>
      <c r="BE592" s="118"/>
      <c r="BF592" s="118"/>
      <c r="BG592" s="118"/>
      <c r="BH592" s="118"/>
      <c r="BI592" s="118"/>
      <c r="BJ592" s="118"/>
      <c r="BK592" s="118"/>
      <c r="BL592" s="118"/>
      <c r="BM592" s="118"/>
      <c r="BN592" s="133"/>
      <c r="BO592" s="92"/>
    </row>
    <row r="593">
      <c r="I593" s="73"/>
      <c r="J593" s="74"/>
      <c r="O593" s="113"/>
      <c r="P593" s="114"/>
      <c r="Q593" s="115"/>
      <c r="R593" s="116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  <c r="AM593" s="115"/>
      <c r="AN593" s="115"/>
      <c r="AO593" s="115"/>
      <c r="AP593" s="117"/>
      <c r="AQ593" s="118"/>
      <c r="AR593" s="118"/>
      <c r="AS593" s="118"/>
      <c r="AT593" s="118"/>
      <c r="AU593" s="118"/>
      <c r="AV593" s="118"/>
      <c r="AW593" s="118"/>
      <c r="AX593" s="118"/>
      <c r="AY593" s="118"/>
      <c r="AZ593" s="118"/>
      <c r="BA593" s="118"/>
      <c r="BB593" s="118"/>
      <c r="BC593" s="118"/>
      <c r="BD593" s="118"/>
      <c r="BE593" s="118"/>
      <c r="BF593" s="118"/>
      <c r="BG593" s="118"/>
      <c r="BH593" s="118"/>
      <c r="BI593" s="118"/>
      <c r="BJ593" s="118"/>
      <c r="BK593" s="118"/>
      <c r="BL593" s="118"/>
      <c r="BM593" s="118"/>
      <c r="BN593" s="133"/>
      <c r="BO593" s="92"/>
    </row>
    <row r="594">
      <c r="I594" s="73"/>
      <c r="J594" s="74"/>
      <c r="O594" s="113"/>
      <c r="P594" s="114"/>
      <c r="Q594" s="115"/>
      <c r="R594" s="116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  <c r="AM594" s="115"/>
      <c r="AN594" s="115"/>
      <c r="AO594" s="115"/>
      <c r="AP594" s="117"/>
      <c r="AQ594" s="118"/>
      <c r="AR594" s="118"/>
      <c r="AS594" s="118"/>
      <c r="AT594" s="118"/>
      <c r="AU594" s="118"/>
      <c r="AV594" s="118"/>
      <c r="AW594" s="118"/>
      <c r="AX594" s="118"/>
      <c r="AY594" s="118"/>
      <c r="AZ594" s="118"/>
      <c r="BA594" s="118"/>
      <c r="BB594" s="118"/>
      <c r="BC594" s="118"/>
      <c r="BD594" s="118"/>
      <c r="BE594" s="118"/>
      <c r="BF594" s="118"/>
      <c r="BG594" s="118"/>
      <c r="BH594" s="118"/>
      <c r="BI594" s="118"/>
      <c r="BJ594" s="118"/>
      <c r="BK594" s="118"/>
      <c r="BL594" s="118"/>
      <c r="BM594" s="118"/>
      <c r="BN594" s="133"/>
      <c r="BO594" s="92"/>
    </row>
    <row r="595">
      <c r="I595" s="73"/>
      <c r="J595" s="74"/>
      <c r="O595" s="113"/>
      <c r="P595" s="114"/>
      <c r="Q595" s="115"/>
      <c r="R595" s="116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  <c r="AP595" s="117"/>
      <c r="AQ595" s="118"/>
      <c r="AR595" s="118"/>
      <c r="AS595" s="118"/>
      <c r="AT595" s="118"/>
      <c r="AU595" s="118"/>
      <c r="AV595" s="118"/>
      <c r="AW595" s="118"/>
      <c r="AX595" s="118"/>
      <c r="AY595" s="118"/>
      <c r="AZ595" s="118"/>
      <c r="BA595" s="118"/>
      <c r="BB595" s="118"/>
      <c r="BC595" s="118"/>
      <c r="BD595" s="118"/>
      <c r="BE595" s="118"/>
      <c r="BF595" s="118"/>
      <c r="BG595" s="118"/>
      <c r="BH595" s="118"/>
      <c r="BI595" s="118"/>
      <c r="BJ595" s="118"/>
      <c r="BK595" s="118"/>
      <c r="BL595" s="118"/>
      <c r="BM595" s="118"/>
      <c r="BN595" s="133"/>
      <c r="BO595" s="92"/>
    </row>
    <row r="596">
      <c r="I596" s="73"/>
      <c r="J596" s="74"/>
      <c r="O596" s="113"/>
      <c r="P596" s="114"/>
      <c r="Q596" s="115"/>
      <c r="R596" s="116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  <c r="AM596" s="115"/>
      <c r="AN596" s="115"/>
      <c r="AO596" s="115"/>
      <c r="AP596" s="117"/>
      <c r="AQ596" s="118"/>
      <c r="AR596" s="118"/>
      <c r="AS596" s="118"/>
      <c r="AT596" s="118"/>
      <c r="AU596" s="118"/>
      <c r="AV596" s="118"/>
      <c r="AW596" s="118"/>
      <c r="AX596" s="118"/>
      <c r="AY596" s="118"/>
      <c r="AZ596" s="118"/>
      <c r="BA596" s="118"/>
      <c r="BB596" s="118"/>
      <c r="BC596" s="118"/>
      <c r="BD596" s="118"/>
      <c r="BE596" s="118"/>
      <c r="BF596" s="118"/>
      <c r="BG596" s="118"/>
      <c r="BH596" s="118"/>
      <c r="BI596" s="118"/>
      <c r="BJ596" s="118"/>
      <c r="BK596" s="118"/>
      <c r="BL596" s="118"/>
      <c r="BM596" s="118"/>
      <c r="BN596" s="133"/>
      <c r="BO596" s="92"/>
    </row>
    <row r="597">
      <c r="I597" s="73"/>
      <c r="J597" s="74"/>
      <c r="O597" s="113"/>
      <c r="P597" s="114"/>
      <c r="Q597" s="115"/>
      <c r="R597" s="116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  <c r="AM597" s="115"/>
      <c r="AN597" s="115"/>
      <c r="AO597" s="115"/>
      <c r="AP597" s="117"/>
      <c r="AQ597" s="118"/>
      <c r="AR597" s="118"/>
      <c r="AS597" s="118"/>
      <c r="AT597" s="118"/>
      <c r="AU597" s="118"/>
      <c r="AV597" s="118"/>
      <c r="AW597" s="118"/>
      <c r="AX597" s="118"/>
      <c r="AY597" s="118"/>
      <c r="AZ597" s="118"/>
      <c r="BA597" s="118"/>
      <c r="BB597" s="118"/>
      <c r="BC597" s="118"/>
      <c r="BD597" s="118"/>
      <c r="BE597" s="118"/>
      <c r="BF597" s="118"/>
      <c r="BG597" s="118"/>
      <c r="BH597" s="118"/>
      <c r="BI597" s="118"/>
      <c r="BJ597" s="118"/>
      <c r="BK597" s="118"/>
      <c r="BL597" s="118"/>
      <c r="BM597" s="118"/>
      <c r="BN597" s="133"/>
      <c r="BO597" s="92"/>
    </row>
    <row r="598">
      <c r="I598" s="73"/>
      <c r="J598" s="74"/>
      <c r="O598" s="113"/>
      <c r="P598" s="114"/>
      <c r="Q598" s="115"/>
      <c r="R598" s="116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  <c r="AM598" s="115"/>
      <c r="AN598" s="115"/>
      <c r="AO598" s="115"/>
      <c r="AP598" s="117"/>
      <c r="AQ598" s="118"/>
      <c r="AR598" s="118"/>
      <c r="AS598" s="118"/>
      <c r="AT598" s="118"/>
      <c r="AU598" s="118"/>
      <c r="AV598" s="118"/>
      <c r="AW598" s="118"/>
      <c r="AX598" s="118"/>
      <c r="AY598" s="118"/>
      <c r="AZ598" s="118"/>
      <c r="BA598" s="118"/>
      <c r="BB598" s="118"/>
      <c r="BC598" s="118"/>
      <c r="BD598" s="118"/>
      <c r="BE598" s="118"/>
      <c r="BF598" s="118"/>
      <c r="BG598" s="118"/>
      <c r="BH598" s="118"/>
      <c r="BI598" s="118"/>
      <c r="BJ598" s="118"/>
      <c r="BK598" s="118"/>
      <c r="BL598" s="118"/>
      <c r="BM598" s="118"/>
      <c r="BN598" s="133"/>
      <c r="BO598" s="92"/>
    </row>
    <row r="599">
      <c r="I599" s="73"/>
      <c r="J599" s="74"/>
      <c r="O599" s="113"/>
      <c r="P599" s="114"/>
      <c r="Q599" s="115"/>
      <c r="R599" s="116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  <c r="AM599" s="115"/>
      <c r="AN599" s="115"/>
      <c r="AO599" s="115"/>
      <c r="AP599" s="117"/>
      <c r="AQ599" s="118"/>
      <c r="AR599" s="118"/>
      <c r="AS599" s="118"/>
      <c r="AT599" s="118"/>
      <c r="AU599" s="118"/>
      <c r="AV599" s="118"/>
      <c r="AW599" s="118"/>
      <c r="AX599" s="118"/>
      <c r="AY599" s="118"/>
      <c r="AZ599" s="118"/>
      <c r="BA599" s="118"/>
      <c r="BB599" s="118"/>
      <c r="BC599" s="118"/>
      <c r="BD599" s="118"/>
      <c r="BE599" s="118"/>
      <c r="BF599" s="118"/>
      <c r="BG599" s="118"/>
      <c r="BH599" s="118"/>
      <c r="BI599" s="118"/>
      <c r="BJ599" s="118"/>
      <c r="BK599" s="118"/>
      <c r="BL599" s="118"/>
      <c r="BM599" s="118"/>
      <c r="BN599" s="133"/>
      <c r="BO599" s="92"/>
    </row>
    <row r="600">
      <c r="I600" s="73"/>
      <c r="J600" s="74"/>
      <c r="O600" s="113"/>
      <c r="P600" s="114"/>
      <c r="Q600" s="115"/>
      <c r="R600" s="116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  <c r="AM600" s="115"/>
      <c r="AN600" s="115"/>
      <c r="AO600" s="115"/>
      <c r="AP600" s="117"/>
      <c r="AQ600" s="118"/>
      <c r="AR600" s="118"/>
      <c r="AS600" s="118"/>
      <c r="AT600" s="118"/>
      <c r="AU600" s="118"/>
      <c r="AV600" s="118"/>
      <c r="AW600" s="118"/>
      <c r="AX600" s="118"/>
      <c r="AY600" s="118"/>
      <c r="AZ600" s="118"/>
      <c r="BA600" s="118"/>
      <c r="BB600" s="118"/>
      <c r="BC600" s="118"/>
      <c r="BD600" s="118"/>
      <c r="BE600" s="118"/>
      <c r="BF600" s="118"/>
      <c r="BG600" s="118"/>
      <c r="BH600" s="118"/>
      <c r="BI600" s="118"/>
      <c r="BJ600" s="118"/>
      <c r="BK600" s="118"/>
      <c r="BL600" s="118"/>
      <c r="BM600" s="118"/>
      <c r="BN600" s="133"/>
      <c r="BO600" s="92"/>
    </row>
    <row r="601">
      <c r="I601" s="73"/>
      <c r="J601" s="74"/>
      <c r="O601" s="113"/>
      <c r="P601" s="114"/>
      <c r="Q601" s="115"/>
      <c r="R601" s="116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  <c r="AM601" s="115"/>
      <c r="AN601" s="115"/>
      <c r="AO601" s="115"/>
      <c r="AP601" s="117"/>
      <c r="AQ601" s="118"/>
      <c r="AR601" s="118"/>
      <c r="AS601" s="118"/>
      <c r="AT601" s="118"/>
      <c r="AU601" s="118"/>
      <c r="AV601" s="118"/>
      <c r="AW601" s="118"/>
      <c r="AX601" s="118"/>
      <c r="AY601" s="118"/>
      <c r="AZ601" s="118"/>
      <c r="BA601" s="118"/>
      <c r="BB601" s="118"/>
      <c r="BC601" s="118"/>
      <c r="BD601" s="118"/>
      <c r="BE601" s="118"/>
      <c r="BF601" s="118"/>
      <c r="BG601" s="118"/>
      <c r="BH601" s="118"/>
      <c r="BI601" s="118"/>
      <c r="BJ601" s="118"/>
      <c r="BK601" s="118"/>
      <c r="BL601" s="118"/>
      <c r="BM601" s="118"/>
      <c r="BN601" s="133"/>
      <c r="BO601" s="92"/>
    </row>
    <row r="602">
      <c r="I602" s="73"/>
      <c r="J602" s="74"/>
      <c r="O602" s="113"/>
      <c r="P602" s="114"/>
      <c r="Q602" s="115"/>
      <c r="R602" s="116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  <c r="AM602" s="115"/>
      <c r="AN602" s="115"/>
      <c r="AO602" s="115"/>
      <c r="AP602" s="117"/>
      <c r="AQ602" s="118"/>
      <c r="AR602" s="118"/>
      <c r="AS602" s="118"/>
      <c r="AT602" s="118"/>
      <c r="AU602" s="118"/>
      <c r="AV602" s="118"/>
      <c r="AW602" s="118"/>
      <c r="AX602" s="118"/>
      <c r="AY602" s="118"/>
      <c r="AZ602" s="118"/>
      <c r="BA602" s="118"/>
      <c r="BB602" s="118"/>
      <c r="BC602" s="118"/>
      <c r="BD602" s="118"/>
      <c r="BE602" s="118"/>
      <c r="BF602" s="118"/>
      <c r="BG602" s="118"/>
      <c r="BH602" s="118"/>
      <c r="BI602" s="118"/>
      <c r="BJ602" s="118"/>
      <c r="BK602" s="118"/>
      <c r="BL602" s="118"/>
      <c r="BM602" s="118"/>
      <c r="BN602" s="133"/>
      <c r="BO602" s="92"/>
    </row>
    <row r="603">
      <c r="I603" s="73"/>
      <c r="J603" s="74"/>
      <c r="O603" s="113"/>
      <c r="P603" s="114"/>
      <c r="Q603" s="115"/>
      <c r="R603" s="116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  <c r="AM603" s="115"/>
      <c r="AN603" s="115"/>
      <c r="AO603" s="115"/>
      <c r="AP603" s="117"/>
      <c r="AQ603" s="118"/>
      <c r="AR603" s="118"/>
      <c r="AS603" s="118"/>
      <c r="AT603" s="118"/>
      <c r="AU603" s="118"/>
      <c r="AV603" s="118"/>
      <c r="AW603" s="118"/>
      <c r="AX603" s="118"/>
      <c r="AY603" s="118"/>
      <c r="AZ603" s="118"/>
      <c r="BA603" s="118"/>
      <c r="BB603" s="118"/>
      <c r="BC603" s="118"/>
      <c r="BD603" s="118"/>
      <c r="BE603" s="118"/>
      <c r="BF603" s="118"/>
      <c r="BG603" s="118"/>
      <c r="BH603" s="118"/>
      <c r="BI603" s="118"/>
      <c r="BJ603" s="118"/>
      <c r="BK603" s="118"/>
      <c r="BL603" s="118"/>
      <c r="BM603" s="118"/>
      <c r="BN603" s="133"/>
      <c r="BO603" s="92"/>
    </row>
    <row r="604">
      <c r="I604" s="73"/>
      <c r="J604" s="74"/>
      <c r="O604" s="113"/>
      <c r="P604" s="114"/>
      <c r="Q604" s="115"/>
      <c r="R604" s="116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  <c r="AM604" s="115"/>
      <c r="AN604" s="115"/>
      <c r="AO604" s="115"/>
      <c r="AP604" s="117"/>
      <c r="AQ604" s="118"/>
      <c r="AR604" s="118"/>
      <c r="AS604" s="118"/>
      <c r="AT604" s="118"/>
      <c r="AU604" s="118"/>
      <c r="AV604" s="118"/>
      <c r="AW604" s="118"/>
      <c r="AX604" s="118"/>
      <c r="AY604" s="118"/>
      <c r="AZ604" s="118"/>
      <c r="BA604" s="118"/>
      <c r="BB604" s="118"/>
      <c r="BC604" s="118"/>
      <c r="BD604" s="118"/>
      <c r="BE604" s="118"/>
      <c r="BF604" s="118"/>
      <c r="BG604" s="118"/>
      <c r="BH604" s="118"/>
      <c r="BI604" s="118"/>
      <c r="BJ604" s="118"/>
      <c r="BK604" s="118"/>
      <c r="BL604" s="118"/>
      <c r="BM604" s="118"/>
      <c r="BN604" s="133"/>
      <c r="BO604" s="92"/>
    </row>
    <row r="605">
      <c r="I605" s="73"/>
      <c r="J605" s="74"/>
      <c r="O605" s="113"/>
      <c r="P605" s="114"/>
      <c r="Q605" s="115"/>
      <c r="R605" s="116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  <c r="AM605" s="115"/>
      <c r="AN605" s="115"/>
      <c r="AO605" s="115"/>
      <c r="AP605" s="117"/>
      <c r="AQ605" s="118"/>
      <c r="AR605" s="118"/>
      <c r="AS605" s="118"/>
      <c r="AT605" s="118"/>
      <c r="AU605" s="118"/>
      <c r="AV605" s="118"/>
      <c r="AW605" s="118"/>
      <c r="AX605" s="118"/>
      <c r="AY605" s="118"/>
      <c r="AZ605" s="118"/>
      <c r="BA605" s="118"/>
      <c r="BB605" s="118"/>
      <c r="BC605" s="118"/>
      <c r="BD605" s="118"/>
      <c r="BE605" s="118"/>
      <c r="BF605" s="118"/>
      <c r="BG605" s="118"/>
      <c r="BH605" s="118"/>
      <c r="BI605" s="118"/>
      <c r="BJ605" s="118"/>
      <c r="BK605" s="118"/>
      <c r="BL605" s="118"/>
      <c r="BM605" s="118"/>
      <c r="BN605" s="133"/>
      <c r="BO605" s="92"/>
    </row>
    <row r="606">
      <c r="I606" s="73"/>
      <c r="J606" s="74"/>
      <c r="O606" s="113"/>
      <c r="P606" s="114"/>
      <c r="Q606" s="115"/>
      <c r="R606" s="116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  <c r="AM606" s="115"/>
      <c r="AN606" s="115"/>
      <c r="AO606" s="115"/>
      <c r="AP606" s="117"/>
      <c r="AQ606" s="118"/>
      <c r="AR606" s="118"/>
      <c r="AS606" s="118"/>
      <c r="AT606" s="118"/>
      <c r="AU606" s="118"/>
      <c r="AV606" s="118"/>
      <c r="AW606" s="118"/>
      <c r="AX606" s="118"/>
      <c r="AY606" s="118"/>
      <c r="AZ606" s="118"/>
      <c r="BA606" s="118"/>
      <c r="BB606" s="118"/>
      <c r="BC606" s="118"/>
      <c r="BD606" s="118"/>
      <c r="BE606" s="118"/>
      <c r="BF606" s="118"/>
      <c r="BG606" s="118"/>
      <c r="BH606" s="118"/>
      <c r="BI606" s="118"/>
      <c r="BJ606" s="118"/>
      <c r="BK606" s="118"/>
      <c r="BL606" s="118"/>
      <c r="BM606" s="118"/>
      <c r="BN606" s="133"/>
      <c r="BO606" s="92"/>
    </row>
    <row r="607">
      <c r="I607" s="73"/>
      <c r="J607" s="74"/>
      <c r="O607" s="113"/>
      <c r="P607" s="114"/>
      <c r="Q607" s="115"/>
      <c r="R607" s="116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  <c r="AM607" s="115"/>
      <c r="AN607" s="115"/>
      <c r="AO607" s="115"/>
      <c r="AP607" s="117"/>
      <c r="AQ607" s="118"/>
      <c r="AR607" s="118"/>
      <c r="AS607" s="118"/>
      <c r="AT607" s="118"/>
      <c r="AU607" s="118"/>
      <c r="AV607" s="118"/>
      <c r="AW607" s="118"/>
      <c r="AX607" s="118"/>
      <c r="AY607" s="118"/>
      <c r="AZ607" s="118"/>
      <c r="BA607" s="118"/>
      <c r="BB607" s="118"/>
      <c r="BC607" s="118"/>
      <c r="BD607" s="118"/>
      <c r="BE607" s="118"/>
      <c r="BF607" s="118"/>
      <c r="BG607" s="118"/>
      <c r="BH607" s="118"/>
      <c r="BI607" s="118"/>
      <c r="BJ607" s="118"/>
      <c r="BK607" s="118"/>
      <c r="BL607" s="118"/>
      <c r="BM607" s="118"/>
      <c r="BN607" s="133"/>
      <c r="BO607" s="92"/>
    </row>
    <row r="608">
      <c r="I608" s="73"/>
      <c r="J608" s="74"/>
      <c r="O608" s="113"/>
      <c r="P608" s="114"/>
      <c r="Q608" s="115"/>
      <c r="R608" s="116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  <c r="AM608" s="115"/>
      <c r="AN608" s="115"/>
      <c r="AO608" s="115"/>
      <c r="AP608" s="117"/>
      <c r="AQ608" s="118"/>
      <c r="AR608" s="118"/>
      <c r="AS608" s="118"/>
      <c r="AT608" s="118"/>
      <c r="AU608" s="118"/>
      <c r="AV608" s="118"/>
      <c r="AW608" s="118"/>
      <c r="AX608" s="118"/>
      <c r="AY608" s="118"/>
      <c r="AZ608" s="118"/>
      <c r="BA608" s="118"/>
      <c r="BB608" s="118"/>
      <c r="BC608" s="118"/>
      <c r="BD608" s="118"/>
      <c r="BE608" s="118"/>
      <c r="BF608" s="118"/>
      <c r="BG608" s="118"/>
      <c r="BH608" s="118"/>
      <c r="BI608" s="118"/>
      <c r="BJ608" s="118"/>
      <c r="BK608" s="118"/>
      <c r="BL608" s="118"/>
      <c r="BM608" s="118"/>
      <c r="BN608" s="133"/>
      <c r="BO608" s="92"/>
    </row>
    <row r="609">
      <c r="I609" s="73"/>
      <c r="J609" s="74"/>
      <c r="O609" s="113"/>
      <c r="P609" s="114"/>
      <c r="Q609" s="115"/>
      <c r="R609" s="116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  <c r="AP609" s="117"/>
      <c r="AQ609" s="118"/>
      <c r="AR609" s="118"/>
      <c r="AS609" s="118"/>
      <c r="AT609" s="118"/>
      <c r="AU609" s="118"/>
      <c r="AV609" s="118"/>
      <c r="AW609" s="118"/>
      <c r="AX609" s="118"/>
      <c r="AY609" s="118"/>
      <c r="AZ609" s="118"/>
      <c r="BA609" s="118"/>
      <c r="BB609" s="118"/>
      <c r="BC609" s="118"/>
      <c r="BD609" s="118"/>
      <c r="BE609" s="118"/>
      <c r="BF609" s="118"/>
      <c r="BG609" s="118"/>
      <c r="BH609" s="118"/>
      <c r="BI609" s="118"/>
      <c r="BJ609" s="118"/>
      <c r="BK609" s="118"/>
      <c r="BL609" s="118"/>
      <c r="BM609" s="118"/>
      <c r="BN609" s="133"/>
      <c r="BO609" s="92"/>
    </row>
    <row r="610">
      <c r="I610" s="73"/>
      <c r="J610" s="74"/>
      <c r="O610" s="113"/>
      <c r="P610" s="114"/>
      <c r="Q610" s="115"/>
      <c r="R610" s="116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  <c r="AP610" s="117"/>
      <c r="AQ610" s="118"/>
      <c r="AR610" s="118"/>
      <c r="AS610" s="118"/>
      <c r="AT610" s="118"/>
      <c r="AU610" s="118"/>
      <c r="AV610" s="118"/>
      <c r="AW610" s="118"/>
      <c r="AX610" s="118"/>
      <c r="AY610" s="118"/>
      <c r="AZ610" s="118"/>
      <c r="BA610" s="118"/>
      <c r="BB610" s="118"/>
      <c r="BC610" s="118"/>
      <c r="BD610" s="118"/>
      <c r="BE610" s="118"/>
      <c r="BF610" s="118"/>
      <c r="BG610" s="118"/>
      <c r="BH610" s="118"/>
      <c r="BI610" s="118"/>
      <c r="BJ610" s="118"/>
      <c r="BK610" s="118"/>
      <c r="BL610" s="118"/>
      <c r="BM610" s="118"/>
      <c r="BN610" s="133"/>
      <c r="BO610" s="92"/>
    </row>
    <row r="611">
      <c r="I611" s="73"/>
      <c r="J611" s="74"/>
      <c r="O611" s="113"/>
      <c r="P611" s="114"/>
      <c r="Q611" s="115"/>
      <c r="R611" s="116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  <c r="AM611" s="115"/>
      <c r="AN611" s="115"/>
      <c r="AO611" s="115"/>
      <c r="AP611" s="117"/>
      <c r="AQ611" s="118"/>
      <c r="AR611" s="118"/>
      <c r="AS611" s="118"/>
      <c r="AT611" s="118"/>
      <c r="AU611" s="118"/>
      <c r="AV611" s="118"/>
      <c r="AW611" s="118"/>
      <c r="AX611" s="118"/>
      <c r="AY611" s="118"/>
      <c r="AZ611" s="118"/>
      <c r="BA611" s="118"/>
      <c r="BB611" s="118"/>
      <c r="BC611" s="118"/>
      <c r="BD611" s="118"/>
      <c r="BE611" s="118"/>
      <c r="BF611" s="118"/>
      <c r="BG611" s="118"/>
      <c r="BH611" s="118"/>
      <c r="BI611" s="118"/>
      <c r="BJ611" s="118"/>
      <c r="BK611" s="118"/>
      <c r="BL611" s="118"/>
      <c r="BM611" s="118"/>
      <c r="BN611" s="133"/>
      <c r="BO611" s="92"/>
    </row>
    <row r="612">
      <c r="I612" s="73"/>
      <c r="J612" s="74"/>
      <c r="O612" s="113"/>
      <c r="P612" s="114"/>
      <c r="Q612" s="115"/>
      <c r="R612" s="116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  <c r="AM612" s="115"/>
      <c r="AN612" s="115"/>
      <c r="AO612" s="115"/>
      <c r="AP612" s="117"/>
      <c r="AQ612" s="118"/>
      <c r="AR612" s="118"/>
      <c r="AS612" s="118"/>
      <c r="AT612" s="118"/>
      <c r="AU612" s="118"/>
      <c r="AV612" s="118"/>
      <c r="AW612" s="118"/>
      <c r="AX612" s="118"/>
      <c r="AY612" s="118"/>
      <c r="AZ612" s="118"/>
      <c r="BA612" s="118"/>
      <c r="BB612" s="118"/>
      <c r="BC612" s="118"/>
      <c r="BD612" s="118"/>
      <c r="BE612" s="118"/>
      <c r="BF612" s="118"/>
      <c r="BG612" s="118"/>
      <c r="BH612" s="118"/>
      <c r="BI612" s="118"/>
      <c r="BJ612" s="118"/>
      <c r="BK612" s="118"/>
      <c r="BL612" s="118"/>
      <c r="BM612" s="118"/>
      <c r="BN612" s="133"/>
      <c r="BO612" s="92"/>
    </row>
    <row r="613">
      <c r="I613" s="73"/>
      <c r="J613" s="74"/>
      <c r="O613" s="113"/>
      <c r="P613" s="114"/>
      <c r="Q613" s="115"/>
      <c r="R613" s="116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  <c r="AM613" s="115"/>
      <c r="AN613" s="115"/>
      <c r="AO613" s="115"/>
      <c r="AP613" s="117"/>
      <c r="AQ613" s="118"/>
      <c r="AR613" s="118"/>
      <c r="AS613" s="118"/>
      <c r="AT613" s="118"/>
      <c r="AU613" s="118"/>
      <c r="AV613" s="118"/>
      <c r="AW613" s="118"/>
      <c r="AX613" s="118"/>
      <c r="AY613" s="118"/>
      <c r="AZ613" s="118"/>
      <c r="BA613" s="118"/>
      <c r="BB613" s="118"/>
      <c r="BC613" s="118"/>
      <c r="BD613" s="118"/>
      <c r="BE613" s="118"/>
      <c r="BF613" s="118"/>
      <c r="BG613" s="118"/>
      <c r="BH613" s="118"/>
      <c r="BI613" s="118"/>
      <c r="BJ613" s="118"/>
      <c r="BK613" s="118"/>
      <c r="BL613" s="118"/>
      <c r="BM613" s="118"/>
      <c r="BN613" s="133"/>
      <c r="BO613" s="92"/>
    </row>
    <row r="614">
      <c r="I614" s="73"/>
      <c r="J614" s="74"/>
      <c r="O614" s="113"/>
      <c r="P614" s="114"/>
      <c r="Q614" s="115"/>
      <c r="R614" s="116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  <c r="AM614" s="115"/>
      <c r="AN614" s="115"/>
      <c r="AO614" s="115"/>
      <c r="AP614" s="117"/>
      <c r="AQ614" s="118"/>
      <c r="AR614" s="118"/>
      <c r="AS614" s="118"/>
      <c r="AT614" s="118"/>
      <c r="AU614" s="118"/>
      <c r="AV614" s="118"/>
      <c r="AW614" s="118"/>
      <c r="AX614" s="118"/>
      <c r="AY614" s="118"/>
      <c r="AZ614" s="118"/>
      <c r="BA614" s="118"/>
      <c r="BB614" s="118"/>
      <c r="BC614" s="118"/>
      <c r="BD614" s="118"/>
      <c r="BE614" s="118"/>
      <c r="BF614" s="118"/>
      <c r="BG614" s="118"/>
      <c r="BH614" s="118"/>
      <c r="BI614" s="118"/>
      <c r="BJ614" s="118"/>
      <c r="BK614" s="118"/>
      <c r="BL614" s="118"/>
      <c r="BM614" s="118"/>
      <c r="BN614" s="133"/>
      <c r="BO614" s="92"/>
    </row>
    <row r="615">
      <c r="I615" s="73"/>
      <c r="J615" s="74"/>
      <c r="O615" s="113"/>
      <c r="P615" s="114"/>
      <c r="Q615" s="115"/>
      <c r="R615" s="116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  <c r="AP615" s="117"/>
      <c r="AQ615" s="118"/>
      <c r="AR615" s="118"/>
      <c r="AS615" s="118"/>
      <c r="AT615" s="118"/>
      <c r="AU615" s="118"/>
      <c r="AV615" s="118"/>
      <c r="AW615" s="118"/>
      <c r="AX615" s="118"/>
      <c r="AY615" s="118"/>
      <c r="AZ615" s="118"/>
      <c r="BA615" s="118"/>
      <c r="BB615" s="118"/>
      <c r="BC615" s="118"/>
      <c r="BD615" s="118"/>
      <c r="BE615" s="118"/>
      <c r="BF615" s="118"/>
      <c r="BG615" s="118"/>
      <c r="BH615" s="118"/>
      <c r="BI615" s="118"/>
      <c r="BJ615" s="118"/>
      <c r="BK615" s="118"/>
      <c r="BL615" s="118"/>
      <c r="BM615" s="118"/>
      <c r="BN615" s="133"/>
      <c r="BO615" s="92"/>
    </row>
    <row r="616">
      <c r="I616" s="73"/>
      <c r="J616" s="74"/>
      <c r="O616" s="113"/>
      <c r="P616" s="114"/>
      <c r="Q616" s="115"/>
      <c r="R616" s="116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  <c r="AP616" s="117"/>
      <c r="AQ616" s="118"/>
      <c r="AR616" s="118"/>
      <c r="AS616" s="118"/>
      <c r="AT616" s="118"/>
      <c r="AU616" s="118"/>
      <c r="AV616" s="118"/>
      <c r="AW616" s="118"/>
      <c r="AX616" s="118"/>
      <c r="AY616" s="118"/>
      <c r="AZ616" s="118"/>
      <c r="BA616" s="118"/>
      <c r="BB616" s="118"/>
      <c r="BC616" s="118"/>
      <c r="BD616" s="118"/>
      <c r="BE616" s="118"/>
      <c r="BF616" s="118"/>
      <c r="BG616" s="118"/>
      <c r="BH616" s="118"/>
      <c r="BI616" s="118"/>
      <c r="BJ616" s="118"/>
      <c r="BK616" s="118"/>
      <c r="BL616" s="118"/>
      <c r="BM616" s="118"/>
      <c r="BN616" s="133"/>
      <c r="BO616" s="92"/>
    </row>
    <row r="617">
      <c r="I617" s="73"/>
      <c r="J617" s="74"/>
      <c r="O617" s="113"/>
      <c r="P617" s="114"/>
      <c r="Q617" s="115"/>
      <c r="R617" s="116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  <c r="AM617" s="115"/>
      <c r="AN617" s="115"/>
      <c r="AO617" s="115"/>
      <c r="AP617" s="117"/>
      <c r="AQ617" s="118"/>
      <c r="AR617" s="118"/>
      <c r="AS617" s="118"/>
      <c r="AT617" s="118"/>
      <c r="AU617" s="118"/>
      <c r="AV617" s="118"/>
      <c r="AW617" s="118"/>
      <c r="AX617" s="118"/>
      <c r="AY617" s="118"/>
      <c r="AZ617" s="118"/>
      <c r="BA617" s="118"/>
      <c r="BB617" s="118"/>
      <c r="BC617" s="118"/>
      <c r="BD617" s="118"/>
      <c r="BE617" s="118"/>
      <c r="BF617" s="118"/>
      <c r="BG617" s="118"/>
      <c r="BH617" s="118"/>
      <c r="BI617" s="118"/>
      <c r="BJ617" s="118"/>
      <c r="BK617" s="118"/>
      <c r="BL617" s="118"/>
      <c r="BM617" s="118"/>
      <c r="BN617" s="133"/>
      <c r="BO617" s="92"/>
    </row>
    <row r="618">
      <c r="I618" s="73"/>
      <c r="J618" s="74"/>
      <c r="O618" s="113"/>
      <c r="P618" s="114"/>
      <c r="Q618" s="115"/>
      <c r="R618" s="116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  <c r="AM618" s="115"/>
      <c r="AN618" s="115"/>
      <c r="AO618" s="115"/>
      <c r="AP618" s="117"/>
      <c r="AQ618" s="118"/>
      <c r="AR618" s="118"/>
      <c r="AS618" s="118"/>
      <c r="AT618" s="118"/>
      <c r="AU618" s="118"/>
      <c r="AV618" s="118"/>
      <c r="AW618" s="118"/>
      <c r="AX618" s="118"/>
      <c r="AY618" s="118"/>
      <c r="AZ618" s="118"/>
      <c r="BA618" s="118"/>
      <c r="BB618" s="118"/>
      <c r="BC618" s="118"/>
      <c r="BD618" s="118"/>
      <c r="BE618" s="118"/>
      <c r="BF618" s="118"/>
      <c r="BG618" s="118"/>
      <c r="BH618" s="118"/>
      <c r="BI618" s="118"/>
      <c r="BJ618" s="118"/>
      <c r="BK618" s="118"/>
      <c r="BL618" s="118"/>
      <c r="BM618" s="118"/>
      <c r="BN618" s="133"/>
      <c r="BO618" s="92"/>
    </row>
    <row r="619">
      <c r="I619" s="73"/>
      <c r="J619" s="74"/>
      <c r="O619" s="113"/>
      <c r="P619" s="114"/>
      <c r="Q619" s="115"/>
      <c r="R619" s="116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  <c r="AP619" s="117"/>
      <c r="AQ619" s="118"/>
      <c r="AR619" s="118"/>
      <c r="AS619" s="118"/>
      <c r="AT619" s="118"/>
      <c r="AU619" s="118"/>
      <c r="AV619" s="118"/>
      <c r="AW619" s="118"/>
      <c r="AX619" s="118"/>
      <c r="AY619" s="118"/>
      <c r="AZ619" s="118"/>
      <c r="BA619" s="118"/>
      <c r="BB619" s="118"/>
      <c r="BC619" s="118"/>
      <c r="BD619" s="118"/>
      <c r="BE619" s="118"/>
      <c r="BF619" s="118"/>
      <c r="BG619" s="118"/>
      <c r="BH619" s="118"/>
      <c r="BI619" s="118"/>
      <c r="BJ619" s="118"/>
      <c r="BK619" s="118"/>
      <c r="BL619" s="118"/>
      <c r="BM619" s="118"/>
      <c r="BN619" s="133"/>
      <c r="BO619" s="92"/>
    </row>
    <row r="620">
      <c r="I620" s="73"/>
      <c r="J620" s="74"/>
      <c r="O620" s="113"/>
      <c r="P620" s="114"/>
      <c r="Q620" s="115"/>
      <c r="R620" s="116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  <c r="AP620" s="117"/>
      <c r="AQ620" s="118"/>
      <c r="AR620" s="118"/>
      <c r="AS620" s="118"/>
      <c r="AT620" s="118"/>
      <c r="AU620" s="118"/>
      <c r="AV620" s="118"/>
      <c r="AW620" s="118"/>
      <c r="AX620" s="118"/>
      <c r="AY620" s="118"/>
      <c r="AZ620" s="118"/>
      <c r="BA620" s="118"/>
      <c r="BB620" s="118"/>
      <c r="BC620" s="118"/>
      <c r="BD620" s="118"/>
      <c r="BE620" s="118"/>
      <c r="BF620" s="118"/>
      <c r="BG620" s="118"/>
      <c r="BH620" s="118"/>
      <c r="BI620" s="118"/>
      <c r="BJ620" s="118"/>
      <c r="BK620" s="118"/>
      <c r="BL620" s="118"/>
      <c r="BM620" s="118"/>
      <c r="BN620" s="133"/>
      <c r="BO620" s="92"/>
    </row>
    <row r="621">
      <c r="I621" s="73"/>
      <c r="J621" s="74"/>
      <c r="O621" s="113"/>
      <c r="P621" s="114"/>
      <c r="Q621" s="115"/>
      <c r="R621" s="116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  <c r="AM621" s="115"/>
      <c r="AN621" s="115"/>
      <c r="AO621" s="115"/>
      <c r="AP621" s="117"/>
      <c r="AQ621" s="118"/>
      <c r="AR621" s="118"/>
      <c r="AS621" s="118"/>
      <c r="AT621" s="118"/>
      <c r="AU621" s="118"/>
      <c r="AV621" s="118"/>
      <c r="AW621" s="118"/>
      <c r="AX621" s="118"/>
      <c r="AY621" s="118"/>
      <c r="AZ621" s="118"/>
      <c r="BA621" s="118"/>
      <c r="BB621" s="118"/>
      <c r="BC621" s="118"/>
      <c r="BD621" s="118"/>
      <c r="BE621" s="118"/>
      <c r="BF621" s="118"/>
      <c r="BG621" s="118"/>
      <c r="BH621" s="118"/>
      <c r="BI621" s="118"/>
      <c r="BJ621" s="118"/>
      <c r="BK621" s="118"/>
      <c r="BL621" s="118"/>
      <c r="BM621" s="118"/>
      <c r="BN621" s="133"/>
      <c r="BO621" s="92"/>
    </row>
    <row r="622">
      <c r="I622" s="73"/>
      <c r="J622" s="74"/>
      <c r="O622" s="113"/>
      <c r="P622" s="114"/>
      <c r="Q622" s="115"/>
      <c r="R622" s="116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  <c r="AM622" s="115"/>
      <c r="AN622" s="115"/>
      <c r="AO622" s="115"/>
      <c r="AP622" s="117"/>
      <c r="AQ622" s="118"/>
      <c r="AR622" s="118"/>
      <c r="AS622" s="118"/>
      <c r="AT622" s="118"/>
      <c r="AU622" s="118"/>
      <c r="AV622" s="118"/>
      <c r="AW622" s="118"/>
      <c r="AX622" s="118"/>
      <c r="AY622" s="118"/>
      <c r="AZ622" s="118"/>
      <c r="BA622" s="118"/>
      <c r="BB622" s="118"/>
      <c r="BC622" s="118"/>
      <c r="BD622" s="118"/>
      <c r="BE622" s="118"/>
      <c r="BF622" s="118"/>
      <c r="BG622" s="118"/>
      <c r="BH622" s="118"/>
      <c r="BI622" s="118"/>
      <c r="BJ622" s="118"/>
      <c r="BK622" s="118"/>
      <c r="BL622" s="118"/>
      <c r="BM622" s="118"/>
      <c r="BN622" s="133"/>
      <c r="BO622" s="92"/>
    </row>
    <row r="623">
      <c r="I623" s="73"/>
      <c r="J623" s="74"/>
      <c r="O623" s="113"/>
      <c r="P623" s="114"/>
      <c r="Q623" s="115"/>
      <c r="R623" s="116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  <c r="AM623" s="115"/>
      <c r="AN623" s="115"/>
      <c r="AO623" s="115"/>
      <c r="AP623" s="117"/>
      <c r="AQ623" s="118"/>
      <c r="AR623" s="118"/>
      <c r="AS623" s="118"/>
      <c r="AT623" s="118"/>
      <c r="AU623" s="118"/>
      <c r="AV623" s="118"/>
      <c r="AW623" s="118"/>
      <c r="AX623" s="118"/>
      <c r="AY623" s="118"/>
      <c r="AZ623" s="118"/>
      <c r="BA623" s="118"/>
      <c r="BB623" s="118"/>
      <c r="BC623" s="118"/>
      <c r="BD623" s="118"/>
      <c r="BE623" s="118"/>
      <c r="BF623" s="118"/>
      <c r="BG623" s="118"/>
      <c r="BH623" s="118"/>
      <c r="BI623" s="118"/>
      <c r="BJ623" s="118"/>
      <c r="BK623" s="118"/>
      <c r="BL623" s="118"/>
      <c r="BM623" s="118"/>
      <c r="BN623" s="133"/>
      <c r="BO623" s="92"/>
    </row>
    <row r="624">
      <c r="I624" s="73"/>
      <c r="J624" s="74"/>
      <c r="O624" s="113"/>
      <c r="P624" s="114"/>
      <c r="Q624" s="115"/>
      <c r="R624" s="116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  <c r="AM624" s="115"/>
      <c r="AN624" s="115"/>
      <c r="AO624" s="115"/>
      <c r="AP624" s="117"/>
      <c r="AQ624" s="118"/>
      <c r="AR624" s="118"/>
      <c r="AS624" s="118"/>
      <c r="AT624" s="118"/>
      <c r="AU624" s="118"/>
      <c r="AV624" s="118"/>
      <c r="AW624" s="118"/>
      <c r="AX624" s="118"/>
      <c r="AY624" s="118"/>
      <c r="AZ624" s="118"/>
      <c r="BA624" s="118"/>
      <c r="BB624" s="118"/>
      <c r="BC624" s="118"/>
      <c r="BD624" s="118"/>
      <c r="BE624" s="118"/>
      <c r="BF624" s="118"/>
      <c r="BG624" s="118"/>
      <c r="BH624" s="118"/>
      <c r="BI624" s="118"/>
      <c r="BJ624" s="118"/>
      <c r="BK624" s="118"/>
      <c r="BL624" s="118"/>
      <c r="BM624" s="118"/>
      <c r="BN624" s="133"/>
      <c r="BO624" s="92"/>
    </row>
    <row r="625">
      <c r="I625" s="73"/>
      <c r="J625" s="74"/>
      <c r="O625" s="113"/>
      <c r="P625" s="114"/>
      <c r="Q625" s="115"/>
      <c r="R625" s="116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  <c r="AM625" s="115"/>
      <c r="AN625" s="115"/>
      <c r="AO625" s="115"/>
      <c r="AP625" s="117"/>
      <c r="AQ625" s="118"/>
      <c r="AR625" s="118"/>
      <c r="AS625" s="118"/>
      <c r="AT625" s="118"/>
      <c r="AU625" s="118"/>
      <c r="AV625" s="118"/>
      <c r="AW625" s="118"/>
      <c r="AX625" s="118"/>
      <c r="AY625" s="118"/>
      <c r="AZ625" s="118"/>
      <c r="BA625" s="118"/>
      <c r="BB625" s="118"/>
      <c r="BC625" s="118"/>
      <c r="BD625" s="118"/>
      <c r="BE625" s="118"/>
      <c r="BF625" s="118"/>
      <c r="BG625" s="118"/>
      <c r="BH625" s="118"/>
      <c r="BI625" s="118"/>
      <c r="BJ625" s="118"/>
      <c r="BK625" s="118"/>
      <c r="BL625" s="118"/>
      <c r="BM625" s="118"/>
      <c r="BN625" s="133"/>
      <c r="BO625" s="92"/>
    </row>
    <row r="626">
      <c r="I626" s="73"/>
      <c r="J626" s="74"/>
      <c r="O626" s="113"/>
      <c r="P626" s="114"/>
      <c r="Q626" s="115"/>
      <c r="R626" s="116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  <c r="AM626" s="115"/>
      <c r="AN626" s="115"/>
      <c r="AO626" s="115"/>
      <c r="AP626" s="117"/>
      <c r="AQ626" s="118"/>
      <c r="AR626" s="118"/>
      <c r="AS626" s="118"/>
      <c r="AT626" s="118"/>
      <c r="AU626" s="118"/>
      <c r="AV626" s="118"/>
      <c r="AW626" s="118"/>
      <c r="AX626" s="118"/>
      <c r="AY626" s="118"/>
      <c r="AZ626" s="118"/>
      <c r="BA626" s="118"/>
      <c r="BB626" s="118"/>
      <c r="BC626" s="118"/>
      <c r="BD626" s="118"/>
      <c r="BE626" s="118"/>
      <c r="BF626" s="118"/>
      <c r="BG626" s="118"/>
      <c r="BH626" s="118"/>
      <c r="BI626" s="118"/>
      <c r="BJ626" s="118"/>
      <c r="BK626" s="118"/>
      <c r="BL626" s="118"/>
      <c r="BM626" s="118"/>
      <c r="BN626" s="133"/>
      <c r="BO626" s="92"/>
    </row>
    <row r="627">
      <c r="I627" s="73"/>
      <c r="J627" s="74"/>
      <c r="O627" s="113"/>
      <c r="P627" s="114"/>
      <c r="Q627" s="115"/>
      <c r="R627" s="116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  <c r="AP627" s="117"/>
      <c r="AQ627" s="118"/>
      <c r="AR627" s="118"/>
      <c r="AS627" s="118"/>
      <c r="AT627" s="118"/>
      <c r="AU627" s="118"/>
      <c r="AV627" s="118"/>
      <c r="AW627" s="118"/>
      <c r="AX627" s="118"/>
      <c r="AY627" s="118"/>
      <c r="AZ627" s="118"/>
      <c r="BA627" s="118"/>
      <c r="BB627" s="118"/>
      <c r="BC627" s="118"/>
      <c r="BD627" s="118"/>
      <c r="BE627" s="118"/>
      <c r="BF627" s="118"/>
      <c r="BG627" s="118"/>
      <c r="BH627" s="118"/>
      <c r="BI627" s="118"/>
      <c r="BJ627" s="118"/>
      <c r="BK627" s="118"/>
      <c r="BL627" s="118"/>
      <c r="BM627" s="118"/>
      <c r="BN627" s="133"/>
      <c r="BO627" s="92"/>
    </row>
    <row r="628">
      <c r="I628" s="73"/>
      <c r="J628" s="74"/>
      <c r="O628" s="113"/>
      <c r="P628" s="114"/>
      <c r="Q628" s="115"/>
      <c r="R628" s="116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  <c r="AP628" s="117"/>
      <c r="AQ628" s="118"/>
      <c r="AR628" s="118"/>
      <c r="AS628" s="118"/>
      <c r="AT628" s="118"/>
      <c r="AU628" s="118"/>
      <c r="AV628" s="118"/>
      <c r="AW628" s="118"/>
      <c r="AX628" s="118"/>
      <c r="AY628" s="118"/>
      <c r="AZ628" s="118"/>
      <c r="BA628" s="118"/>
      <c r="BB628" s="118"/>
      <c r="BC628" s="118"/>
      <c r="BD628" s="118"/>
      <c r="BE628" s="118"/>
      <c r="BF628" s="118"/>
      <c r="BG628" s="118"/>
      <c r="BH628" s="118"/>
      <c r="BI628" s="118"/>
      <c r="BJ628" s="118"/>
      <c r="BK628" s="118"/>
      <c r="BL628" s="118"/>
      <c r="BM628" s="118"/>
      <c r="BN628" s="133"/>
      <c r="BO628" s="92"/>
    </row>
    <row r="629">
      <c r="I629" s="73"/>
      <c r="J629" s="74"/>
      <c r="O629" s="113"/>
      <c r="P629" s="114"/>
      <c r="Q629" s="115"/>
      <c r="R629" s="116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  <c r="AM629" s="115"/>
      <c r="AN629" s="115"/>
      <c r="AO629" s="115"/>
      <c r="AP629" s="117"/>
      <c r="AQ629" s="118"/>
      <c r="AR629" s="118"/>
      <c r="AS629" s="118"/>
      <c r="AT629" s="118"/>
      <c r="AU629" s="118"/>
      <c r="AV629" s="118"/>
      <c r="AW629" s="118"/>
      <c r="AX629" s="118"/>
      <c r="AY629" s="118"/>
      <c r="AZ629" s="118"/>
      <c r="BA629" s="118"/>
      <c r="BB629" s="118"/>
      <c r="BC629" s="118"/>
      <c r="BD629" s="118"/>
      <c r="BE629" s="118"/>
      <c r="BF629" s="118"/>
      <c r="BG629" s="118"/>
      <c r="BH629" s="118"/>
      <c r="BI629" s="118"/>
      <c r="BJ629" s="118"/>
      <c r="BK629" s="118"/>
      <c r="BL629" s="118"/>
      <c r="BM629" s="118"/>
      <c r="BN629" s="133"/>
      <c r="BO629" s="92"/>
    </row>
    <row r="630">
      <c r="I630" s="73"/>
      <c r="J630" s="74"/>
      <c r="O630" s="113"/>
      <c r="P630" s="114"/>
      <c r="Q630" s="115"/>
      <c r="R630" s="116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  <c r="AM630" s="115"/>
      <c r="AN630" s="115"/>
      <c r="AO630" s="115"/>
      <c r="AP630" s="117"/>
      <c r="AQ630" s="118"/>
      <c r="AR630" s="118"/>
      <c r="AS630" s="118"/>
      <c r="AT630" s="118"/>
      <c r="AU630" s="118"/>
      <c r="AV630" s="118"/>
      <c r="AW630" s="118"/>
      <c r="AX630" s="118"/>
      <c r="AY630" s="118"/>
      <c r="AZ630" s="118"/>
      <c r="BA630" s="118"/>
      <c r="BB630" s="118"/>
      <c r="BC630" s="118"/>
      <c r="BD630" s="118"/>
      <c r="BE630" s="118"/>
      <c r="BF630" s="118"/>
      <c r="BG630" s="118"/>
      <c r="BH630" s="118"/>
      <c r="BI630" s="118"/>
      <c r="BJ630" s="118"/>
      <c r="BK630" s="118"/>
      <c r="BL630" s="118"/>
      <c r="BM630" s="118"/>
      <c r="BN630" s="133"/>
      <c r="BO630" s="92"/>
    </row>
    <row r="631">
      <c r="I631" s="73"/>
      <c r="J631" s="74"/>
      <c r="O631" s="113"/>
      <c r="P631" s="114"/>
      <c r="Q631" s="115"/>
      <c r="R631" s="116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  <c r="AM631" s="115"/>
      <c r="AN631" s="115"/>
      <c r="AO631" s="115"/>
      <c r="AP631" s="117"/>
      <c r="AQ631" s="118"/>
      <c r="AR631" s="118"/>
      <c r="AS631" s="118"/>
      <c r="AT631" s="118"/>
      <c r="AU631" s="118"/>
      <c r="AV631" s="118"/>
      <c r="AW631" s="118"/>
      <c r="AX631" s="118"/>
      <c r="AY631" s="118"/>
      <c r="AZ631" s="118"/>
      <c r="BA631" s="118"/>
      <c r="BB631" s="118"/>
      <c r="BC631" s="118"/>
      <c r="BD631" s="118"/>
      <c r="BE631" s="118"/>
      <c r="BF631" s="118"/>
      <c r="BG631" s="118"/>
      <c r="BH631" s="118"/>
      <c r="BI631" s="118"/>
      <c r="BJ631" s="118"/>
      <c r="BK631" s="118"/>
      <c r="BL631" s="118"/>
      <c r="BM631" s="118"/>
      <c r="BN631" s="133"/>
      <c r="BO631" s="92"/>
    </row>
    <row r="632">
      <c r="I632" s="73"/>
      <c r="J632" s="74"/>
      <c r="O632" s="113"/>
      <c r="P632" s="114"/>
      <c r="Q632" s="115"/>
      <c r="R632" s="116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  <c r="AM632" s="115"/>
      <c r="AN632" s="115"/>
      <c r="AO632" s="115"/>
      <c r="AP632" s="117"/>
      <c r="AQ632" s="118"/>
      <c r="AR632" s="118"/>
      <c r="AS632" s="118"/>
      <c r="AT632" s="118"/>
      <c r="AU632" s="118"/>
      <c r="AV632" s="118"/>
      <c r="AW632" s="118"/>
      <c r="AX632" s="118"/>
      <c r="AY632" s="118"/>
      <c r="AZ632" s="118"/>
      <c r="BA632" s="118"/>
      <c r="BB632" s="118"/>
      <c r="BC632" s="118"/>
      <c r="BD632" s="118"/>
      <c r="BE632" s="118"/>
      <c r="BF632" s="118"/>
      <c r="BG632" s="118"/>
      <c r="BH632" s="118"/>
      <c r="BI632" s="118"/>
      <c r="BJ632" s="118"/>
      <c r="BK632" s="118"/>
      <c r="BL632" s="118"/>
      <c r="BM632" s="118"/>
      <c r="BN632" s="133"/>
      <c r="BO632" s="92"/>
    </row>
    <row r="633">
      <c r="I633" s="73"/>
      <c r="J633" s="74"/>
      <c r="O633" s="113"/>
      <c r="P633" s="114"/>
      <c r="Q633" s="115"/>
      <c r="R633" s="116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  <c r="AP633" s="117"/>
      <c r="AQ633" s="118"/>
      <c r="AR633" s="118"/>
      <c r="AS633" s="118"/>
      <c r="AT633" s="118"/>
      <c r="AU633" s="118"/>
      <c r="AV633" s="118"/>
      <c r="AW633" s="118"/>
      <c r="AX633" s="118"/>
      <c r="AY633" s="118"/>
      <c r="AZ633" s="118"/>
      <c r="BA633" s="118"/>
      <c r="BB633" s="118"/>
      <c r="BC633" s="118"/>
      <c r="BD633" s="118"/>
      <c r="BE633" s="118"/>
      <c r="BF633" s="118"/>
      <c r="BG633" s="118"/>
      <c r="BH633" s="118"/>
      <c r="BI633" s="118"/>
      <c r="BJ633" s="118"/>
      <c r="BK633" s="118"/>
      <c r="BL633" s="118"/>
      <c r="BM633" s="118"/>
      <c r="BN633" s="133"/>
      <c r="BO633" s="92"/>
    </row>
    <row r="634">
      <c r="I634" s="73"/>
      <c r="J634" s="74"/>
      <c r="O634" s="113"/>
      <c r="P634" s="114"/>
      <c r="Q634" s="115"/>
      <c r="R634" s="116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7"/>
      <c r="AQ634" s="118"/>
      <c r="AR634" s="118"/>
      <c r="AS634" s="118"/>
      <c r="AT634" s="118"/>
      <c r="AU634" s="118"/>
      <c r="AV634" s="118"/>
      <c r="AW634" s="118"/>
      <c r="AX634" s="118"/>
      <c r="AY634" s="118"/>
      <c r="AZ634" s="118"/>
      <c r="BA634" s="118"/>
      <c r="BB634" s="118"/>
      <c r="BC634" s="118"/>
      <c r="BD634" s="118"/>
      <c r="BE634" s="118"/>
      <c r="BF634" s="118"/>
      <c r="BG634" s="118"/>
      <c r="BH634" s="118"/>
      <c r="BI634" s="118"/>
      <c r="BJ634" s="118"/>
      <c r="BK634" s="118"/>
      <c r="BL634" s="118"/>
      <c r="BM634" s="118"/>
      <c r="BN634" s="133"/>
      <c r="BO634" s="92"/>
    </row>
    <row r="635">
      <c r="I635" s="73"/>
      <c r="J635" s="74"/>
      <c r="O635" s="113"/>
      <c r="P635" s="114"/>
      <c r="Q635" s="115"/>
      <c r="R635" s="116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  <c r="AM635" s="115"/>
      <c r="AN635" s="115"/>
      <c r="AO635" s="115"/>
      <c r="AP635" s="117"/>
      <c r="AQ635" s="118"/>
      <c r="AR635" s="118"/>
      <c r="AS635" s="118"/>
      <c r="AT635" s="118"/>
      <c r="AU635" s="118"/>
      <c r="AV635" s="118"/>
      <c r="AW635" s="118"/>
      <c r="AX635" s="118"/>
      <c r="AY635" s="118"/>
      <c r="AZ635" s="118"/>
      <c r="BA635" s="118"/>
      <c r="BB635" s="118"/>
      <c r="BC635" s="118"/>
      <c r="BD635" s="118"/>
      <c r="BE635" s="118"/>
      <c r="BF635" s="118"/>
      <c r="BG635" s="118"/>
      <c r="BH635" s="118"/>
      <c r="BI635" s="118"/>
      <c r="BJ635" s="118"/>
      <c r="BK635" s="118"/>
      <c r="BL635" s="118"/>
      <c r="BM635" s="118"/>
      <c r="BN635" s="133"/>
      <c r="BO635" s="92"/>
    </row>
    <row r="636">
      <c r="I636" s="73"/>
      <c r="J636" s="74"/>
      <c r="O636" s="113"/>
      <c r="P636" s="114"/>
      <c r="Q636" s="115"/>
      <c r="R636" s="116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  <c r="AM636" s="115"/>
      <c r="AN636" s="115"/>
      <c r="AO636" s="115"/>
      <c r="AP636" s="117"/>
      <c r="AQ636" s="118"/>
      <c r="AR636" s="118"/>
      <c r="AS636" s="118"/>
      <c r="AT636" s="118"/>
      <c r="AU636" s="118"/>
      <c r="AV636" s="118"/>
      <c r="AW636" s="118"/>
      <c r="AX636" s="118"/>
      <c r="AY636" s="118"/>
      <c r="AZ636" s="118"/>
      <c r="BA636" s="118"/>
      <c r="BB636" s="118"/>
      <c r="BC636" s="118"/>
      <c r="BD636" s="118"/>
      <c r="BE636" s="118"/>
      <c r="BF636" s="118"/>
      <c r="BG636" s="118"/>
      <c r="BH636" s="118"/>
      <c r="BI636" s="118"/>
      <c r="BJ636" s="118"/>
      <c r="BK636" s="118"/>
      <c r="BL636" s="118"/>
      <c r="BM636" s="118"/>
      <c r="BN636" s="133"/>
      <c r="BO636" s="92"/>
    </row>
    <row r="637">
      <c r="I637" s="73"/>
      <c r="J637" s="74"/>
      <c r="O637" s="113"/>
      <c r="P637" s="114"/>
      <c r="Q637" s="115"/>
      <c r="R637" s="116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  <c r="AM637" s="115"/>
      <c r="AN637" s="115"/>
      <c r="AO637" s="115"/>
      <c r="AP637" s="117"/>
      <c r="AQ637" s="118"/>
      <c r="AR637" s="118"/>
      <c r="AS637" s="118"/>
      <c r="AT637" s="118"/>
      <c r="AU637" s="118"/>
      <c r="AV637" s="118"/>
      <c r="AW637" s="118"/>
      <c r="AX637" s="118"/>
      <c r="AY637" s="118"/>
      <c r="AZ637" s="118"/>
      <c r="BA637" s="118"/>
      <c r="BB637" s="118"/>
      <c r="BC637" s="118"/>
      <c r="BD637" s="118"/>
      <c r="BE637" s="118"/>
      <c r="BF637" s="118"/>
      <c r="BG637" s="118"/>
      <c r="BH637" s="118"/>
      <c r="BI637" s="118"/>
      <c r="BJ637" s="118"/>
      <c r="BK637" s="118"/>
      <c r="BL637" s="118"/>
      <c r="BM637" s="118"/>
      <c r="BN637" s="133"/>
      <c r="BO637" s="92"/>
    </row>
    <row r="638">
      <c r="I638" s="73"/>
      <c r="J638" s="74"/>
      <c r="O638" s="113"/>
      <c r="P638" s="114"/>
      <c r="Q638" s="115"/>
      <c r="R638" s="116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  <c r="AM638" s="115"/>
      <c r="AN638" s="115"/>
      <c r="AO638" s="115"/>
      <c r="AP638" s="117"/>
      <c r="AQ638" s="118"/>
      <c r="AR638" s="118"/>
      <c r="AS638" s="118"/>
      <c r="AT638" s="118"/>
      <c r="AU638" s="118"/>
      <c r="AV638" s="118"/>
      <c r="AW638" s="118"/>
      <c r="AX638" s="118"/>
      <c r="AY638" s="118"/>
      <c r="AZ638" s="118"/>
      <c r="BA638" s="118"/>
      <c r="BB638" s="118"/>
      <c r="BC638" s="118"/>
      <c r="BD638" s="118"/>
      <c r="BE638" s="118"/>
      <c r="BF638" s="118"/>
      <c r="BG638" s="118"/>
      <c r="BH638" s="118"/>
      <c r="BI638" s="118"/>
      <c r="BJ638" s="118"/>
      <c r="BK638" s="118"/>
      <c r="BL638" s="118"/>
      <c r="BM638" s="118"/>
      <c r="BN638" s="133"/>
      <c r="BO638" s="92"/>
    </row>
    <row r="639">
      <c r="I639" s="73"/>
      <c r="J639" s="74"/>
      <c r="O639" s="113"/>
      <c r="P639" s="114"/>
      <c r="Q639" s="115"/>
      <c r="R639" s="116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7"/>
      <c r="AQ639" s="118"/>
      <c r="AR639" s="118"/>
      <c r="AS639" s="118"/>
      <c r="AT639" s="118"/>
      <c r="AU639" s="118"/>
      <c r="AV639" s="118"/>
      <c r="AW639" s="118"/>
      <c r="AX639" s="118"/>
      <c r="AY639" s="118"/>
      <c r="AZ639" s="118"/>
      <c r="BA639" s="118"/>
      <c r="BB639" s="118"/>
      <c r="BC639" s="118"/>
      <c r="BD639" s="118"/>
      <c r="BE639" s="118"/>
      <c r="BF639" s="118"/>
      <c r="BG639" s="118"/>
      <c r="BH639" s="118"/>
      <c r="BI639" s="118"/>
      <c r="BJ639" s="118"/>
      <c r="BK639" s="118"/>
      <c r="BL639" s="118"/>
      <c r="BM639" s="118"/>
      <c r="BN639" s="133"/>
      <c r="BO639" s="92"/>
    </row>
    <row r="640">
      <c r="I640" s="73"/>
      <c r="J640" s="74"/>
      <c r="O640" s="113"/>
      <c r="P640" s="114"/>
      <c r="Q640" s="115"/>
      <c r="R640" s="116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  <c r="AM640" s="115"/>
      <c r="AN640" s="115"/>
      <c r="AO640" s="115"/>
      <c r="AP640" s="117"/>
      <c r="AQ640" s="118"/>
      <c r="AR640" s="118"/>
      <c r="AS640" s="118"/>
      <c r="AT640" s="118"/>
      <c r="AU640" s="118"/>
      <c r="AV640" s="118"/>
      <c r="AW640" s="118"/>
      <c r="AX640" s="118"/>
      <c r="AY640" s="118"/>
      <c r="AZ640" s="118"/>
      <c r="BA640" s="118"/>
      <c r="BB640" s="118"/>
      <c r="BC640" s="118"/>
      <c r="BD640" s="118"/>
      <c r="BE640" s="118"/>
      <c r="BF640" s="118"/>
      <c r="BG640" s="118"/>
      <c r="BH640" s="118"/>
      <c r="BI640" s="118"/>
      <c r="BJ640" s="118"/>
      <c r="BK640" s="118"/>
      <c r="BL640" s="118"/>
      <c r="BM640" s="118"/>
      <c r="BN640" s="133"/>
      <c r="BO640" s="92"/>
    </row>
    <row r="641">
      <c r="I641" s="73"/>
      <c r="J641" s="74"/>
      <c r="O641" s="113"/>
      <c r="P641" s="114"/>
      <c r="Q641" s="115"/>
      <c r="R641" s="116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  <c r="AM641" s="115"/>
      <c r="AN641" s="115"/>
      <c r="AO641" s="115"/>
      <c r="AP641" s="117"/>
      <c r="AQ641" s="118"/>
      <c r="AR641" s="118"/>
      <c r="AS641" s="118"/>
      <c r="AT641" s="118"/>
      <c r="AU641" s="118"/>
      <c r="AV641" s="118"/>
      <c r="AW641" s="118"/>
      <c r="AX641" s="118"/>
      <c r="AY641" s="118"/>
      <c r="AZ641" s="118"/>
      <c r="BA641" s="118"/>
      <c r="BB641" s="118"/>
      <c r="BC641" s="118"/>
      <c r="BD641" s="118"/>
      <c r="BE641" s="118"/>
      <c r="BF641" s="118"/>
      <c r="BG641" s="118"/>
      <c r="BH641" s="118"/>
      <c r="BI641" s="118"/>
      <c r="BJ641" s="118"/>
      <c r="BK641" s="118"/>
      <c r="BL641" s="118"/>
      <c r="BM641" s="118"/>
      <c r="BN641" s="133"/>
      <c r="BO641" s="92"/>
    </row>
    <row r="642">
      <c r="I642" s="73"/>
      <c r="J642" s="74"/>
      <c r="O642" s="113"/>
      <c r="P642" s="114"/>
      <c r="Q642" s="115"/>
      <c r="R642" s="116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  <c r="AM642" s="115"/>
      <c r="AN642" s="115"/>
      <c r="AO642" s="115"/>
      <c r="AP642" s="117"/>
      <c r="AQ642" s="118"/>
      <c r="AR642" s="118"/>
      <c r="AS642" s="118"/>
      <c r="AT642" s="118"/>
      <c r="AU642" s="118"/>
      <c r="AV642" s="118"/>
      <c r="AW642" s="118"/>
      <c r="AX642" s="118"/>
      <c r="AY642" s="118"/>
      <c r="AZ642" s="118"/>
      <c r="BA642" s="118"/>
      <c r="BB642" s="118"/>
      <c r="BC642" s="118"/>
      <c r="BD642" s="118"/>
      <c r="BE642" s="118"/>
      <c r="BF642" s="118"/>
      <c r="BG642" s="118"/>
      <c r="BH642" s="118"/>
      <c r="BI642" s="118"/>
      <c r="BJ642" s="118"/>
      <c r="BK642" s="118"/>
      <c r="BL642" s="118"/>
      <c r="BM642" s="118"/>
      <c r="BN642" s="133"/>
      <c r="BO642" s="92"/>
    </row>
    <row r="643">
      <c r="I643" s="73"/>
      <c r="J643" s="74"/>
      <c r="O643" s="113"/>
      <c r="P643" s="114"/>
      <c r="Q643" s="115"/>
      <c r="R643" s="116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  <c r="AM643" s="115"/>
      <c r="AN643" s="115"/>
      <c r="AO643" s="115"/>
      <c r="AP643" s="117"/>
      <c r="AQ643" s="118"/>
      <c r="AR643" s="118"/>
      <c r="AS643" s="118"/>
      <c r="AT643" s="118"/>
      <c r="AU643" s="118"/>
      <c r="AV643" s="118"/>
      <c r="AW643" s="118"/>
      <c r="AX643" s="118"/>
      <c r="AY643" s="118"/>
      <c r="AZ643" s="118"/>
      <c r="BA643" s="118"/>
      <c r="BB643" s="118"/>
      <c r="BC643" s="118"/>
      <c r="BD643" s="118"/>
      <c r="BE643" s="118"/>
      <c r="BF643" s="118"/>
      <c r="BG643" s="118"/>
      <c r="BH643" s="118"/>
      <c r="BI643" s="118"/>
      <c r="BJ643" s="118"/>
      <c r="BK643" s="118"/>
      <c r="BL643" s="118"/>
      <c r="BM643" s="118"/>
      <c r="BN643" s="133"/>
      <c r="BO643" s="92"/>
    </row>
    <row r="644">
      <c r="I644" s="73"/>
      <c r="J644" s="74"/>
      <c r="O644" s="113"/>
      <c r="P644" s="114"/>
      <c r="Q644" s="115"/>
      <c r="R644" s="116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  <c r="AM644" s="115"/>
      <c r="AN644" s="115"/>
      <c r="AO644" s="115"/>
      <c r="AP644" s="117"/>
      <c r="AQ644" s="118"/>
      <c r="AR644" s="118"/>
      <c r="AS644" s="118"/>
      <c r="AT644" s="118"/>
      <c r="AU644" s="118"/>
      <c r="AV644" s="118"/>
      <c r="AW644" s="118"/>
      <c r="AX644" s="118"/>
      <c r="AY644" s="118"/>
      <c r="AZ644" s="118"/>
      <c r="BA644" s="118"/>
      <c r="BB644" s="118"/>
      <c r="BC644" s="118"/>
      <c r="BD644" s="118"/>
      <c r="BE644" s="118"/>
      <c r="BF644" s="118"/>
      <c r="BG644" s="118"/>
      <c r="BH644" s="118"/>
      <c r="BI644" s="118"/>
      <c r="BJ644" s="118"/>
      <c r="BK644" s="118"/>
      <c r="BL644" s="118"/>
      <c r="BM644" s="118"/>
      <c r="BN644" s="133"/>
      <c r="BO644" s="92"/>
    </row>
    <row r="645">
      <c r="I645" s="73"/>
      <c r="J645" s="74"/>
      <c r="O645" s="113"/>
      <c r="P645" s="114"/>
      <c r="Q645" s="115"/>
      <c r="R645" s="116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  <c r="AM645" s="115"/>
      <c r="AN645" s="115"/>
      <c r="AO645" s="115"/>
      <c r="AP645" s="117"/>
      <c r="AQ645" s="118"/>
      <c r="AR645" s="118"/>
      <c r="AS645" s="118"/>
      <c r="AT645" s="118"/>
      <c r="AU645" s="118"/>
      <c r="AV645" s="118"/>
      <c r="AW645" s="118"/>
      <c r="AX645" s="118"/>
      <c r="AY645" s="118"/>
      <c r="AZ645" s="118"/>
      <c r="BA645" s="118"/>
      <c r="BB645" s="118"/>
      <c r="BC645" s="118"/>
      <c r="BD645" s="118"/>
      <c r="BE645" s="118"/>
      <c r="BF645" s="118"/>
      <c r="BG645" s="118"/>
      <c r="BH645" s="118"/>
      <c r="BI645" s="118"/>
      <c r="BJ645" s="118"/>
      <c r="BK645" s="118"/>
      <c r="BL645" s="118"/>
      <c r="BM645" s="118"/>
      <c r="BN645" s="133"/>
      <c r="BO645" s="92"/>
    </row>
    <row r="646">
      <c r="I646" s="73"/>
      <c r="J646" s="74"/>
      <c r="O646" s="113"/>
      <c r="P646" s="114"/>
      <c r="Q646" s="115"/>
      <c r="R646" s="116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  <c r="AM646" s="115"/>
      <c r="AN646" s="115"/>
      <c r="AO646" s="115"/>
      <c r="AP646" s="117"/>
      <c r="AQ646" s="118"/>
      <c r="AR646" s="118"/>
      <c r="AS646" s="118"/>
      <c r="AT646" s="118"/>
      <c r="AU646" s="118"/>
      <c r="AV646" s="118"/>
      <c r="AW646" s="118"/>
      <c r="AX646" s="118"/>
      <c r="AY646" s="118"/>
      <c r="AZ646" s="118"/>
      <c r="BA646" s="118"/>
      <c r="BB646" s="118"/>
      <c r="BC646" s="118"/>
      <c r="BD646" s="118"/>
      <c r="BE646" s="118"/>
      <c r="BF646" s="118"/>
      <c r="BG646" s="118"/>
      <c r="BH646" s="118"/>
      <c r="BI646" s="118"/>
      <c r="BJ646" s="118"/>
      <c r="BK646" s="118"/>
      <c r="BL646" s="118"/>
      <c r="BM646" s="118"/>
      <c r="BN646" s="133"/>
      <c r="BO646" s="92"/>
    </row>
    <row r="647">
      <c r="I647" s="73"/>
      <c r="J647" s="74"/>
      <c r="O647" s="113"/>
      <c r="P647" s="114"/>
      <c r="Q647" s="115"/>
      <c r="R647" s="116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  <c r="AM647" s="115"/>
      <c r="AN647" s="115"/>
      <c r="AO647" s="115"/>
      <c r="AP647" s="117"/>
      <c r="AQ647" s="118"/>
      <c r="AR647" s="118"/>
      <c r="AS647" s="118"/>
      <c r="AT647" s="118"/>
      <c r="AU647" s="118"/>
      <c r="AV647" s="118"/>
      <c r="AW647" s="118"/>
      <c r="AX647" s="118"/>
      <c r="AY647" s="118"/>
      <c r="AZ647" s="118"/>
      <c r="BA647" s="118"/>
      <c r="BB647" s="118"/>
      <c r="BC647" s="118"/>
      <c r="BD647" s="118"/>
      <c r="BE647" s="118"/>
      <c r="BF647" s="118"/>
      <c r="BG647" s="118"/>
      <c r="BH647" s="118"/>
      <c r="BI647" s="118"/>
      <c r="BJ647" s="118"/>
      <c r="BK647" s="118"/>
      <c r="BL647" s="118"/>
      <c r="BM647" s="118"/>
      <c r="BN647" s="133"/>
      <c r="BO647" s="92"/>
    </row>
    <row r="648">
      <c r="I648" s="73"/>
      <c r="J648" s="74"/>
      <c r="O648" s="113"/>
      <c r="P648" s="114"/>
      <c r="Q648" s="115"/>
      <c r="R648" s="116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  <c r="AM648" s="115"/>
      <c r="AN648" s="115"/>
      <c r="AO648" s="115"/>
      <c r="AP648" s="117"/>
      <c r="AQ648" s="118"/>
      <c r="AR648" s="118"/>
      <c r="AS648" s="118"/>
      <c r="AT648" s="118"/>
      <c r="AU648" s="118"/>
      <c r="AV648" s="118"/>
      <c r="AW648" s="118"/>
      <c r="AX648" s="118"/>
      <c r="AY648" s="118"/>
      <c r="AZ648" s="118"/>
      <c r="BA648" s="118"/>
      <c r="BB648" s="118"/>
      <c r="BC648" s="118"/>
      <c r="BD648" s="118"/>
      <c r="BE648" s="118"/>
      <c r="BF648" s="118"/>
      <c r="BG648" s="118"/>
      <c r="BH648" s="118"/>
      <c r="BI648" s="118"/>
      <c r="BJ648" s="118"/>
      <c r="BK648" s="118"/>
      <c r="BL648" s="118"/>
      <c r="BM648" s="118"/>
      <c r="BN648" s="133"/>
      <c r="BO648" s="92"/>
    </row>
    <row r="649">
      <c r="I649" s="73"/>
      <c r="J649" s="74"/>
      <c r="O649" s="113"/>
      <c r="P649" s="114"/>
      <c r="Q649" s="115"/>
      <c r="R649" s="116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  <c r="AM649" s="115"/>
      <c r="AN649" s="115"/>
      <c r="AO649" s="115"/>
      <c r="AP649" s="117"/>
      <c r="AQ649" s="118"/>
      <c r="AR649" s="118"/>
      <c r="AS649" s="118"/>
      <c r="AT649" s="118"/>
      <c r="AU649" s="118"/>
      <c r="AV649" s="118"/>
      <c r="AW649" s="118"/>
      <c r="AX649" s="118"/>
      <c r="AY649" s="118"/>
      <c r="AZ649" s="118"/>
      <c r="BA649" s="118"/>
      <c r="BB649" s="118"/>
      <c r="BC649" s="118"/>
      <c r="BD649" s="118"/>
      <c r="BE649" s="118"/>
      <c r="BF649" s="118"/>
      <c r="BG649" s="118"/>
      <c r="BH649" s="118"/>
      <c r="BI649" s="118"/>
      <c r="BJ649" s="118"/>
      <c r="BK649" s="118"/>
      <c r="BL649" s="118"/>
      <c r="BM649" s="118"/>
      <c r="BN649" s="133"/>
      <c r="BO649" s="92"/>
    </row>
    <row r="650">
      <c r="I650" s="73"/>
      <c r="J650" s="74"/>
      <c r="O650" s="113"/>
      <c r="P650" s="114"/>
      <c r="Q650" s="115"/>
      <c r="R650" s="116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  <c r="AM650" s="115"/>
      <c r="AN650" s="115"/>
      <c r="AO650" s="115"/>
      <c r="AP650" s="117"/>
      <c r="AQ650" s="118"/>
      <c r="AR650" s="118"/>
      <c r="AS650" s="118"/>
      <c r="AT650" s="118"/>
      <c r="AU650" s="118"/>
      <c r="AV650" s="118"/>
      <c r="AW650" s="118"/>
      <c r="AX650" s="118"/>
      <c r="AY650" s="118"/>
      <c r="AZ650" s="118"/>
      <c r="BA650" s="118"/>
      <c r="BB650" s="118"/>
      <c r="BC650" s="118"/>
      <c r="BD650" s="118"/>
      <c r="BE650" s="118"/>
      <c r="BF650" s="118"/>
      <c r="BG650" s="118"/>
      <c r="BH650" s="118"/>
      <c r="BI650" s="118"/>
      <c r="BJ650" s="118"/>
      <c r="BK650" s="118"/>
      <c r="BL650" s="118"/>
      <c r="BM650" s="118"/>
      <c r="BN650" s="133"/>
      <c r="BO650" s="92"/>
    </row>
    <row r="651">
      <c r="I651" s="73"/>
      <c r="J651" s="74"/>
      <c r="O651" s="113"/>
      <c r="P651" s="114"/>
      <c r="Q651" s="115"/>
      <c r="R651" s="116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  <c r="AM651" s="115"/>
      <c r="AN651" s="115"/>
      <c r="AO651" s="115"/>
      <c r="AP651" s="117"/>
      <c r="AQ651" s="118"/>
      <c r="AR651" s="118"/>
      <c r="AS651" s="118"/>
      <c r="AT651" s="118"/>
      <c r="AU651" s="118"/>
      <c r="AV651" s="118"/>
      <c r="AW651" s="118"/>
      <c r="AX651" s="118"/>
      <c r="AY651" s="118"/>
      <c r="AZ651" s="118"/>
      <c r="BA651" s="118"/>
      <c r="BB651" s="118"/>
      <c r="BC651" s="118"/>
      <c r="BD651" s="118"/>
      <c r="BE651" s="118"/>
      <c r="BF651" s="118"/>
      <c r="BG651" s="118"/>
      <c r="BH651" s="118"/>
      <c r="BI651" s="118"/>
      <c r="BJ651" s="118"/>
      <c r="BK651" s="118"/>
      <c r="BL651" s="118"/>
      <c r="BM651" s="118"/>
      <c r="BN651" s="133"/>
      <c r="BO651" s="92"/>
    </row>
    <row r="652">
      <c r="I652" s="73"/>
      <c r="J652" s="74"/>
      <c r="O652" s="113"/>
      <c r="P652" s="114"/>
      <c r="Q652" s="115"/>
      <c r="R652" s="116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  <c r="AM652" s="115"/>
      <c r="AN652" s="115"/>
      <c r="AO652" s="115"/>
      <c r="AP652" s="117"/>
      <c r="AQ652" s="118"/>
      <c r="AR652" s="118"/>
      <c r="AS652" s="118"/>
      <c r="AT652" s="118"/>
      <c r="AU652" s="118"/>
      <c r="AV652" s="118"/>
      <c r="AW652" s="118"/>
      <c r="AX652" s="118"/>
      <c r="AY652" s="118"/>
      <c r="AZ652" s="118"/>
      <c r="BA652" s="118"/>
      <c r="BB652" s="118"/>
      <c r="BC652" s="118"/>
      <c r="BD652" s="118"/>
      <c r="BE652" s="118"/>
      <c r="BF652" s="118"/>
      <c r="BG652" s="118"/>
      <c r="BH652" s="118"/>
      <c r="BI652" s="118"/>
      <c r="BJ652" s="118"/>
      <c r="BK652" s="118"/>
      <c r="BL652" s="118"/>
      <c r="BM652" s="118"/>
      <c r="BN652" s="133"/>
      <c r="BO652" s="92"/>
    </row>
    <row r="653">
      <c r="I653" s="73"/>
      <c r="J653" s="74"/>
      <c r="O653" s="113"/>
      <c r="P653" s="114"/>
      <c r="Q653" s="115"/>
      <c r="R653" s="116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  <c r="AM653" s="115"/>
      <c r="AN653" s="115"/>
      <c r="AO653" s="115"/>
      <c r="AP653" s="117"/>
      <c r="AQ653" s="118"/>
      <c r="AR653" s="118"/>
      <c r="AS653" s="118"/>
      <c r="AT653" s="118"/>
      <c r="AU653" s="118"/>
      <c r="AV653" s="118"/>
      <c r="AW653" s="118"/>
      <c r="AX653" s="118"/>
      <c r="AY653" s="118"/>
      <c r="AZ653" s="118"/>
      <c r="BA653" s="118"/>
      <c r="BB653" s="118"/>
      <c r="BC653" s="118"/>
      <c r="BD653" s="118"/>
      <c r="BE653" s="118"/>
      <c r="BF653" s="118"/>
      <c r="BG653" s="118"/>
      <c r="BH653" s="118"/>
      <c r="BI653" s="118"/>
      <c r="BJ653" s="118"/>
      <c r="BK653" s="118"/>
      <c r="BL653" s="118"/>
      <c r="BM653" s="118"/>
      <c r="BN653" s="133"/>
      <c r="BO653" s="92"/>
    </row>
    <row r="654">
      <c r="I654" s="73"/>
      <c r="J654" s="74"/>
      <c r="O654" s="113"/>
      <c r="P654" s="114"/>
      <c r="Q654" s="115"/>
      <c r="R654" s="116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  <c r="AM654" s="115"/>
      <c r="AN654" s="115"/>
      <c r="AO654" s="115"/>
      <c r="AP654" s="117"/>
      <c r="AQ654" s="118"/>
      <c r="AR654" s="118"/>
      <c r="AS654" s="118"/>
      <c r="AT654" s="118"/>
      <c r="AU654" s="118"/>
      <c r="AV654" s="118"/>
      <c r="AW654" s="118"/>
      <c r="AX654" s="118"/>
      <c r="AY654" s="118"/>
      <c r="AZ654" s="118"/>
      <c r="BA654" s="118"/>
      <c r="BB654" s="118"/>
      <c r="BC654" s="118"/>
      <c r="BD654" s="118"/>
      <c r="BE654" s="118"/>
      <c r="BF654" s="118"/>
      <c r="BG654" s="118"/>
      <c r="BH654" s="118"/>
      <c r="BI654" s="118"/>
      <c r="BJ654" s="118"/>
      <c r="BK654" s="118"/>
      <c r="BL654" s="118"/>
      <c r="BM654" s="118"/>
      <c r="BN654" s="133"/>
      <c r="BO654" s="92"/>
    </row>
    <row r="655">
      <c r="I655" s="73"/>
      <c r="J655" s="74"/>
      <c r="O655" s="113"/>
      <c r="P655" s="114"/>
      <c r="Q655" s="115"/>
      <c r="R655" s="116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  <c r="AM655" s="115"/>
      <c r="AN655" s="115"/>
      <c r="AO655" s="115"/>
      <c r="AP655" s="117"/>
      <c r="AQ655" s="118"/>
      <c r="AR655" s="118"/>
      <c r="AS655" s="118"/>
      <c r="AT655" s="118"/>
      <c r="AU655" s="118"/>
      <c r="AV655" s="118"/>
      <c r="AW655" s="118"/>
      <c r="AX655" s="118"/>
      <c r="AY655" s="118"/>
      <c r="AZ655" s="118"/>
      <c r="BA655" s="118"/>
      <c r="BB655" s="118"/>
      <c r="BC655" s="118"/>
      <c r="BD655" s="118"/>
      <c r="BE655" s="118"/>
      <c r="BF655" s="118"/>
      <c r="BG655" s="118"/>
      <c r="BH655" s="118"/>
      <c r="BI655" s="118"/>
      <c r="BJ655" s="118"/>
      <c r="BK655" s="118"/>
      <c r="BL655" s="118"/>
      <c r="BM655" s="118"/>
      <c r="BN655" s="133"/>
      <c r="BO655" s="92"/>
    </row>
    <row r="656">
      <c r="I656" s="73"/>
      <c r="J656" s="74"/>
      <c r="O656" s="113"/>
      <c r="P656" s="114"/>
      <c r="Q656" s="115"/>
      <c r="R656" s="116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  <c r="AM656" s="115"/>
      <c r="AN656" s="115"/>
      <c r="AO656" s="115"/>
      <c r="AP656" s="117"/>
      <c r="AQ656" s="118"/>
      <c r="AR656" s="118"/>
      <c r="AS656" s="118"/>
      <c r="AT656" s="118"/>
      <c r="AU656" s="118"/>
      <c r="AV656" s="118"/>
      <c r="AW656" s="118"/>
      <c r="AX656" s="118"/>
      <c r="AY656" s="118"/>
      <c r="AZ656" s="118"/>
      <c r="BA656" s="118"/>
      <c r="BB656" s="118"/>
      <c r="BC656" s="118"/>
      <c r="BD656" s="118"/>
      <c r="BE656" s="118"/>
      <c r="BF656" s="118"/>
      <c r="BG656" s="118"/>
      <c r="BH656" s="118"/>
      <c r="BI656" s="118"/>
      <c r="BJ656" s="118"/>
      <c r="BK656" s="118"/>
      <c r="BL656" s="118"/>
      <c r="BM656" s="118"/>
      <c r="BN656" s="133"/>
      <c r="BO656" s="92"/>
    </row>
    <row r="657">
      <c r="I657" s="73"/>
      <c r="J657" s="74"/>
      <c r="O657" s="113"/>
      <c r="P657" s="114"/>
      <c r="Q657" s="115"/>
      <c r="R657" s="116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  <c r="AM657" s="115"/>
      <c r="AN657" s="115"/>
      <c r="AO657" s="115"/>
      <c r="AP657" s="117"/>
      <c r="AQ657" s="118"/>
      <c r="AR657" s="118"/>
      <c r="AS657" s="118"/>
      <c r="AT657" s="118"/>
      <c r="AU657" s="118"/>
      <c r="AV657" s="118"/>
      <c r="AW657" s="118"/>
      <c r="AX657" s="118"/>
      <c r="AY657" s="118"/>
      <c r="AZ657" s="118"/>
      <c r="BA657" s="118"/>
      <c r="BB657" s="118"/>
      <c r="BC657" s="118"/>
      <c r="BD657" s="118"/>
      <c r="BE657" s="118"/>
      <c r="BF657" s="118"/>
      <c r="BG657" s="118"/>
      <c r="BH657" s="118"/>
      <c r="BI657" s="118"/>
      <c r="BJ657" s="118"/>
      <c r="BK657" s="118"/>
      <c r="BL657" s="118"/>
      <c r="BM657" s="118"/>
      <c r="BN657" s="133"/>
      <c r="BO657" s="92"/>
    </row>
    <row r="658">
      <c r="I658" s="73"/>
      <c r="J658" s="74"/>
      <c r="O658" s="113"/>
      <c r="P658" s="114"/>
      <c r="Q658" s="115"/>
      <c r="R658" s="116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  <c r="AM658" s="115"/>
      <c r="AN658" s="115"/>
      <c r="AO658" s="115"/>
      <c r="AP658" s="117"/>
      <c r="AQ658" s="118"/>
      <c r="AR658" s="118"/>
      <c r="AS658" s="118"/>
      <c r="AT658" s="118"/>
      <c r="AU658" s="118"/>
      <c r="AV658" s="118"/>
      <c r="AW658" s="118"/>
      <c r="AX658" s="118"/>
      <c r="AY658" s="118"/>
      <c r="AZ658" s="118"/>
      <c r="BA658" s="118"/>
      <c r="BB658" s="118"/>
      <c r="BC658" s="118"/>
      <c r="BD658" s="118"/>
      <c r="BE658" s="118"/>
      <c r="BF658" s="118"/>
      <c r="BG658" s="118"/>
      <c r="BH658" s="118"/>
      <c r="BI658" s="118"/>
      <c r="BJ658" s="118"/>
      <c r="BK658" s="118"/>
      <c r="BL658" s="118"/>
      <c r="BM658" s="118"/>
      <c r="BN658" s="133"/>
      <c r="BO658" s="92"/>
    </row>
    <row r="659">
      <c r="I659" s="73"/>
      <c r="J659" s="74"/>
      <c r="O659" s="113"/>
      <c r="P659" s="114"/>
      <c r="Q659" s="115"/>
      <c r="R659" s="116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  <c r="AM659" s="115"/>
      <c r="AN659" s="115"/>
      <c r="AO659" s="115"/>
      <c r="AP659" s="117"/>
      <c r="AQ659" s="118"/>
      <c r="AR659" s="118"/>
      <c r="AS659" s="118"/>
      <c r="AT659" s="118"/>
      <c r="AU659" s="118"/>
      <c r="AV659" s="118"/>
      <c r="AW659" s="118"/>
      <c r="AX659" s="118"/>
      <c r="AY659" s="118"/>
      <c r="AZ659" s="118"/>
      <c r="BA659" s="118"/>
      <c r="BB659" s="118"/>
      <c r="BC659" s="118"/>
      <c r="BD659" s="118"/>
      <c r="BE659" s="118"/>
      <c r="BF659" s="118"/>
      <c r="BG659" s="118"/>
      <c r="BH659" s="118"/>
      <c r="BI659" s="118"/>
      <c r="BJ659" s="118"/>
      <c r="BK659" s="118"/>
      <c r="BL659" s="118"/>
      <c r="BM659" s="118"/>
      <c r="BN659" s="133"/>
      <c r="BO659" s="92"/>
    </row>
    <row r="660">
      <c r="I660" s="73"/>
      <c r="J660" s="74"/>
      <c r="O660" s="113"/>
      <c r="P660" s="114"/>
      <c r="Q660" s="115"/>
      <c r="R660" s="116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  <c r="AM660" s="115"/>
      <c r="AN660" s="115"/>
      <c r="AO660" s="115"/>
      <c r="AP660" s="117"/>
      <c r="AQ660" s="118"/>
      <c r="AR660" s="118"/>
      <c r="AS660" s="118"/>
      <c r="AT660" s="118"/>
      <c r="AU660" s="118"/>
      <c r="AV660" s="118"/>
      <c r="AW660" s="118"/>
      <c r="AX660" s="118"/>
      <c r="AY660" s="118"/>
      <c r="AZ660" s="118"/>
      <c r="BA660" s="118"/>
      <c r="BB660" s="118"/>
      <c r="BC660" s="118"/>
      <c r="BD660" s="118"/>
      <c r="BE660" s="118"/>
      <c r="BF660" s="118"/>
      <c r="BG660" s="118"/>
      <c r="BH660" s="118"/>
      <c r="BI660" s="118"/>
      <c r="BJ660" s="118"/>
      <c r="BK660" s="118"/>
      <c r="BL660" s="118"/>
      <c r="BM660" s="118"/>
      <c r="BN660" s="133"/>
      <c r="BO660" s="92"/>
    </row>
    <row r="661">
      <c r="I661" s="73"/>
      <c r="J661" s="74"/>
      <c r="O661" s="113"/>
      <c r="P661" s="114"/>
      <c r="Q661" s="115"/>
      <c r="R661" s="116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  <c r="AM661" s="115"/>
      <c r="AN661" s="115"/>
      <c r="AO661" s="115"/>
      <c r="AP661" s="117"/>
      <c r="AQ661" s="118"/>
      <c r="AR661" s="118"/>
      <c r="AS661" s="118"/>
      <c r="AT661" s="118"/>
      <c r="AU661" s="118"/>
      <c r="AV661" s="118"/>
      <c r="AW661" s="118"/>
      <c r="AX661" s="118"/>
      <c r="AY661" s="118"/>
      <c r="AZ661" s="118"/>
      <c r="BA661" s="118"/>
      <c r="BB661" s="118"/>
      <c r="BC661" s="118"/>
      <c r="BD661" s="118"/>
      <c r="BE661" s="118"/>
      <c r="BF661" s="118"/>
      <c r="BG661" s="118"/>
      <c r="BH661" s="118"/>
      <c r="BI661" s="118"/>
      <c r="BJ661" s="118"/>
      <c r="BK661" s="118"/>
      <c r="BL661" s="118"/>
      <c r="BM661" s="118"/>
      <c r="BN661" s="133"/>
      <c r="BO661" s="92"/>
    </row>
    <row r="662">
      <c r="I662" s="73"/>
      <c r="J662" s="74"/>
      <c r="O662" s="113"/>
      <c r="P662" s="114"/>
      <c r="Q662" s="115"/>
      <c r="R662" s="116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  <c r="AM662" s="115"/>
      <c r="AN662" s="115"/>
      <c r="AO662" s="115"/>
      <c r="AP662" s="117"/>
      <c r="AQ662" s="118"/>
      <c r="AR662" s="118"/>
      <c r="AS662" s="118"/>
      <c r="AT662" s="118"/>
      <c r="AU662" s="118"/>
      <c r="AV662" s="118"/>
      <c r="AW662" s="118"/>
      <c r="AX662" s="118"/>
      <c r="AY662" s="118"/>
      <c r="AZ662" s="118"/>
      <c r="BA662" s="118"/>
      <c r="BB662" s="118"/>
      <c r="BC662" s="118"/>
      <c r="BD662" s="118"/>
      <c r="BE662" s="118"/>
      <c r="BF662" s="118"/>
      <c r="BG662" s="118"/>
      <c r="BH662" s="118"/>
      <c r="BI662" s="118"/>
      <c r="BJ662" s="118"/>
      <c r="BK662" s="118"/>
      <c r="BL662" s="118"/>
      <c r="BM662" s="118"/>
      <c r="BN662" s="133"/>
      <c r="BO662" s="92"/>
    </row>
    <row r="663">
      <c r="I663" s="73"/>
      <c r="J663" s="74"/>
      <c r="O663" s="113"/>
      <c r="P663" s="114"/>
      <c r="Q663" s="115"/>
      <c r="R663" s="116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  <c r="AM663" s="115"/>
      <c r="AN663" s="115"/>
      <c r="AO663" s="115"/>
      <c r="AP663" s="117"/>
      <c r="AQ663" s="118"/>
      <c r="AR663" s="118"/>
      <c r="AS663" s="118"/>
      <c r="AT663" s="118"/>
      <c r="AU663" s="118"/>
      <c r="AV663" s="118"/>
      <c r="AW663" s="118"/>
      <c r="AX663" s="118"/>
      <c r="AY663" s="118"/>
      <c r="AZ663" s="118"/>
      <c r="BA663" s="118"/>
      <c r="BB663" s="118"/>
      <c r="BC663" s="118"/>
      <c r="BD663" s="118"/>
      <c r="BE663" s="118"/>
      <c r="BF663" s="118"/>
      <c r="BG663" s="118"/>
      <c r="BH663" s="118"/>
      <c r="BI663" s="118"/>
      <c r="BJ663" s="118"/>
      <c r="BK663" s="118"/>
      <c r="BL663" s="118"/>
      <c r="BM663" s="118"/>
      <c r="BN663" s="133"/>
      <c r="BO663" s="92"/>
    </row>
    <row r="664">
      <c r="I664" s="73"/>
      <c r="J664" s="74"/>
      <c r="O664" s="113"/>
      <c r="P664" s="114"/>
      <c r="Q664" s="115"/>
      <c r="R664" s="116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  <c r="AM664" s="115"/>
      <c r="AN664" s="115"/>
      <c r="AO664" s="115"/>
      <c r="AP664" s="117"/>
      <c r="AQ664" s="118"/>
      <c r="AR664" s="118"/>
      <c r="AS664" s="118"/>
      <c r="AT664" s="118"/>
      <c r="AU664" s="118"/>
      <c r="AV664" s="118"/>
      <c r="AW664" s="118"/>
      <c r="AX664" s="118"/>
      <c r="AY664" s="118"/>
      <c r="AZ664" s="118"/>
      <c r="BA664" s="118"/>
      <c r="BB664" s="118"/>
      <c r="BC664" s="118"/>
      <c r="BD664" s="118"/>
      <c r="BE664" s="118"/>
      <c r="BF664" s="118"/>
      <c r="BG664" s="118"/>
      <c r="BH664" s="118"/>
      <c r="BI664" s="118"/>
      <c r="BJ664" s="118"/>
      <c r="BK664" s="118"/>
      <c r="BL664" s="118"/>
      <c r="BM664" s="118"/>
      <c r="BN664" s="133"/>
      <c r="BO664" s="92"/>
    </row>
    <row r="665">
      <c r="I665" s="73"/>
      <c r="J665" s="74"/>
      <c r="O665" s="113"/>
      <c r="P665" s="114"/>
      <c r="Q665" s="115"/>
      <c r="R665" s="116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  <c r="AM665" s="115"/>
      <c r="AN665" s="115"/>
      <c r="AO665" s="115"/>
      <c r="AP665" s="117"/>
      <c r="AQ665" s="118"/>
      <c r="AR665" s="118"/>
      <c r="AS665" s="118"/>
      <c r="AT665" s="118"/>
      <c r="AU665" s="118"/>
      <c r="AV665" s="118"/>
      <c r="AW665" s="118"/>
      <c r="AX665" s="118"/>
      <c r="AY665" s="118"/>
      <c r="AZ665" s="118"/>
      <c r="BA665" s="118"/>
      <c r="BB665" s="118"/>
      <c r="BC665" s="118"/>
      <c r="BD665" s="118"/>
      <c r="BE665" s="118"/>
      <c r="BF665" s="118"/>
      <c r="BG665" s="118"/>
      <c r="BH665" s="118"/>
      <c r="BI665" s="118"/>
      <c r="BJ665" s="118"/>
      <c r="BK665" s="118"/>
      <c r="BL665" s="118"/>
      <c r="BM665" s="118"/>
      <c r="BN665" s="133"/>
      <c r="BO665" s="92"/>
    </row>
    <row r="666">
      <c r="I666" s="73"/>
      <c r="J666" s="74"/>
      <c r="O666" s="113"/>
      <c r="P666" s="114"/>
      <c r="Q666" s="115"/>
      <c r="R666" s="116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  <c r="AM666" s="115"/>
      <c r="AN666" s="115"/>
      <c r="AO666" s="115"/>
      <c r="AP666" s="117"/>
      <c r="AQ666" s="118"/>
      <c r="AR666" s="118"/>
      <c r="AS666" s="118"/>
      <c r="AT666" s="118"/>
      <c r="AU666" s="118"/>
      <c r="AV666" s="118"/>
      <c r="AW666" s="118"/>
      <c r="AX666" s="118"/>
      <c r="AY666" s="118"/>
      <c r="AZ666" s="118"/>
      <c r="BA666" s="118"/>
      <c r="BB666" s="118"/>
      <c r="BC666" s="118"/>
      <c r="BD666" s="118"/>
      <c r="BE666" s="118"/>
      <c r="BF666" s="118"/>
      <c r="BG666" s="118"/>
      <c r="BH666" s="118"/>
      <c r="BI666" s="118"/>
      <c r="BJ666" s="118"/>
      <c r="BK666" s="118"/>
      <c r="BL666" s="118"/>
      <c r="BM666" s="118"/>
      <c r="BN666" s="133"/>
      <c r="BO666" s="92"/>
    </row>
    <row r="667">
      <c r="I667" s="73"/>
      <c r="J667" s="74"/>
      <c r="O667" s="113"/>
      <c r="P667" s="114"/>
      <c r="Q667" s="115"/>
      <c r="R667" s="116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  <c r="AM667" s="115"/>
      <c r="AN667" s="115"/>
      <c r="AO667" s="115"/>
      <c r="AP667" s="117"/>
      <c r="AQ667" s="118"/>
      <c r="AR667" s="118"/>
      <c r="AS667" s="118"/>
      <c r="AT667" s="118"/>
      <c r="AU667" s="118"/>
      <c r="AV667" s="118"/>
      <c r="AW667" s="118"/>
      <c r="AX667" s="118"/>
      <c r="AY667" s="118"/>
      <c r="AZ667" s="118"/>
      <c r="BA667" s="118"/>
      <c r="BB667" s="118"/>
      <c r="BC667" s="118"/>
      <c r="BD667" s="118"/>
      <c r="BE667" s="118"/>
      <c r="BF667" s="118"/>
      <c r="BG667" s="118"/>
      <c r="BH667" s="118"/>
      <c r="BI667" s="118"/>
      <c r="BJ667" s="118"/>
      <c r="BK667" s="118"/>
      <c r="BL667" s="118"/>
      <c r="BM667" s="118"/>
      <c r="BN667" s="133"/>
      <c r="BO667" s="92"/>
    </row>
    <row r="668">
      <c r="I668" s="73"/>
      <c r="J668" s="74"/>
      <c r="O668" s="113"/>
      <c r="P668" s="114"/>
      <c r="Q668" s="115"/>
      <c r="R668" s="116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  <c r="AM668" s="115"/>
      <c r="AN668" s="115"/>
      <c r="AO668" s="115"/>
      <c r="AP668" s="117"/>
      <c r="AQ668" s="118"/>
      <c r="AR668" s="118"/>
      <c r="AS668" s="118"/>
      <c r="AT668" s="118"/>
      <c r="AU668" s="118"/>
      <c r="AV668" s="118"/>
      <c r="AW668" s="118"/>
      <c r="AX668" s="118"/>
      <c r="AY668" s="118"/>
      <c r="AZ668" s="118"/>
      <c r="BA668" s="118"/>
      <c r="BB668" s="118"/>
      <c r="BC668" s="118"/>
      <c r="BD668" s="118"/>
      <c r="BE668" s="118"/>
      <c r="BF668" s="118"/>
      <c r="BG668" s="118"/>
      <c r="BH668" s="118"/>
      <c r="BI668" s="118"/>
      <c r="BJ668" s="118"/>
      <c r="BK668" s="118"/>
      <c r="BL668" s="118"/>
      <c r="BM668" s="118"/>
      <c r="BN668" s="133"/>
      <c r="BO668" s="92"/>
    </row>
    <row r="669">
      <c r="I669" s="73"/>
      <c r="J669" s="74"/>
      <c r="O669" s="113"/>
      <c r="P669" s="114"/>
      <c r="Q669" s="115"/>
      <c r="R669" s="116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  <c r="AM669" s="115"/>
      <c r="AN669" s="115"/>
      <c r="AO669" s="115"/>
      <c r="AP669" s="117"/>
      <c r="AQ669" s="118"/>
      <c r="AR669" s="118"/>
      <c r="AS669" s="118"/>
      <c r="AT669" s="118"/>
      <c r="AU669" s="118"/>
      <c r="AV669" s="118"/>
      <c r="AW669" s="118"/>
      <c r="AX669" s="118"/>
      <c r="AY669" s="118"/>
      <c r="AZ669" s="118"/>
      <c r="BA669" s="118"/>
      <c r="BB669" s="118"/>
      <c r="BC669" s="118"/>
      <c r="BD669" s="118"/>
      <c r="BE669" s="118"/>
      <c r="BF669" s="118"/>
      <c r="BG669" s="118"/>
      <c r="BH669" s="118"/>
      <c r="BI669" s="118"/>
      <c r="BJ669" s="118"/>
      <c r="BK669" s="118"/>
      <c r="BL669" s="118"/>
      <c r="BM669" s="118"/>
      <c r="BN669" s="133"/>
      <c r="BO669" s="92"/>
    </row>
    <row r="670">
      <c r="I670" s="73"/>
      <c r="J670" s="74"/>
      <c r="O670" s="113"/>
      <c r="P670" s="114"/>
      <c r="Q670" s="115"/>
      <c r="R670" s="116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  <c r="AM670" s="115"/>
      <c r="AN670" s="115"/>
      <c r="AO670" s="115"/>
      <c r="AP670" s="117"/>
      <c r="AQ670" s="118"/>
      <c r="AR670" s="118"/>
      <c r="AS670" s="118"/>
      <c r="AT670" s="118"/>
      <c r="AU670" s="118"/>
      <c r="AV670" s="118"/>
      <c r="AW670" s="118"/>
      <c r="AX670" s="118"/>
      <c r="AY670" s="118"/>
      <c r="AZ670" s="118"/>
      <c r="BA670" s="118"/>
      <c r="BB670" s="118"/>
      <c r="BC670" s="118"/>
      <c r="BD670" s="118"/>
      <c r="BE670" s="118"/>
      <c r="BF670" s="118"/>
      <c r="BG670" s="118"/>
      <c r="BH670" s="118"/>
      <c r="BI670" s="118"/>
      <c r="BJ670" s="118"/>
      <c r="BK670" s="118"/>
      <c r="BL670" s="118"/>
      <c r="BM670" s="118"/>
      <c r="BN670" s="133"/>
      <c r="BO670" s="92"/>
    </row>
    <row r="671">
      <c r="I671" s="73"/>
      <c r="J671" s="74"/>
      <c r="O671" s="113"/>
      <c r="P671" s="114"/>
      <c r="Q671" s="115"/>
      <c r="R671" s="116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  <c r="AM671" s="115"/>
      <c r="AN671" s="115"/>
      <c r="AO671" s="115"/>
      <c r="AP671" s="117"/>
      <c r="AQ671" s="118"/>
      <c r="AR671" s="118"/>
      <c r="AS671" s="118"/>
      <c r="AT671" s="118"/>
      <c r="AU671" s="118"/>
      <c r="AV671" s="118"/>
      <c r="AW671" s="118"/>
      <c r="AX671" s="118"/>
      <c r="AY671" s="118"/>
      <c r="AZ671" s="118"/>
      <c r="BA671" s="118"/>
      <c r="BB671" s="118"/>
      <c r="BC671" s="118"/>
      <c r="BD671" s="118"/>
      <c r="BE671" s="118"/>
      <c r="BF671" s="118"/>
      <c r="BG671" s="118"/>
      <c r="BH671" s="118"/>
      <c r="BI671" s="118"/>
      <c r="BJ671" s="118"/>
      <c r="BK671" s="118"/>
      <c r="BL671" s="118"/>
      <c r="BM671" s="118"/>
      <c r="BN671" s="133"/>
      <c r="BO671" s="92"/>
    </row>
    <row r="672">
      <c r="I672" s="73"/>
      <c r="J672" s="74"/>
      <c r="O672" s="113"/>
      <c r="P672" s="114"/>
      <c r="Q672" s="115"/>
      <c r="R672" s="116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  <c r="AM672" s="115"/>
      <c r="AN672" s="115"/>
      <c r="AO672" s="115"/>
      <c r="AP672" s="117"/>
      <c r="AQ672" s="118"/>
      <c r="AR672" s="118"/>
      <c r="AS672" s="118"/>
      <c r="AT672" s="118"/>
      <c r="AU672" s="118"/>
      <c r="AV672" s="118"/>
      <c r="AW672" s="118"/>
      <c r="AX672" s="118"/>
      <c r="AY672" s="118"/>
      <c r="AZ672" s="118"/>
      <c r="BA672" s="118"/>
      <c r="BB672" s="118"/>
      <c r="BC672" s="118"/>
      <c r="BD672" s="118"/>
      <c r="BE672" s="118"/>
      <c r="BF672" s="118"/>
      <c r="BG672" s="118"/>
      <c r="BH672" s="118"/>
      <c r="BI672" s="118"/>
      <c r="BJ672" s="118"/>
      <c r="BK672" s="118"/>
      <c r="BL672" s="118"/>
      <c r="BM672" s="118"/>
      <c r="BN672" s="133"/>
      <c r="BO672" s="92"/>
    </row>
    <row r="673">
      <c r="I673" s="73"/>
      <c r="J673" s="74"/>
      <c r="O673" s="113"/>
      <c r="P673" s="114"/>
      <c r="Q673" s="115"/>
      <c r="R673" s="116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  <c r="AM673" s="115"/>
      <c r="AN673" s="115"/>
      <c r="AO673" s="115"/>
      <c r="AP673" s="117"/>
      <c r="AQ673" s="118"/>
      <c r="AR673" s="118"/>
      <c r="AS673" s="118"/>
      <c r="AT673" s="118"/>
      <c r="AU673" s="118"/>
      <c r="AV673" s="118"/>
      <c r="AW673" s="118"/>
      <c r="AX673" s="118"/>
      <c r="AY673" s="118"/>
      <c r="AZ673" s="118"/>
      <c r="BA673" s="118"/>
      <c r="BB673" s="118"/>
      <c r="BC673" s="118"/>
      <c r="BD673" s="118"/>
      <c r="BE673" s="118"/>
      <c r="BF673" s="118"/>
      <c r="BG673" s="118"/>
      <c r="BH673" s="118"/>
      <c r="BI673" s="118"/>
      <c r="BJ673" s="118"/>
      <c r="BK673" s="118"/>
      <c r="BL673" s="118"/>
      <c r="BM673" s="118"/>
      <c r="BN673" s="133"/>
      <c r="BO673" s="92"/>
    </row>
    <row r="674">
      <c r="I674" s="73"/>
      <c r="J674" s="74"/>
      <c r="O674" s="113"/>
      <c r="P674" s="114"/>
      <c r="Q674" s="115"/>
      <c r="R674" s="116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  <c r="AM674" s="115"/>
      <c r="AN674" s="115"/>
      <c r="AO674" s="115"/>
      <c r="AP674" s="117"/>
      <c r="AQ674" s="118"/>
      <c r="AR674" s="118"/>
      <c r="AS674" s="118"/>
      <c r="AT674" s="118"/>
      <c r="AU674" s="118"/>
      <c r="AV674" s="118"/>
      <c r="AW674" s="118"/>
      <c r="AX674" s="118"/>
      <c r="AY674" s="118"/>
      <c r="AZ674" s="118"/>
      <c r="BA674" s="118"/>
      <c r="BB674" s="118"/>
      <c r="BC674" s="118"/>
      <c r="BD674" s="118"/>
      <c r="BE674" s="118"/>
      <c r="BF674" s="118"/>
      <c r="BG674" s="118"/>
      <c r="BH674" s="118"/>
      <c r="BI674" s="118"/>
      <c r="BJ674" s="118"/>
      <c r="BK674" s="118"/>
      <c r="BL674" s="118"/>
      <c r="BM674" s="118"/>
      <c r="BN674" s="133"/>
      <c r="BO674" s="92"/>
    </row>
    <row r="675">
      <c r="I675" s="73"/>
      <c r="J675" s="74"/>
      <c r="O675" s="113"/>
      <c r="P675" s="114"/>
      <c r="Q675" s="115"/>
      <c r="R675" s="116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  <c r="AM675" s="115"/>
      <c r="AN675" s="115"/>
      <c r="AO675" s="115"/>
      <c r="AP675" s="117"/>
      <c r="AQ675" s="118"/>
      <c r="AR675" s="118"/>
      <c r="AS675" s="118"/>
      <c r="AT675" s="118"/>
      <c r="AU675" s="118"/>
      <c r="AV675" s="118"/>
      <c r="AW675" s="118"/>
      <c r="AX675" s="118"/>
      <c r="AY675" s="118"/>
      <c r="AZ675" s="118"/>
      <c r="BA675" s="118"/>
      <c r="BB675" s="118"/>
      <c r="BC675" s="118"/>
      <c r="BD675" s="118"/>
      <c r="BE675" s="118"/>
      <c r="BF675" s="118"/>
      <c r="BG675" s="118"/>
      <c r="BH675" s="118"/>
      <c r="BI675" s="118"/>
      <c r="BJ675" s="118"/>
      <c r="BK675" s="118"/>
      <c r="BL675" s="118"/>
      <c r="BM675" s="118"/>
      <c r="BN675" s="133"/>
      <c r="BO675" s="92"/>
    </row>
    <row r="676">
      <c r="I676" s="73"/>
      <c r="J676" s="74"/>
      <c r="O676" s="113"/>
      <c r="P676" s="114"/>
      <c r="Q676" s="115"/>
      <c r="R676" s="116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  <c r="AM676" s="115"/>
      <c r="AN676" s="115"/>
      <c r="AO676" s="115"/>
      <c r="AP676" s="117"/>
      <c r="AQ676" s="118"/>
      <c r="AR676" s="118"/>
      <c r="AS676" s="118"/>
      <c r="AT676" s="118"/>
      <c r="AU676" s="118"/>
      <c r="AV676" s="118"/>
      <c r="AW676" s="118"/>
      <c r="AX676" s="118"/>
      <c r="AY676" s="118"/>
      <c r="AZ676" s="118"/>
      <c r="BA676" s="118"/>
      <c r="BB676" s="118"/>
      <c r="BC676" s="118"/>
      <c r="BD676" s="118"/>
      <c r="BE676" s="118"/>
      <c r="BF676" s="118"/>
      <c r="BG676" s="118"/>
      <c r="BH676" s="118"/>
      <c r="BI676" s="118"/>
      <c r="BJ676" s="118"/>
      <c r="BK676" s="118"/>
      <c r="BL676" s="118"/>
      <c r="BM676" s="118"/>
      <c r="BN676" s="133"/>
      <c r="BO676" s="92"/>
    </row>
    <row r="677">
      <c r="I677" s="73"/>
      <c r="J677" s="74"/>
      <c r="O677" s="113"/>
      <c r="P677" s="114"/>
      <c r="Q677" s="115"/>
      <c r="R677" s="116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  <c r="AM677" s="115"/>
      <c r="AN677" s="115"/>
      <c r="AO677" s="115"/>
      <c r="AP677" s="117"/>
      <c r="AQ677" s="118"/>
      <c r="AR677" s="118"/>
      <c r="AS677" s="118"/>
      <c r="AT677" s="118"/>
      <c r="AU677" s="118"/>
      <c r="AV677" s="118"/>
      <c r="AW677" s="118"/>
      <c r="AX677" s="118"/>
      <c r="AY677" s="118"/>
      <c r="AZ677" s="118"/>
      <c r="BA677" s="118"/>
      <c r="BB677" s="118"/>
      <c r="BC677" s="118"/>
      <c r="BD677" s="118"/>
      <c r="BE677" s="118"/>
      <c r="BF677" s="118"/>
      <c r="BG677" s="118"/>
      <c r="BH677" s="118"/>
      <c r="BI677" s="118"/>
      <c r="BJ677" s="118"/>
      <c r="BK677" s="118"/>
      <c r="BL677" s="118"/>
      <c r="BM677" s="118"/>
      <c r="BN677" s="133"/>
      <c r="BO677" s="92"/>
    </row>
    <row r="678">
      <c r="I678" s="73"/>
      <c r="J678" s="74"/>
      <c r="O678" s="113"/>
      <c r="P678" s="114"/>
      <c r="Q678" s="115"/>
      <c r="R678" s="116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  <c r="AM678" s="115"/>
      <c r="AN678" s="115"/>
      <c r="AO678" s="115"/>
      <c r="AP678" s="117"/>
      <c r="AQ678" s="118"/>
      <c r="AR678" s="118"/>
      <c r="AS678" s="118"/>
      <c r="AT678" s="118"/>
      <c r="AU678" s="118"/>
      <c r="AV678" s="118"/>
      <c r="AW678" s="118"/>
      <c r="AX678" s="118"/>
      <c r="AY678" s="118"/>
      <c r="AZ678" s="118"/>
      <c r="BA678" s="118"/>
      <c r="BB678" s="118"/>
      <c r="BC678" s="118"/>
      <c r="BD678" s="118"/>
      <c r="BE678" s="118"/>
      <c r="BF678" s="118"/>
      <c r="BG678" s="118"/>
      <c r="BH678" s="118"/>
      <c r="BI678" s="118"/>
      <c r="BJ678" s="118"/>
      <c r="BK678" s="118"/>
      <c r="BL678" s="118"/>
      <c r="BM678" s="118"/>
      <c r="BN678" s="133"/>
      <c r="BO678" s="92"/>
    </row>
    <row r="679">
      <c r="I679" s="73"/>
      <c r="J679" s="74"/>
      <c r="O679" s="113"/>
      <c r="P679" s="114"/>
      <c r="Q679" s="115"/>
      <c r="R679" s="116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  <c r="AM679" s="115"/>
      <c r="AN679" s="115"/>
      <c r="AO679" s="115"/>
      <c r="AP679" s="117"/>
      <c r="AQ679" s="118"/>
      <c r="AR679" s="118"/>
      <c r="AS679" s="118"/>
      <c r="AT679" s="118"/>
      <c r="AU679" s="118"/>
      <c r="AV679" s="118"/>
      <c r="AW679" s="118"/>
      <c r="AX679" s="118"/>
      <c r="AY679" s="118"/>
      <c r="AZ679" s="118"/>
      <c r="BA679" s="118"/>
      <c r="BB679" s="118"/>
      <c r="BC679" s="118"/>
      <c r="BD679" s="118"/>
      <c r="BE679" s="118"/>
      <c r="BF679" s="118"/>
      <c r="BG679" s="118"/>
      <c r="BH679" s="118"/>
      <c r="BI679" s="118"/>
      <c r="BJ679" s="118"/>
      <c r="BK679" s="118"/>
      <c r="BL679" s="118"/>
      <c r="BM679" s="118"/>
      <c r="BN679" s="133"/>
      <c r="BO679" s="92"/>
    </row>
    <row r="680">
      <c r="I680" s="73"/>
      <c r="J680" s="74"/>
      <c r="O680" s="113"/>
      <c r="P680" s="114"/>
      <c r="Q680" s="115"/>
      <c r="R680" s="116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  <c r="AM680" s="115"/>
      <c r="AN680" s="115"/>
      <c r="AO680" s="115"/>
      <c r="AP680" s="117"/>
      <c r="AQ680" s="118"/>
      <c r="AR680" s="118"/>
      <c r="AS680" s="118"/>
      <c r="AT680" s="118"/>
      <c r="AU680" s="118"/>
      <c r="AV680" s="118"/>
      <c r="AW680" s="118"/>
      <c r="AX680" s="118"/>
      <c r="AY680" s="118"/>
      <c r="AZ680" s="118"/>
      <c r="BA680" s="118"/>
      <c r="BB680" s="118"/>
      <c r="BC680" s="118"/>
      <c r="BD680" s="118"/>
      <c r="BE680" s="118"/>
      <c r="BF680" s="118"/>
      <c r="BG680" s="118"/>
      <c r="BH680" s="118"/>
      <c r="BI680" s="118"/>
      <c r="BJ680" s="118"/>
      <c r="BK680" s="118"/>
      <c r="BL680" s="118"/>
      <c r="BM680" s="118"/>
      <c r="BN680" s="133"/>
      <c r="BO680" s="92"/>
    </row>
    <row r="681">
      <c r="I681" s="73"/>
      <c r="J681" s="74"/>
      <c r="O681" s="113"/>
      <c r="P681" s="114"/>
      <c r="Q681" s="115"/>
      <c r="R681" s="116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  <c r="AM681" s="115"/>
      <c r="AN681" s="115"/>
      <c r="AO681" s="115"/>
      <c r="AP681" s="117"/>
      <c r="AQ681" s="118"/>
      <c r="AR681" s="118"/>
      <c r="AS681" s="118"/>
      <c r="AT681" s="118"/>
      <c r="AU681" s="118"/>
      <c r="AV681" s="118"/>
      <c r="AW681" s="118"/>
      <c r="AX681" s="118"/>
      <c r="AY681" s="118"/>
      <c r="AZ681" s="118"/>
      <c r="BA681" s="118"/>
      <c r="BB681" s="118"/>
      <c r="BC681" s="118"/>
      <c r="BD681" s="118"/>
      <c r="BE681" s="118"/>
      <c r="BF681" s="118"/>
      <c r="BG681" s="118"/>
      <c r="BH681" s="118"/>
      <c r="BI681" s="118"/>
      <c r="BJ681" s="118"/>
      <c r="BK681" s="118"/>
      <c r="BL681" s="118"/>
      <c r="BM681" s="118"/>
      <c r="BN681" s="133"/>
      <c r="BO681" s="92"/>
    </row>
    <row r="682">
      <c r="I682" s="73"/>
      <c r="J682" s="74"/>
      <c r="O682" s="113"/>
      <c r="P682" s="114"/>
      <c r="Q682" s="115"/>
      <c r="R682" s="116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  <c r="AM682" s="115"/>
      <c r="AN682" s="115"/>
      <c r="AO682" s="115"/>
      <c r="AP682" s="117"/>
      <c r="AQ682" s="118"/>
      <c r="AR682" s="118"/>
      <c r="AS682" s="118"/>
      <c r="AT682" s="118"/>
      <c r="AU682" s="118"/>
      <c r="AV682" s="118"/>
      <c r="AW682" s="118"/>
      <c r="AX682" s="118"/>
      <c r="AY682" s="118"/>
      <c r="AZ682" s="118"/>
      <c r="BA682" s="118"/>
      <c r="BB682" s="118"/>
      <c r="BC682" s="118"/>
      <c r="BD682" s="118"/>
      <c r="BE682" s="118"/>
      <c r="BF682" s="118"/>
      <c r="BG682" s="118"/>
      <c r="BH682" s="118"/>
      <c r="BI682" s="118"/>
      <c r="BJ682" s="118"/>
      <c r="BK682" s="118"/>
      <c r="BL682" s="118"/>
      <c r="BM682" s="118"/>
      <c r="BN682" s="133"/>
      <c r="BO682" s="92"/>
    </row>
    <row r="683">
      <c r="I683" s="73"/>
      <c r="J683" s="74"/>
      <c r="O683" s="113"/>
      <c r="P683" s="114"/>
      <c r="Q683" s="115"/>
      <c r="R683" s="116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  <c r="AM683" s="115"/>
      <c r="AN683" s="115"/>
      <c r="AO683" s="115"/>
      <c r="AP683" s="117"/>
      <c r="AQ683" s="118"/>
      <c r="AR683" s="118"/>
      <c r="AS683" s="118"/>
      <c r="AT683" s="118"/>
      <c r="AU683" s="118"/>
      <c r="AV683" s="118"/>
      <c r="AW683" s="118"/>
      <c r="AX683" s="118"/>
      <c r="AY683" s="118"/>
      <c r="AZ683" s="118"/>
      <c r="BA683" s="118"/>
      <c r="BB683" s="118"/>
      <c r="BC683" s="118"/>
      <c r="BD683" s="118"/>
      <c r="BE683" s="118"/>
      <c r="BF683" s="118"/>
      <c r="BG683" s="118"/>
      <c r="BH683" s="118"/>
      <c r="BI683" s="118"/>
      <c r="BJ683" s="118"/>
      <c r="BK683" s="118"/>
      <c r="BL683" s="118"/>
      <c r="BM683" s="118"/>
      <c r="BN683" s="133"/>
      <c r="BO683" s="92"/>
    </row>
    <row r="684">
      <c r="I684" s="73"/>
      <c r="J684" s="74"/>
      <c r="O684" s="113"/>
      <c r="P684" s="114"/>
      <c r="Q684" s="115"/>
      <c r="R684" s="116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  <c r="AM684" s="115"/>
      <c r="AN684" s="115"/>
      <c r="AO684" s="115"/>
      <c r="AP684" s="117"/>
      <c r="AQ684" s="118"/>
      <c r="AR684" s="118"/>
      <c r="AS684" s="118"/>
      <c r="AT684" s="118"/>
      <c r="AU684" s="118"/>
      <c r="AV684" s="118"/>
      <c r="AW684" s="118"/>
      <c r="AX684" s="118"/>
      <c r="AY684" s="118"/>
      <c r="AZ684" s="118"/>
      <c r="BA684" s="118"/>
      <c r="BB684" s="118"/>
      <c r="BC684" s="118"/>
      <c r="BD684" s="118"/>
      <c r="BE684" s="118"/>
      <c r="BF684" s="118"/>
      <c r="BG684" s="118"/>
      <c r="BH684" s="118"/>
      <c r="BI684" s="118"/>
      <c r="BJ684" s="118"/>
      <c r="BK684" s="118"/>
      <c r="BL684" s="118"/>
      <c r="BM684" s="118"/>
      <c r="BN684" s="133"/>
      <c r="BO684" s="92"/>
    </row>
    <row r="685">
      <c r="I685" s="73"/>
      <c r="J685" s="74"/>
      <c r="O685" s="113"/>
      <c r="P685" s="114"/>
      <c r="Q685" s="115"/>
      <c r="R685" s="116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  <c r="AM685" s="115"/>
      <c r="AN685" s="115"/>
      <c r="AO685" s="115"/>
      <c r="AP685" s="117"/>
      <c r="AQ685" s="118"/>
      <c r="AR685" s="118"/>
      <c r="AS685" s="118"/>
      <c r="AT685" s="118"/>
      <c r="AU685" s="118"/>
      <c r="AV685" s="118"/>
      <c r="AW685" s="118"/>
      <c r="AX685" s="118"/>
      <c r="AY685" s="118"/>
      <c r="AZ685" s="118"/>
      <c r="BA685" s="118"/>
      <c r="BB685" s="118"/>
      <c r="BC685" s="118"/>
      <c r="BD685" s="118"/>
      <c r="BE685" s="118"/>
      <c r="BF685" s="118"/>
      <c r="BG685" s="118"/>
      <c r="BH685" s="118"/>
      <c r="BI685" s="118"/>
      <c r="BJ685" s="118"/>
      <c r="BK685" s="118"/>
      <c r="BL685" s="118"/>
      <c r="BM685" s="118"/>
      <c r="BN685" s="133"/>
      <c r="BO685" s="92"/>
    </row>
    <row r="686">
      <c r="I686" s="73"/>
      <c r="J686" s="74"/>
      <c r="O686" s="113"/>
      <c r="P686" s="114"/>
      <c r="Q686" s="115"/>
      <c r="R686" s="116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  <c r="AM686" s="115"/>
      <c r="AN686" s="115"/>
      <c r="AO686" s="115"/>
      <c r="AP686" s="117"/>
      <c r="AQ686" s="118"/>
      <c r="AR686" s="118"/>
      <c r="AS686" s="118"/>
      <c r="AT686" s="118"/>
      <c r="AU686" s="118"/>
      <c r="AV686" s="118"/>
      <c r="AW686" s="118"/>
      <c r="AX686" s="118"/>
      <c r="AY686" s="118"/>
      <c r="AZ686" s="118"/>
      <c r="BA686" s="118"/>
      <c r="BB686" s="118"/>
      <c r="BC686" s="118"/>
      <c r="BD686" s="118"/>
      <c r="BE686" s="118"/>
      <c r="BF686" s="118"/>
      <c r="BG686" s="118"/>
      <c r="BH686" s="118"/>
      <c r="BI686" s="118"/>
      <c r="BJ686" s="118"/>
      <c r="BK686" s="118"/>
      <c r="BL686" s="118"/>
      <c r="BM686" s="118"/>
      <c r="BN686" s="133"/>
      <c r="BO686" s="92"/>
    </row>
    <row r="687">
      <c r="I687" s="73"/>
      <c r="J687" s="74"/>
      <c r="O687" s="113"/>
      <c r="P687" s="114"/>
      <c r="Q687" s="115"/>
      <c r="R687" s="116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  <c r="AM687" s="115"/>
      <c r="AN687" s="115"/>
      <c r="AO687" s="115"/>
      <c r="AP687" s="117"/>
      <c r="AQ687" s="118"/>
      <c r="AR687" s="118"/>
      <c r="AS687" s="118"/>
      <c r="AT687" s="118"/>
      <c r="AU687" s="118"/>
      <c r="AV687" s="118"/>
      <c r="AW687" s="118"/>
      <c r="AX687" s="118"/>
      <c r="AY687" s="118"/>
      <c r="AZ687" s="118"/>
      <c r="BA687" s="118"/>
      <c r="BB687" s="118"/>
      <c r="BC687" s="118"/>
      <c r="BD687" s="118"/>
      <c r="BE687" s="118"/>
      <c r="BF687" s="118"/>
      <c r="BG687" s="118"/>
      <c r="BH687" s="118"/>
      <c r="BI687" s="118"/>
      <c r="BJ687" s="118"/>
      <c r="BK687" s="118"/>
      <c r="BL687" s="118"/>
      <c r="BM687" s="118"/>
      <c r="BN687" s="133"/>
      <c r="BO687" s="92"/>
    </row>
    <row r="688">
      <c r="I688" s="73"/>
      <c r="J688" s="74"/>
      <c r="O688" s="113"/>
      <c r="P688" s="114"/>
      <c r="Q688" s="115"/>
      <c r="R688" s="116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  <c r="AM688" s="115"/>
      <c r="AN688" s="115"/>
      <c r="AO688" s="115"/>
      <c r="AP688" s="117"/>
      <c r="AQ688" s="118"/>
      <c r="AR688" s="118"/>
      <c r="AS688" s="118"/>
      <c r="AT688" s="118"/>
      <c r="AU688" s="118"/>
      <c r="AV688" s="118"/>
      <c r="AW688" s="118"/>
      <c r="AX688" s="118"/>
      <c r="AY688" s="118"/>
      <c r="AZ688" s="118"/>
      <c r="BA688" s="118"/>
      <c r="BB688" s="118"/>
      <c r="BC688" s="118"/>
      <c r="BD688" s="118"/>
      <c r="BE688" s="118"/>
      <c r="BF688" s="118"/>
      <c r="BG688" s="118"/>
      <c r="BH688" s="118"/>
      <c r="BI688" s="118"/>
      <c r="BJ688" s="118"/>
      <c r="BK688" s="118"/>
      <c r="BL688" s="118"/>
      <c r="BM688" s="118"/>
      <c r="BN688" s="133"/>
      <c r="BO688" s="92"/>
    </row>
    <row r="689">
      <c r="I689" s="73"/>
      <c r="J689" s="74"/>
      <c r="O689" s="113"/>
      <c r="P689" s="114"/>
      <c r="Q689" s="115"/>
      <c r="R689" s="116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  <c r="AM689" s="115"/>
      <c r="AN689" s="115"/>
      <c r="AO689" s="115"/>
      <c r="AP689" s="117"/>
      <c r="AQ689" s="118"/>
      <c r="AR689" s="118"/>
      <c r="AS689" s="118"/>
      <c r="AT689" s="118"/>
      <c r="AU689" s="118"/>
      <c r="AV689" s="118"/>
      <c r="AW689" s="118"/>
      <c r="AX689" s="118"/>
      <c r="AY689" s="118"/>
      <c r="AZ689" s="118"/>
      <c r="BA689" s="118"/>
      <c r="BB689" s="118"/>
      <c r="BC689" s="118"/>
      <c r="BD689" s="118"/>
      <c r="BE689" s="118"/>
      <c r="BF689" s="118"/>
      <c r="BG689" s="118"/>
      <c r="BH689" s="118"/>
      <c r="BI689" s="118"/>
      <c r="BJ689" s="118"/>
      <c r="BK689" s="118"/>
      <c r="BL689" s="118"/>
      <c r="BM689" s="118"/>
      <c r="BN689" s="133"/>
      <c r="BO689" s="92"/>
    </row>
    <row r="690">
      <c r="I690" s="73"/>
      <c r="J690" s="74"/>
      <c r="O690" s="113"/>
      <c r="P690" s="114"/>
      <c r="Q690" s="115"/>
      <c r="R690" s="116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  <c r="AM690" s="115"/>
      <c r="AN690" s="115"/>
      <c r="AO690" s="115"/>
      <c r="AP690" s="117"/>
      <c r="AQ690" s="118"/>
      <c r="AR690" s="118"/>
      <c r="AS690" s="118"/>
      <c r="AT690" s="118"/>
      <c r="AU690" s="118"/>
      <c r="AV690" s="118"/>
      <c r="AW690" s="118"/>
      <c r="AX690" s="118"/>
      <c r="AY690" s="118"/>
      <c r="AZ690" s="118"/>
      <c r="BA690" s="118"/>
      <c r="BB690" s="118"/>
      <c r="BC690" s="118"/>
      <c r="BD690" s="118"/>
      <c r="BE690" s="118"/>
      <c r="BF690" s="118"/>
      <c r="BG690" s="118"/>
      <c r="BH690" s="118"/>
      <c r="BI690" s="118"/>
      <c r="BJ690" s="118"/>
      <c r="BK690" s="118"/>
      <c r="BL690" s="118"/>
      <c r="BM690" s="118"/>
      <c r="BN690" s="133"/>
      <c r="BO690" s="92"/>
    </row>
    <row r="691">
      <c r="I691" s="73"/>
      <c r="J691" s="74"/>
      <c r="O691" s="113"/>
      <c r="P691" s="114"/>
      <c r="Q691" s="115"/>
      <c r="R691" s="116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  <c r="AM691" s="115"/>
      <c r="AN691" s="115"/>
      <c r="AO691" s="115"/>
      <c r="AP691" s="117"/>
      <c r="AQ691" s="118"/>
      <c r="AR691" s="118"/>
      <c r="AS691" s="118"/>
      <c r="AT691" s="118"/>
      <c r="AU691" s="118"/>
      <c r="AV691" s="118"/>
      <c r="AW691" s="118"/>
      <c r="AX691" s="118"/>
      <c r="AY691" s="118"/>
      <c r="AZ691" s="118"/>
      <c r="BA691" s="118"/>
      <c r="BB691" s="118"/>
      <c r="BC691" s="118"/>
      <c r="BD691" s="118"/>
      <c r="BE691" s="118"/>
      <c r="BF691" s="118"/>
      <c r="BG691" s="118"/>
      <c r="BH691" s="118"/>
      <c r="BI691" s="118"/>
      <c r="BJ691" s="118"/>
      <c r="BK691" s="118"/>
      <c r="BL691" s="118"/>
      <c r="BM691" s="118"/>
      <c r="BN691" s="133"/>
      <c r="BO691" s="92"/>
    </row>
    <row r="692">
      <c r="I692" s="73"/>
      <c r="J692" s="74"/>
      <c r="O692" s="113"/>
      <c r="P692" s="114"/>
      <c r="Q692" s="115"/>
      <c r="R692" s="116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  <c r="AM692" s="115"/>
      <c r="AN692" s="115"/>
      <c r="AO692" s="115"/>
      <c r="AP692" s="117"/>
      <c r="AQ692" s="118"/>
      <c r="AR692" s="118"/>
      <c r="AS692" s="118"/>
      <c r="AT692" s="118"/>
      <c r="AU692" s="118"/>
      <c r="AV692" s="118"/>
      <c r="AW692" s="118"/>
      <c r="AX692" s="118"/>
      <c r="AY692" s="118"/>
      <c r="AZ692" s="118"/>
      <c r="BA692" s="118"/>
      <c r="BB692" s="118"/>
      <c r="BC692" s="118"/>
      <c r="BD692" s="118"/>
      <c r="BE692" s="118"/>
      <c r="BF692" s="118"/>
      <c r="BG692" s="118"/>
      <c r="BH692" s="118"/>
      <c r="BI692" s="118"/>
      <c r="BJ692" s="118"/>
      <c r="BK692" s="118"/>
      <c r="BL692" s="118"/>
      <c r="BM692" s="118"/>
      <c r="BN692" s="133"/>
      <c r="BO692" s="92"/>
    </row>
    <row r="693">
      <c r="I693" s="73"/>
      <c r="J693" s="74"/>
      <c r="O693" s="113"/>
      <c r="P693" s="114"/>
      <c r="Q693" s="115"/>
      <c r="R693" s="116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  <c r="AM693" s="115"/>
      <c r="AN693" s="115"/>
      <c r="AO693" s="115"/>
      <c r="AP693" s="117"/>
      <c r="AQ693" s="118"/>
      <c r="AR693" s="118"/>
      <c r="AS693" s="118"/>
      <c r="AT693" s="118"/>
      <c r="AU693" s="118"/>
      <c r="AV693" s="118"/>
      <c r="AW693" s="118"/>
      <c r="AX693" s="118"/>
      <c r="AY693" s="118"/>
      <c r="AZ693" s="118"/>
      <c r="BA693" s="118"/>
      <c r="BB693" s="118"/>
      <c r="BC693" s="118"/>
      <c r="BD693" s="118"/>
      <c r="BE693" s="118"/>
      <c r="BF693" s="118"/>
      <c r="BG693" s="118"/>
      <c r="BH693" s="118"/>
      <c r="BI693" s="118"/>
      <c r="BJ693" s="118"/>
      <c r="BK693" s="118"/>
      <c r="BL693" s="118"/>
      <c r="BM693" s="118"/>
      <c r="BN693" s="133"/>
      <c r="BO693" s="92"/>
    </row>
    <row r="694">
      <c r="I694" s="73"/>
      <c r="J694" s="74"/>
      <c r="O694" s="113"/>
      <c r="P694" s="114"/>
      <c r="Q694" s="115"/>
      <c r="R694" s="116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  <c r="AM694" s="115"/>
      <c r="AN694" s="115"/>
      <c r="AO694" s="115"/>
      <c r="AP694" s="117"/>
      <c r="AQ694" s="118"/>
      <c r="AR694" s="118"/>
      <c r="AS694" s="118"/>
      <c r="AT694" s="118"/>
      <c r="AU694" s="118"/>
      <c r="AV694" s="118"/>
      <c r="AW694" s="118"/>
      <c r="AX694" s="118"/>
      <c r="AY694" s="118"/>
      <c r="AZ694" s="118"/>
      <c r="BA694" s="118"/>
      <c r="BB694" s="118"/>
      <c r="BC694" s="118"/>
      <c r="BD694" s="118"/>
      <c r="BE694" s="118"/>
      <c r="BF694" s="118"/>
      <c r="BG694" s="118"/>
      <c r="BH694" s="118"/>
      <c r="BI694" s="118"/>
      <c r="BJ694" s="118"/>
      <c r="BK694" s="118"/>
      <c r="BL694" s="118"/>
      <c r="BM694" s="118"/>
      <c r="BN694" s="133"/>
      <c r="BO694" s="92"/>
    </row>
    <row r="695">
      <c r="I695" s="73"/>
      <c r="J695" s="74"/>
      <c r="O695" s="113"/>
      <c r="P695" s="114"/>
      <c r="Q695" s="115"/>
      <c r="R695" s="116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  <c r="AM695" s="115"/>
      <c r="AN695" s="115"/>
      <c r="AO695" s="115"/>
      <c r="AP695" s="117"/>
      <c r="AQ695" s="118"/>
      <c r="AR695" s="118"/>
      <c r="AS695" s="118"/>
      <c r="AT695" s="118"/>
      <c r="AU695" s="118"/>
      <c r="AV695" s="118"/>
      <c r="AW695" s="118"/>
      <c r="AX695" s="118"/>
      <c r="AY695" s="118"/>
      <c r="AZ695" s="118"/>
      <c r="BA695" s="118"/>
      <c r="BB695" s="118"/>
      <c r="BC695" s="118"/>
      <c r="BD695" s="118"/>
      <c r="BE695" s="118"/>
      <c r="BF695" s="118"/>
      <c r="BG695" s="118"/>
      <c r="BH695" s="118"/>
      <c r="BI695" s="118"/>
      <c r="BJ695" s="118"/>
      <c r="BK695" s="118"/>
      <c r="BL695" s="118"/>
      <c r="BM695" s="118"/>
      <c r="BN695" s="133"/>
      <c r="BO695" s="92"/>
    </row>
    <row r="696">
      <c r="I696" s="73"/>
      <c r="J696" s="74"/>
      <c r="O696" s="113"/>
      <c r="P696" s="114"/>
      <c r="Q696" s="115"/>
      <c r="R696" s="116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  <c r="AM696" s="115"/>
      <c r="AN696" s="115"/>
      <c r="AO696" s="115"/>
      <c r="AP696" s="117"/>
      <c r="AQ696" s="118"/>
      <c r="AR696" s="118"/>
      <c r="AS696" s="118"/>
      <c r="AT696" s="118"/>
      <c r="AU696" s="118"/>
      <c r="AV696" s="118"/>
      <c r="AW696" s="118"/>
      <c r="AX696" s="118"/>
      <c r="AY696" s="118"/>
      <c r="AZ696" s="118"/>
      <c r="BA696" s="118"/>
      <c r="BB696" s="118"/>
      <c r="BC696" s="118"/>
      <c r="BD696" s="118"/>
      <c r="BE696" s="118"/>
      <c r="BF696" s="118"/>
      <c r="BG696" s="118"/>
      <c r="BH696" s="118"/>
      <c r="BI696" s="118"/>
      <c r="BJ696" s="118"/>
      <c r="BK696" s="118"/>
      <c r="BL696" s="118"/>
      <c r="BM696" s="118"/>
      <c r="BN696" s="133"/>
      <c r="BO696" s="92"/>
    </row>
    <row r="697">
      <c r="I697" s="73"/>
      <c r="J697" s="74"/>
      <c r="O697" s="113"/>
      <c r="P697" s="114"/>
      <c r="Q697" s="115"/>
      <c r="R697" s="116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  <c r="AM697" s="115"/>
      <c r="AN697" s="115"/>
      <c r="AO697" s="115"/>
      <c r="AP697" s="117"/>
      <c r="AQ697" s="118"/>
      <c r="AR697" s="118"/>
      <c r="AS697" s="118"/>
      <c r="AT697" s="118"/>
      <c r="AU697" s="118"/>
      <c r="AV697" s="118"/>
      <c r="AW697" s="118"/>
      <c r="AX697" s="118"/>
      <c r="AY697" s="118"/>
      <c r="AZ697" s="118"/>
      <c r="BA697" s="118"/>
      <c r="BB697" s="118"/>
      <c r="BC697" s="118"/>
      <c r="BD697" s="118"/>
      <c r="BE697" s="118"/>
      <c r="BF697" s="118"/>
      <c r="BG697" s="118"/>
      <c r="BH697" s="118"/>
      <c r="BI697" s="118"/>
      <c r="BJ697" s="118"/>
      <c r="BK697" s="118"/>
      <c r="BL697" s="118"/>
      <c r="BM697" s="118"/>
      <c r="BN697" s="133"/>
      <c r="BO697" s="92"/>
    </row>
    <row r="698">
      <c r="I698" s="73"/>
      <c r="J698" s="74"/>
      <c r="O698" s="113"/>
      <c r="P698" s="114"/>
      <c r="Q698" s="115"/>
      <c r="R698" s="116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  <c r="AM698" s="115"/>
      <c r="AN698" s="115"/>
      <c r="AO698" s="115"/>
      <c r="AP698" s="117"/>
      <c r="AQ698" s="118"/>
      <c r="AR698" s="118"/>
      <c r="AS698" s="118"/>
      <c r="AT698" s="118"/>
      <c r="AU698" s="118"/>
      <c r="AV698" s="118"/>
      <c r="AW698" s="118"/>
      <c r="AX698" s="118"/>
      <c r="AY698" s="118"/>
      <c r="AZ698" s="118"/>
      <c r="BA698" s="118"/>
      <c r="BB698" s="118"/>
      <c r="BC698" s="118"/>
      <c r="BD698" s="118"/>
      <c r="BE698" s="118"/>
      <c r="BF698" s="118"/>
      <c r="BG698" s="118"/>
      <c r="BH698" s="118"/>
      <c r="BI698" s="118"/>
      <c r="BJ698" s="118"/>
      <c r="BK698" s="118"/>
      <c r="BL698" s="118"/>
      <c r="BM698" s="118"/>
      <c r="BN698" s="133"/>
      <c r="BO698" s="92"/>
    </row>
    <row r="699">
      <c r="I699" s="73"/>
      <c r="J699" s="74"/>
      <c r="O699" s="113"/>
      <c r="P699" s="114"/>
      <c r="Q699" s="115"/>
      <c r="R699" s="116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  <c r="AM699" s="115"/>
      <c r="AN699" s="115"/>
      <c r="AO699" s="115"/>
      <c r="AP699" s="117"/>
      <c r="AQ699" s="118"/>
      <c r="AR699" s="118"/>
      <c r="AS699" s="118"/>
      <c r="AT699" s="118"/>
      <c r="AU699" s="118"/>
      <c r="AV699" s="118"/>
      <c r="AW699" s="118"/>
      <c r="AX699" s="118"/>
      <c r="AY699" s="118"/>
      <c r="AZ699" s="118"/>
      <c r="BA699" s="118"/>
      <c r="BB699" s="118"/>
      <c r="BC699" s="118"/>
      <c r="BD699" s="118"/>
      <c r="BE699" s="118"/>
      <c r="BF699" s="118"/>
      <c r="BG699" s="118"/>
      <c r="BH699" s="118"/>
      <c r="BI699" s="118"/>
      <c r="BJ699" s="118"/>
      <c r="BK699" s="118"/>
      <c r="BL699" s="118"/>
      <c r="BM699" s="118"/>
      <c r="BN699" s="133"/>
      <c r="BO699" s="92"/>
    </row>
    <row r="700">
      <c r="I700" s="73"/>
      <c r="J700" s="74"/>
      <c r="O700" s="113"/>
      <c r="P700" s="114"/>
      <c r="Q700" s="115"/>
      <c r="R700" s="116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  <c r="AM700" s="115"/>
      <c r="AN700" s="115"/>
      <c r="AO700" s="115"/>
      <c r="AP700" s="117"/>
      <c r="AQ700" s="118"/>
      <c r="AR700" s="118"/>
      <c r="AS700" s="118"/>
      <c r="AT700" s="118"/>
      <c r="AU700" s="118"/>
      <c r="AV700" s="118"/>
      <c r="AW700" s="118"/>
      <c r="AX700" s="118"/>
      <c r="AY700" s="118"/>
      <c r="AZ700" s="118"/>
      <c r="BA700" s="118"/>
      <c r="BB700" s="118"/>
      <c r="BC700" s="118"/>
      <c r="BD700" s="118"/>
      <c r="BE700" s="118"/>
      <c r="BF700" s="118"/>
      <c r="BG700" s="118"/>
      <c r="BH700" s="118"/>
      <c r="BI700" s="118"/>
      <c r="BJ700" s="118"/>
      <c r="BK700" s="118"/>
      <c r="BL700" s="118"/>
      <c r="BM700" s="118"/>
      <c r="BN700" s="133"/>
      <c r="BO700" s="92"/>
    </row>
    <row r="701">
      <c r="I701" s="73"/>
      <c r="J701" s="74"/>
      <c r="O701" s="113"/>
      <c r="P701" s="114"/>
      <c r="Q701" s="115"/>
      <c r="R701" s="116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  <c r="AM701" s="115"/>
      <c r="AN701" s="115"/>
      <c r="AO701" s="115"/>
      <c r="AP701" s="117"/>
      <c r="AQ701" s="118"/>
      <c r="AR701" s="118"/>
      <c r="AS701" s="118"/>
      <c r="AT701" s="118"/>
      <c r="AU701" s="118"/>
      <c r="AV701" s="118"/>
      <c r="AW701" s="118"/>
      <c r="AX701" s="118"/>
      <c r="AY701" s="118"/>
      <c r="AZ701" s="118"/>
      <c r="BA701" s="118"/>
      <c r="BB701" s="118"/>
      <c r="BC701" s="118"/>
      <c r="BD701" s="118"/>
      <c r="BE701" s="118"/>
      <c r="BF701" s="118"/>
      <c r="BG701" s="118"/>
      <c r="BH701" s="118"/>
      <c r="BI701" s="118"/>
      <c r="BJ701" s="118"/>
      <c r="BK701" s="118"/>
      <c r="BL701" s="118"/>
      <c r="BM701" s="118"/>
      <c r="BN701" s="133"/>
      <c r="BO701" s="92"/>
    </row>
    <row r="702">
      <c r="I702" s="73"/>
      <c r="J702" s="74"/>
      <c r="O702" s="113"/>
      <c r="P702" s="114"/>
      <c r="Q702" s="115"/>
      <c r="R702" s="116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  <c r="AM702" s="115"/>
      <c r="AN702" s="115"/>
      <c r="AO702" s="115"/>
      <c r="AP702" s="117"/>
      <c r="AQ702" s="118"/>
      <c r="AR702" s="118"/>
      <c r="AS702" s="118"/>
      <c r="AT702" s="118"/>
      <c r="AU702" s="118"/>
      <c r="AV702" s="118"/>
      <c r="AW702" s="118"/>
      <c r="AX702" s="118"/>
      <c r="AY702" s="118"/>
      <c r="AZ702" s="118"/>
      <c r="BA702" s="118"/>
      <c r="BB702" s="118"/>
      <c r="BC702" s="118"/>
      <c r="BD702" s="118"/>
      <c r="BE702" s="118"/>
      <c r="BF702" s="118"/>
      <c r="BG702" s="118"/>
      <c r="BH702" s="118"/>
      <c r="BI702" s="118"/>
      <c r="BJ702" s="118"/>
      <c r="BK702" s="118"/>
      <c r="BL702" s="118"/>
      <c r="BM702" s="118"/>
      <c r="BN702" s="133"/>
      <c r="BO702" s="92"/>
    </row>
    <row r="703">
      <c r="I703" s="73"/>
      <c r="J703" s="74"/>
      <c r="O703" s="113"/>
      <c r="P703" s="114"/>
      <c r="Q703" s="115"/>
      <c r="R703" s="116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  <c r="AM703" s="115"/>
      <c r="AN703" s="115"/>
      <c r="AO703" s="115"/>
      <c r="AP703" s="117"/>
      <c r="AQ703" s="118"/>
      <c r="AR703" s="118"/>
      <c r="AS703" s="118"/>
      <c r="AT703" s="118"/>
      <c r="AU703" s="118"/>
      <c r="AV703" s="118"/>
      <c r="AW703" s="118"/>
      <c r="AX703" s="118"/>
      <c r="AY703" s="118"/>
      <c r="AZ703" s="118"/>
      <c r="BA703" s="118"/>
      <c r="BB703" s="118"/>
      <c r="BC703" s="118"/>
      <c r="BD703" s="118"/>
      <c r="BE703" s="118"/>
      <c r="BF703" s="118"/>
      <c r="BG703" s="118"/>
      <c r="BH703" s="118"/>
      <c r="BI703" s="118"/>
      <c r="BJ703" s="118"/>
      <c r="BK703" s="118"/>
      <c r="BL703" s="118"/>
      <c r="BM703" s="118"/>
      <c r="BN703" s="133"/>
      <c r="BO703" s="92"/>
    </row>
    <row r="704">
      <c r="I704" s="73"/>
      <c r="J704" s="74"/>
      <c r="O704" s="113"/>
      <c r="P704" s="114"/>
      <c r="Q704" s="115"/>
      <c r="R704" s="116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  <c r="AM704" s="115"/>
      <c r="AN704" s="115"/>
      <c r="AO704" s="115"/>
      <c r="AP704" s="117"/>
      <c r="AQ704" s="118"/>
      <c r="AR704" s="118"/>
      <c r="AS704" s="118"/>
      <c r="AT704" s="118"/>
      <c r="AU704" s="118"/>
      <c r="AV704" s="118"/>
      <c r="AW704" s="118"/>
      <c r="AX704" s="118"/>
      <c r="AY704" s="118"/>
      <c r="AZ704" s="118"/>
      <c r="BA704" s="118"/>
      <c r="BB704" s="118"/>
      <c r="BC704" s="118"/>
      <c r="BD704" s="118"/>
      <c r="BE704" s="118"/>
      <c r="BF704" s="118"/>
      <c r="BG704" s="118"/>
      <c r="BH704" s="118"/>
      <c r="BI704" s="118"/>
      <c r="BJ704" s="118"/>
      <c r="BK704" s="118"/>
      <c r="BL704" s="118"/>
      <c r="BM704" s="118"/>
      <c r="BN704" s="133"/>
      <c r="BO704" s="92"/>
    </row>
    <row r="705">
      <c r="I705" s="73"/>
      <c r="J705" s="74"/>
      <c r="O705" s="113"/>
      <c r="P705" s="114"/>
      <c r="Q705" s="115"/>
      <c r="R705" s="116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  <c r="AM705" s="115"/>
      <c r="AN705" s="115"/>
      <c r="AO705" s="115"/>
      <c r="AP705" s="117"/>
      <c r="AQ705" s="118"/>
      <c r="AR705" s="118"/>
      <c r="AS705" s="118"/>
      <c r="AT705" s="118"/>
      <c r="AU705" s="118"/>
      <c r="AV705" s="118"/>
      <c r="AW705" s="118"/>
      <c r="AX705" s="118"/>
      <c r="AY705" s="118"/>
      <c r="AZ705" s="118"/>
      <c r="BA705" s="118"/>
      <c r="BB705" s="118"/>
      <c r="BC705" s="118"/>
      <c r="BD705" s="118"/>
      <c r="BE705" s="118"/>
      <c r="BF705" s="118"/>
      <c r="BG705" s="118"/>
      <c r="BH705" s="118"/>
      <c r="BI705" s="118"/>
      <c r="BJ705" s="118"/>
      <c r="BK705" s="118"/>
      <c r="BL705" s="118"/>
      <c r="BM705" s="118"/>
      <c r="BN705" s="133"/>
      <c r="BO705" s="92"/>
    </row>
    <row r="706">
      <c r="I706" s="73"/>
      <c r="J706" s="74"/>
      <c r="O706" s="113"/>
      <c r="P706" s="114"/>
      <c r="Q706" s="115"/>
      <c r="R706" s="116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  <c r="AM706" s="115"/>
      <c r="AN706" s="115"/>
      <c r="AO706" s="115"/>
      <c r="AP706" s="117"/>
      <c r="AQ706" s="118"/>
      <c r="AR706" s="118"/>
      <c r="AS706" s="118"/>
      <c r="AT706" s="118"/>
      <c r="AU706" s="118"/>
      <c r="AV706" s="118"/>
      <c r="AW706" s="118"/>
      <c r="AX706" s="118"/>
      <c r="AY706" s="118"/>
      <c r="AZ706" s="118"/>
      <c r="BA706" s="118"/>
      <c r="BB706" s="118"/>
      <c r="BC706" s="118"/>
      <c r="BD706" s="118"/>
      <c r="BE706" s="118"/>
      <c r="BF706" s="118"/>
      <c r="BG706" s="118"/>
      <c r="BH706" s="118"/>
      <c r="BI706" s="118"/>
      <c r="BJ706" s="118"/>
      <c r="BK706" s="118"/>
      <c r="BL706" s="118"/>
      <c r="BM706" s="118"/>
      <c r="BN706" s="133"/>
      <c r="BO706" s="92"/>
    </row>
    <row r="707">
      <c r="I707" s="73"/>
      <c r="J707" s="74"/>
      <c r="O707" s="113"/>
      <c r="P707" s="114"/>
      <c r="Q707" s="115"/>
      <c r="R707" s="116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  <c r="AM707" s="115"/>
      <c r="AN707" s="115"/>
      <c r="AO707" s="115"/>
      <c r="AP707" s="117"/>
      <c r="AQ707" s="118"/>
      <c r="AR707" s="118"/>
      <c r="AS707" s="118"/>
      <c r="AT707" s="118"/>
      <c r="AU707" s="118"/>
      <c r="AV707" s="118"/>
      <c r="AW707" s="118"/>
      <c r="AX707" s="118"/>
      <c r="AY707" s="118"/>
      <c r="AZ707" s="118"/>
      <c r="BA707" s="118"/>
      <c r="BB707" s="118"/>
      <c r="BC707" s="118"/>
      <c r="BD707" s="118"/>
      <c r="BE707" s="118"/>
      <c r="BF707" s="118"/>
      <c r="BG707" s="118"/>
      <c r="BH707" s="118"/>
      <c r="BI707" s="118"/>
      <c r="BJ707" s="118"/>
      <c r="BK707" s="118"/>
      <c r="BL707" s="118"/>
      <c r="BM707" s="118"/>
      <c r="BN707" s="133"/>
      <c r="BO707" s="92"/>
    </row>
    <row r="708">
      <c r="I708" s="73"/>
      <c r="J708" s="74"/>
      <c r="O708" s="113"/>
      <c r="P708" s="114"/>
      <c r="Q708" s="115"/>
      <c r="R708" s="116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  <c r="AM708" s="115"/>
      <c r="AN708" s="115"/>
      <c r="AO708" s="115"/>
      <c r="AP708" s="117"/>
      <c r="AQ708" s="118"/>
      <c r="AR708" s="118"/>
      <c r="AS708" s="118"/>
      <c r="AT708" s="118"/>
      <c r="AU708" s="118"/>
      <c r="AV708" s="118"/>
      <c r="AW708" s="118"/>
      <c r="AX708" s="118"/>
      <c r="AY708" s="118"/>
      <c r="AZ708" s="118"/>
      <c r="BA708" s="118"/>
      <c r="BB708" s="118"/>
      <c r="BC708" s="118"/>
      <c r="BD708" s="118"/>
      <c r="BE708" s="118"/>
      <c r="BF708" s="118"/>
      <c r="BG708" s="118"/>
      <c r="BH708" s="118"/>
      <c r="BI708" s="118"/>
      <c r="BJ708" s="118"/>
      <c r="BK708" s="118"/>
      <c r="BL708" s="118"/>
      <c r="BM708" s="118"/>
      <c r="BN708" s="133"/>
      <c r="BO708" s="92"/>
    </row>
    <row r="709">
      <c r="I709" s="73"/>
      <c r="J709" s="74"/>
      <c r="O709" s="113"/>
      <c r="P709" s="114"/>
      <c r="Q709" s="115"/>
      <c r="R709" s="116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  <c r="AM709" s="115"/>
      <c r="AN709" s="115"/>
      <c r="AO709" s="115"/>
      <c r="AP709" s="117"/>
      <c r="AQ709" s="118"/>
      <c r="AR709" s="118"/>
      <c r="AS709" s="118"/>
      <c r="AT709" s="118"/>
      <c r="AU709" s="118"/>
      <c r="AV709" s="118"/>
      <c r="AW709" s="118"/>
      <c r="AX709" s="118"/>
      <c r="AY709" s="118"/>
      <c r="AZ709" s="118"/>
      <c r="BA709" s="118"/>
      <c r="BB709" s="118"/>
      <c r="BC709" s="118"/>
      <c r="BD709" s="118"/>
      <c r="BE709" s="118"/>
      <c r="BF709" s="118"/>
      <c r="BG709" s="118"/>
      <c r="BH709" s="118"/>
      <c r="BI709" s="118"/>
      <c r="BJ709" s="118"/>
      <c r="BK709" s="118"/>
      <c r="BL709" s="118"/>
      <c r="BM709" s="118"/>
      <c r="BN709" s="133"/>
      <c r="BO709" s="92"/>
    </row>
    <row r="710">
      <c r="I710" s="73"/>
      <c r="J710" s="74"/>
      <c r="O710" s="113"/>
      <c r="P710" s="114"/>
      <c r="Q710" s="115"/>
      <c r="R710" s="116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  <c r="AM710" s="115"/>
      <c r="AN710" s="115"/>
      <c r="AO710" s="115"/>
      <c r="AP710" s="117"/>
      <c r="AQ710" s="118"/>
      <c r="AR710" s="118"/>
      <c r="AS710" s="118"/>
      <c r="AT710" s="118"/>
      <c r="AU710" s="118"/>
      <c r="AV710" s="118"/>
      <c r="AW710" s="118"/>
      <c r="AX710" s="118"/>
      <c r="AY710" s="118"/>
      <c r="AZ710" s="118"/>
      <c r="BA710" s="118"/>
      <c r="BB710" s="118"/>
      <c r="BC710" s="118"/>
      <c r="BD710" s="118"/>
      <c r="BE710" s="118"/>
      <c r="BF710" s="118"/>
      <c r="BG710" s="118"/>
      <c r="BH710" s="118"/>
      <c r="BI710" s="118"/>
      <c r="BJ710" s="118"/>
      <c r="BK710" s="118"/>
      <c r="BL710" s="118"/>
      <c r="BM710" s="118"/>
      <c r="BN710" s="133"/>
      <c r="BO710" s="92"/>
    </row>
    <row r="711">
      <c r="I711" s="73"/>
      <c r="J711" s="74"/>
      <c r="O711" s="113"/>
      <c r="P711" s="114"/>
      <c r="Q711" s="115"/>
      <c r="R711" s="116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  <c r="AM711" s="115"/>
      <c r="AN711" s="115"/>
      <c r="AO711" s="115"/>
      <c r="AP711" s="117"/>
      <c r="AQ711" s="118"/>
      <c r="AR711" s="118"/>
      <c r="AS711" s="118"/>
      <c r="AT711" s="118"/>
      <c r="AU711" s="118"/>
      <c r="AV711" s="118"/>
      <c r="AW711" s="118"/>
      <c r="AX711" s="118"/>
      <c r="AY711" s="118"/>
      <c r="AZ711" s="118"/>
      <c r="BA711" s="118"/>
      <c r="BB711" s="118"/>
      <c r="BC711" s="118"/>
      <c r="BD711" s="118"/>
      <c r="BE711" s="118"/>
      <c r="BF711" s="118"/>
      <c r="BG711" s="118"/>
      <c r="BH711" s="118"/>
      <c r="BI711" s="118"/>
      <c r="BJ711" s="118"/>
      <c r="BK711" s="118"/>
      <c r="BL711" s="118"/>
      <c r="BM711" s="118"/>
      <c r="BN711" s="133"/>
      <c r="BO711" s="92"/>
    </row>
    <row r="712">
      <c r="I712" s="73"/>
      <c r="J712" s="74"/>
      <c r="O712" s="113"/>
      <c r="P712" s="114"/>
      <c r="Q712" s="115"/>
      <c r="R712" s="116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  <c r="AM712" s="115"/>
      <c r="AN712" s="115"/>
      <c r="AO712" s="115"/>
      <c r="AP712" s="117"/>
      <c r="AQ712" s="118"/>
      <c r="AR712" s="118"/>
      <c r="AS712" s="118"/>
      <c r="AT712" s="118"/>
      <c r="AU712" s="118"/>
      <c r="AV712" s="118"/>
      <c r="AW712" s="118"/>
      <c r="AX712" s="118"/>
      <c r="AY712" s="118"/>
      <c r="AZ712" s="118"/>
      <c r="BA712" s="118"/>
      <c r="BB712" s="118"/>
      <c r="BC712" s="118"/>
      <c r="BD712" s="118"/>
      <c r="BE712" s="118"/>
      <c r="BF712" s="118"/>
      <c r="BG712" s="118"/>
      <c r="BH712" s="118"/>
      <c r="BI712" s="118"/>
      <c r="BJ712" s="118"/>
      <c r="BK712" s="118"/>
      <c r="BL712" s="118"/>
      <c r="BM712" s="118"/>
      <c r="BN712" s="133"/>
      <c r="BO712" s="92"/>
    </row>
    <row r="713">
      <c r="I713" s="73"/>
      <c r="J713" s="74"/>
      <c r="O713" s="113"/>
      <c r="P713" s="114"/>
      <c r="Q713" s="115"/>
      <c r="R713" s="116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  <c r="AM713" s="115"/>
      <c r="AN713" s="115"/>
      <c r="AO713" s="115"/>
      <c r="AP713" s="117"/>
      <c r="AQ713" s="118"/>
      <c r="AR713" s="118"/>
      <c r="AS713" s="118"/>
      <c r="AT713" s="118"/>
      <c r="AU713" s="118"/>
      <c r="AV713" s="118"/>
      <c r="AW713" s="118"/>
      <c r="AX713" s="118"/>
      <c r="AY713" s="118"/>
      <c r="AZ713" s="118"/>
      <c r="BA713" s="118"/>
      <c r="BB713" s="118"/>
      <c r="BC713" s="118"/>
      <c r="BD713" s="118"/>
      <c r="BE713" s="118"/>
      <c r="BF713" s="118"/>
      <c r="BG713" s="118"/>
      <c r="BH713" s="118"/>
      <c r="BI713" s="118"/>
      <c r="BJ713" s="118"/>
      <c r="BK713" s="118"/>
      <c r="BL713" s="118"/>
      <c r="BM713" s="118"/>
      <c r="BN713" s="133"/>
      <c r="BO713" s="92"/>
    </row>
    <row r="714">
      <c r="I714" s="73"/>
      <c r="J714" s="74"/>
      <c r="O714" s="113"/>
      <c r="P714" s="114"/>
      <c r="Q714" s="115"/>
      <c r="R714" s="116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  <c r="AM714" s="115"/>
      <c r="AN714" s="115"/>
      <c r="AO714" s="115"/>
      <c r="AP714" s="117"/>
      <c r="AQ714" s="118"/>
      <c r="AR714" s="118"/>
      <c r="AS714" s="118"/>
      <c r="AT714" s="118"/>
      <c r="AU714" s="118"/>
      <c r="AV714" s="118"/>
      <c r="AW714" s="118"/>
      <c r="AX714" s="118"/>
      <c r="AY714" s="118"/>
      <c r="AZ714" s="118"/>
      <c r="BA714" s="118"/>
      <c r="BB714" s="118"/>
      <c r="BC714" s="118"/>
      <c r="BD714" s="118"/>
      <c r="BE714" s="118"/>
      <c r="BF714" s="118"/>
      <c r="BG714" s="118"/>
      <c r="BH714" s="118"/>
      <c r="BI714" s="118"/>
      <c r="BJ714" s="118"/>
      <c r="BK714" s="118"/>
      <c r="BL714" s="118"/>
      <c r="BM714" s="118"/>
      <c r="BN714" s="133"/>
      <c r="BO714" s="92"/>
    </row>
    <row r="715">
      <c r="I715" s="73"/>
      <c r="J715" s="74"/>
      <c r="O715" s="113"/>
      <c r="P715" s="114"/>
      <c r="Q715" s="115"/>
      <c r="R715" s="116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  <c r="AM715" s="115"/>
      <c r="AN715" s="115"/>
      <c r="AO715" s="115"/>
      <c r="AP715" s="117"/>
      <c r="AQ715" s="118"/>
      <c r="AR715" s="118"/>
      <c r="AS715" s="118"/>
      <c r="AT715" s="118"/>
      <c r="AU715" s="118"/>
      <c r="AV715" s="118"/>
      <c r="AW715" s="118"/>
      <c r="AX715" s="118"/>
      <c r="AY715" s="118"/>
      <c r="AZ715" s="118"/>
      <c r="BA715" s="118"/>
      <c r="BB715" s="118"/>
      <c r="BC715" s="118"/>
      <c r="BD715" s="118"/>
      <c r="BE715" s="118"/>
      <c r="BF715" s="118"/>
      <c r="BG715" s="118"/>
      <c r="BH715" s="118"/>
      <c r="BI715" s="118"/>
      <c r="BJ715" s="118"/>
      <c r="BK715" s="118"/>
      <c r="BL715" s="118"/>
      <c r="BM715" s="118"/>
      <c r="BN715" s="133"/>
      <c r="BO715" s="92"/>
    </row>
    <row r="716">
      <c r="I716" s="73"/>
      <c r="J716" s="74"/>
      <c r="O716" s="113"/>
      <c r="P716" s="114"/>
      <c r="Q716" s="115"/>
      <c r="R716" s="116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  <c r="AM716" s="115"/>
      <c r="AN716" s="115"/>
      <c r="AO716" s="115"/>
      <c r="AP716" s="117"/>
      <c r="AQ716" s="118"/>
      <c r="AR716" s="118"/>
      <c r="AS716" s="118"/>
      <c r="AT716" s="118"/>
      <c r="AU716" s="118"/>
      <c r="AV716" s="118"/>
      <c r="AW716" s="118"/>
      <c r="AX716" s="118"/>
      <c r="AY716" s="118"/>
      <c r="AZ716" s="118"/>
      <c r="BA716" s="118"/>
      <c r="BB716" s="118"/>
      <c r="BC716" s="118"/>
      <c r="BD716" s="118"/>
      <c r="BE716" s="118"/>
      <c r="BF716" s="118"/>
      <c r="BG716" s="118"/>
      <c r="BH716" s="118"/>
      <c r="BI716" s="118"/>
      <c r="BJ716" s="118"/>
      <c r="BK716" s="118"/>
      <c r="BL716" s="118"/>
      <c r="BM716" s="118"/>
      <c r="BN716" s="133"/>
      <c r="BO716" s="92"/>
    </row>
    <row r="717">
      <c r="I717" s="73"/>
      <c r="J717" s="74"/>
      <c r="O717" s="113"/>
      <c r="P717" s="114"/>
      <c r="Q717" s="115"/>
      <c r="R717" s="116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  <c r="AM717" s="115"/>
      <c r="AN717" s="115"/>
      <c r="AO717" s="115"/>
      <c r="AP717" s="117"/>
      <c r="AQ717" s="118"/>
      <c r="AR717" s="118"/>
      <c r="AS717" s="118"/>
      <c r="AT717" s="118"/>
      <c r="AU717" s="118"/>
      <c r="AV717" s="118"/>
      <c r="AW717" s="118"/>
      <c r="AX717" s="118"/>
      <c r="AY717" s="118"/>
      <c r="AZ717" s="118"/>
      <c r="BA717" s="118"/>
      <c r="BB717" s="118"/>
      <c r="BC717" s="118"/>
      <c r="BD717" s="118"/>
      <c r="BE717" s="118"/>
      <c r="BF717" s="118"/>
      <c r="BG717" s="118"/>
      <c r="BH717" s="118"/>
      <c r="BI717" s="118"/>
      <c r="BJ717" s="118"/>
      <c r="BK717" s="118"/>
      <c r="BL717" s="118"/>
      <c r="BM717" s="118"/>
      <c r="BN717" s="133"/>
      <c r="BO717" s="92"/>
    </row>
    <row r="718">
      <c r="I718" s="73"/>
      <c r="J718" s="74"/>
      <c r="O718" s="113"/>
      <c r="P718" s="114"/>
      <c r="Q718" s="115"/>
      <c r="R718" s="116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  <c r="AM718" s="115"/>
      <c r="AN718" s="115"/>
      <c r="AO718" s="115"/>
      <c r="AP718" s="117"/>
      <c r="AQ718" s="118"/>
      <c r="AR718" s="118"/>
      <c r="AS718" s="118"/>
      <c r="AT718" s="118"/>
      <c r="AU718" s="118"/>
      <c r="AV718" s="118"/>
      <c r="AW718" s="118"/>
      <c r="AX718" s="118"/>
      <c r="AY718" s="118"/>
      <c r="AZ718" s="118"/>
      <c r="BA718" s="118"/>
      <c r="BB718" s="118"/>
      <c r="BC718" s="118"/>
      <c r="BD718" s="118"/>
      <c r="BE718" s="118"/>
      <c r="BF718" s="118"/>
      <c r="BG718" s="118"/>
      <c r="BH718" s="118"/>
      <c r="BI718" s="118"/>
      <c r="BJ718" s="118"/>
      <c r="BK718" s="118"/>
      <c r="BL718" s="118"/>
      <c r="BM718" s="118"/>
      <c r="BN718" s="133"/>
      <c r="BO718" s="92"/>
    </row>
    <row r="719">
      <c r="I719" s="73"/>
      <c r="J719" s="74"/>
      <c r="O719" s="113"/>
      <c r="P719" s="114"/>
      <c r="Q719" s="115"/>
      <c r="R719" s="116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  <c r="AM719" s="115"/>
      <c r="AN719" s="115"/>
      <c r="AO719" s="115"/>
      <c r="AP719" s="117"/>
      <c r="AQ719" s="118"/>
      <c r="AR719" s="118"/>
      <c r="AS719" s="118"/>
      <c r="AT719" s="118"/>
      <c r="AU719" s="118"/>
      <c r="AV719" s="118"/>
      <c r="AW719" s="118"/>
      <c r="AX719" s="118"/>
      <c r="AY719" s="118"/>
      <c r="AZ719" s="118"/>
      <c r="BA719" s="118"/>
      <c r="BB719" s="118"/>
      <c r="BC719" s="118"/>
      <c r="BD719" s="118"/>
      <c r="BE719" s="118"/>
      <c r="BF719" s="118"/>
      <c r="BG719" s="118"/>
      <c r="BH719" s="118"/>
      <c r="BI719" s="118"/>
      <c r="BJ719" s="118"/>
      <c r="BK719" s="118"/>
      <c r="BL719" s="118"/>
      <c r="BM719" s="118"/>
      <c r="BN719" s="133"/>
      <c r="BO719" s="92"/>
    </row>
    <row r="720">
      <c r="I720" s="73"/>
      <c r="J720" s="74"/>
      <c r="O720" s="113"/>
      <c r="P720" s="114"/>
      <c r="Q720" s="115"/>
      <c r="R720" s="116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  <c r="AM720" s="115"/>
      <c r="AN720" s="115"/>
      <c r="AO720" s="115"/>
      <c r="AP720" s="117"/>
      <c r="AQ720" s="118"/>
      <c r="AR720" s="118"/>
      <c r="AS720" s="118"/>
      <c r="AT720" s="118"/>
      <c r="AU720" s="118"/>
      <c r="AV720" s="118"/>
      <c r="AW720" s="118"/>
      <c r="AX720" s="118"/>
      <c r="AY720" s="118"/>
      <c r="AZ720" s="118"/>
      <c r="BA720" s="118"/>
      <c r="BB720" s="118"/>
      <c r="BC720" s="118"/>
      <c r="BD720" s="118"/>
      <c r="BE720" s="118"/>
      <c r="BF720" s="118"/>
      <c r="BG720" s="118"/>
      <c r="BH720" s="118"/>
      <c r="BI720" s="118"/>
      <c r="BJ720" s="118"/>
      <c r="BK720" s="118"/>
      <c r="BL720" s="118"/>
      <c r="BM720" s="118"/>
      <c r="BN720" s="133"/>
      <c r="BO720" s="92"/>
    </row>
    <row r="721">
      <c r="I721" s="73"/>
      <c r="J721" s="74"/>
      <c r="O721" s="113"/>
      <c r="P721" s="114"/>
      <c r="Q721" s="115"/>
      <c r="R721" s="116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  <c r="AM721" s="115"/>
      <c r="AN721" s="115"/>
      <c r="AO721" s="115"/>
      <c r="AP721" s="117"/>
      <c r="AQ721" s="118"/>
      <c r="AR721" s="118"/>
      <c r="AS721" s="118"/>
      <c r="AT721" s="118"/>
      <c r="AU721" s="118"/>
      <c r="AV721" s="118"/>
      <c r="AW721" s="118"/>
      <c r="AX721" s="118"/>
      <c r="AY721" s="118"/>
      <c r="AZ721" s="118"/>
      <c r="BA721" s="118"/>
      <c r="BB721" s="118"/>
      <c r="BC721" s="118"/>
      <c r="BD721" s="118"/>
      <c r="BE721" s="118"/>
      <c r="BF721" s="118"/>
      <c r="BG721" s="118"/>
      <c r="BH721" s="118"/>
      <c r="BI721" s="118"/>
      <c r="BJ721" s="118"/>
      <c r="BK721" s="118"/>
      <c r="BL721" s="118"/>
      <c r="BM721" s="118"/>
      <c r="BN721" s="133"/>
      <c r="BO721" s="92"/>
    </row>
    <row r="722">
      <c r="I722" s="73"/>
      <c r="J722" s="74"/>
      <c r="O722" s="113"/>
      <c r="P722" s="114"/>
      <c r="Q722" s="115"/>
      <c r="R722" s="116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  <c r="AM722" s="115"/>
      <c r="AN722" s="115"/>
      <c r="AO722" s="115"/>
      <c r="AP722" s="117"/>
      <c r="AQ722" s="118"/>
      <c r="AR722" s="118"/>
      <c r="AS722" s="118"/>
      <c r="AT722" s="118"/>
      <c r="AU722" s="118"/>
      <c r="AV722" s="118"/>
      <c r="AW722" s="118"/>
      <c r="AX722" s="118"/>
      <c r="AY722" s="118"/>
      <c r="AZ722" s="118"/>
      <c r="BA722" s="118"/>
      <c r="BB722" s="118"/>
      <c r="BC722" s="118"/>
      <c r="BD722" s="118"/>
      <c r="BE722" s="118"/>
      <c r="BF722" s="118"/>
      <c r="BG722" s="118"/>
      <c r="BH722" s="118"/>
      <c r="BI722" s="118"/>
      <c r="BJ722" s="118"/>
      <c r="BK722" s="118"/>
      <c r="BL722" s="118"/>
      <c r="BM722" s="118"/>
      <c r="BN722" s="133"/>
      <c r="BO722" s="92"/>
    </row>
    <row r="723">
      <c r="I723" s="73"/>
      <c r="J723" s="74"/>
      <c r="O723" s="113"/>
      <c r="P723" s="114"/>
      <c r="Q723" s="115"/>
      <c r="R723" s="116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  <c r="AM723" s="115"/>
      <c r="AN723" s="115"/>
      <c r="AO723" s="115"/>
      <c r="AP723" s="117"/>
      <c r="AQ723" s="118"/>
      <c r="AR723" s="118"/>
      <c r="AS723" s="118"/>
      <c r="AT723" s="118"/>
      <c r="AU723" s="118"/>
      <c r="AV723" s="118"/>
      <c r="AW723" s="118"/>
      <c r="AX723" s="118"/>
      <c r="AY723" s="118"/>
      <c r="AZ723" s="118"/>
      <c r="BA723" s="118"/>
      <c r="BB723" s="118"/>
      <c r="BC723" s="118"/>
      <c r="BD723" s="118"/>
      <c r="BE723" s="118"/>
      <c r="BF723" s="118"/>
      <c r="BG723" s="118"/>
      <c r="BH723" s="118"/>
      <c r="BI723" s="118"/>
      <c r="BJ723" s="118"/>
      <c r="BK723" s="118"/>
      <c r="BL723" s="118"/>
      <c r="BM723" s="118"/>
      <c r="BN723" s="133"/>
      <c r="BO723" s="92"/>
    </row>
    <row r="724">
      <c r="I724" s="73"/>
      <c r="J724" s="74"/>
      <c r="O724" s="113"/>
      <c r="P724" s="114"/>
      <c r="Q724" s="115"/>
      <c r="R724" s="116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  <c r="AM724" s="115"/>
      <c r="AN724" s="115"/>
      <c r="AO724" s="115"/>
      <c r="AP724" s="117"/>
      <c r="AQ724" s="118"/>
      <c r="AR724" s="118"/>
      <c r="AS724" s="118"/>
      <c r="AT724" s="118"/>
      <c r="AU724" s="118"/>
      <c r="AV724" s="118"/>
      <c r="AW724" s="118"/>
      <c r="AX724" s="118"/>
      <c r="AY724" s="118"/>
      <c r="AZ724" s="118"/>
      <c r="BA724" s="118"/>
      <c r="BB724" s="118"/>
      <c r="BC724" s="118"/>
      <c r="BD724" s="118"/>
      <c r="BE724" s="118"/>
      <c r="BF724" s="118"/>
      <c r="BG724" s="118"/>
      <c r="BH724" s="118"/>
      <c r="BI724" s="118"/>
      <c r="BJ724" s="118"/>
      <c r="BK724" s="118"/>
      <c r="BL724" s="118"/>
      <c r="BM724" s="118"/>
      <c r="BN724" s="133"/>
      <c r="BO724" s="92"/>
    </row>
    <row r="725">
      <c r="I725" s="73"/>
      <c r="J725" s="74"/>
      <c r="O725" s="113"/>
      <c r="P725" s="114"/>
      <c r="Q725" s="115"/>
      <c r="R725" s="116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  <c r="AM725" s="115"/>
      <c r="AN725" s="115"/>
      <c r="AO725" s="115"/>
      <c r="AP725" s="117"/>
      <c r="AQ725" s="118"/>
      <c r="AR725" s="118"/>
      <c r="AS725" s="118"/>
      <c r="AT725" s="118"/>
      <c r="AU725" s="118"/>
      <c r="AV725" s="118"/>
      <c r="AW725" s="118"/>
      <c r="AX725" s="118"/>
      <c r="AY725" s="118"/>
      <c r="AZ725" s="118"/>
      <c r="BA725" s="118"/>
      <c r="BB725" s="118"/>
      <c r="BC725" s="118"/>
      <c r="BD725" s="118"/>
      <c r="BE725" s="118"/>
      <c r="BF725" s="118"/>
      <c r="BG725" s="118"/>
      <c r="BH725" s="118"/>
      <c r="BI725" s="118"/>
      <c r="BJ725" s="118"/>
      <c r="BK725" s="118"/>
      <c r="BL725" s="118"/>
      <c r="BM725" s="118"/>
      <c r="BN725" s="133"/>
      <c r="BO725" s="92"/>
    </row>
    <row r="726">
      <c r="I726" s="73"/>
      <c r="J726" s="74"/>
      <c r="O726" s="113"/>
      <c r="P726" s="114"/>
      <c r="Q726" s="115"/>
      <c r="R726" s="116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  <c r="AM726" s="115"/>
      <c r="AN726" s="115"/>
      <c r="AO726" s="115"/>
      <c r="AP726" s="117"/>
      <c r="AQ726" s="118"/>
      <c r="AR726" s="118"/>
      <c r="AS726" s="118"/>
      <c r="AT726" s="118"/>
      <c r="AU726" s="118"/>
      <c r="AV726" s="118"/>
      <c r="AW726" s="118"/>
      <c r="AX726" s="118"/>
      <c r="AY726" s="118"/>
      <c r="AZ726" s="118"/>
      <c r="BA726" s="118"/>
      <c r="BB726" s="118"/>
      <c r="BC726" s="118"/>
      <c r="BD726" s="118"/>
      <c r="BE726" s="118"/>
      <c r="BF726" s="118"/>
      <c r="BG726" s="118"/>
      <c r="BH726" s="118"/>
      <c r="BI726" s="118"/>
      <c r="BJ726" s="118"/>
      <c r="BK726" s="118"/>
      <c r="BL726" s="118"/>
      <c r="BM726" s="118"/>
      <c r="BN726" s="133"/>
      <c r="BO726" s="92"/>
    </row>
    <row r="727">
      <c r="I727" s="73"/>
      <c r="J727" s="74"/>
      <c r="O727" s="113"/>
      <c r="P727" s="114"/>
      <c r="Q727" s="115"/>
      <c r="R727" s="116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  <c r="AM727" s="115"/>
      <c r="AN727" s="115"/>
      <c r="AO727" s="115"/>
      <c r="AP727" s="117"/>
      <c r="AQ727" s="118"/>
      <c r="AR727" s="118"/>
      <c r="AS727" s="118"/>
      <c r="AT727" s="118"/>
      <c r="AU727" s="118"/>
      <c r="AV727" s="118"/>
      <c r="AW727" s="118"/>
      <c r="AX727" s="118"/>
      <c r="AY727" s="118"/>
      <c r="AZ727" s="118"/>
      <c r="BA727" s="118"/>
      <c r="BB727" s="118"/>
      <c r="BC727" s="118"/>
      <c r="BD727" s="118"/>
      <c r="BE727" s="118"/>
      <c r="BF727" s="118"/>
      <c r="BG727" s="118"/>
      <c r="BH727" s="118"/>
      <c r="BI727" s="118"/>
      <c r="BJ727" s="118"/>
      <c r="BK727" s="118"/>
      <c r="BL727" s="118"/>
      <c r="BM727" s="118"/>
      <c r="BN727" s="133"/>
      <c r="BO727" s="92"/>
    </row>
    <row r="728">
      <c r="I728" s="73"/>
      <c r="J728" s="74"/>
      <c r="O728" s="113"/>
      <c r="P728" s="114"/>
      <c r="Q728" s="115"/>
      <c r="R728" s="116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  <c r="AM728" s="115"/>
      <c r="AN728" s="115"/>
      <c r="AO728" s="115"/>
      <c r="AP728" s="117"/>
      <c r="AQ728" s="118"/>
      <c r="AR728" s="118"/>
      <c r="AS728" s="118"/>
      <c r="AT728" s="118"/>
      <c r="AU728" s="118"/>
      <c r="AV728" s="118"/>
      <c r="AW728" s="118"/>
      <c r="AX728" s="118"/>
      <c r="AY728" s="118"/>
      <c r="AZ728" s="118"/>
      <c r="BA728" s="118"/>
      <c r="BB728" s="118"/>
      <c r="BC728" s="118"/>
      <c r="BD728" s="118"/>
      <c r="BE728" s="118"/>
      <c r="BF728" s="118"/>
      <c r="BG728" s="118"/>
      <c r="BH728" s="118"/>
      <c r="BI728" s="118"/>
      <c r="BJ728" s="118"/>
      <c r="BK728" s="118"/>
      <c r="BL728" s="118"/>
      <c r="BM728" s="118"/>
      <c r="BN728" s="133"/>
      <c r="BO728" s="92"/>
    </row>
    <row r="729">
      <c r="I729" s="73"/>
      <c r="J729" s="74"/>
      <c r="O729" s="113"/>
      <c r="P729" s="114"/>
      <c r="Q729" s="115"/>
      <c r="R729" s="116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  <c r="AM729" s="115"/>
      <c r="AN729" s="115"/>
      <c r="AO729" s="115"/>
      <c r="AP729" s="117"/>
      <c r="AQ729" s="118"/>
      <c r="AR729" s="118"/>
      <c r="AS729" s="118"/>
      <c r="AT729" s="118"/>
      <c r="AU729" s="118"/>
      <c r="AV729" s="118"/>
      <c r="AW729" s="118"/>
      <c r="AX729" s="118"/>
      <c r="AY729" s="118"/>
      <c r="AZ729" s="118"/>
      <c r="BA729" s="118"/>
      <c r="BB729" s="118"/>
      <c r="BC729" s="118"/>
      <c r="BD729" s="118"/>
      <c r="BE729" s="118"/>
      <c r="BF729" s="118"/>
      <c r="BG729" s="118"/>
      <c r="BH729" s="118"/>
      <c r="BI729" s="118"/>
      <c r="BJ729" s="118"/>
      <c r="BK729" s="118"/>
      <c r="BL729" s="118"/>
      <c r="BM729" s="118"/>
      <c r="BN729" s="133"/>
      <c r="BO729" s="92"/>
    </row>
    <row r="730">
      <c r="I730" s="73"/>
      <c r="J730" s="74"/>
      <c r="O730" s="113"/>
      <c r="P730" s="114"/>
      <c r="Q730" s="115"/>
      <c r="R730" s="116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  <c r="AM730" s="115"/>
      <c r="AN730" s="115"/>
      <c r="AO730" s="115"/>
      <c r="AP730" s="117"/>
      <c r="AQ730" s="118"/>
      <c r="AR730" s="118"/>
      <c r="AS730" s="118"/>
      <c r="AT730" s="118"/>
      <c r="AU730" s="118"/>
      <c r="AV730" s="118"/>
      <c r="AW730" s="118"/>
      <c r="AX730" s="118"/>
      <c r="AY730" s="118"/>
      <c r="AZ730" s="118"/>
      <c r="BA730" s="118"/>
      <c r="BB730" s="118"/>
      <c r="BC730" s="118"/>
      <c r="BD730" s="118"/>
      <c r="BE730" s="118"/>
      <c r="BF730" s="118"/>
      <c r="BG730" s="118"/>
      <c r="BH730" s="118"/>
      <c r="BI730" s="118"/>
      <c r="BJ730" s="118"/>
      <c r="BK730" s="118"/>
      <c r="BL730" s="118"/>
      <c r="BM730" s="118"/>
      <c r="BN730" s="133"/>
      <c r="BO730" s="92"/>
    </row>
    <row r="731">
      <c r="I731" s="73"/>
      <c r="J731" s="74"/>
      <c r="O731" s="113"/>
      <c r="P731" s="114"/>
      <c r="Q731" s="115"/>
      <c r="R731" s="116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  <c r="AM731" s="115"/>
      <c r="AN731" s="115"/>
      <c r="AO731" s="115"/>
      <c r="AP731" s="117"/>
      <c r="AQ731" s="118"/>
      <c r="AR731" s="118"/>
      <c r="AS731" s="118"/>
      <c r="AT731" s="118"/>
      <c r="AU731" s="118"/>
      <c r="AV731" s="118"/>
      <c r="AW731" s="118"/>
      <c r="AX731" s="118"/>
      <c r="AY731" s="118"/>
      <c r="AZ731" s="118"/>
      <c r="BA731" s="118"/>
      <c r="BB731" s="118"/>
      <c r="BC731" s="118"/>
      <c r="BD731" s="118"/>
      <c r="BE731" s="118"/>
      <c r="BF731" s="118"/>
      <c r="BG731" s="118"/>
      <c r="BH731" s="118"/>
      <c r="BI731" s="118"/>
      <c r="BJ731" s="118"/>
      <c r="BK731" s="118"/>
      <c r="BL731" s="118"/>
      <c r="BM731" s="118"/>
      <c r="BN731" s="133"/>
      <c r="BO731" s="92"/>
    </row>
    <row r="732">
      <c r="I732" s="73"/>
      <c r="J732" s="74"/>
      <c r="O732" s="113"/>
      <c r="P732" s="114"/>
      <c r="Q732" s="115"/>
      <c r="R732" s="116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  <c r="AM732" s="115"/>
      <c r="AN732" s="115"/>
      <c r="AO732" s="115"/>
      <c r="AP732" s="117"/>
      <c r="AQ732" s="118"/>
      <c r="AR732" s="118"/>
      <c r="AS732" s="118"/>
      <c r="AT732" s="118"/>
      <c r="AU732" s="118"/>
      <c r="AV732" s="118"/>
      <c r="AW732" s="118"/>
      <c r="AX732" s="118"/>
      <c r="AY732" s="118"/>
      <c r="AZ732" s="118"/>
      <c r="BA732" s="118"/>
      <c r="BB732" s="118"/>
      <c r="BC732" s="118"/>
      <c r="BD732" s="118"/>
      <c r="BE732" s="118"/>
      <c r="BF732" s="118"/>
      <c r="BG732" s="118"/>
      <c r="BH732" s="118"/>
      <c r="BI732" s="118"/>
      <c r="BJ732" s="118"/>
      <c r="BK732" s="118"/>
      <c r="BL732" s="118"/>
      <c r="BM732" s="118"/>
      <c r="BN732" s="133"/>
      <c r="BO732" s="92"/>
    </row>
    <row r="733">
      <c r="I733" s="73"/>
      <c r="J733" s="74"/>
      <c r="O733" s="113"/>
      <c r="P733" s="114"/>
      <c r="Q733" s="115"/>
      <c r="R733" s="116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  <c r="AM733" s="115"/>
      <c r="AN733" s="115"/>
      <c r="AO733" s="115"/>
      <c r="AP733" s="117"/>
      <c r="AQ733" s="118"/>
      <c r="AR733" s="118"/>
      <c r="AS733" s="118"/>
      <c r="AT733" s="118"/>
      <c r="AU733" s="118"/>
      <c r="AV733" s="118"/>
      <c r="AW733" s="118"/>
      <c r="AX733" s="118"/>
      <c r="AY733" s="118"/>
      <c r="AZ733" s="118"/>
      <c r="BA733" s="118"/>
      <c r="BB733" s="118"/>
      <c r="BC733" s="118"/>
      <c r="BD733" s="118"/>
      <c r="BE733" s="118"/>
      <c r="BF733" s="118"/>
      <c r="BG733" s="118"/>
      <c r="BH733" s="118"/>
      <c r="BI733" s="118"/>
      <c r="BJ733" s="118"/>
      <c r="BK733" s="118"/>
      <c r="BL733" s="118"/>
      <c r="BM733" s="118"/>
      <c r="BN733" s="133"/>
      <c r="BO733" s="92"/>
    </row>
    <row r="734">
      <c r="I734" s="73"/>
      <c r="J734" s="74"/>
      <c r="O734" s="113"/>
      <c r="P734" s="114"/>
      <c r="Q734" s="115"/>
      <c r="R734" s="116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  <c r="AM734" s="115"/>
      <c r="AN734" s="115"/>
      <c r="AO734" s="115"/>
      <c r="AP734" s="117"/>
      <c r="AQ734" s="118"/>
      <c r="AR734" s="118"/>
      <c r="AS734" s="118"/>
      <c r="AT734" s="118"/>
      <c r="AU734" s="118"/>
      <c r="AV734" s="118"/>
      <c r="AW734" s="118"/>
      <c r="AX734" s="118"/>
      <c r="AY734" s="118"/>
      <c r="AZ734" s="118"/>
      <c r="BA734" s="118"/>
      <c r="BB734" s="118"/>
      <c r="BC734" s="118"/>
      <c r="BD734" s="118"/>
      <c r="BE734" s="118"/>
      <c r="BF734" s="118"/>
      <c r="BG734" s="118"/>
      <c r="BH734" s="118"/>
      <c r="BI734" s="118"/>
      <c r="BJ734" s="118"/>
      <c r="BK734" s="118"/>
      <c r="BL734" s="118"/>
      <c r="BM734" s="118"/>
      <c r="BN734" s="133"/>
      <c r="BO734" s="92"/>
    </row>
    <row r="735">
      <c r="I735" s="73"/>
      <c r="J735" s="74"/>
      <c r="O735" s="113"/>
      <c r="P735" s="114"/>
      <c r="Q735" s="115"/>
      <c r="R735" s="116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  <c r="AM735" s="115"/>
      <c r="AN735" s="115"/>
      <c r="AO735" s="115"/>
      <c r="AP735" s="117"/>
      <c r="AQ735" s="118"/>
      <c r="AR735" s="118"/>
      <c r="AS735" s="118"/>
      <c r="AT735" s="118"/>
      <c r="AU735" s="118"/>
      <c r="AV735" s="118"/>
      <c r="AW735" s="118"/>
      <c r="AX735" s="118"/>
      <c r="AY735" s="118"/>
      <c r="AZ735" s="118"/>
      <c r="BA735" s="118"/>
      <c r="BB735" s="118"/>
      <c r="BC735" s="118"/>
      <c r="BD735" s="118"/>
      <c r="BE735" s="118"/>
      <c r="BF735" s="118"/>
      <c r="BG735" s="118"/>
      <c r="BH735" s="118"/>
      <c r="BI735" s="118"/>
      <c r="BJ735" s="118"/>
      <c r="BK735" s="118"/>
      <c r="BL735" s="118"/>
      <c r="BM735" s="118"/>
      <c r="BN735" s="133"/>
      <c r="BO735" s="92"/>
    </row>
    <row r="736">
      <c r="I736" s="73"/>
      <c r="J736" s="74"/>
      <c r="O736" s="113"/>
      <c r="P736" s="114"/>
      <c r="Q736" s="115"/>
      <c r="R736" s="116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  <c r="AM736" s="115"/>
      <c r="AN736" s="115"/>
      <c r="AO736" s="115"/>
      <c r="AP736" s="117"/>
      <c r="AQ736" s="118"/>
      <c r="AR736" s="118"/>
      <c r="AS736" s="118"/>
      <c r="AT736" s="118"/>
      <c r="AU736" s="118"/>
      <c r="AV736" s="118"/>
      <c r="AW736" s="118"/>
      <c r="AX736" s="118"/>
      <c r="AY736" s="118"/>
      <c r="AZ736" s="118"/>
      <c r="BA736" s="118"/>
      <c r="BB736" s="118"/>
      <c r="BC736" s="118"/>
      <c r="BD736" s="118"/>
      <c r="BE736" s="118"/>
      <c r="BF736" s="118"/>
      <c r="BG736" s="118"/>
      <c r="BH736" s="118"/>
      <c r="BI736" s="118"/>
      <c r="BJ736" s="118"/>
      <c r="BK736" s="118"/>
      <c r="BL736" s="118"/>
      <c r="BM736" s="118"/>
      <c r="BN736" s="133"/>
      <c r="BO736" s="92"/>
    </row>
    <row r="737">
      <c r="I737" s="73"/>
      <c r="J737" s="74"/>
      <c r="O737" s="113"/>
      <c r="P737" s="114"/>
      <c r="Q737" s="115"/>
      <c r="R737" s="116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  <c r="AM737" s="115"/>
      <c r="AN737" s="115"/>
      <c r="AO737" s="115"/>
      <c r="AP737" s="117"/>
      <c r="AQ737" s="118"/>
      <c r="AR737" s="118"/>
      <c r="AS737" s="118"/>
      <c r="AT737" s="118"/>
      <c r="AU737" s="118"/>
      <c r="AV737" s="118"/>
      <c r="AW737" s="118"/>
      <c r="AX737" s="118"/>
      <c r="AY737" s="118"/>
      <c r="AZ737" s="118"/>
      <c r="BA737" s="118"/>
      <c r="BB737" s="118"/>
      <c r="BC737" s="118"/>
      <c r="BD737" s="118"/>
      <c r="BE737" s="118"/>
      <c r="BF737" s="118"/>
      <c r="BG737" s="118"/>
      <c r="BH737" s="118"/>
      <c r="BI737" s="118"/>
      <c r="BJ737" s="118"/>
      <c r="BK737" s="118"/>
      <c r="BL737" s="118"/>
      <c r="BM737" s="118"/>
      <c r="BN737" s="133"/>
      <c r="BO737" s="92"/>
    </row>
    <row r="738">
      <c r="I738" s="73"/>
      <c r="J738" s="74"/>
      <c r="O738" s="113"/>
      <c r="P738" s="114"/>
      <c r="Q738" s="115"/>
      <c r="R738" s="116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  <c r="AM738" s="115"/>
      <c r="AN738" s="115"/>
      <c r="AO738" s="115"/>
      <c r="AP738" s="117"/>
      <c r="AQ738" s="118"/>
      <c r="AR738" s="118"/>
      <c r="AS738" s="118"/>
      <c r="AT738" s="118"/>
      <c r="AU738" s="118"/>
      <c r="AV738" s="118"/>
      <c r="AW738" s="118"/>
      <c r="AX738" s="118"/>
      <c r="AY738" s="118"/>
      <c r="AZ738" s="118"/>
      <c r="BA738" s="118"/>
      <c r="BB738" s="118"/>
      <c r="BC738" s="118"/>
      <c r="BD738" s="118"/>
      <c r="BE738" s="118"/>
      <c r="BF738" s="118"/>
      <c r="BG738" s="118"/>
      <c r="BH738" s="118"/>
      <c r="BI738" s="118"/>
      <c r="BJ738" s="118"/>
      <c r="BK738" s="118"/>
      <c r="BL738" s="118"/>
      <c r="BM738" s="118"/>
      <c r="BN738" s="133"/>
      <c r="BO738" s="92"/>
    </row>
    <row r="739">
      <c r="I739" s="73"/>
      <c r="J739" s="74"/>
      <c r="O739" s="113"/>
      <c r="P739" s="114"/>
      <c r="Q739" s="115"/>
      <c r="R739" s="116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  <c r="AM739" s="115"/>
      <c r="AN739" s="115"/>
      <c r="AO739" s="115"/>
      <c r="AP739" s="117"/>
      <c r="AQ739" s="118"/>
      <c r="AR739" s="118"/>
      <c r="AS739" s="118"/>
      <c r="AT739" s="118"/>
      <c r="AU739" s="118"/>
      <c r="AV739" s="118"/>
      <c r="AW739" s="118"/>
      <c r="AX739" s="118"/>
      <c r="AY739" s="118"/>
      <c r="AZ739" s="118"/>
      <c r="BA739" s="118"/>
      <c r="BB739" s="118"/>
      <c r="BC739" s="118"/>
      <c r="BD739" s="118"/>
      <c r="BE739" s="118"/>
      <c r="BF739" s="118"/>
      <c r="BG739" s="118"/>
      <c r="BH739" s="118"/>
      <c r="BI739" s="118"/>
      <c r="BJ739" s="118"/>
      <c r="BK739" s="118"/>
      <c r="BL739" s="118"/>
      <c r="BM739" s="118"/>
      <c r="BN739" s="133"/>
      <c r="BO739" s="92"/>
    </row>
    <row r="740">
      <c r="I740" s="73"/>
      <c r="J740" s="74"/>
      <c r="O740" s="113"/>
      <c r="P740" s="114"/>
      <c r="Q740" s="115"/>
      <c r="R740" s="116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  <c r="AM740" s="115"/>
      <c r="AN740" s="115"/>
      <c r="AO740" s="115"/>
      <c r="AP740" s="117"/>
      <c r="AQ740" s="118"/>
      <c r="AR740" s="118"/>
      <c r="AS740" s="118"/>
      <c r="AT740" s="118"/>
      <c r="AU740" s="118"/>
      <c r="AV740" s="118"/>
      <c r="AW740" s="118"/>
      <c r="AX740" s="118"/>
      <c r="AY740" s="118"/>
      <c r="AZ740" s="118"/>
      <c r="BA740" s="118"/>
      <c r="BB740" s="118"/>
      <c r="BC740" s="118"/>
      <c r="BD740" s="118"/>
      <c r="BE740" s="118"/>
      <c r="BF740" s="118"/>
      <c r="BG740" s="118"/>
      <c r="BH740" s="118"/>
      <c r="BI740" s="118"/>
      <c r="BJ740" s="118"/>
      <c r="BK740" s="118"/>
      <c r="BL740" s="118"/>
      <c r="BM740" s="118"/>
      <c r="BN740" s="133"/>
      <c r="BO740" s="92"/>
    </row>
    <row r="741">
      <c r="I741" s="73"/>
      <c r="J741" s="74"/>
      <c r="O741" s="113"/>
      <c r="P741" s="114"/>
      <c r="Q741" s="115"/>
      <c r="R741" s="116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  <c r="AM741" s="115"/>
      <c r="AN741" s="115"/>
      <c r="AO741" s="115"/>
      <c r="AP741" s="117"/>
      <c r="AQ741" s="118"/>
      <c r="AR741" s="118"/>
      <c r="AS741" s="118"/>
      <c r="AT741" s="118"/>
      <c r="AU741" s="118"/>
      <c r="AV741" s="118"/>
      <c r="AW741" s="118"/>
      <c r="AX741" s="118"/>
      <c r="AY741" s="118"/>
      <c r="AZ741" s="118"/>
      <c r="BA741" s="118"/>
      <c r="BB741" s="118"/>
      <c r="BC741" s="118"/>
      <c r="BD741" s="118"/>
      <c r="BE741" s="118"/>
      <c r="BF741" s="118"/>
      <c r="BG741" s="118"/>
      <c r="BH741" s="118"/>
      <c r="BI741" s="118"/>
      <c r="BJ741" s="118"/>
      <c r="BK741" s="118"/>
      <c r="BL741" s="118"/>
      <c r="BM741" s="118"/>
      <c r="BN741" s="133"/>
      <c r="BO741" s="92"/>
    </row>
    <row r="742">
      <c r="I742" s="73"/>
      <c r="J742" s="74"/>
      <c r="O742" s="113"/>
      <c r="P742" s="114"/>
      <c r="Q742" s="115"/>
      <c r="R742" s="116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  <c r="AM742" s="115"/>
      <c r="AN742" s="115"/>
      <c r="AO742" s="115"/>
      <c r="AP742" s="117"/>
      <c r="AQ742" s="118"/>
      <c r="AR742" s="118"/>
      <c r="AS742" s="118"/>
      <c r="AT742" s="118"/>
      <c r="AU742" s="118"/>
      <c r="AV742" s="118"/>
      <c r="AW742" s="118"/>
      <c r="AX742" s="118"/>
      <c r="AY742" s="118"/>
      <c r="AZ742" s="118"/>
      <c r="BA742" s="118"/>
      <c r="BB742" s="118"/>
      <c r="BC742" s="118"/>
      <c r="BD742" s="118"/>
      <c r="BE742" s="118"/>
      <c r="BF742" s="118"/>
      <c r="BG742" s="118"/>
      <c r="BH742" s="118"/>
      <c r="BI742" s="118"/>
      <c r="BJ742" s="118"/>
      <c r="BK742" s="118"/>
      <c r="BL742" s="118"/>
      <c r="BM742" s="118"/>
      <c r="BN742" s="133"/>
      <c r="BO742" s="92"/>
    </row>
    <row r="743">
      <c r="I743" s="73"/>
      <c r="J743" s="74"/>
      <c r="O743" s="113"/>
      <c r="P743" s="114"/>
      <c r="Q743" s="115"/>
      <c r="R743" s="116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  <c r="AM743" s="115"/>
      <c r="AN743" s="115"/>
      <c r="AO743" s="115"/>
      <c r="AP743" s="117"/>
      <c r="AQ743" s="118"/>
      <c r="AR743" s="118"/>
      <c r="AS743" s="118"/>
      <c r="AT743" s="118"/>
      <c r="AU743" s="118"/>
      <c r="AV743" s="118"/>
      <c r="AW743" s="118"/>
      <c r="AX743" s="118"/>
      <c r="AY743" s="118"/>
      <c r="AZ743" s="118"/>
      <c r="BA743" s="118"/>
      <c r="BB743" s="118"/>
      <c r="BC743" s="118"/>
      <c r="BD743" s="118"/>
      <c r="BE743" s="118"/>
      <c r="BF743" s="118"/>
      <c r="BG743" s="118"/>
      <c r="BH743" s="118"/>
      <c r="BI743" s="118"/>
      <c r="BJ743" s="118"/>
      <c r="BK743" s="118"/>
      <c r="BL743" s="118"/>
      <c r="BM743" s="118"/>
      <c r="BN743" s="133"/>
      <c r="BO743" s="92"/>
    </row>
    <row r="744">
      <c r="I744" s="73"/>
      <c r="J744" s="74"/>
      <c r="O744" s="113"/>
      <c r="P744" s="114"/>
      <c r="Q744" s="115"/>
      <c r="R744" s="116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  <c r="AM744" s="115"/>
      <c r="AN744" s="115"/>
      <c r="AO744" s="115"/>
      <c r="AP744" s="117"/>
      <c r="AQ744" s="118"/>
      <c r="AR744" s="118"/>
      <c r="AS744" s="118"/>
      <c r="AT744" s="118"/>
      <c r="AU744" s="118"/>
      <c r="AV744" s="118"/>
      <c r="AW744" s="118"/>
      <c r="AX744" s="118"/>
      <c r="AY744" s="118"/>
      <c r="AZ744" s="118"/>
      <c r="BA744" s="118"/>
      <c r="BB744" s="118"/>
      <c r="BC744" s="118"/>
      <c r="BD744" s="118"/>
      <c r="BE744" s="118"/>
      <c r="BF744" s="118"/>
      <c r="BG744" s="118"/>
      <c r="BH744" s="118"/>
      <c r="BI744" s="118"/>
      <c r="BJ744" s="118"/>
      <c r="BK744" s="118"/>
      <c r="BL744" s="118"/>
      <c r="BM744" s="118"/>
      <c r="BN744" s="133"/>
      <c r="BO744" s="92"/>
    </row>
    <row r="745">
      <c r="I745" s="73"/>
      <c r="J745" s="74"/>
      <c r="O745" s="113"/>
      <c r="P745" s="114"/>
      <c r="Q745" s="115"/>
      <c r="R745" s="116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  <c r="AM745" s="115"/>
      <c r="AN745" s="115"/>
      <c r="AO745" s="115"/>
      <c r="AP745" s="117"/>
      <c r="AQ745" s="118"/>
      <c r="AR745" s="118"/>
      <c r="AS745" s="118"/>
      <c r="AT745" s="118"/>
      <c r="AU745" s="118"/>
      <c r="AV745" s="118"/>
      <c r="AW745" s="118"/>
      <c r="AX745" s="118"/>
      <c r="AY745" s="118"/>
      <c r="AZ745" s="118"/>
      <c r="BA745" s="118"/>
      <c r="BB745" s="118"/>
      <c r="BC745" s="118"/>
      <c r="BD745" s="118"/>
      <c r="BE745" s="118"/>
      <c r="BF745" s="118"/>
      <c r="BG745" s="118"/>
      <c r="BH745" s="118"/>
      <c r="BI745" s="118"/>
      <c r="BJ745" s="118"/>
      <c r="BK745" s="118"/>
      <c r="BL745" s="118"/>
      <c r="BM745" s="118"/>
      <c r="BN745" s="133"/>
      <c r="BO745" s="92"/>
    </row>
    <row r="746">
      <c r="I746" s="73"/>
      <c r="J746" s="74"/>
      <c r="O746" s="113"/>
      <c r="P746" s="114"/>
      <c r="Q746" s="115"/>
      <c r="R746" s="116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  <c r="AM746" s="115"/>
      <c r="AN746" s="115"/>
      <c r="AO746" s="115"/>
      <c r="AP746" s="117"/>
      <c r="AQ746" s="118"/>
      <c r="AR746" s="118"/>
      <c r="AS746" s="118"/>
      <c r="AT746" s="118"/>
      <c r="AU746" s="118"/>
      <c r="AV746" s="118"/>
      <c r="AW746" s="118"/>
      <c r="AX746" s="118"/>
      <c r="AY746" s="118"/>
      <c r="AZ746" s="118"/>
      <c r="BA746" s="118"/>
      <c r="BB746" s="118"/>
      <c r="BC746" s="118"/>
      <c r="BD746" s="118"/>
      <c r="BE746" s="118"/>
      <c r="BF746" s="118"/>
      <c r="BG746" s="118"/>
      <c r="BH746" s="118"/>
      <c r="BI746" s="118"/>
      <c r="BJ746" s="118"/>
      <c r="BK746" s="118"/>
      <c r="BL746" s="118"/>
      <c r="BM746" s="118"/>
      <c r="BN746" s="133"/>
      <c r="BO746" s="92"/>
    </row>
    <row r="747">
      <c r="I747" s="73"/>
      <c r="J747" s="74"/>
      <c r="O747" s="113"/>
      <c r="P747" s="114"/>
      <c r="Q747" s="115"/>
      <c r="R747" s="116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  <c r="AM747" s="115"/>
      <c r="AN747" s="115"/>
      <c r="AO747" s="115"/>
      <c r="AP747" s="117"/>
      <c r="AQ747" s="118"/>
      <c r="AR747" s="118"/>
      <c r="AS747" s="118"/>
      <c r="AT747" s="118"/>
      <c r="AU747" s="118"/>
      <c r="AV747" s="118"/>
      <c r="AW747" s="118"/>
      <c r="AX747" s="118"/>
      <c r="AY747" s="118"/>
      <c r="AZ747" s="118"/>
      <c r="BA747" s="118"/>
      <c r="BB747" s="118"/>
      <c r="BC747" s="118"/>
      <c r="BD747" s="118"/>
      <c r="BE747" s="118"/>
      <c r="BF747" s="118"/>
      <c r="BG747" s="118"/>
      <c r="BH747" s="118"/>
      <c r="BI747" s="118"/>
      <c r="BJ747" s="118"/>
      <c r="BK747" s="118"/>
      <c r="BL747" s="118"/>
      <c r="BM747" s="118"/>
      <c r="BN747" s="133"/>
      <c r="BO747" s="92"/>
    </row>
    <row r="748">
      <c r="I748" s="73"/>
      <c r="J748" s="74"/>
      <c r="O748" s="113"/>
      <c r="P748" s="114"/>
      <c r="Q748" s="115"/>
      <c r="R748" s="116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  <c r="AM748" s="115"/>
      <c r="AN748" s="115"/>
      <c r="AO748" s="115"/>
      <c r="AP748" s="117"/>
      <c r="AQ748" s="118"/>
      <c r="AR748" s="118"/>
      <c r="AS748" s="118"/>
      <c r="AT748" s="118"/>
      <c r="AU748" s="118"/>
      <c r="AV748" s="118"/>
      <c r="AW748" s="118"/>
      <c r="AX748" s="118"/>
      <c r="AY748" s="118"/>
      <c r="AZ748" s="118"/>
      <c r="BA748" s="118"/>
      <c r="BB748" s="118"/>
      <c r="BC748" s="118"/>
      <c r="BD748" s="118"/>
      <c r="BE748" s="118"/>
      <c r="BF748" s="118"/>
      <c r="BG748" s="118"/>
      <c r="BH748" s="118"/>
      <c r="BI748" s="118"/>
      <c r="BJ748" s="118"/>
      <c r="BK748" s="118"/>
      <c r="BL748" s="118"/>
      <c r="BM748" s="118"/>
      <c r="BN748" s="133"/>
      <c r="BO748" s="92"/>
    </row>
    <row r="749">
      <c r="I749" s="73"/>
      <c r="J749" s="74"/>
      <c r="O749" s="113"/>
      <c r="P749" s="114"/>
      <c r="Q749" s="115"/>
      <c r="R749" s="116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  <c r="AM749" s="115"/>
      <c r="AN749" s="115"/>
      <c r="AO749" s="115"/>
      <c r="AP749" s="117"/>
      <c r="AQ749" s="118"/>
      <c r="AR749" s="118"/>
      <c r="AS749" s="118"/>
      <c r="AT749" s="118"/>
      <c r="AU749" s="118"/>
      <c r="AV749" s="118"/>
      <c r="AW749" s="118"/>
      <c r="AX749" s="118"/>
      <c r="AY749" s="118"/>
      <c r="AZ749" s="118"/>
      <c r="BA749" s="118"/>
      <c r="BB749" s="118"/>
      <c r="BC749" s="118"/>
      <c r="BD749" s="118"/>
      <c r="BE749" s="118"/>
      <c r="BF749" s="118"/>
      <c r="BG749" s="118"/>
      <c r="BH749" s="118"/>
      <c r="BI749" s="118"/>
      <c r="BJ749" s="118"/>
      <c r="BK749" s="118"/>
      <c r="BL749" s="118"/>
      <c r="BM749" s="118"/>
      <c r="BN749" s="133"/>
      <c r="BO749" s="92"/>
    </row>
    <row r="750">
      <c r="I750" s="73"/>
      <c r="J750" s="74"/>
      <c r="O750" s="113"/>
      <c r="P750" s="114"/>
      <c r="Q750" s="115"/>
      <c r="R750" s="116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  <c r="AM750" s="115"/>
      <c r="AN750" s="115"/>
      <c r="AO750" s="115"/>
      <c r="AP750" s="117"/>
      <c r="AQ750" s="118"/>
      <c r="AR750" s="118"/>
      <c r="AS750" s="118"/>
      <c r="AT750" s="118"/>
      <c r="AU750" s="118"/>
      <c r="AV750" s="118"/>
      <c r="AW750" s="118"/>
      <c r="AX750" s="118"/>
      <c r="AY750" s="118"/>
      <c r="AZ750" s="118"/>
      <c r="BA750" s="118"/>
      <c r="BB750" s="118"/>
      <c r="BC750" s="118"/>
      <c r="BD750" s="118"/>
      <c r="BE750" s="118"/>
      <c r="BF750" s="118"/>
      <c r="BG750" s="118"/>
      <c r="BH750" s="118"/>
      <c r="BI750" s="118"/>
      <c r="BJ750" s="118"/>
      <c r="BK750" s="118"/>
      <c r="BL750" s="118"/>
      <c r="BM750" s="118"/>
      <c r="BN750" s="133"/>
      <c r="BO750" s="92"/>
    </row>
    <row r="751">
      <c r="I751" s="73"/>
      <c r="J751" s="74"/>
      <c r="O751" s="113"/>
      <c r="P751" s="114"/>
      <c r="Q751" s="115"/>
      <c r="R751" s="116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  <c r="AM751" s="115"/>
      <c r="AN751" s="115"/>
      <c r="AO751" s="115"/>
      <c r="AP751" s="117"/>
      <c r="AQ751" s="118"/>
      <c r="AR751" s="118"/>
      <c r="AS751" s="118"/>
      <c r="AT751" s="118"/>
      <c r="AU751" s="118"/>
      <c r="AV751" s="118"/>
      <c r="AW751" s="118"/>
      <c r="AX751" s="118"/>
      <c r="AY751" s="118"/>
      <c r="AZ751" s="118"/>
      <c r="BA751" s="118"/>
      <c r="BB751" s="118"/>
      <c r="BC751" s="118"/>
      <c r="BD751" s="118"/>
      <c r="BE751" s="118"/>
      <c r="BF751" s="118"/>
      <c r="BG751" s="118"/>
      <c r="BH751" s="118"/>
      <c r="BI751" s="118"/>
      <c r="BJ751" s="118"/>
      <c r="BK751" s="118"/>
      <c r="BL751" s="118"/>
      <c r="BM751" s="118"/>
      <c r="BN751" s="133"/>
      <c r="BO751" s="92"/>
    </row>
    <row r="752">
      <c r="I752" s="73"/>
      <c r="J752" s="74"/>
      <c r="O752" s="113"/>
      <c r="P752" s="114"/>
      <c r="Q752" s="115"/>
      <c r="R752" s="116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  <c r="AM752" s="115"/>
      <c r="AN752" s="115"/>
      <c r="AO752" s="115"/>
      <c r="AP752" s="117"/>
      <c r="AQ752" s="118"/>
      <c r="AR752" s="118"/>
      <c r="AS752" s="118"/>
      <c r="AT752" s="118"/>
      <c r="AU752" s="118"/>
      <c r="AV752" s="118"/>
      <c r="AW752" s="118"/>
      <c r="AX752" s="118"/>
      <c r="AY752" s="118"/>
      <c r="AZ752" s="118"/>
      <c r="BA752" s="118"/>
      <c r="BB752" s="118"/>
      <c r="BC752" s="118"/>
      <c r="BD752" s="118"/>
      <c r="BE752" s="118"/>
      <c r="BF752" s="118"/>
      <c r="BG752" s="118"/>
      <c r="BH752" s="118"/>
      <c r="BI752" s="118"/>
      <c r="BJ752" s="118"/>
      <c r="BK752" s="118"/>
      <c r="BL752" s="118"/>
      <c r="BM752" s="118"/>
      <c r="BN752" s="133"/>
      <c r="BO752" s="92"/>
    </row>
    <row r="753">
      <c r="I753" s="73"/>
      <c r="J753" s="74"/>
      <c r="O753" s="113"/>
      <c r="P753" s="114"/>
      <c r="Q753" s="115"/>
      <c r="R753" s="116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  <c r="AM753" s="115"/>
      <c r="AN753" s="115"/>
      <c r="AO753" s="115"/>
      <c r="AP753" s="117"/>
      <c r="AQ753" s="118"/>
      <c r="AR753" s="118"/>
      <c r="AS753" s="118"/>
      <c r="AT753" s="118"/>
      <c r="AU753" s="118"/>
      <c r="AV753" s="118"/>
      <c r="AW753" s="118"/>
      <c r="AX753" s="118"/>
      <c r="AY753" s="118"/>
      <c r="AZ753" s="118"/>
      <c r="BA753" s="118"/>
      <c r="BB753" s="118"/>
      <c r="BC753" s="118"/>
      <c r="BD753" s="118"/>
      <c r="BE753" s="118"/>
      <c r="BF753" s="118"/>
      <c r="BG753" s="118"/>
      <c r="BH753" s="118"/>
      <c r="BI753" s="118"/>
      <c r="BJ753" s="118"/>
      <c r="BK753" s="118"/>
      <c r="BL753" s="118"/>
      <c r="BM753" s="118"/>
      <c r="BN753" s="133"/>
      <c r="BO753" s="92"/>
    </row>
    <row r="754">
      <c r="I754" s="73"/>
      <c r="J754" s="74"/>
      <c r="O754" s="113"/>
      <c r="P754" s="114"/>
      <c r="Q754" s="115"/>
      <c r="R754" s="116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  <c r="AM754" s="115"/>
      <c r="AN754" s="115"/>
      <c r="AO754" s="115"/>
      <c r="AP754" s="117"/>
      <c r="AQ754" s="118"/>
      <c r="AR754" s="118"/>
      <c r="AS754" s="118"/>
      <c r="AT754" s="118"/>
      <c r="AU754" s="118"/>
      <c r="AV754" s="118"/>
      <c r="AW754" s="118"/>
      <c r="AX754" s="118"/>
      <c r="AY754" s="118"/>
      <c r="AZ754" s="118"/>
      <c r="BA754" s="118"/>
      <c r="BB754" s="118"/>
      <c r="BC754" s="118"/>
      <c r="BD754" s="118"/>
      <c r="BE754" s="118"/>
      <c r="BF754" s="118"/>
      <c r="BG754" s="118"/>
      <c r="BH754" s="118"/>
      <c r="BI754" s="118"/>
      <c r="BJ754" s="118"/>
      <c r="BK754" s="118"/>
      <c r="BL754" s="118"/>
      <c r="BM754" s="118"/>
      <c r="BN754" s="133"/>
      <c r="BO754" s="92"/>
    </row>
    <row r="755">
      <c r="I755" s="73"/>
      <c r="J755" s="74"/>
      <c r="O755" s="113"/>
      <c r="P755" s="114"/>
      <c r="Q755" s="115"/>
      <c r="R755" s="116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  <c r="AM755" s="115"/>
      <c r="AN755" s="115"/>
      <c r="AO755" s="115"/>
      <c r="AP755" s="117"/>
      <c r="AQ755" s="118"/>
      <c r="AR755" s="118"/>
      <c r="AS755" s="118"/>
      <c r="AT755" s="118"/>
      <c r="AU755" s="118"/>
      <c r="AV755" s="118"/>
      <c r="AW755" s="118"/>
      <c r="AX755" s="118"/>
      <c r="AY755" s="118"/>
      <c r="AZ755" s="118"/>
      <c r="BA755" s="118"/>
      <c r="BB755" s="118"/>
      <c r="BC755" s="118"/>
      <c r="BD755" s="118"/>
      <c r="BE755" s="118"/>
      <c r="BF755" s="118"/>
      <c r="BG755" s="118"/>
      <c r="BH755" s="118"/>
      <c r="BI755" s="118"/>
      <c r="BJ755" s="118"/>
      <c r="BK755" s="118"/>
      <c r="BL755" s="118"/>
      <c r="BM755" s="118"/>
      <c r="BN755" s="133"/>
      <c r="BO755" s="92"/>
    </row>
    <row r="756">
      <c r="I756" s="73"/>
      <c r="J756" s="74"/>
      <c r="O756" s="113"/>
      <c r="P756" s="114"/>
      <c r="Q756" s="115"/>
      <c r="R756" s="116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  <c r="AM756" s="115"/>
      <c r="AN756" s="115"/>
      <c r="AO756" s="115"/>
      <c r="AP756" s="117"/>
      <c r="AQ756" s="118"/>
      <c r="AR756" s="118"/>
      <c r="AS756" s="118"/>
      <c r="AT756" s="118"/>
      <c r="AU756" s="118"/>
      <c r="AV756" s="118"/>
      <c r="AW756" s="118"/>
      <c r="AX756" s="118"/>
      <c r="AY756" s="118"/>
      <c r="AZ756" s="118"/>
      <c r="BA756" s="118"/>
      <c r="BB756" s="118"/>
      <c r="BC756" s="118"/>
      <c r="BD756" s="118"/>
      <c r="BE756" s="118"/>
      <c r="BF756" s="118"/>
      <c r="BG756" s="118"/>
      <c r="BH756" s="118"/>
      <c r="BI756" s="118"/>
      <c r="BJ756" s="118"/>
      <c r="BK756" s="118"/>
      <c r="BL756" s="118"/>
      <c r="BM756" s="118"/>
      <c r="BN756" s="133"/>
      <c r="BO756" s="92"/>
    </row>
    <row r="757">
      <c r="I757" s="73"/>
      <c r="J757" s="74"/>
      <c r="O757" s="113"/>
      <c r="P757" s="114"/>
      <c r="Q757" s="115"/>
      <c r="R757" s="116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  <c r="AM757" s="115"/>
      <c r="AN757" s="115"/>
      <c r="AO757" s="115"/>
      <c r="AP757" s="117"/>
      <c r="AQ757" s="118"/>
      <c r="AR757" s="118"/>
      <c r="AS757" s="118"/>
      <c r="AT757" s="118"/>
      <c r="AU757" s="118"/>
      <c r="AV757" s="118"/>
      <c r="AW757" s="118"/>
      <c r="AX757" s="118"/>
      <c r="AY757" s="118"/>
      <c r="AZ757" s="118"/>
      <c r="BA757" s="118"/>
      <c r="BB757" s="118"/>
      <c r="BC757" s="118"/>
      <c r="BD757" s="118"/>
      <c r="BE757" s="118"/>
      <c r="BF757" s="118"/>
      <c r="BG757" s="118"/>
      <c r="BH757" s="118"/>
      <c r="BI757" s="118"/>
      <c r="BJ757" s="118"/>
      <c r="BK757" s="118"/>
      <c r="BL757" s="118"/>
      <c r="BM757" s="118"/>
      <c r="BN757" s="133"/>
      <c r="BO757" s="92"/>
    </row>
    <row r="758">
      <c r="I758" s="73"/>
      <c r="J758" s="74"/>
      <c r="O758" s="113"/>
      <c r="P758" s="114"/>
      <c r="Q758" s="115"/>
      <c r="R758" s="116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  <c r="AM758" s="115"/>
      <c r="AN758" s="115"/>
      <c r="AO758" s="115"/>
      <c r="AP758" s="117"/>
      <c r="AQ758" s="118"/>
      <c r="AR758" s="118"/>
      <c r="AS758" s="118"/>
      <c r="AT758" s="118"/>
      <c r="AU758" s="118"/>
      <c r="AV758" s="118"/>
      <c r="AW758" s="118"/>
      <c r="AX758" s="118"/>
      <c r="AY758" s="118"/>
      <c r="AZ758" s="118"/>
      <c r="BA758" s="118"/>
      <c r="BB758" s="118"/>
      <c r="BC758" s="118"/>
      <c r="BD758" s="118"/>
      <c r="BE758" s="118"/>
      <c r="BF758" s="118"/>
      <c r="BG758" s="118"/>
      <c r="BH758" s="118"/>
      <c r="BI758" s="118"/>
      <c r="BJ758" s="118"/>
      <c r="BK758" s="118"/>
      <c r="BL758" s="118"/>
      <c r="BM758" s="118"/>
      <c r="BN758" s="133"/>
      <c r="BO758" s="92"/>
    </row>
    <row r="759">
      <c r="I759" s="73"/>
      <c r="J759" s="74"/>
      <c r="O759" s="113"/>
      <c r="P759" s="114"/>
      <c r="Q759" s="115"/>
      <c r="R759" s="116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  <c r="AM759" s="115"/>
      <c r="AN759" s="115"/>
      <c r="AO759" s="115"/>
      <c r="AP759" s="117"/>
      <c r="AQ759" s="118"/>
      <c r="AR759" s="118"/>
      <c r="AS759" s="118"/>
      <c r="AT759" s="118"/>
      <c r="AU759" s="118"/>
      <c r="AV759" s="118"/>
      <c r="AW759" s="118"/>
      <c r="AX759" s="118"/>
      <c r="AY759" s="118"/>
      <c r="AZ759" s="118"/>
      <c r="BA759" s="118"/>
      <c r="BB759" s="118"/>
      <c r="BC759" s="118"/>
      <c r="BD759" s="118"/>
      <c r="BE759" s="118"/>
      <c r="BF759" s="118"/>
      <c r="BG759" s="118"/>
      <c r="BH759" s="118"/>
      <c r="BI759" s="118"/>
      <c r="BJ759" s="118"/>
      <c r="BK759" s="118"/>
      <c r="BL759" s="118"/>
      <c r="BM759" s="118"/>
      <c r="BN759" s="133"/>
      <c r="BO759" s="92"/>
    </row>
    <row r="760">
      <c r="I760" s="73"/>
      <c r="J760" s="74"/>
      <c r="O760" s="113"/>
      <c r="P760" s="114"/>
      <c r="Q760" s="115"/>
      <c r="R760" s="116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  <c r="AM760" s="115"/>
      <c r="AN760" s="115"/>
      <c r="AO760" s="115"/>
      <c r="AP760" s="117"/>
      <c r="AQ760" s="118"/>
      <c r="AR760" s="118"/>
      <c r="AS760" s="118"/>
      <c r="AT760" s="118"/>
      <c r="AU760" s="118"/>
      <c r="AV760" s="118"/>
      <c r="AW760" s="118"/>
      <c r="AX760" s="118"/>
      <c r="AY760" s="118"/>
      <c r="AZ760" s="118"/>
      <c r="BA760" s="118"/>
      <c r="BB760" s="118"/>
      <c r="BC760" s="118"/>
      <c r="BD760" s="118"/>
      <c r="BE760" s="118"/>
      <c r="BF760" s="118"/>
      <c r="BG760" s="118"/>
      <c r="BH760" s="118"/>
      <c r="BI760" s="118"/>
      <c r="BJ760" s="118"/>
      <c r="BK760" s="118"/>
      <c r="BL760" s="118"/>
      <c r="BM760" s="118"/>
      <c r="BN760" s="133"/>
      <c r="BO760" s="92"/>
    </row>
    <row r="761">
      <c r="I761" s="73"/>
      <c r="J761" s="74"/>
      <c r="O761" s="113"/>
      <c r="P761" s="114"/>
      <c r="Q761" s="115"/>
      <c r="R761" s="116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  <c r="AM761" s="115"/>
      <c r="AN761" s="115"/>
      <c r="AO761" s="115"/>
      <c r="AP761" s="117"/>
      <c r="AQ761" s="118"/>
      <c r="AR761" s="118"/>
      <c r="AS761" s="118"/>
      <c r="AT761" s="118"/>
      <c r="AU761" s="118"/>
      <c r="AV761" s="118"/>
      <c r="AW761" s="118"/>
      <c r="AX761" s="118"/>
      <c r="AY761" s="118"/>
      <c r="AZ761" s="118"/>
      <c r="BA761" s="118"/>
      <c r="BB761" s="118"/>
      <c r="BC761" s="118"/>
      <c r="BD761" s="118"/>
      <c r="BE761" s="118"/>
      <c r="BF761" s="118"/>
      <c r="BG761" s="118"/>
      <c r="BH761" s="118"/>
      <c r="BI761" s="118"/>
      <c r="BJ761" s="118"/>
      <c r="BK761" s="118"/>
      <c r="BL761" s="118"/>
      <c r="BM761" s="118"/>
      <c r="BN761" s="133"/>
      <c r="BO761" s="92"/>
    </row>
    <row r="762">
      <c r="I762" s="73"/>
      <c r="J762" s="74"/>
      <c r="O762" s="113"/>
      <c r="P762" s="114"/>
      <c r="Q762" s="115"/>
      <c r="R762" s="116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  <c r="AM762" s="115"/>
      <c r="AN762" s="115"/>
      <c r="AO762" s="115"/>
      <c r="AP762" s="117"/>
      <c r="AQ762" s="118"/>
      <c r="AR762" s="118"/>
      <c r="AS762" s="118"/>
      <c r="AT762" s="118"/>
      <c r="AU762" s="118"/>
      <c r="AV762" s="118"/>
      <c r="AW762" s="118"/>
      <c r="AX762" s="118"/>
      <c r="AY762" s="118"/>
      <c r="AZ762" s="118"/>
      <c r="BA762" s="118"/>
      <c r="BB762" s="118"/>
      <c r="BC762" s="118"/>
      <c r="BD762" s="118"/>
      <c r="BE762" s="118"/>
      <c r="BF762" s="118"/>
      <c r="BG762" s="118"/>
      <c r="BH762" s="118"/>
      <c r="BI762" s="118"/>
      <c r="BJ762" s="118"/>
      <c r="BK762" s="118"/>
      <c r="BL762" s="118"/>
      <c r="BM762" s="118"/>
      <c r="BN762" s="133"/>
      <c r="BO762" s="92"/>
    </row>
    <row r="763">
      <c r="I763" s="73"/>
      <c r="J763" s="74"/>
      <c r="O763" s="113"/>
      <c r="P763" s="114"/>
      <c r="Q763" s="115"/>
      <c r="R763" s="116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  <c r="AM763" s="115"/>
      <c r="AN763" s="115"/>
      <c r="AO763" s="115"/>
      <c r="AP763" s="117"/>
      <c r="AQ763" s="118"/>
      <c r="AR763" s="118"/>
      <c r="AS763" s="118"/>
      <c r="AT763" s="118"/>
      <c r="AU763" s="118"/>
      <c r="AV763" s="118"/>
      <c r="AW763" s="118"/>
      <c r="AX763" s="118"/>
      <c r="AY763" s="118"/>
      <c r="AZ763" s="118"/>
      <c r="BA763" s="118"/>
      <c r="BB763" s="118"/>
      <c r="BC763" s="118"/>
      <c r="BD763" s="118"/>
      <c r="BE763" s="118"/>
      <c r="BF763" s="118"/>
      <c r="BG763" s="118"/>
      <c r="BH763" s="118"/>
      <c r="BI763" s="118"/>
      <c r="BJ763" s="118"/>
      <c r="BK763" s="118"/>
      <c r="BL763" s="118"/>
      <c r="BM763" s="118"/>
      <c r="BN763" s="133"/>
      <c r="BO763" s="92"/>
    </row>
    <row r="764">
      <c r="I764" s="73"/>
      <c r="J764" s="74"/>
      <c r="O764" s="113"/>
      <c r="P764" s="114"/>
      <c r="Q764" s="115"/>
      <c r="R764" s="116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  <c r="AM764" s="115"/>
      <c r="AN764" s="115"/>
      <c r="AO764" s="115"/>
      <c r="AP764" s="117"/>
      <c r="AQ764" s="118"/>
      <c r="AR764" s="118"/>
      <c r="AS764" s="118"/>
      <c r="AT764" s="118"/>
      <c r="AU764" s="118"/>
      <c r="AV764" s="118"/>
      <c r="AW764" s="118"/>
      <c r="AX764" s="118"/>
      <c r="AY764" s="118"/>
      <c r="AZ764" s="118"/>
      <c r="BA764" s="118"/>
      <c r="BB764" s="118"/>
      <c r="BC764" s="118"/>
      <c r="BD764" s="118"/>
      <c r="BE764" s="118"/>
      <c r="BF764" s="118"/>
      <c r="BG764" s="118"/>
      <c r="BH764" s="118"/>
      <c r="BI764" s="118"/>
      <c r="BJ764" s="118"/>
      <c r="BK764" s="118"/>
      <c r="BL764" s="118"/>
      <c r="BM764" s="118"/>
      <c r="BN764" s="133"/>
      <c r="BO764" s="92"/>
    </row>
    <row r="765">
      <c r="I765" s="73"/>
      <c r="J765" s="74"/>
      <c r="O765" s="113"/>
      <c r="P765" s="114"/>
      <c r="Q765" s="115"/>
      <c r="R765" s="116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  <c r="AM765" s="115"/>
      <c r="AN765" s="115"/>
      <c r="AO765" s="115"/>
      <c r="AP765" s="117"/>
      <c r="AQ765" s="118"/>
      <c r="AR765" s="118"/>
      <c r="AS765" s="118"/>
      <c r="AT765" s="118"/>
      <c r="AU765" s="118"/>
      <c r="AV765" s="118"/>
      <c r="AW765" s="118"/>
      <c r="AX765" s="118"/>
      <c r="AY765" s="118"/>
      <c r="AZ765" s="118"/>
      <c r="BA765" s="118"/>
      <c r="BB765" s="118"/>
      <c r="BC765" s="118"/>
      <c r="BD765" s="118"/>
      <c r="BE765" s="118"/>
      <c r="BF765" s="118"/>
      <c r="BG765" s="118"/>
      <c r="BH765" s="118"/>
      <c r="BI765" s="118"/>
      <c r="BJ765" s="118"/>
      <c r="BK765" s="118"/>
      <c r="BL765" s="118"/>
      <c r="BM765" s="118"/>
      <c r="BN765" s="133"/>
      <c r="BO765" s="92"/>
    </row>
    <row r="766">
      <c r="I766" s="73"/>
      <c r="J766" s="74"/>
      <c r="O766" s="113"/>
      <c r="P766" s="114"/>
      <c r="Q766" s="115"/>
      <c r="R766" s="116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  <c r="AM766" s="115"/>
      <c r="AN766" s="115"/>
      <c r="AO766" s="115"/>
      <c r="AP766" s="117"/>
      <c r="AQ766" s="118"/>
      <c r="AR766" s="118"/>
      <c r="AS766" s="118"/>
      <c r="AT766" s="118"/>
      <c r="AU766" s="118"/>
      <c r="AV766" s="118"/>
      <c r="AW766" s="118"/>
      <c r="AX766" s="118"/>
      <c r="AY766" s="118"/>
      <c r="AZ766" s="118"/>
      <c r="BA766" s="118"/>
      <c r="BB766" s="118"/>
      <c r="BC766" s="118"/>
      <c r="BD766" s="118"/>
      <c r="BE766" s="118"/>
      <c r="BF766" s="118"/>
      <c r="BG766" s="118"/>
      <c r="BH766" s="118"/>
      <c r="BI766" s="118"/>
      <c r="BJ766" s="118"/>
      <c r="BK766" s="118"/>
      <c r="BL766" s="118"/>
      <c r="BM766" s="118"/>
      <c r="BN766" s="133"/>
      <c r="BO766" s="92"/>
    </row>
    <row r="767">
      <c r="I767" s="73"/>
      <c r="J767" s="74"/>
      <c r="O767" s="113"/>
      <c r="P767" s="114"/>
      <c r="Q767" s="115"/>
      <c r="R767" s="116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  <c r="AM767" s="115"/>
      <c r="AN767" s="115"/>
      <c r="AO767" s="115"/>
      <c r="AP767" s="117"/>
      <c r="AQ767" s="118"/>
      <c r="AR767" s="118"/>
      <c r="AS767" s="118"/>
      <c r="AT767" s="118"/>
      <c r="AU767" s="118"/>
      <c r="AV767" s="118"/>
      <c r="AW767" s="118"/>
      <c r="AX767" s="118"/>
      <c r="AY767" s="118"/>
      <c r="AZ767" s="118"/>
      <c r="BA767" s="118"/>
      <c r="BB767" s="118"/>
      <c r="BC767" s="118"/>
      <c r="BD767" s="118"/>
      <c r="BE767" s="118"/>
      <c r="BF767" s="118"/>
      <c r="BG767" s="118"/>
      <c r="BH767" s="118"/>
      <c r="BI767" s="118"/>
      <c r="BJ767" s="118"/>
      <c r="BK767" s="118"/>
      <c r="BL767" s="118"/>
      <c r="BM767" s="118"/>
      <c r="BN767" s="133"/>
      <c r="BO767" s="92"/>
    </row>
    <row r="768">
      <c r="I768" s="73"/>
      <c r="J768" s="74"/>
      <c r="O768" s="113"/>
      <c r="P768" s="114"/>
      <c r="Q768" s="115"/>
      <c r="R768" s="116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  <c r="AM768" s="115"/>
      <c r="AN768" s="115"/>
      <c r="AO768" s="115"/>
      <c r="AP768" s="117"/>
      <c r="AQ768" s="118"/>
      <c r="AR768" s="118"/>
      <c r="AS768" s="118"/>
      <c r="AT768" s="118"/>
      <c r="AU768" s="118"/>
      <c r="AV768" s="118"/>
      <c r="AW768" s="118"/>
      <c r="AX768" s="118"/>
      <c r="AY768" s="118"/>
      <c r="AZ768" s="118"/>
      <c r="BA768" s="118"/>
      <c r="BB768" s="118"/>
      <c r="BC768" s="118"/>
      <c r="BD768" s="118"/>
      <c r="BE768" s="118"/>
      <c r="BF768" s="118"/>
      <c r="BG768" s="118"/>
      <c r="BH768" s="118"/>
      <c r="BI768" s="118"/>
      <c r="BJ768" s="118"/>
      <c r="BK768" s="118"/>
      <c r="BL768" s="118"/>
      <c r="BM768" s="118"/>
      <c r="BN768" s="133"/>
      <c r="BO768" s="92"/>
    </row>
    <row r="769">
      <c r="I769" s="73"/>
      <c r="J769" s="74"/>
      <c r="O769" s="113"/>
      <c r="P769" s="114"/>
      <c r="Q769" s="115"/>
      <c r="R769" s="116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7"/>
      <c r="AQ769" s="118"/>
      <c r="AR769" s="118"/>
      <c r="AS769" s="118"/>
      <c r="AT769" s="118"/>
      <c r="AU769" s="118"/>
      <c r="AV769" s="118"/>
      <c r="AW769" s="118"/>
      <c r="AX769" s="118"/>
      <c r="AY769" s="118"/>
      <c r="AZ769" s="118"/>
      <c r="BA769" s="118"/>
      <c r="BB769" s="118"/>
      <c r="BC769" s="118"/>
      <c r="BD769" s="118"/>
      <c r="BE769" s="118"/>
      <c r="BF769" s="118"/>
      <c r="BG769" s="118"/>
      <c r="BH769" s="118"/>
      <c r="BI769" s="118"/>
      <c r="BJ769" s="118"/>
      <c r="BK769" s="118"/>
      <c r="BL769" s="118"/>
      <c r="BM769" s="118"/>
      <c r="BN769" s="133"/>
      <c r="BO769" s="92"/>
    </row>
    <row r="770">
      <c r="I770" s="73"/>
      <c r="J770" s="74"/>
      <c r="O770" s="113"/>
      <c r="P770" s="114"/>
      <c r="Q770" s="115"/>
      <c r="R770" s="116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  <c r="AM770" s="115"/>
      <c r="AN770" s="115"/>
      <c r="AO770" s="115"/>
      <c r="AP770" s="117"/>
      <c r="AQ770" s="118"/>
      <c r="AR770" s="118"/>
      <c r="AS770" s="118"/>
      <c r="AT770" s="118"/>
      <c r="AU770" s="118"/>
      <c r="AV770" s="118"/>
      <c r="AW770" s="118"/>
      <c r="AX770" s="118"/>
      <c r="AY770" s="118"/>
      <c r="AZ770" s="118"/>
      <c r="BA770" s="118"/>
      <c r="BB770" s="118"/>
      <c r="BC770" s="118"/>
      <c r="BD770" s="118"/>
      <c r="BE770" s="118"/>
      <c r="BF770" s="118"/>
      <c r="BG770" s="118"/>
      <c r="BH770" s="118"/>
      <c r="BI770" s="118"/>
      <c r="BJ770" s="118"/>
      <c r="BK770" s="118"/>
      <c r="BL770" s="118"/>
      <c r="BM770" s="118"/>
      <c r="BN770" s="133"/>
      <c r="BO770" s="92"/>
    </row>
    <row r="771">
      <c r="I771" s="73"/>
      <c r="J771" s="74"/>
      <c r="O771" s="113"/>
      <c r="P771" s="114"/>
      <c r="Q771" s="115"/>
      <c r="R771" s="116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  <c r="AM771" s="115"/>
      <c r="AN771" s="115"/>
      <c r="AO771" s="115"/>
      <c r="AP771" s="117"/>
      <c r="AQ771" s="118"/>
      <c r="AR771" s="118"/>
      <c r="AS771" s="118"/>
      <c r="AT771" s="118"/>
      <c r="AU771" s="118"/>
      <c r="AV771" s="118"/>
      <c r="AW771" s="118"/>
      <c r="AX771" s="118"/>
      <c r="AY771" s="118"/>
      <c r="AZ771" s="118"/>
      <c r="BA771" s="118"/>
      <c r="BB771" s="118"/>
      <c r="BC771" s="118"/>
      <c r="BD771" s="118"/>
      <c r="BE771" s="118"/>
      <c r="BF771" s="118"/>
      <c r="BG771" s="118"/>
      <c r="BH771" s="118"/>
      <c r="BI771" s="118"/>
      <c r="BJ771" s="118"/>
      <c r="BK771" s="118"/>
      <c r="BL771" s="118"/>
      <c r="BM771" s="118"/>
      <c r="BN771" s="133"/>
      <c r="BO771" s="92"/>
    </row>
    <row r="772">
      <c r="I772" s="73"/>
      <c r="J772" s="74"/>
      <c r="O772" s="113"/>
      <c r="P772" s="114"/>
      <c r="Q772" s="115"/>
      <c r="R772" s="116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  <c r="AM772" s="115"/>
      <c r="AN772" s="115"/>
      <c r="AO772" s="115"/>
      <c r="AP772" s="117"/>
      <c r="AQ772" s="118"/>
      <c r="AR772" s="118"/>
      <c r="AS772" s="118"/>
      <c r="AT772" s="118"/>
      <c r="AU772" s="118"/>
      <c r="AV772" s="118"/>
      <c r="AW772" s="118"/>
      <c r="AX772" s="118"/>
      <c r="AY772" s="118"/>
      <c r="AZ772" s="118"/>
      <c r="BA772" s="118"/>
      <c r="BB772" s="118"/>
      <c r="BC772" s="118"/>
      <c r="BD772" s="118"/>
      <c r="BE772" s="118"/>
      <c r="BF772" s="118"/>
      <c r="BG772" s="118"/>
      <c r="BH772" s="118"/>
      <c r="BI772" s="118"/>
      <c r="BJ772" s="118"/>
      <c r="BK772" s="118"/>
      <c r="BL772" s="118"/>
      <c r="BM772" s="118"/>
      <c r="BN772" s="133"/>
      <c r="BO772" s="92"/>
    </row>
    <row r="773">
      <c r="I773" s="73"/>
      <c r="J773" s="74"/>
      <c r="O773" s="113"/>
      <c r="P773" s="114"/>
      <c r="Q773" s="115"/>
      <c r="R773" s="116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  <c r="AM773" s="115"/>
      <c r="AN773" s="115"/>
      <c r="AO773" s="115"/>
      <c r="AP773" s="117"/>
      <c r="AQ773" s="118"/>
      <c r="AR773" s="118"/>
      <c r="AS773" s="118"/>
      <c r="AT773" s="118"/>
      <c r="AU773" s="118"/>
      <c r="AV773" s="118"/>
      <c r="AW773" s="118"/>
      <c r="AX773" s="118"/>
      <c r="AY773" s="118"/>
      <c r="AZ773" s="118"/>
      <c r="BA773" s="118"/>
      <c r="BB773" s="118"/>
      <c r="BC773" s="118"/>
      <c r="BD773" s="118"/>
      <c r="BE773" s="118"/>
      <c r="BF773" s="118"/>
      <c r="BG773" s="118"/>
      <c r="BH773" s="118"/>
      <c r="BI773" s="118"/>
      <c r="BJ773" s="118"/>
      <c r="BK773" s="118"/>
      <c r="BL773" s="118"/>
      <c r="BM773" s="118"/>
      <c r="BN773" s="133"/>
      <c r="BO773" s="92"/>
    </row>
    <row r="774">
      <c r="I774" s="73"/>
      <c r="J774" s="74"/>
      <c r="O774" s="113"/>
      <c r="P774" s="114"/>
      <c r="Q774" s="115"/>
      <c r="R774" s="116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  <c r="AM774" s="115"/>
      <c r="AN774" s="115"/>
      <c r="AO774" s="115"/>
      <c r="AP774" s="117"/>
      <c r="AQ774" s="118"/>
      <c r="AR774" s="118"/>
      <c r="AS774" s="118"/>
      <c r="AT774" s="118"/>
      <c r="AU774" s="118"/>
      <c r="AV774" s="118"/>
      <c r="AW774" s="118"/>
      <c r="AX774" s="118"/>
      <c r="AY774" s="118"/>
      <c r="AZ774" s="118"/>
      <c r="BA774" s="118"/>
      <c r="BB774" s="118"/>
      <c r="BC774" s="118"/>
      <c r="BD774" s="118"/>
      <c r="BE774" s="118"/>
      <c r="BF774" s="118"/>
      <c r="BG774" s="118"/>
      <c r="BH774" s="118"/>
      <c r="BI774" s="118"/>
      <c r="BJ774" s="118"/>
      <c r="BK774" s="118"/>
      <c r="BL774" s="118"/>
      <c r="BM774" s="118"/>
      <c r="BN774" s="133"/>
      <c r="BO774" s="92"/>
    </row>
    <row r="775">
      <c r="I775" s="73"/>
      <c r="J775" s="74"/>
      <c r="O775" s="113"/>
      <c r="P775" s="114"/>
      <c r="Q775" s="115"/>
      <c r="R775" s="116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  <c r="AM775" s="115"/>
      <c r="AN775" s="115"/>
      <c r="AO775" s="115"/>
      <c r="AP775" s="117"/>
      <c r="AQ775" s="118"/>
      <c r="AR775" s="118"/>
      <c r="AS775" s="118"/>
      <c r="AT775" s="118"/>
      <c r="AU775" s="118"/>
      <c r="AV775" s="118"/>
      <c r="AW775" s="118"/>
      <c r="AX775" s="118"/>
      <c r="AY775" s="118"/>
      <c r="AZ775" s="118"/>
      <c r="BA775" s="118"/>
      <c r="BB775" s="118"/>
      <c r="BC775" s="118"/>
      <c r="BD775" s="118"/>
      <c r="BE775" s="118"/>
      <c r="BF775" s="118"/>
      <c r="BG775" s="118"/>
      <c r="BH775" s="118"/>
      <c r="BI775" s="118"/>
      <c r="BJ775" s="118"/>
      <c r="BK775" s="118"/>
      <c r="BL775" s="118"/>
      <c r="BM775" s="118"/>
      <c r="BN775" s="133"/>
      <c r="BO775" s="92"/>
    </row>
    <row r="776">
      <c r="I776" s="73"/>
      <c r="J776" s="74"/>
      <c r="O776" s="113"/>
      <c r="P776" s="114"/>
      <c r="Q776" s="115"/>
      <c r="R776" s="116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  <c r="AM776" s="115"/>
      <c r="AN776" s="115"/>
      <c r="AO776" s="115"/>
      <c r="AP776" s="117"/>
      <c r="AQ776" s="118"/>
      <c r="AR776" s="118"/>
      <c r="AS776" s="118"/>
      <c r="AT776" s="118"/>
      <c r="AU776" s="118"/>
      <c r="AV776" s="118"/>
      <c r="AW776" s="118"/>
      <c r="AX776" s="118"/>
      <c r="AY776" s="118"/>
      <c r="AZ776" s="118"/>
      <c r="BA776" s="118"/>
      <c r="BB776" s="118"/>
      <c r="BC776" s="118"/>
      <c r="BD776" s="118"/>
      <c r="BE776" s="118"/>
      <c r="BF776" s="118"/>
      <c r="BG776" s="118"/>
      <c r="BH776" s="118"/>
      <c r="BI776" s="118"/>
      <c r="BJ776" s="118"/>
      <c r="BK776" s="118"/>
      <c r="BL776" s="118"/>
      <c r="BM776" s="118"/>
      <c r="BN776" s="133"/>
      <c r="BO776" s="92"/>
    </row>
    <row r="777">
      <c r="I777" s="73"/>
      <c r="J777" s="74"/>
      <c r="O777" s="113"/>
      <c r="P777" s="114"/>
      <c r="Q777" s="115"/>
      <c r="R777" s="116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  <c r="AM777" s="115"/>
      <c r="AN777" s="115"/>
      <c r="AO777" s="115"/>
      <c r="AP777" s="117"/>
      <c r="AQ777" s="118"/>
      <c r="AR777" s="118"/>
      <c r="AS777" s="118"/>
      <c r="AT777" s="118"/>
      <c r="AU777" s="118"/>
      <c r="AV777" s="118"/>
      <c r="AW777" s="118"/>
      <c r="AX777" s="118"/>
      <c r="AY777" s="118"/>
      <c r="AZ777" s="118"/>
      <c r="BA777" s="118"/>
      <c r="BB777" s="118"/>
      <c r="BC777" s="118"/>
      <c r="BD777" s="118"/>
      <c r="BE777" s="118"/>
      <c r="BF777" s="118"/>
      <c r="BG777" s="118"/>
      <c r="BH777" s="118"/>
      <c r="BI777" s="118"/>
      <c r="BJ777" s="118"/>
      <c r="BK777" s="118"/>
      <c r="BL777" s="118"/>
      <c r="BM777" s="118"/>
      <c r="BN777" s="133"/>
      <c r="BO777" s="92"/>
    </row>
    <row r="778">
      <c r="I778" s="73"/>
      <c r="J778" s="74"/>
      <c r="O778" s="113"/>
      <c r="P778" s="114"/>
      <c r="Q778" s="115"/>
      <c r="R778" s="116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  <c r="AM778" s="115"/>
      <c r="AN778" s="115"/>
      <c r="AO778" s="115"/>
      <c r="AP778" s="117"/>
      <c r="AQ778" s="118"/>
      <c r="AR778" s="118"/>
      <c r="AS778" s="118"/>
      <c r="AT778" s="118"/>
      <c r="AU778" s="118"/>
      <c r="AV778" s="118"/>
      <c r="AW778" s="118"/>
      <c r="AX778" s="118"/>
      <c r="AY778" s="118"/>
      <c r="AZ778" s="118"/>
      <c r="BA778" s="118"/>
      <c r="BB778" s="118"/>
      <c r="BC778" s="118"/>
      <c r="BD778" s="118"/>
      <c r="BE778" s="118"/>
      <c r="BF778" s="118"/>
      <c r="BG778" s="118"/>
      <c r="BH778" s="118"/>
      <c r="BI778" s="118"/>
      <c r="BJ778" s="118"/>
      <c r="BK778" s="118"/>
      <c r="BL778" s="118"/>
      <c r="BM778" s="118"/>
      <c r="BN778" s="133"/>
      <c r="BO778" s="92"/>
    </row>
    <row r="779">
      <c r="I779" s="73"/>
      <c r="J779" s="74"/>
      <c r="O779" s="113"/>
      <c r="P779" s="114"/>
      <c r="Q779" s="115"/>
      <c r="R779" s="116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  <c r="AM779" s="115"/>
      <c r="AN779" s="115"/>
      <c r="AO779" s="115"/>
      <c r="AP779" s="117"/>
      <c r="AQ779" s="118"/>
      <c r="AR779" s="118"/>
      <c r="AS779" s="118"/>
      <c r="AT779" s="118"/>
      <c r="AU779" s="118"/>
      <c r="AV779" s="118"/>
      <c r="AW779" s="118"/>
      <c r="AX779" s="118"/>
      <c r="AY779" s="118"/>
      <c r="AZ779" s="118"/>
      <c r="BA779" s="118"/>
      <c r="BB779" s="118"/>
      <c r="BC779" s="118"/>
      <c r="BD779" s="118"/>
      <c r="BE779" s="118"/>
      <c r="BF779" s="118"/>
      <c r="BG779" s="118"/>
      <c r="BH779" s="118"/>
      <c r="BI779" s="118"/>
      <c r="BJ779" s="118"/>
      <c r="BK779" s="118"/>
      <c r="BL779" s="118"/>
      <c r="BM779" s="118"/>
      <c r="BN779" s="133"/>
      <c r="BO779" s="92"/>
    </row>
    <row r="780">
      <c r="I780" s="73"/>
      <c r="J780" s="74"/>
      <c r="O780" s="113"/>
      <c r="P780" s="114"/>
      <c r="Q780" s="115"/>
      <c r="R780" s="116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  <c r="AM780" s="115"/>
      <c r="AN780" s="115"/>
      <c r="AO780" s="115"/>
      <c r="AP780" s="117"/>
      <c r="AQ780" s="118"/>
      <c r="AR780" s="118"/>
      <c r="AS780" s="118"/>
      <c r="AT780" s="118"/>
      <c r="AU780" s="118"/>
      <c r="AV780" s="118"/>
      <c r="AW780" s="118"/>
      <c r="AX780" s="118"/>
      <c r="AY780" s="118"/>
      <c r="AZ780" s="118"/>
      <c r="BA780" s="118"/>
      <c r="BB780" s="118"/>
      <c r="BC780" s="118"/>
      <c r="BD780" s="118"/>
      <c r="BE780" s="118"/>
      <c r="BF780" s="118"/>
      <c r="BG780" s="118"/>
      <c r="BH780" s="118"/>
      <c r="BI780" s="118"/>
      <c r="BJ780" s="118"/>
      <c r="BK780" s="118"/>
      <c r="BL780" s="118"/>
      <c r="BM780" s="118"/>
      <c r="BN780" s="133"/>
      <c r="BO780" s="92"/>
    </row>
    <row r="781">
      <c r="I781" s="73"/>
      <c r="J781" s="74"/>
      <c r="O781" s="113"/>
      <c r="P781" s="114"/>
      <c r="Q781" s="115"/>
      <c r="R781" s="116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  <c r="AM781" s="115"/>
      <c r="AN781" s="115"/>
      <c r="AO781" s="115"/>
      <c r="AP781" s="117"/>
      <c r="AQ781" s="118"/>
      <c r="AR781" s="118"/>
      <c r="AS781" s="118"/>
      <c r="AT781" s="118"/>
      <c r="AU781" s="118"/>
      <c r="AV781" s="118"/>
      <c r="AW781" s="118"/>
      <c r="AX781" s="118"/>
      <c r="AY781" s="118"/>
      <c r="AZ781" s="118"/>
      <c r="BA781" s="118"/>
      <c r="BB781" s="118"/>
      <c r="BC781" s="118"/>
      <c r="BD781" s="118"/>
      <c r="BE781" s="118"/>
      <c r="BF781" s="118"/>
      <c r="BG781" s="118"/>
      <c r="BH781" s="118"/>
      <c r="BI781" s="118"/>
      <c r="BJ781" s="118"/>
      <c r="BK781" s="118"/>
      <c r="BL781" s="118"/>
      <c r="BM781" s="118"/>
      <c r="BN781" s="133"/>
      <c r="BO781" s="92"/>
    </row>
    <row r="782">
      <c r="I782" s="73"/>
      <c r="J782" s="74"/>
      <c r="O782" s="113"/>
      <c r="P782" s="114"/>
      <c r="Q782" s="115"/>
      <c r="R782" s="116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  <c r="AM782" s="115"/>
      <c r="AN782" s="115"/>
      <c r="AO782" s="115"/>
      <c r="AP782" s="117"/>
      <c r="AQ782" s="118"/>
      <c r="AR782" s="118"/>
      <c r="AS782" s="118"/>
      <c r="AT782" s="118"/>
      <c r="AU782" s="118"/>
      <c r="AV782" s="118"/>
      <c r="AW782" s="118"/>
      <c r="AX782" s="118"/>
      <c r="AY782" s="118"/>
      <c r="AZ782" s="118"/>
      <c r="BA782" s="118"/>
      <c r="BB782" s="118"/>
      <c r="BC782" s="118"/>
      <c r="BD782" s="118"/>
      <c r="BE782" s="118"/>
      <c r="BF782" s="118"/>
      <c r="BG782" s="118"/>
      <c r="BH782" s="118"/>
      <c r="BI782" s="118"/>
      <c r="BJ782" s="118"/>
      <c r="BK782" s="118"/>
      <c r="BL782" s="118"/>
      <c r="BM782" s="118"/>
      <c r="BN782" s="133"/>
      <c r="BO782" s="92"/>
    </row>
    <row r="783">
      <c r="I783" s="73"/>
      <c r="J783" s="74"/>
      <c r="O783" s="113"/>
      <c r="P783" s="114"/>
      <c r="Q783" s="115"/>
      <c r="R783" s="116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  <c r="AM783" s="115"/>
      <c r="AN783" s="115"/>
      <c r="AO783" s="115"/>
      <c r="AP783" s="117"/>
      <c r="AQ783" s="118"/>
      <c r="AR783" s="118"/>
      <c r="AS783" s="118"/>
      <c r="AT783" s="118"/>
      <c r="AU783" s="118"/>
      <c r="AV783" s="118"/>
      <c r="AW783" s="118"/>
      <c r="AX783" s="118"/>
      <c r="AY783" s="118"/>
      <c r="AZ783" s="118"/>
      <c r="BA783" s="118"/>
      <c r="BB783" s="118"/>
      <c r="BC783" s="118"/>
      <c r="BD783" s="118"/>
      <c r="BE783" s="118"/>
      <c r="BF783" s="118"/>
      <c r="BG783" s="118"/>
      <c r="BH783" s="118"/>
      <c r="BI783" s="118"/>
      <c r="BJ783" s="118"/>
      <c r="BK783" s="118"/>
      <c r="BL783" s="118"/>
      <c r="BM783" s="118"/>
      <c r="BN783" s="133"/>
      <c r="BO783" s="92"/>
    </row>
    <row r="784">
      <c r="I784" s="73"/>
      <c r="J784" s="74"/>
      <c r="O784" s="113"/>
      <c r="P784" s="114"/>
      <c r="Q784" s="115"/>
      <c r="R784" s="116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  <c r="AM784" s="115"/>
      <c r="AN784" s="115"/>
      <c r="AO784" s="115"/>
      <c r="AP784" s="117"/>
      <c r="AQ784" s="118"/>
      <c r="AR784" s="118"/>
      <c r="AS784" s="118"/>
      <c r="AT784" s="118"/>
      <c r="AU784" s="118"/>
      <c r="AV784" s="118"/>
      <c r="AW784" s="118"/>
      <c r="AX784" s="118"/>
      <c r="AY784" s="118"/>
      <c r="AZ784" s="118"/>
      <c r="BA784" s="118"/>
      <c r="BB784" s="118"/>
      <c r="BC784" s="118"/>
      <c r="BD784" s="118"/>
      <c r="BE784" s="118"/>
      <c r="BF784" s="118"/>
      <c r="BG784" s="118"/>
      <c r="BH784" s="118"/>
      <c r="BI784" s="118"/>
      <c r="BJ784" s="118"/>
      <c r="BK784" s="118"/>
      <c r="BL784" s="118"/>
      <c r="BM784" s="118"/>
      <c r="BN784" s="133"/>
      <c r="BO784" s="92"/>
    </row>
    <row r="785">
      <c r="I785" s="73"/>
      <c r="J785" s="74"/>
      <c r="O785" s="113"/>
      <c r="P785" s="114"/>
      <c r="Q785" s="115"/>
      <c r="R785" s="116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  <c r="AM785" s="115"/>
      <c r="AN785" s="115"/>
      <c r="AO785" s="115"/>
      <c r="AP785" s="117"/>
      <c r="AQ785" s="118"/>
      <c r="AR785" s="118"/>
      <c r="AS785" s="118"/>
      <c r="AT785" s="118"/>
      <c r="AU785" s="118"/>
      <c r="AV785" s="118"/>
      <c r="AW785" s="118"/>
      <c r="AX785" s="118"/>
      <c r="AY785" s="118"/>
      <c r="AZ785" s="118"/>
      <c r="BA785" s="118"/>
      <c r="BB785" s="118"/>
      <c r="BC785" s="118"/>
      <c r="BD785" s="118"/>
      <c r="BE785" s="118"/>
      <c r="BF785" s="118"/>
      <c r="BG785" s="118"/>
      <c r="BH785" s="118"/>
      <c r="BI785" s="118"/>
      <c r="BJ785" s="118"/>
      <c r="BK785" s="118"/>
      <c r="BL785" s="118"/>
      <c r="BM785" s="118"/>
      <c r="BN785" s="133"/>
      <c r="BO785" s="92"/>
    </row>
    <row r="786">
      <c r="I786" s="73"/>
      <c r="J786" s="74"/>
      <c r="O786" s="113"/>
      <c r="P786" s="114"/>
      <c r="Q786" s="115"/>
      <c r="R786" s="116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  <c r="AM786" s="115"/>
      <c r="AN786" s="115"/>
      <c r="AO786" s="115"/>
      <c r="AP786" s="117"/>
      <c r="AQ786" s="118"/>
      <c r="AR786" s="118"/>
      <c r="AS786" s="118"/>
      <c r="AT786" s="118"/>
      <c r="AU786" s="118"/>
      <c r="AV786" s="118"/>
      <c r="AW786" s="118"/>
      <c r="AX786" s="118"/>
      <c r="AY786" s="118"/>
      <c r="AZ786" s="118"/>
      <c r="BA786" s="118"/>
      <c r="BB786" s="118"/>
      <c r="BC786" s="118"/>
      <c r="BD786" s="118"/>
      <c r="BE786" s="118"/>
      <c r="BF786" s="118"/>
      <c r="BG786" s="118"/>
      <c r="BH786" s="118"/>
      <c r="BI786" s="118"/>
      <c r="BJ786" s="118"/>
      <c r="BK786" s="118"/>
      <c r="BL786" s="118"/>
      <c r="BM786" s="118"/>
      <c r="BN786" s="133"/>
      <c r="BO786" s="92"/>
    </row>
    <row r="787">
      <c r="I787" s="73"/>
      <c r="J787" s="74"/>
      <c r="O787" s="113"/>
      <c r="P787" s="114"/>
      <c r="Q787" s="115"/>
      <c r="R787" s="116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  <c r="AM787" s="115"/>
      <c r="AN787" s="115"/>
      <c r="AO787" s="115"/>
      <c r="AP787" s="117"/>
      <c r="AQ787" s="118"/>
      <c r="AR787" s="118"/>
      <c r="AS787" s="118"/>
      <c r="AT787" s="118"/>
      <c r="AU787" s="118"/>
      <c r="AV787" s="118"/>
      <c r="AW787" s="118"/>
      <c r="AX787" s="118"/>
      <c r="AY787" s="118"/>
      <c r="AZ787" s="118"/>
      <c r="BA787" s="118"/>
      <c r="BB787" s="118"/>
      <c r="BC787" s="118"/>
      <c r="BD787" s="118"/>
      <c r="BE787" s="118"/>
      <c r="BF787" s="118"/>
      <c r="BG787" s="118"/>
      <c r="BH787" s="118"/>
      <c r="BI787" s="118"/>
      <c r="BJ787" s="118"/>
      <c r="BK787" s="118"/>
      <c r="BL787" s="118"/>
      <c r="BM787" s="118"/>
      <c r="BN787" s="133"/>
      <c r="BO787" s="92"/>
    </row>
    <row r="788">
      <c r="I788" s="73"/>
      <c r="J788" s="74"/>
      <c r="O788" s="113"/>
      <c r="P788" s="114"/>
      <c r="Q788" s="115"/>
      <c r="R788" s="116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  <c r="AM788" s="115"/>
      <c r="AN788" s="115"/>
      <c r="AO788" s="115"/>
      <c r="AP788" s="117"/>
      <c r="AQ788" s="118"/>
      <c r="AR788" s="118"/>
      <c r="AS788" s="118"/>
      <c r="AT788" s="118"/>
      <c r="AU788" s="118"/>
      <c r="AV788" s="118"/>
      <c r="AW788" s="118"/>
      <c r="AX788" s="118"/>
      <c r="AY788" s="118"/>
      <c r="AZ788" s="118"/>
      <c r="BA788" s="118"/>
      <c r="BB788" s="118"/>
      <c r="BC788" s="118"/>
      <c r="BD788" s="118"/>
      <c r="BE788" s="118"/>
      <c r="BF788" s="118"/>
      <c r="BG788" s="118"/>
      <c r="BH788" s="118"/>
      <c r="BI788" s="118"/>
      <c r="BJ788" s="118"/>
      <c r="BK788" s="118"/>
      <c r="BL788" s="118"/>
      <c r="BM788" s="118"/>
      <c r="BN788" s="133"/>
      <c r="BO788" s="92"/>
    </row>
    <row r="789">
      <c r="I789" s="73"/>
      <c r="J789" s="74"/>
      <c r="O789" s="113"/>
      <c r="P789" s="114"/>
      <c r="Q789" s="115"/>
      <c r="R789" s="116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  <c r="AM789" s="115"/>
      <c r="AN789" s="115"/>
      <c r="AO789" s="115"/>
      <c r="AP789" s="117"/>
      <c r="AQ789" s="118"/>
      <c r="AR789" s="118"/>
      <c r="AS789" s="118"/>
      <c r="AT789" s="118"/>
      <c r="AU789" s="118"/>
      <c r="AV789" s="118"/>
      <c r="AW789" s="118"/>
      <c r="AX789" s="118"/>
      <c r="AY789" s="118"/>
      <c r="AZ789" s="118"/>
      <c r="BA789" s="118"/>
      <c r="BB789" s="118"/>
      <c r="BC789" s="118"/>
      <c r="BD789" s="118"/>
      <c r="BE789" s="118"/>
      <c r="BF789" s="118"/>
      <c r="BG789" s="118"/>
      <c r="BH789" s="118"/>
      <c r="BI789" s="118"/>
      <c r="BJ789" s="118"/>
      <c r="BK789" s="118"/>
      <c r="BL789" s="118"/>
      <c r="BM789" s="118"/>
      <c r="BN789" s="133"/>
      <c r="BO789" s="92"/>
    </row>
    <row r="790">
      <c r="I790" s="73"/>
      <c r="J790" s="74"/>
      <c r="O790" s="113"/>
      <c r="P790" s="114"/>
      <c r="Q790" s="115"/>
      <c r="R790" s="116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  <c r="AM790" s="115"/>
      <c r="AN790" s="115"/>
      <c r="AO790" s="115"/>
      <c r="AP790" s="117"/>
      <c r="AQ790" s="118"/>
      <c r="AR790" s="118"/>
      <c r="AS790" s="118"/>
      <c r="AT790" s="118"/>
      <c r="AU790" s="118"/>
      <c r="AV790" s="118"/>
      <c r="AW790" s="118"/>
      <c r="AX790" s="118"/>
      <c r="AY790" s="118"/>
      <c r="AZ790" s="118"/>
      <c r="BA790" s="118"/>
      <c r="BB790" s="118"/>
      <c r="BC790" s="118"/>
      <c r="BD790" s="118"/>
      <c r="BE790" s="118"/>
      <c r="BF790" s="118"/>
      <c r="BG790" s="118"/>
      <c r="BH790" s="118"/>
      <c r="BI790" s="118"/>
      <c r="BJ790" s="118"/>
      <c r="BK790" s="118"/>
      <c r="BL790" s="118"/>
      <c r="BM790" s="118"/>
      <c r="BN790" s="133"/>
      <c r="BO790" s="92"/>
    </row>
    <row r="791">
      <c r="I791" s="73"/>
      <c r="J791" s="74"/>
      <c r="O791" s="113"/>
      <c r="P791" s="114"/>
      <c r="Q791" s="115"/>
      <c r="R791" s="116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  <c r="AM791" s="115"/>
      <c r="AN791" s="115"/>
      <c r="AO791" s="115"/>
      <c r="AP791" s="117"/>
      <c r="AQ791" s="118"/>
      <c r="AR791" s="118"/>
      <c r="AS791" s="118"/>
      <c r="AT791" s="118"/>
      <c r="AU791" s="118"/>
      <c r="AV791" s="118"/>
      <c r="AW791" s="118"/>
      <c r="AX791" s="118"/>
      <c r="AY791" s="118"/>
      <c r="AZ791" s="118"/>
      <c r="BA791" s="118"/>
      <c r="BB791" s="118"/>
      <c r="BC791" s="118"/>
      <c r="BD791" s="118"/>
      <c r="BE791" s="118"/>
      <c r="BF791" s="118"/>
      <c r="BG791" s="118"/>
      <c r="BH791" s="118"/>
      <c r="BI791" s="118"/>
      <c r="BJ791" s="118"/>
      <c r="BK791" s="118"/>
      <c r="BL791" s="118"/>
      <c r="BM791" s="118"/>
      <c r="BN791" s="133"/>
      <c r="BO791" s="92"/>
    </row>
    <row r="792">
      <c r="I792" s="73"/>
      <c r="J792" s="74"/>
      <c r="O792" s="113"/>
      <c r="P792" s="114"/>
      <c r="Q792" s="115"/>
      <c r="R792" s="116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  <c r="AM792" s="115"/>
      <c r="AN792" s="115"/>
      <c r="AO792" s="115"/>
      <c r="AP792" s="117"/>
      <c r="AQ792" s="118"/>
      <c r="AR792" s="118"/>
      <c r="AS792" s="118"/>
      <c r="AT792" s="118"/>
      <c r="AU792" s="118"/>
      <c r="AV792" s="118"/>
      <c r="AW792" s="118"/>
      <c r="AX792" s="118"/>
      <c r="AY792" s="118"/>
      <c r="AZ792" s="118"/>
      <c r="BA792" s="118"/>
      <c r="BB792" s="118"/>
      <c r="BC792" s="118"/>
      <c r="BD792" s="118"/>
      <c r="BE792" s="118"/>
      <c r="BF792" s="118"/>
      <c r="BG792" s="118"/>
      <c r="BH792" s="118"/>
      <c r="BI792" s="118"/>
      <c r="BJ792" s="118"/>
      <c r="BK792" s="118"/>
      <c r="BL792" s="118"/>
      <c r="BM792" s="118"/>
      <c r="BN792" s="133"/>
      <c r="BO792" s="92"/>
    </row>
    <row r="793">
      <c r="I793" s="73"/>
      <c r="J793" s="74"/>
      <c r="O793" s="113"/>
      <c r="P793" s="114"/>
      <c r="Q793" s="115"/>
      <c r="R793" s="116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  <c r="AM793" s="115"/>
      <c r="AN793" s="115"/>
      <c r="AO793" s="115"/>
      <c r="AP793" s="117"/>
      <c r="AQ793" s="118"/>
      <c r="AR793" s="118"/>
      <c r="AS793" s="118"/>
      <c r="AT793" s="118"/>
      <c r="AU793" s="118"/>
      <c r="AV793" s="118"/>
      <c r="AW793" s="118"/>
      <c r="AX793" s="118"/>
      <c r="AY793" s="118"/>
      <c r="AZ793" s="118"/>
      <c r="BA793" s="118"/>
      <c r="BB793" s="118"/>
      <c r="BC793" s="118"/>
      <c r="BD793" s="118"/>
      <c r="BE793" s="118"/>
      <c r="BF793" s="118"/>
      <c r="BG793" s="118"/>
      <c r="BH793" s="118"/>
      <c r="BI793" s="118"/>
      <c r="BJ793" s="118"/>
      <c r="BK793" s="118"/>
      <c r="BL793" s="118"/>
      <c r="BM793" s="118"/>
      <c r="BN793" s="133"/>
      <c r="BO793" s="92"/>
    </row>
    <row r="794">
      <c r="I794" s="73"/>
      <c r="J794" s="74"/>
      <c r="O794" s="113"/>
      <c r="P794" s="114"/>
      <c r="Q794" s="115"/>
      <c r="R794" s="116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  <c r="AM794" s="115"/>
      <c r="AN794" s="115"/>
      <c r="AO794" s="115"/>
      <c r="AP794" s="117"/>
      <c r="AQ794" s="118"/>
      <c r="AR794" s="118"/>
      <c r="AS794" s="118"/>
      <c r="AT794" s="118"/>
      <c r="AU794" s="118"/>
      <c r="AV794" s="118"/>
      <c r="AW794" s="118"/>
      <c r="AX794" s="118"/>
      <c r="AY794" s="118"/>
      <c r="AZ794" s="118"/>
      <c r="BA794" s="118"/>
      <c r="BB794" s="118"/>
      <c r="BC794" s="118"/>
      <c r="BD794" s="118"/>
      <c r="BE794" s="118"/>
      <c r="BF794" s="118"/>
      <c r="BG794" s="118"/>
      <c r="BH794" s="118"/>
      <c r="BI794" s="118"/>
      <c r="BJ794" s="118"/>
      <c r="BK794" s="118"/>
      <c r="BL794" s="118"/>
      <c r="BM794" s="118"/>
      <c r="BN794" s="133"/>
      <c r="BO794" s="92"/>
    </row>
    <row r="795">
      <c r="I795" s="73"/>
      <c r="J795" s="74"/>
      <c r="O795" s="113"/>
      <c r="P795" s="114"/>
      <c r="Q795" s="115"/>
      <c r="R795" s="116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  <c r="AM795" s="115"/>
      <c r="AN795" s="115"/>
      <c r="AO795" s="115"/>
      <c r="AP795" s="117"/>
      <c r="AQ795" s="118"/>
      <c r="AR795" s="118"/>
      <c r="AS795" s="118"/>
      <c r="AT795" s="118"/>
      <c r="AU795" s="118"/>
      <c r="AV795" s="118"/>
      <c r="AW795" s="118"/>
      <c r="AX795" s="118"/>
      <c r="AY795" s="118"/>
      <c r="AZ795" s="118"/>
      <c r="BA795" s="118"/>
      <c r="BB795" s="118"/>
      <c r="BC795" s="118"/>
      <c r="BD795" s="118"/>
      <c r="BE795" s="118"/>
      <c r="BF795" s="118"/>
      <c r="BG795" s="118"/>
      <c r="BH795" s="118"/>
      <c r="BI795" s="118"/>
      <c r="BJ795" s="118"/>
      <c r="BK795" s="118"/>
      <c r="BL795" s="118"/>
      <c r="BM795" s="118"/>
      <c r="BN795" s="133"/>
      <c r="BO795" s="92"/>
    </row>
    <row r="796">
      <c r="I796" s="73"/>
      <c r="J796" s="74"/>
      <c r="O796" s="113"/>
      <c r="P796" s="114"/>
      <c r="Q796" s="115"/>
      <c r="R796" s="116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  <c r="AM796" s="115"/>
      <c r="AN796" s="115"/>
      <c r="AO796" s="115"/>
      <c r="AP796" s="117"/>
      <c r="AQ796" s="118"/>
      <c r="AR796" s="118"/>
      <c r="AS796" s="118"/>
      <c r="AT796" s="118"/>
      <c r="AU796" s="118"/>
      <c r="AV796" s="118"/>
      <c r="AW796" s="118"/>
      <c r="AX796" s="118"/>
      <c r="AY796" s="118"/>
      <c r="AZ796" s="118"/>
      <c r="BA796" s="118"/>
      <c r="BB796" s="118"/>
      <c r="BC796" s="118"/>
      <c r="BD796" s="118"/>
      <c r="BE796" s="118"/>
      <c r="BF796" s="118"/>
      <c r="BG796" s="118"/>
      <c r="BH796" s="118"/>
      <c r="BI796" s="118"/>
      <c r="BJ796" s="118"/>
      <c r="BK796" s="118"/>
      <c r="BL796" s="118"/>
      <c r="BM796" s="118"/>
      <c r="BN796" s="133"/>
      <c r="BO796" s="92"/>
    </row>
    <row r="797">
      <c r="I797" s="73"/>
      <c r="J797" s="74"/>
      <c r="O797" s="113"/>
      <c r="P797" s="114"/>
      <c r="Q797" s="115"/>
      <c r="R797" s="116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  <c r="AM797" s="115"/>
      <c r="AN797" s="115"/>
      <c r="AO797" s="115"/>
      <c r="AP797" s="117"/>
      <c r="AQ797" s="118"/>
      <c r="AR797" s="118"/>
      <c r="AS797" s="118"/>
      <c r="AT797" s="118"/>
      <c r="AU797" s="118"/>
      <c r="AV797" s="118"/>
      <c r="AW797" s="118"/>
      <c r="AX797" s="118"/>
      <c r="AY797" s="118"/>
      <c r="AZ797" s="118"/>
      <c r="BA797" s="118"/>
      <c r="BB797" s="118"/>
      <c r="BC797" s="118"/>
      <c r="BD797" s="118"/>
      <c r="BE797" s="118"/>
      <c r="BF797" s="118"/>
      <c r="BG797" s="118"/>
      <c r="BH797" s="118"/>
      <c r="BI797" s="118"/>
      <c r="BJ797" s="118"/>
      <c r="BK797" s="118"/>
      <c r="BL797" s="118"/>
      <c r="BM797" s="118"/>
      <c r="BN797" s="133"/>
      <c r="BO797" s="92"/>
    </row>
    <row r="798">
      <c r="I798" s="73"/>
      <c r="J798" s="74"/>
      <c r="O798" s="113"/>
      <c r="P798" s="114"/>
      <c r="Q798" s="115"/>
      <c r="R798" s="116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  <c r="AM798" s="115"/>
      <c r="AN798" s="115"/>
      <c r="AO798" s="115"/>
      <c r="AP798" s="117"/>
      <c r="AQ798" s="118"/>
      <c r="AR798" s="118"/>
      <c r="AS798" s="118"/>
      <c r="AT798" s="118"/>
      <c r="AU798" s="118"/>
      <c r="AV798" s="118"/>
      <c r="AW798" s="118"/>
      <c r="AX798" s="118"/>
      <c r="AY798" s="118"/>
      <c r="AZ798" s="118"/>
      <c r="BA798" s="118"/>
      <c r="BB798" s="118"/>
      <c r="BC798" s="118"/>
      <c r="BD798" s="118"/>
      <c r="BE798" s="118"/>
      <c r="BF798" s="118"/>
      <c r="BG798" s="118"/>
      <c r="BH798" s="118"/>
      <c r="BI798" s="118"/>
      <c r="BJ798" s="118"/>
      <c r="BK798" s="118"/>
      <c r="BL798" s="118"/>
      <c r="BM798" s="118"/>
      <c r="BN798" s="133"/>
      <c r="BO798" s="92"/>
    </row>
    <row r="799">
      <c r="I799" s="73"/>
      <c r="J799" s="74"/>
      <c r="O799" s="113"/>
      <c r="P799" s="114"/>
      <c r="Q799" s="115"/>
      <c r="R799" s="116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  <c r="AM799" s="115"/>
      <c r="AN799" s="115"/>
      <c r="AO799" s="115"/>
      <c r="AP799" s="117"/>
      <c r="AQ799" s="118"/>
      <c r="AR799" s="118"/>
      <c r="AS799" s="118"/>
      <c r="AT799" s="118"/>
      <c r="AU799" s="118"/>
      <c r="AV799" s="118"/>
      <c r="AW799" s="118"/>
      <c r="AX799" s="118"/>
      <c r="AY799" s="118"/>
      <c r="AZ799" s="118"/>
      <c r="BA799" s="118"/>
      <c r="BB799" s="118"/>
      <c r="BC799" s="118"/>
      <c r="BD799" s="118"/>
      <c r="BE799" s="118"/>
      <c r="BF799" s="118"/>
      <c r="BG799" s="118"/>
      <c r="BH799" s="118"/>
      <c r="BI799" s="118"/>
      <c r="BJ799" s="118"/>
      <c r="BK799" s="118"/>
      <c r="BL799" s="118"/>
      <c r="BM799" s="118"/>
      <c r="BN799" s="133"/>
      <c r="BO799" s="92"/>
    </row>
    <row r="800">
      <c r="I800" s="73"/>
      <c r="J800" s="74"/>
      <c r="O800" s="113"/>
      <c r="P800" s="114"/>
      <c r="Q800" s="115"/>
      <c r="R800" s="116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  <c r="AM800" s="115"/>
      <c r="AN800" s="115"/>
      <c r="AO800" s="115"/>
      <c r="AP800" s="117"/>
      <c r="AQ800" s="118"/>
      <c r="AR800" s="118"/>
      <c r="AS800" s="118"/>
      <c r="AT800" s="118"/>
      <c r="AU800" s="118"/>
      <c r="AV800" s="118"/>
      <c r="AW800" s="118"/>
      <c r="AX800" s="118"/>
      <c r="AY800" s="118"/>
      <c r="AZ800" s="118"/>
      <c r="BA800" s="118"/>
      <c r="BB800" s="118"/>
      <c r="BC800" s="118"/>
      <c r="BD800" s="118"/>
      <c r="BE800" s="118"/>
      <c r="BF800" s="118"/>
      <c r="BG800" s="118"/>
      <c r="BH800" s="118"/>
      <c r="BI800" s="118"/>
      <c r="BJ800" s="118"/>
      <c r="BK800" s="118"/>
      <c r="BL800" s="118"/>
      <c r="BM800" s="118"/>
      <c r="BN800" s="133"/>
      <c r="BO800" s="92"/>
    </row>
    <row r="801">
      <c r="I801" s="73"/>
      <c r="J801" s="74"/>
      <c r="O801" s="113"/>
      <c r="P801" s="114"/>
      <c r="Q801" s="115"/>
      <c r="R801" s="116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  <c r="AM801" s="115"/>
      <c r="AN801" s="115"/>
      <c r="AO801" s="115"/>
      <c r="AP801" s="117"/>
      <c r="AQ801" s="118"/>
      <c r="AR801" s="118"/>
      <c r="AS801" s="118"/>
      <c r="AT801" s="118"/>
      <c r="AU801" s="118"/>
      <c r="AV801" s="118"/>
      <c r="AW801" s="118"/>
      <c r="AX801" s="118"/>
      <c r="AY801" s="118"/>
      <c r="AZ801" s="118"/>
      <c r="BA801" s="118"/>
      <c r="BB801" s="118"/>
      <c r="BC801" s="118"/>
      <c r="BD801" s="118"/>
      <c r="BE801" s="118"/>
      <c r="BF801" s="118"/>
      <c r="BG801" s="118"/>
      <c r="BH801" s="118"/>
      <c r="BI801" s="118"/>
      <c r="BJ801" s="118"/>
      <c r="BK801" s="118"/>
      <c r="BL801" s="118"/>
      <c r="BM801" s="118"/>
      <c r="BN801" s="133"/>
      <c r="BO801" s="92"/>
    </row>
    <row r="802">
      <c r="I802" s="73"/>
      <c r="J802" s="74"/>
      <c r="O802" s="113"/>
      <c r="P802" s="114"/>
      <c r="Q802" s="115"/>
      <c r="R802" s="116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  <c r="AM802" s="115"/>
      <c r="AN802" s="115"/>
      <c r="AO802" s="115"/>
      <c r="AP802" s="117"/>
      <c r="AQ802" s="118"/>
      <c r="AR802" s="118"/>
      <c r="AS802" s="118"/>
      <c r="AT802" s="118"/>
      <c r="AU802" s="118"/>
      <c r="AV802" s="118"/>
      <c r="AW802" s="118"/>
      <c r="AX802" s="118"/>
      <c r="AY802" s="118"/>
      <c r="AZ802" s="118"/>
      <c r="BA802" s="118"/>
      <c r="BB802" s="118"/>
      <c r="BC802" s="118"/>
      <c r="BD802" s="118"/>
      <c r="BE802" s="118"/>
      <c r="BF802" s="118"/>
      <c r="BG802" s="118"/>
      <c r="BH802" s="118"/>
      <c r="BI802" s="118"/>
      <c r="BJ802" s="118"/>
      <c r="BK802" s="118"/>
      <c r="BL802" s="118"/>
      <c r="BM802" s="118"/>
      <c r="BN802" s="133"/>
      <c r="BO802" s="92"/>
    </row>
    <row r="803">
      <c r="I803" s="73"/>
      <c r="J803" s="74"/>
      <c r="O803" s="113"/>
      <c r="P803" s="114"/>
      <c r="Q803" s="115"/>
      <c r="R803" s="116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  <c r="AM803" s="115"/>
      <c r="AN803" s="115"/>
      <c r="AO803" s="115"/>
      <c r="AP803" s="117"/>
      <c r="AQ803" s="118"/>
      <c r="AR803" s="118"/>
      <c r="AS803" s="118"/>
      <c r="AT803" s="118"/>
      <c r="AU803" s="118"/>
      <c r="AV803" s="118"/>
      <c r="AW803" s="118"/>
      <c r="AX803" s="118"/>
      <c r="AY803" s="118"/>
      <c r="AZ803" s="118"/>
      <c r="BA803" s="118"/>
      <c r="BB803" s="118"/>
      <c r="BC803" s="118"/>
      <c r="BD803" s="118"/>
      <c r="BE803" s="118"/>
      <c r="BF803" s="118"/>
      <c r="BG803" s="118"/>
      <c r="BH803" s="118"/>
      <c r="BI803" s="118"/>
      <c r="BJ803" s="118"/>
      <c r="BK803" s="118"/>
      <c r="BL803" s="118"/>
      <c r="BM803" s="118"/>
      <c r="BN803" s="133"/>
      <c r="BO803" s="92"/>
    </row>
    <row r="804">
      <c r="I804" s="73"/>
      <c r="J804" s="74"/>
      <c r="O804" s="113"/>
      <c r="P804" s="114"/>
      <c r="Q804" s="115"/>
      <c r="R804" s="116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  <c r="AM804" s="115"/>
      <c r="AN804" s="115"/>
      <c r="AO804" s="115"/>
      <c r="AP804" s="117"/>
      <c r="AQ804" s="118"/>
      <c r="AR804" s="118"/>
      <c r="AS804" s="118"/>
      <c r="AT804" s="118"/>
      <c r="AU804" s="118"/>
      <c r="AV804" s="118"/>
      <c r="AW804" s="118"/>
      <c r="AX804" s="118"/>
      <c r="AY804" s="118"/>
      <c r="AZ804" s="118"/>
      <c r="BA804" s="118"/>
      <c r="BB804" s="118"/>
      <c r="BC804" s="118"/>
      <c r="BD804" s="118"/>
      <c r="BE804" s="118"/>
      <c r="BF804" s="118"/>
      <c r="BG804" s="118"/>
      <c r="BH804" s="118"/>
      <c r="BI804" s="118"/>
      <c r="BJ804" s="118"/>
      <c r="BK804" s="118"/>
      <c r="BL804" s="118"/>
      <c r="BM804" s="118"/>
      <c r="BN804" s="133"/>
      <c r="BO804" s="92"/>
    </row>
    <row r="805">
      <c r="I805" s="73"/>
      <c r="J805" s="74"/>
      <c r="O805" s="113"/>
      <c r="P805" s="114"/>
      <c r="Q805" s="115"/>
      <c r="R805" s="116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  <c r="AM805" s="115"/>
      <c r="AN805" s="115"/>
      <c r="AO805" s="115"/>
      <c r="AP805" s="117"/>
      <c r="AQ805" s="118"/>
      <c r="AR805" s="118"/>
      <c r="AS805" s="118"/>
      <c r="AT805" s="118"/>
      <c r="AU805" s="118"/>
      <c r="AV805" s="118"/>
      <c r="AW805" s="118"/>
      <c r="AX805" s="118"/>
      <c r="AY805" s="118"/>
      <c r="AZ805" s="118"/>
      <c r="BA805" s="118"/>
      <c r="BB805" s="118"/>
      <c r="BC805" s="118"/>
      <c r="BD805" s="118"/>
      <c r="BE805" s="118"/>
      <c r="BF805" s="118"/>
      <c r="BG805" s="118"/>
      <c r="BH805" s="118"/>
      <c r="BI805" s="118"/>
      <c r="BJ805" s="118"/>
      <c r="BK805" s="118"/>
      <c r="BL805" s="118"/>
      <c r="BM805" s="118"/>
      <c r="BN805" s="133"/>
      <c r="BO805" s="92"/>
    </row>
    <row r="806">
      <c r="I806" s="73"/>
      <c r="J806" s="74"/>
      <c r="O806" s="113"/>
      <c r="P806" s="114"/>
      <c r="Q806" s="115"/>
      <c r="R806" s="116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  <c r="AM806" s="115"/>
      <c r="AN806" s="115"/>
      <c r="AO806" s="115"/>
      <c r="AP806" s="117"/>
      <c r="AQ806" s="118"/>
      <c r="AR806" s="118"/>
      <c r="AS806" s="118"/>
      <c r="AT806" s="118"/>
      <c r="AU806" s="118"/>
      <c r="AV806" s="118"/>
      <c r="AW806" s="118"/>
      <c r="AX806" s="118"/>
      <c r="AY806" s="118"/>
      <c r="AZ806" s="118"/>
      <c r="BA806" s="118"/>
      <c r="BB806" s="118"/>
      <c r="BC806" s="118"/>
      <c r="BD806" s="118"/>
      <c r="BE806" s="118"/>
      <c r="BF806" s="118"/>
      <c r="BG806" s="118"/>
      <c r="BH806" s="118"/>
      <c r="BI806" s="118"/>
      <c r="BJ806" s="118"/>
      <c r="BK806" s="118"/>
      <c r="BL806" s="118"/>
      <c r="BM806" s="118"/>
      <c r="BN806" s="133"/>
      <c r="BO806" s="92"/>
    </row>
    <row r="807">
      <c r="I807" s="73"/>
      <c r="J807" s="74"/>
      <c r="O807" s="113"/>
      <c r="P807" s="114"/>
      <c r="Q807" s="115"/>
      <c r="R807" s="116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  <c r="AM807" s="115"/>
      <c r="AN807" s="115"/>
      <c r="AO807" s="115"/>
      <c r="AP807" s="117"/>
      <c r="AQ807" s="118"/>
      <c r="AR807" s="118"/>
      <c r="AS807" s="118"/>
      <c r="AT807" s="118"/>
      <c r="AU807" s="118"/>
      <c r="AV807" s="118"/>
      <c r="AW807" s="118"/>
      <c r="AX807" s="118"/>
      <c r="AY807" s="118"/>
      <c r="AZ807" s="118"/>
      <c r="BA807" s="118"/>
      <c r="BB807" s="118"/>
      <c r="BC807" s="118"/>
      <c r="BD807" s="118"/>
      <c r="BE807" s="118"/>
      <c r="BF807" s="118"/>
      <c r="BG807" s="118"/>
      <c r="BH807" s="118"/>
      <c r="BI807" s="118"/>
      <c r="BJ807" s="118"/>
      <c r="BK807" s="118"/>
      <c r="BL807" s="118"/>
      <c r="BM807" s="118"/>
      <c r="BN807" s="133"/>
      <c r="BO807" s="92"/>
    </row>
    <row r="808">
      <c r="I808" s="73"/>
      <c r="J808" s="74"/>
      <c r="O808" s="113"/>
      <c r="P808" s="114"/>
      <c r="Q808" s="115"/>
      <c r="R808" s="116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  <c r="AM808" s="115"/>
      <c r="AN808" s="115"/>
      <c r="AO808" s="115"/>
      <c r="AP808" s="117"/>
      <c r="AQ808" s="118"/>
      <c r="AR808" s="118"/>
      <c r="AS808" s="118"/>
      <c r="AT808" s="118"/>
      <c r="AU808" s="118"/>
      <c r="AV808" s="118"/>
      <c r="AW808" s="118"/>
      <c r="AX808" s="118"/>
      <c r="AY808" s="118"/>
      <c r="AZ808" s="118"/>
      <c r="BA808" s="118"/>
      <c r="BB808" s="118"/>
      <c r="BC808" s="118"/>
      <c r="BD808" s="118"/>
      <c r="BE808" s="118"/>
      <c r="BF808" s="118"/>
      <c r="BG808" s="118"/>
      <c r="BH808" s="118"/>
      <c r="BI808" s="118"/>
      <c r="BJ808" s="118"/>
      <c r="BK808" s="118"/>
      <c r="BL808" s="118"/>
      <c r="BM808" s="118"/>
      <c r="BN808" s="133"/>
      <c r="BO808" s="92"/>
    </row>
    <row r="809">
      <c r="I809" s="73"/>
      <c r="J809" s="74"/>
      <c r="O809" s="113"/>
      <c r="P809" s="114"/>
      <c r="Q809" s="115"/>
      <c r="R809" s="116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  <c r="AM809" s="115"/>
      <c r="AN809" s="115"/>
      <c r="AO809" s="115"/>
      <c r="AP809" s="117"/>
      <c r="AQ809" s="118"/>
      <c r="AR809" s="118"/>
      <c r="AS809" s="118"/>
      <c r="AT809" s="118"/>
      <c r="AU809" s="118"/>
      <c r="AV809" s="118"/>
      <c r="AW809" s="118"/>
      <c r="AX809" s="118"/>
      <c r="AY809" s="118"/>
      <c r="AZ809" s="118"/>
      <c r="BA809" s="118"/>
      <c r="BB809" s="118"/>
      <c r="BC809" s="118"/>
      <c r="BD809" s="118"/>
      <c r="BE809" s="118"/>
      <c r="BF809" s="118"/>
      <c r="BG809" s="118"/>
      <c r="BH809" s="118"/>
      <c r="BI809" s="118"/>
      <c r="BJ809" s="118"/>
      <c r="BK809" s="118"/>
      <c r="BL809" s="118"/>
      <c r="BM809" s="118"/>
      <c r="BN809" s="133"/>
      <c r="BO809" s="92"/>
    </row>
    <row r="810">
      <c r="I810" s="73"/>
      <c r="J810" s="74"/>
      <c r="O810" s="113"/>
      <c r="P810" s="114"/>
      <c r="Q810" s="115"/>
      <c r="R810" s="116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  <c r="AM810" s="115"/>
      <c r="AN810" s="115"/>
      <c r="AO810" s="115"/>
      <c r="AP810" s="117"/>
      <c r="AQ810" s="118"/>
      <c r="AR810" s="118"/>
      <c r="AS810" s="118"/>
      <c r="AT810" s="118"/>
      <c r="AU810" s="118"/>
      <c r="AV810" s="118"/>
      <c r="AW810" s="118"/>
      <c r="AX810" s="118"/>
      <c r="AY810" s="118"/>
      <c r="AZ810" s="118"/>
      <c r="BA810" s="118"/>
      <c r="BB810" s="118"/>
      <c r="BC810" s="118"/>
      <c r="BD810" s="118"/>
      <c r="BE810" s="118"/>
      <c r="BF810" s="118"/>
      <c r="BG810" s="118"/>
      <c r="BH810" s="118"/>
      <c r="BI810" s="118"/>
      <c r="BJ810" s="118"/>
      <c r="BK810" s="118"/>
      <c r="BL810" s="118"/>
      <c r="BM810" s="118"/>
      <c r="BN810" s="133"/>
      <c r="BO810" s="92"/>
    </row>
    <row r="811">
      <c r="I811" s="73"/>
      <c r="J811" s="74"/>
      <c r="O811" s="113"/>
      <c r="P811" s="114"/>
      <c r="Q811" s="115"/>
      <c r="R811" s="116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  <c r="AM811" s="115"/>
      <c r="AN811" s="115"/>
      <c r="AO811" s="115"/>
      <c r="AP811" s="117"/>
      <c r="AQ811" s="118"/>
      <c r="AR811" s="118"/>
      <c r="AS811" s="118"/>
      <c r="AT811" s="118"/>
      <c r="AU811" s="118"/>
      <c r="AV811" s="118"/>
      <c r="AW811" s="118"/>
      <c r="AX811" s="118"/>
      <c r="AY811" s="118"/>
      <c r="AZ811" s="118"/>
      <c r="BA811" s="118"/>
      <c r="BB811" s="118"/>
      <c r="BC811" s="118"/>
      <c r="BD811" s="118"/>
      <c r="BE811" s="118"/>
      <c r="BF811" s="118"/>
      <c r="BG811" s="118"/>
      <c r="BH811" s="118"/>
      <c r="BI811" s="118"/>
      <c r="BJ811" s="118"/>
      <c r="BK811" s="118"/>
      <c r="BL811" s="118"/>
      <c r="BM811" s="118"/>
      <c r="BN811" s="133"/>
      <c r="BO811" s="92"/>
    </row>
    <row r="812">
      <c r="I812" s="73"/>
      <c r="J812" s="74"/>
      <c r="O812" s="113"/>
      <c r="P812" s="114"/>
      <c r="Q812" s="115"/>
      <c r="R812" s="116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  <c r="AM812" s="115"/>
      <c r="AN812" s="115"/>
      <c r="AO812" s="115"/>
      <c r="AP812" s="117"/>
      <c r="AQ812" s="118"/>
      <c r="AR812" s="118"/>
      <c r="AS812" s="118"/>
      <c r="AT812" s="118"/>
      <c r="AU812" s="118"/>
      <c r="AV812" s="118"/>
      <c r="AW812" s="118"/>
      <c r="AX812" s="118"/>
      <c r="AY812" s="118"/>
      <c r="AZ812" s="118"/>
      <c r="BA812" s="118"/>
      <c r="BB812" s="118"/>
      <c r="BC812" s="118"/>
      <c r="BD812" s="118"/>
      <c r="BE812" s="118"/>
      <c r="BF812" s="118"/>
      <c r="BG812" s="118"/>
      <c r="BH812" s="118"/>
      <c r="BI812" s="118"/>
      <c r="BJ812" s="118"/>
      <c r="BK812" s="118"/>
      <c r="BL812" s="118"/>
      <c r="BM812" s="118"/>
      <c r="BN812" s="133"/>
      <c r="BO812" s="92"/>
    </row>
    <row r="813">
      <c r="I813" s="73"/>
      <c r="J813" s="74"/>
      <c r="O813" s="113"/>
      <c r="P813" s="114"/>
      <c r="Q813" s="115"/>
      <c r="R813" s="116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  <c r="AM813" s="115"/>
      <c r="AN813" s="115"/>
      <c r="AO813" s="115"/>
      <c r="AP813" s="117"/>
      <c r="AQ813" s="118"/>
      <c r="AR813" s="118"/>
      <c r="AS813" s="118"/>
      <c r="AT813" s="118"/>
      <c r="AU813" s="118"/>
      <c r="AV813" s="118"/>
      <c r="AW813" s="118"/>
      <c r="AX813" s="118"/>
      <c r="AY813" s="118"/>
      <c r="AZ813" s="118"/>
      <c r="BA813" s="118"/>
      <c r="BB813" s="118"/>
      <c r="BC813" s="118"/>
      <c r="BD813" s="118"/>
      <c r="BE813" s="118"/>
      <c r="BF813" s="118"/>
      <c r="BG813" s="118"/>
      <c r="BH813" s="118"/>
      <c r="BI813" s="118"/>
      <c r="BJ813" s="118"/>
      <c r="BK813" s="118"/>
      <c r="BL813" s="118"/>
      <c r="BM813" s="118"/>
      <c r="BN813" s="133"/>
      <c r="BO813" s="92"/>
    </row>
    <row r="814">
      <c r="I814" s="73"/>
      <c r="J814" s="74"/>
      <c r="O814" s="113"/>
      <c r="P814" s="114"/>
      <c r="Q814" s="115"/>
      <c r="R814" s="116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  <c r="AM814" s="115"/>
      <c r="AN814" s="115"/>
      <c r="AO814" s="115"/>
      <c r="AP814" s="117"/>
      <c r="AQ814" s="118"/>
      <c r="AR814" s="118"/>
      <c r="AS814" s="118"/>
      <c r="AT814" s="118"/>
      <c r="AU814" s="118"/>
      <c r="AV814" s="118"/>
      <c r="AW814" s="118"/>
      <c r="AX814" s="118"/>
      <c r="AY814" s="118"/>
      <c r="AZ814" s="118"/>
      <c r="BA814" s="118"/>
      <c r="BB814" s="118"/>
      <c r="BC814" s="118"/>
      <c r="BD814" s="118"/>
      <c r="BE814" s="118"/>
      <c r="BF814" s="118"/>
      <c r="BG814" s="118"/>
      <c r="BH814" s="118"/>
      <c r="BI814" s="118"/>
      <c r="BJ814" s="118"/>
      <c r="BK814" s="118"/>
      <c r="BL814" s="118"/>
      <c r="BM814" s="118"/>
      <c r="BN814" s="133"/>
      <c r="BO814" s="92"/>
    </row>
    <row r="815">
      <c r="I815" s="73"/>
      <c r="J815" s="74"/>
      <c r="O815" s="113"/>
      <c r="P815" s="114"/>
      <c r="Q815" s="115"/>
      <c r="R815" s="116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  <c r="AM815" s="115"/>
      <c r="AN815" s="115"/>
      <c r="AO815" s="115"/>
      <c r="AP815" s="117"/>
      <c r="AQ815" s="118"/>
      <c r="AR815" s="118"/>
      <c r="AS815" s="118"/>
      <c r="AT815" s="118"/>
      <c r="AU815" s="118"/>
      <c r="AV815" s="118"/>
      <c r="AW815" s="118"/>
      <c r="AX815" s="118"/>
      <c r="AY815" s="118"/>
      <c r="AZ815" s="118"/>
      <c r="BA815" s="118"/>
      <c r="BB815" s="118"/>
      <c r="BC815" s="118"/>
      <c r="BD815" s="118"/>
      <c r="BE815" s="118"/>
      <c r="BF815" s="118"/>
      <c r="BG815" s="118"/>
      <c r="BH815" s="118"/>
      <c r="BI815" s="118"/>
      <c r="BJ815" s="118"/>
      <c r="BK815" s="118"/>
      <c r="BL815" s="118"/>
      <c r="BM815" s="118"/>
      <c r="BN815" s="133"/>
      <c r="BO815" s="92"/>
    </row>
    <row r="816">
      <c r="I816" s="73"/>
      <c r="J816" s="74"/>
      <c r="O816" s="113"/>
      <c r="P816" s="114"/>
      <c r="Q816" s="115"/>
      <c r="R816" s="116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  <c r="AM816" s="115"/>
      <c r="AN816" s="115"/>
      <c r="AO816" s="115"/>
      <c r="AP816" s="117"/>
      <c r="AQ816" s="118"/>
      <c r="AR816" s="118"/>
      <c r="AS816" s="118"/>
      <c r="AT816" s="118"/>
      <c r="AU816" s="118"/>
      <c r="AV816" s="118"/>
      <c r="AW816" s="118"/>
      <c r="AX816" s="118"/>
      <c r="AY816" s="118"/>
      <c r="AZ816" s="118"/>
      <c r="BA816" s="118"/>
      <c r="BB816" s="118"/>
      <c r="BC816" s="118"/>
      <c r="BD816" s="118"/>
      <c r="BE816" s="118"/>
      <c r="BF816" s="118"/>
      <c r="BG816" s="118"/>
      <c r="BH816" s="118"/>
      <c r="BI816" s="118"/>
      <c r="BJ816" s="118"/>
      <c r="BK816" s="118"/>
      <c r="BL816" s="118"/>
      <c r="BM816" s="118"/>
      <c r="BN816" s="133"/>
      <c r="BO816" s="92"/>
    </row>
    <row r="817">
      <c r="I817" s="73"/>
      <c r="J817" s="74"/>
      <c r="O817" s="113"/>
      <c r="P817" s="114"/>
      <c r="Q817" s="115"/>
      <c r="R817" s="116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  <c r="AM817" s="115"/>
      <c r="AN817" s="115"/>
      <c r="AO817" s="115"/>
      <c r="AP817" s="117"/>
      <c r="AQ817" s="118"/>
      <c r="AR817" s="118"/>
      <c r="AS817" s="118"/>
      <c r="AT817" s="118"/>
      <c r="AU817" s="118"/>
      <c r="AV817" s="118"/>
      <c r="AW817" s="118"/>
      <c r="AX817" s="118"/>
      <c r="AY817" s="118"/>
      <c r="AZ817" s="118"/>
      <c r="BA817" s="118"/>
      <c r="BB817" s="118"/>
      <c r="BC817" s="118"/>
      <c r="BD817" s="118"/>
      <c r="BE817" s="118"/>
      <c r="BF817" s="118"/>
      <c r="BG817" s="118"/>
      <c r="BH817" s="118"/>
      <c r="BI817" s="118"/>
      <c r="BJ817" s="118"/>
      <c r="BK817" s="118"/>
      <c r="BL817" s="118"/>
      <c r="BM817" s="118"/>
      <c r="BN817" s="133"/>
      <c r="BO817" s="92"/>
    </row>
    <row r="818">
      <c r="I818" s="73"/>
      <c r="J818" s="74"/>
      <c r="O818" s="113"/>
      <c r="P818" s="114"/>
      <c r="Q818" s="115"/>
      <c r="R818" s="116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  <c r="AM818" s="115"/>
      <c r="AN818" s="115"/>
      <c r="AO818" s="115"/>
      <c r="AP818" s="117"/>
      <c r="AQ818" s="118"/>
      <c r="AR818" s="118"/>
      <c r="AS818" s="118"/>
      <c r="AT818" s="118"/>
      <c r="AU818" s="118"/>
      <c r="AV818" s="118"/>
      <c r="AW818" s="118"/>
      <c r="AX818" s="118"/>
      <c r="AY818" s="118"/>
      <c r="AZ818" s="118"/>
      <c r="BA818" s="118"/>
      <c r="BB818" s="118"/>
      <c r="BC818" s="118"/>
      <c r="BD818" s="118"/>
      <c r="BE818" s="118"/>
      <c r="BF818" s="118"/>
      <c r="BG818" s="118"/>
      <c r="BH818" s="118"/>
      <c r="BI818" s="118"/>
      <c r="BJ818" s="118"/>
      <c r="BK818" s="118"/>
      <c r="BL818" s="118"/>
      <c r="BM818" s="118"/>
      <c r="BN818" s="133"/>
      <c r="BO818" s="92"/>
    </row>
    <row r="819">
      <c r="I819" s="73"/>
      <c r="J819" s="74"/>
      <c r="O819" s="113"/>
      <c r="P819" s="114"/>
      <c r="Q819" s="115"/>
      <c r="R819" s="116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  <c r="AM819" s="115"/>
      <c r="AN819" s="115"/>
      <c r="AO819" s="115"/>
      <c r="AP819" s="117"/>
      <c r="AQ819" s="118"/>
      <c r="AR819" s="118"/>
      <c r="AS819" s="118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  <c r="BD819" s="118"/>
      <c r="BE819" s="118"/>
      <c r="BF819" s="118"/>
      <c r="BG819" s="118"/>
      <c r="BH819" s="118"/>
      <c r="BI819" s="118"/>
      <c r="BJ819" s="118"/>
      <c r="BK819" s="118"/>
      <c r="BL819" s="118"/>
      <c r="BM819" s="118"/>
      <c r="BN819" s="133"/>
      <c r="BO819" s="92"/>
    </row>
    <row r="820">
      <c r="I820" s="73"/>
      <c r="J820" s="74"/>
      <c r="O820" s="113"/>
      <c r="P820" s="114"/>
      <c r="Q820" s="115"/>
      <c r="R820" s="116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  <c r="AM820" s="115"/>
      <c r="AN820" s="115"/>
      <c r="AO820" s="115"/>
      <c r="AP820" s="117"/>
      <c r="AQ820" s="118"/>
      <c r="AR820" s="118"/>
      <c r="AS820" s="118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  <c r="BD820" s="118"/>
      <c r="BE820" s="118"/>
      <c r="BF820" s="118"/>
      <c r="BG820" s="118"/>
      <c r="BH820" s="118"/>
      <c r="BI820" s="118"/>
      <c r="BJ820" s="118"/>
      <c r="BK820" s="118"/>
      <c r="BL820" s="118"/>
      <c r="BM820" s="118"/>
      <c r="BN820" s="133"/>
      <c r="BO820" s="92"/>
    </row>
    <row r="821">
      <c r="I821" s="73"/>
      <c r="J821" s="74"/>
      <c r="O821" s="113"/>
      <c r="P821" s="114"/>
      <c r="Q821" s="115"/>
      <c r="R821" s="116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7"/>
      <c r="AQ821" s="118"/>
      <c r="AR821" s="118"/>
      <c r="AS821" s="118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  <c r="BD821" s="118"/>
      <c r="BE821" s="118"/>
      <c r="BF821" s="118"/>
      <c r="BG821" s="118"/>
      <c r="BH821" s="118"/>
      <c r="BI821" s="118"/>
      <c r="BJ821" s="118"/>
      <c r="BK821" s="118"/>
      <c r="BL821" s="118"/>
      <c r="BM821" s="118"/>
      <c r="BN821" s="133"/>
      <c r="BO821" s="92"/>
    </row>
    <row r="822">
      <c r="I822" s="73"/>
      <c r="J822" s="74"/>
      <c r="O822" s="113"/>
      <c r="P822" s="114"/>
      <c r="Q822" s="115"/>
      <c r="R822" s="116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  <c r="AM822" s="115"/>
      <c r="AN822" s="115"/>
      <c r="AO822" s="115"/>
      <c r="AP822" s="117"/>
      <c r="AQ822" s="118"/>
      <c r="AR822" s="118"/>
      <c r="AS822" s="118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  <c r="BD822" s="118"/>
      <c r="BE822" s="118"/>
      <c r="BF822" s="118"/>
      <c r="BG822" s="118"/>
      <c r="BH822" s="118"/>
      <c r="BI822" s="118"/>
      <c r="BJ822" s="118"/>
      <c r="BK822" s="118"/>
      <c r="BL822" s="118"/>
      <c r="BM822" s="118"/>
      <c r="BN822" s="133"/>
      <c r="BO822" s="92"/>
    </row>
    <row r="823">
      <c r="I823" s="73"/>
      <c r="J823" s="74"/>
      <c r="O823" s="113"/>
      <c r="P823" s="114"/>
      <c r="Q823" s="115"/>
      <c r="R823" s="116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  <c r="AM823" s="115"/>
      <c r="AN823" s="115"/>
      <c r="AO823" s="115"/>
      <c r="AP823" s="117"/>
      <c r="AQ823" s="118"/>
      <c r="AR823" s="118"/>
      <c r="AS823" s="118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  <c r="BD823" s="118"/>
      <c r="BE823" s="118"/>
      <c r="BF823" s="118"/>
      <c r="BG823" s="118"/>
      <c r="BH823" s="118"/>
      <c r="BI823" s="118"/>
      <c r="BJ823" s="118"/>
      <c r="BK823" s="118"/>
      <c r="BL823" s="118"/>
      <c r="BM823" s="118"/>
      <c r="BN823" s="133"/>
      <c r="BO823" s="92"/>
    </row>
    <row r="824">
      <c r="I824" s="73"/>
      <c r="J824" s="74"/>
      <c r="O824" s="113"/>
      <c r="P824" s="114"/>
      <c r="Q824" s="115"/>
      <c r="R824" s="116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  <c r="AM824" s="115"/>
      <c r="AN824" s="115"/>
      <c r="AO824" s="115"/>
      <c r="AP824" s="117"/>
      <c r="AQ824" s="118"/>
      <c r="AR824" s="118"/>
      <c r="AS824" s="118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  <c r="BD824" s="118"/>
      <c r="BE824" s="118"/>
      <c r="BF824" s="118"/>
      <c r="BG824" s="118"/>
      <c r="BH824" s="118"/>
      <c r="BI824" s="118"/>
      <c r="BJ824" s="118"/>
      <c r="BK824" s="118"/>
      <c r="BL824" s="118"/>
      <c r="BM824" s="118"/>
      <c r="BN824" s="133"/>
      <c r="BO824" s="92"/>
    </row>
    <row r="825">
      <c r="I825" s="73"/>
      <c r="J825" s="74"/>
      <c r="O825" s="113"/>
      <c r="P825" s="114"/>
      <c r="Q825" s="115"/>
      <c r="R825" s="116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  <c r="AM825" s="115"/>
      <c r="AN825" s="115"/>
      <c r="AO825" s="115"/>
      <c r="AP825" s="117"/>
      <c r="AQ825" s="118"/>
      <c r="AR825" s="118"/>
      <c r="AS825" s="118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  <c r="BD825" s="118"/>
      <c r="BE825" s="118"/>
      <c r="BF825" s="118"/>
      <c r="BG825" s="118"/>
      <c r="BH825" s="118"/>
      <c r="BI825" s="118"/>
      <c r="BJ825" s="118"/>
      <c r="BK825" s="118"/>
      <c r="BL825" s="118"/>
      <c r="BM825" s="118"/>
      <c r="BN825" s="133"/>
      <c r="BO825" s="92"/>
    </row>
    <row r="826">
      <c r="I826" s="73"/>
      <c r="J826" s="74"/>
      <c r="O826" s="113"/>
      <c r="P826" s="114"/>
      <c r="Q826" s="115"/>
      <c r="R826" s="116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  <c r="AM826" s="115"/>
      <c r="AN826" s="115"/>
      <c r="AO826" s="115"/>
      <c r="AP826" s="117"/>
      <c r="AQ826" s="118"/>
      <c r="AR826" s="118"/>
      <c r="AS826" s="118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  <c r="BD826" s="118"/>
      <c r="BE826" s="118"/>
      <c r="BF826" s="118"/>
      <c r="BG826" s="118"/>
      <c r="BH826" s="118"/>
      <c r="BI826" s="118"/>
      <c r="BJ826" s="118"/>
      <c r="BK826" s="118"/>
      <c r="BL826" s="118"/>
      <c r="BM826" s="118"/>
      <c r="BN826" s="133"/>
      <c r="BO826" s="92"/>
    </row>
    <row r="827">
      <c r="I827" s="73"/>
      <c r="J827" s="74"/>
      <c r="O827" s="113"/>
      <c r="P827" s="114"/>
      <c r="Q827" s="115"/>
      <c r="R827" s="116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  <c r="AM827" s="115"/>
      <c r="AN827" s="115"/>
      <c r="AO827" s="115"/>
      <c r="AP827" s="117"/>
      <c r="AQ827" s="118"/>
      <c r="AR827" s="118"/>
      <c r="AS827" s="118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  <c r="BD827" s="118"/>
      <c r="BE827" s="118"/>
      <c r="BF827" s="118"/>
      <c r="BG827" s="118"/>
      <c r="BH827" s="118"/>
      <c r="BI827" s="118"/>
      <c r="BJ827" s="118"/>
      <c r="BK827" s="118"/>
      <c r="BL827" s="118"/>
      <c r="BM827" s="118"/>
      <c r="BN827" s="133"/>
      <c r="BO827" s="92"/>
    </row>
    <row r="828">
      <c r="I828" s="73"/>
      <c r="J828" s="74"/>
      <c r="O828" s="113"/>
      <c r="P828" s="114"/>
      <c r="Q828" s="115"/>
      <c r="R828" s="116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  <c r="AM828" s="115"/>
      <c r="AN828" s="115"/>
      <c r="AO828" s="115"/>
      <c r="AP828" s="117"/>
      <c r="AQ828" s="118"/>
      <c r="AR828" s="118"/>
      <c r="AS828" s="118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  <c r="BD828" s="118"/>
      <c r="BE828" s="118"/>
      <c r="BF828" s="118"/>
      <c r="BG828" s="118"/>
      <c r="BH828" s="118"/>
      <c r="BI828" s="118"/>
      <c r="BJ828" s="118"/>
      <c r="BK828" s="118"/>
      <c r="BL828" s="118"/>
      <c r="BM828" s="118"/>
      <c r="BN828" s="133"/>
      <c r="BO828" s="92"/>
    </row>
    <row r="829">
      <c r="I829" s="73"/>
      <c r="J829" s="74"/>
      <c r="O829" s="113"/>
      <c r="P829" s="114"/>
      <c r="Q829" s="115"/>
      <c r="R829" s="116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  <c r="AM829" s="115"/>
      <c r="AN829" s="115"/>
      <c r="AO829" s="115"/>
      <c r="AP829" s="117"/>
      <c r="AQ829" s="118"/>
      <c r="AR829" s="118"/>
      <c r="AS829" s="118"/>
      <c r="AT829" s="118"/>
      <c r="AU829" s="118"/>
      <c r="AV829" s="118"/>
      <c r="AW829" s="118"/>
      <c r="AX829" s="118"/>
      <c r="AY829" s="118"/>
      <c r="AZ829" s="118"/>
      <c r="BA829" s="118"/>
      <c r="BB829" s="118"/>
      <c r="BC829" s="118"/>
      <c r="BD829" s="118"/>
      <c r="BE829" s="118"/>
      <c r="BF829" s="118"/>
      <c r="BG829" s="118"/>
      <c r="BH829" s="118"/>
      <c r="BI829" s="118"/>
      <c r="BJ829" s="118"/>
      <c r="BK829" s="118"/>
      <c r="BL829" s="118"/>
      <c r="BM829" s="118"/>
      <c r="BN829" s="133"/>
      <c r="BO829" s="92"/>
    </row>
    <row r="830">
      <c r="I830" s="73"/>
      <c r="J830" s="74"/>
      <c r="O830" s="113"/>
      <c r="P830" s="114"/>
      <c r="Q830" s="115"/>
      <c r="R830" s="116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  <c r="AM830" s="115"/>
      <c r="AN830" s="115"/>
      <c r="AO830" s="115"/>
      <c r="AP830" s="117"/>
      <c r="AQ830" s="118"/>
      <c r="AR830" s="118"/>
      <c r="AS830" s="118"/>
      <c r="AT830" s="118"/>
      <c r="AU830" s="118"/>
      <c r="AV830" s="118"/>
      <c r="AW830" s="118"/>
      <c r="AX830" s="118"/>
      <c r="AY830" s="118"/>
      <c r="AZ830" s="118"/>
      <c r="BA830" s="118"/>
      <c r="BB830" s="118"/>
      <c r="BC830" s="118"/>
      <c r="BD830" s="118"/>
      <c r="BE830" s="118"/>
      <c r="BF830" s="118"/>
      <c r="BG830" s="118"/>
      <c r="BH830" s="118"/>
      <c r="BI830" s="118"/>
      <c r="BJ830" s="118"/>
      <c r="BK830" s="118"/>
      <c r="BL830" s="118"/>
      <c r="BM830" s="118"/>
      <c r="BN830" s="133"/>
      <c r="BO830" s="92"/>
    </row>
    <row r="831">
      <c r="I831" s="73"/>
      <c r="J831" s="74"/>
      <c r="O831" s="113"/>
      <c r="P831" s="114"/>
      <c r="Q831" s="115"/>
      <c r="R831" s="116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  <c r="AM831" s="115"/>
      <c r="AN831" s="115"/>
      <c r="AO831" s="115"/>
      <c r="AP831" s="117"/>
      <c r="AQ831" s="118"/>
      <c r="AR831" s="118"/>
      <c r="AS831" s="118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  <c r="BD831" s="118"/>
      <c r="BE831" s="118"/>
      <c r="BF831" s="118"/>
      <c r="BG831" s="118"/>
      <c r="BH831" s="118"/>
      <c r="BI831" s="118"/>
      <c r="BJ831" s="118"/>
      <c r="BK831" s="118"/>
      <c r="BL831" s="118"/>
      <c r="BM831" s="118"/>
      <c r="BN831" s="133"/>
      <c r="BO831" s="92"/>
    </row>
    <row r="832">
      <c r="I832" s="73"/>
      <c r="J832" s="74"/>
      <c r="O832" s="113"/>
      <c r="P832" s="114"/>
      <c r="Q832" s="115"/>
      <c r="R832" s="116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  <c r="AM832" s="115"/>
      <c r="AN832" s="115"/>
      <c r="AO832" s="115"/>
      <c r="AP832" s="117"/>
      <c r="AQ832" s="118"/>
      <c r="AR832" s="118"/>
      <c r="AS832" s="118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  <c r="BD832" s="118"/>
      <c r="BE832" s="118"/>
      <c r="BF832" s="118"/>
      <c r="BG832" s="118"/>
      <c r="BH832" s="118"/>
      <c r="BI832" s="118"/>
      <c r="BJ832" s="118"/>
      <c r="BK832" s="118"/>
      <c r="BL832" s="118"/>
      <c r="BM832" s="118"/>
      <c r="BN832" s="133"/>
      <c r="BO832" s="92"/>
    </row>
    <row r="833">
      <c r="I833" s="73"/>
      <c r="J833" s="74"/>
      <c r="O833" s="113"/>
      <c r="P833" s="114"/>
      <c r="Q833" s="115"/>
      <c r="R833" s="116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  <c r="AM833" s="115"/>
      <c r="AN833" s="115"/>
      <c r="AO833" s="115"/>
      <c r="AP833" s="117"/>
      <c r="AQ833" s="118"/>
      <c r="AR833" s="118"/>
      <c r="AS833" s="118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  <c r="BD833" s="118"/>
      <c r="BE833" s="118"/>
      <c r="BF833" s="118"/>
      <c r="BG833" s="118"/>
      <c r="BH833" s="118"/>
      <c r="BI833" s="118"/>
      <c r="BJ833" s="118"/>
      <c r="BK833" s="118"/>
      <c r="BL833" s="118"/>
      <c r="BM833" s="118"/>
      <c r="BN833" s="133"/>
      <c r="BO833" s="92"/>
    </row>
    <row r="834">
      <c r="I834" s="73"/>
      <c r="J834" s="74"/>
      <c r="O834" s="113"/>
      <c r="P834" s="114"/>
      <c r="Q834" s="115"/>
      <c r="R834" s="116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  <c r="AM834" s="115"/>
      <c r="AN834" s="115"/>
      <c r="AO834" s="115"/>
      <c r="AP834" s="117"/>
      <c r="AQ834" s="118"/>
      <c r="AR834" s="118"/>
      <c r="AS834" s="118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  <c r="BD834" s="118"/>
      <c r="BE834" s="118"/>
      <c r="BF834" s="118"/>
      <c r="BG834" s="118"/>
      <c r="BH834" s="118"/>
      <c r="BI834" s="118"/>
      <c r="BJ834" s="118"/>
      <c r="BK834" s="118"/>
      <c r="BL834" s="118"/>
      <c r="BM834" s="118"/>
      <c r="BN834" s="133"/>
      <c r="BO834" s="92"/>
    </row>
    <row r="835">
      <c r="I835" s="73"/>
      <c r="J835" s="74"/>
      <c r="O835" s="113"/>
      <c r="P835" s="114"/>
      <c r="Q835" s="115"/>
      <c r="R835" s="116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  <c r="AM835" s="115"/>
      <c r="AN835" s="115"/>
      <c r="AO835" s="115"/>
      <c r="AP835" s="117"/>
      <c r="AQ835" s="118"/>
      <c r="AR835" s="118"/>
      <c r="AS835" s="118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  <c r="BD835" s="118"/>
      <c r="BE835" s="118"/>
      <c r="BF835" s="118"/>
      <c r="BG835" s="118"/>
      <c r="BH835" s="118"/>
      <c r="BI835" s="118"/>
      <c r="BJ835" s="118"/>
      <c r="BK835" s="118"/>
      <c r="BL835" s="118"/>
      <c r="BM835" s="118"/>
      <c r="BN835" s="133"/>
      <c r="BO835" s="92"/>
    </row>
    <row r="836">
      <c r="I836" s="73"/>
      <c r="J836" s="74"/>
      <c r="O836" s="113"/>
      <c r="P836" s="114"/>
      <c r="Q836" s="115"/>
      <c r="R836" s="116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  <c r="AM836" s="115"/>
      <c r="AN836" s="115"/>
      <c r="AO836" s="115"/>
      <c r="AP836" s="117"/>
      <c r="AQ836" s="118"/>
      <c r="AR836" s="118"/>
      <c r="AS836" s="118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  <c r="BD836" s="118"/>
      <c r="BE836" s="118"/>
      <c r="BF836" s="118"/>
      <c r="BG836" s="118"/>
      <c r="BH836" s="118"/>
      <c r="BI836" s="118"/>
      <c r="BJ836" s="118"/>
      <c r="BK836" s="118"/>
      <c r="BL836" s="118"/>
      <c r="BM836" s="118"/>
      <c r="BN836" s="133"/>
      <c r="BO836" s="92"/>
    </row>
    <row r="837">
      <c r="I837" s="73"/>
      <c r="J837" s="74"/>
      <c r="O837" s="113"/>
      <c r="P837" s="114"/>
      <c r="Q837" s="115"/>
      <c r="R837" s="116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  <c r="AM837" s="115"/>
      <c r="AN837" s="115"/>
      <c r="AO837" s="115"/>
      <c r="AP837" s="117"/>
      <c r="AQ837" s="118"/>
      <c r="AR837" s="118"/>
      <c r="AS837" s="118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  <c r="BD837" s="118"/>
      <c r="BE837" s="118"/>
      <c r="BF837" s="118"/>
      <c r="BG837" s="118"/>
      <c r="BH837" s="118"/>
      <c r="BI837" s="118"/>
      <c r="BJ837" s="118"/>
      <c r="BK837" s="118"/>
      <c r="BL837" s="118"/>
      <c r="BM837" s="118"/>
      <c r="BN837" s="133"/>
      <c r="BO837" s="92"/>
    </row>
    <row r="838">
      <c r="I838" s="73"/>
      <c r="J838" s="74"/>
      <c r="O838" s="113"/>
      <c r="P838" s="114"/>
      <c r="Q838" s="115"/>
      <c r="R838" s="116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  <c r="AM838" s="115"/>
      <c r="AN838" s="115"/>
      <c r="AO838" s="115"/>
      <c r="AP838" s="117"/>
      <c r="AQ838" s="118"/>
      <c r="AR838" s="118"/>
      <c r="AS838" s="118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  <c r="BD838" s="118"/>
      <c r="BE838" s="118"/>
      <c r="BF838" s="118"/>
      <c r="BG838" s="118"/>
      <c r="BH838" s="118"/>
      <c r="BI838" s="118"/>
      <c r="BJ838" s="118"/>
      <c r="BK838" s="118"/>
      <c r="BL838" s="118"/>
      <c r="BM838" s="118"/>
      <c r="BN838" s="133"/>
      <c r="BO838" s="92"/>
    </row>
  </sheetData>
  <autoFilter ref="$N$6:$BN$152">
    <sortState ref="N6:BN152">
      <sortCondition descending="1" ref="P6:P152"/>
    </sortState>
  </autoFilter>
  <mergeCells count="2">
    <mergeCell ref="H2:K2"/>
    <mergeCell ref="E8:E9"/>
  </mergeCells>
  <dataValidations>
    <dataValidation type="list" allowBlank="1" sqref="E19:E42">
      <formula1>"Maior,Menor"</formula1>
    </dataValidation>
  </dataValidation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86"/>
    <col customWidth="1" min="26" max="26" width="25.43"/>
  </cols>
  <sheetData>
    <row r="1">
      <c r="A1" s="10" t="s">
        <v>23</v>
      </c>
      <c r="B1" s="10" t="s">
        <v>2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  <c r="T1" s="10" t="s">
        <v>46</v>
      </c>
      <c r="U1" s="10" t="s">
        <v>47</v>
      </c>
      <c r="V1" s="10" t="s">
        <v>48</v>
      </c>
      <c r="W1" s="10" t="s">
        <v>49</v>
      </c>
      <c r="X1" s="10" t="s">
        <v>50</v>
      </c>
      <c r="Y1" s="10" t="s">
        <v>51</v>
      </c>
      <c r="Z1" s="10" t="s">
        <v>52</v>
      </c>
      <c r="AA1" s="10" t="s">
        <v>566</v>
      </c>
      <c r="AB1" s="10" t="s">
        <v>567</v>
      </c>
      <c r="AC1" s="10" t="s">
        <v>568</v>
      </c>
      <c r="AD1" s="10" t="s">
        <v>569</v>
      </c>
    </row>
    <row r="2">
      <c r="A2" s="10" t="s">
        <v>215</v>
      </c>
      <c r="B2" s="134">
        <v>11.71</v>
      </c>
      <c r="C2" s="10">
        <v>0.0</v>
      </c>
      <c r="D2" s="134">
        <v>47.07</v>
      </c>
      <c r="E2" s="134">
        <v>1.14</v>
      </c>
      <c r="F2" s="134">
        <v>0.53</v>
      </c>
      <c r="G2" s="134">
        <v>28.22</v>
      </c>
      <c r="H2" s="134">
        <v>10.9</v>
      </c>
      <c r="I2" s="134">
        <v>2.63</v>
      </c>
      <c r="J2" s="134">
        <v>11.34</v>
      </c>
      <c r="K2" s="134">
        <v>16.0</v>
      </c>
      <c r="L2" s="134">
        <v>4.66</v>
      </c>
      <c r="M2" s="134">
        <v>0.47</v>
      </c>
      <c r="N2" s="134">
        <v>1.24</v>
      </c>
      <c r="O2" s="134">
        <v>13.92</v>
      </c>
      <c r="P2" s="134">
        <v>-0.68</v>
      </c>
      <c r="Q2" s="134">
        <v>1.2</v>
      </c>
      <c r="R2" s="134">
        <v>2.43</v>
      </c>
      <c r="S2" s="134">
        <v>1.12</v>
      </c>
      <c r="T2" s="134">
        <v>5.1</v>
      </c>
      <c r="U2" s="134">
        <v>0.46</v>
      </c>
      <c r="V2" s="134">
        <v>0.53</v>
      </c>
      <c r="W2" s="134">
        <v>0.43</v>
      </c>
      <c r="X2" s="134">
        <v>5.83</v>
      </c>
      <c r="Y2" s="10">
        <v>0.0</v>
      </c>
      <c r="Z2" s="135">
        <v>1.093829663E7</v>
      </c>
      <c r="AA2" s="134">
        <v>10.25</v>
      </c>
      <c r="AB2" s="134">
        <v>0.25</v>
      </c>
      <c r="AC2" s="134">
        <v>-0.35</v>
      </c>
      <c r="AD2" s="135">
        <v>1.38520887536E9</v>
      </c>
    </row>
    <row r="3">
      <c r="A3" s="10" t="s">
        <v>223</v>
      </c>
      <c r="B3" s="134">
        <v>15.51</v>
      </c>
      <c r="C3" s="134">
        <v>4.97</v>
      </c>
      <c r="D3" s="134">
        <v>7.97</v>
      </c>
      <c r="E3" s="134">
        <v>0.79</v>
      </c>
      <c r="F3" s="134">
        <v>0.08</v>
      </c>
      <c r="G3" s="134">
        <v>64.72</v>
      </c>
      <c r="H3" s="134">
        <v>51.16</v>
      </c>
      <c r="I3" s="134">
        <v>28.9</v>
      </c>
      <c r="J3" s="134">
        <v>4.5</v>
      </c>
      <c r="K3" s="134">
        <v>4.5</v>
      </c>
      <c r="L3" s="10">
        <v>0.0</v>
      </c>
      <c r="M3" s="10">
        <v>0.0</v>
      </c>
      <c r="N3" s="134">
        <v>2.3</v>
      </c>
      <c r="O3" s="134">
        <v>1.13</v>
      </c>
      <c r="P3" s="134">
        <v>-0.09</v>
      </c>
      <c r="Q3" s="134">
        <v>2.41</v>
      </c>
      <c r="R3" s="134">
        <v>9.87</v>
      </c>
      <c r="S3" s="134">
        <v>1.0</v>
      </c>
      <c r="T3" s="10">
        <v>0.0</v>
      </c>
      <c r="U3" s="134">
        <v>0.1</v>
      </c>
      <c r="V3" s="134">
        <v>0.9</v>
      </c>
      <c r="W3" s="134">
        <v>0.03</v>
      </c>
      <c r="X3" s="134">
        <v>1.17</v>
      </c>
      <c r="Y3" s="134">
        <v>2.52</v>
      </c>
      <c r="Z3" s="135">
        <v>1.757099042E7</v>
      </c>
      <c r="AA3" s="134">
        <v>19.72</v>
      </c>
      <c r="AB3" s="134">
        <v>1.95</v>
      </c>
      <c r="AC3" s="134">
        <v>0.59</v>
      </c>
      <c r="AD3" s="135">
        <v>3.50665773018E9</v>
      </c>
    </row>
    <row r="4">
      <c r="A4" s="10" t="s">
        <v>71</v>
      </c>
      <c r="B4" s="134">
        <v>15.12</v>
      </c>
      <c r="C4" s="134">
        <v>3.24</v>
      </c>
      <c r="D4" s="134">
        <v>16.33</v>
      </c>
      <c r="E4" s="134">
        <v>3.02</v>
      </c>
      <c r="F4" s="134">
        <v>1.91</v>
      </c>
      <c r="G4" s="134">
        <v>52.59</v>
      </c>
      <c r="H4" s="134">
        <v>28.38</v>
      </c>
      <c r="I4" s="134">
        <v>21.91</v>
      </c>
      <c r="J4" s="134">
        <v>12.61</v>
      </c>
      <c r="K4" s="134">
        <v>12.04</v>
      </c>
      <c r="L4" s="134">
        <v>-0.61</v>
      </c>
      <c r="M4" s="134">
        <v>-0.15</v>
      </c>
      <c r="N4" s="134">
        <v>3.58</v>
      </c>
      <c r="O4" s="134">
        <v>60.81</v>
      </c>
      <c r="P4" s="134">
        <v>-2.59</v>
      </c>
      <c r="Q4" s="134">
        <v>1.14</v>
      </c>
      <c r="R4" s="134">
        <v>18.47</v>
      </c>
      <c r="S4" s="134">
        <v>11.71</v>
      </c>
      <c r="T4" s="134">
        <v>19.69</v>
      </c>
      <c r="U4" s="134">
        <v>0.63</v>
      </c>
      <c r="V4" s="134">
        <v>0.36</v>
      </c>
      <c r="W4" s="134">
        <v>0.53</v>
      </c>
      <c r="X4" s="134">
        <v>4.56</v>
      </c>
      <c r="Y4" s="134">
        <v>3.24</v>
      </c>
      <c r="Z4" s="135">
        <v>3.8941753979E8</v>
      </c>
      <c r="AA4" s="134">
        <v>5.01</v>
      </c>
      <c r="AB4" s="134">
        <v>0.93</v>
      </c>
      <c r="AC4" s="134">
        <v>0.26</v>
      </c>
      <c r="AD4" s="135">
        <v>2.3879787530815E11</v>
      </c>
    </row>
    <row r="5">
      <c r="A5" s="10" t="s">
        <v>570</v>
      </c>
      <c r="B5" s="134">
        <v>1.56</v>
      </c>
      <c r="C5" s="10">
        <v>0.0</v>
      </c>
      <c r="D5" s="134">
        <v>-4.09</v>
      </c>
      <c r="E5" s="134">
        <v>-1.29</v>
      </c>
      <c r="F5" s="134">
        <v>105.12</v>
      </c>
      <c r="G5" s="134">
        <v>100.0</v>
      </c>
      <c r="H5" s="135">
        <v>-13548.48</v>
      </c>
      <c r="I5" s="135">
        <v>-18860.61</v>
      </c>
      <c r="J5" s="134">
        <v>-5.69</v>
      </c>
      <c r="K5" s="134">
        <v>-5.69</v>
      </c>
      <c r="L5" s="134">
        <v>0.0</v>
      </c>
      <c r="M5" s="10">
        <v>0.0</v>
      </c>
      <c r="N5" s="136">
        <v>770.9</v>
      </c>
      <c r="O5" s="134">
        <v>-1.43</v>
      </c>
      <c r="P5" s="134">
        <v>-116.16</v>
      </c>
      <c r="Q5" s="134">
        <v>0.0</v>
      </c>
      <c r="R5" s="134">
        <v>-31.47</v>
      </c>
      <c r="S5" s="136">
        <v>-2571.9</v>
      </c>
      <c r="T5" s="134">
        <v>22.61</v>
      </c>
      <c r="U5" s="134">
        <v>-81.72</v>
      </c>
      <c r="V5" s="134">
        <v>82.72</v>
      </c>
      <c r="W5" s="134">
        <v>0.14</v>
      </c>
      <c r="X5" s="10">
        <v>0.0</v>
      </c>
      <c r="Y5" s="10">
        <v>0.0</v>
      </c>
      <c r="Z5" s="136">
        <v>94201.44</v>
      </c>
      <c r="AA5" s="134">
        <v>-1.21</v>
      </c>
      <c r="AB5" s="134">
        <v>-0.38</v>
      </c>
      <c r="AC5" s="134">
        <v>-0.58</v>
      </c>
      <c r="AD5" s="135">
        <v>2.54397702E7</v>
      </c>
    </row>
    <row r="6">
      <c r="A6" s="10" t="s">
        <v>193</v>
      </c>
      <c r="B6" s="134">
        <v>8.06</v>
      </c>
      <c r="C6" s="10">
        <v>0.0</v>
      </c>
      <c r="D6" s="134">
        <v>54.25</v>
      </c>
      <c r="E6" s="134">
        <v>6.13</v>
      </c>
      <c r="F6" s="134">
        <v>2.51</v>
      </c>
      <c r="G6" s="134">
        <v>10.44</v>
      </c>
      <c r="H6" s="134">
        <v>8.04</v>
      </c>
      <c r="I6" s="134">
        <v>4.18</v>
      </c>
      <c r="J6" s="134">
        <v>28.19</v>
      </c>
      <c r="K6" s="134">
        <v>31.11</v>
      </c>
      <c r="L6" s="134">
        <v>2.91</v>
      </c>
      <c r="M6" s="134">
        <v>0.63</v>
      </c>
      <c r="N6" s="134">
        <v>2.27</v>
      </c>
      <c r="O6" s="134">
        <v>6.45</v>
      </c>
      <c r="P6" s="134">
        <v>-6.53</v>
      </c>
      <c r="Q6" s="134">
        <v>2.73</v>
      </c>
      <c r="R6" s="134">
        <v>11.3</v>
      </c>
      <c r="S6" s="134">
        <v>4.63</v>
      </c>
      <c r="T6" s="134">
        <v>10.16</v>
      </c>
      <c r="U6" s="134">
        <v>0.41</v>
      </c>
      <c r="V6" s="134">
        <v>0.59</v>
      </c>
      <c r="W6" s="134">
        <v>1.11</v>
      </c>
      <c r="X6" s="10">
        <v>0.0</v>
      </c>
      <c r="Y6" s="10">
        <v>0.0</v>
      </c>
      <c r="Z6" s="135">
        <v>2.785888475E7</v>
      </c>
      <c r="AA6" s="134">
        <v>1.31</v>
      </c>
      <c r="AB6" s="134">
        <v>0.15</v>
      </c>
      <c r="AC6" s="134">
        <v>13.68</v>
      </c>
      <c r="AD6" s="135">
        <v>6.17568045536E9</v>
      </c>
    </row>
    <row r="7">
      <c r="A7" s="10" t="s">
        <v>211</v>
      </c>
      <c r="B7" s="134">
        <v>12.19</v>
      </c>
      <c r="C7" s="134">
        <v>1.89</v>
      </c>
      <c r="D7" s="134">
        <v>258.6</v>
      </c>
      <c r="E7" s="136">
        <v>3.34</v>
      </c>
      <c r="F7" s="136">
        <v>0.58</v>
      </c>
      <c r="G7" s="134">
        <v>32.59</v>
      </c>
      <c r="H7" s="134">
        <v>24.35</v>
      </c>
      <c r="I7" s="134">
        <v>4.13</v>
      </c>
      <c r="J7" s="134">
        <v>43.89</v>
      </c>
      <c r="K7" s="134">
        <v>78.81</v>
      </c>
      <c r="L7" s="134">
        <v>34.74</v>
      </c>
      <c r="M7" s="134">
        <v>2.64</v>
      </c>
      <c r="N7" s="134">
        <v>10.69</v>
      </c>
      <c r="O7" s="136">
        <v>15.79</v>
      </c>
      <c r="P7" s="134">
        <v>-0.68</v>
      </c>
      <c r="Q7" s="134">
        <v>1.35</v>
      </c>
      <c r="R7" s="134">
        <v>1.29</v>
      </c>
      <c r="S7" s="134">
        <v>0.23</v>
      </c>
      <c r="T7" s="134">
        <v>1.54</v>
      </c>
      <c r="U7" s="134">
        <v>0.18</v>
      </c>
      <c r="V7" s="134">
        <v>0.74</v>
      </c>
      <c r="W7" s="134">
        <v>0.05</v>
      </c>
      <c r="X7" s="10">
        <v>0.0</v>
      </c>
      <c r="Y7" s="10">
        <v>0.0</v>
      </c>
      <c r="Z7" s="135">
        <v>3.010803183E7</v>
      </c>
      <c r="AA7" s="134">
        <v>3.65</v>
      </c>
      <c r="AB7" s="134">
        <v>0.05</v>
      </c>
      <c r="AC7" s="10">
        <v>0.0</v>
      </c>
      <c r="AD7" s="135">
        <v>6.0233838048E9</v>
      </c>
    </row>
    <row r="8">
      <c r="A8" s="10" t="s">
        <v>493</v>
      </c>
      <c r="B8" s="134">
        <v>8.65</v>
      </c>
      <c r="C8" s="134">
        <v>5.08</v>
      </c>
      <c r="D8" s="134">
        <v>27.63</v>
      </c>
      <c r="E8" s="134">
        <v>3.18</v>
      </c>
      <c r="F8" s="134">
        <v>2.88</v>
      </c>
      <c r="G8" s="134">
        <v>70.12</v>
      </c>
      <c r="H8" s="134">
        <v>56.15</v>
      </c>
      <c r="I8" s="134">
        <v>53.65</v>
      </c>
      <c r="J8" s="134">
        <v>26.4</v>
      </c>
      <c r="K8" s="134">
        <v>25.82</v>
      </c>
      <c r="L8" s="134">
        <v>-0.58</v>
      </c>
      <c r="M8" s="134">
        <v>-0.07</v>
      </c>
      <c r="N8" s="134">
        <v>14.82</v>
      </c>
      <c r="O8" s="134">
        <v>15.94</v>
      </c>
      <c r="P8" s="134">
        <v>-3.63</v>
      </c>
      <c r="Q8" s="134">
        <v>8.22</v>
      </c>
      <c r="R8" s="134">
        <v>11.5</v>
      </c>
      <c r="S8" s="134">
        <v>10.43</v>
      </c>
      <c r="T8" s="134">
        <v>11.06</v>
      </c>
      <c r="U8" s="134">
        <v>0.91</v>
      </c>
      <c r="V8" s="134">
        <v>0.09</v>
      </c>
      <c r="W8" s="134">
        <v>0.19</v>
      </c>
      <c r="X8" s="134">
        <v>5.56</v>
      </c>
      <c r="Y8" s="134">
        <v>9.35</v>
      </c>
      <c r="Z8" s="136">
        <v>4478.1</v>
      </c>
      <c r="AA8" s="134">
        <v>2.72</v>
      </c>
      <c r="AB8" s="134">
        <v>0.31</v>
      </c>
      <c r="AC8" s="134">
        <v>-1.64</v>
      </c>
      <c r="AD8" s="135">
        <v>5.45682655E8</v>
      </c>
    </row>
    <row r="9">
      <c r="A9" s="10" t="s">
        <v>218</v>
      </c>
      <c r="B9" s="134">
        <v>30.93</v>
      </c>
      <c r="C9" s="134">
        <v>2.29</v>
      </c>
      <c r="D9" s="134">
        <v>9.97</v>
      </c>
      <c r="E9" s="134">
        <v>1.45</v>
      </c>
      <c r="F9" s="134">
        <v>0.92</v>
      </c>
      <c r="G9" s="134">
        <v>40.27</v>
      </c>
      <c r="H9" s="134">
        <v>32.29</v>
      </c>
      <c r="I9" s="134">
        <v>26.02</v>
      </c>
      <c r="J9" s="134">
        <v>8.03</v>
      </c>
      <c r="K9" s="134">
        <v>7.57</v>
      </c>
      <c r="L9" s="134">
        <v>-0.5</v>
      </c>
      <c r="M9" s="134">
        <v>-0.09</v>
      </c>
      <c r="N9" s="134">
        <v>2.59</v>
      </c>
      <c r="O9" s="134">
        <v>2.88</v>
      </c>
      <c r="P9" s="134">
        <v>-1.9</v>
      </c>
      <c r="Q9" s="134">
        <v>2.66</v>
      </c>
      <c r="R9" s="134">
        <v>14.55</v>
      </c>
      <c r="S9" s="134">
        <v>9.27</v>
      </c>
      <c r="T9" s="134">
        <v>12.3</v>
      </c>
      <c r="U9" s="134">
        <v>0.64</v>
      </c>
      <c r="V9" s="134">
        <v>0.36</v>
      </c>
      <c r="W9" s="134">
        <v>0.36</v>
      </c>
      <c r="X9" s="134">
        <v>55.29</v>
      </c>
      <c r="Y9" s="134">
        <v>108.88</v>
      </c>
      <c r="Z9" s="135">
        <v>2.303166746E7</v>
      </c>
      <c r="AA9" s="134">
        <v>21.32</v>
      </c>
      <c r="AB9" s="134">
        <v>3.1</v>
      </c>
      <c r="AC9" s="134">
        <v>0.06</v>
      </c>
      <c r="AD9" s="135">
        <v>3.18085363856E9</v>
      </c>
    </row>
    <row r="10">
      <c r="A10" s="10" t="s">
        <v>320</v>
      </c>
      <c r="B10" s="134">
        <v>8.41</v>
      </c>
      <c r="C10" s="10">
        <v>0.0</v>
      </c>
      <c r="D10" s="134">
        <v>-22.33</v>
      </c>
      <c r="E10" s="134">
        <v>1.45</v>
      </c>
      <c r="F10" s="134">
        <v>0.32</v>
      </c>
      <c r="G10" s="134">
        <v>-2.68</v>
      </c>
      <c r="H10" s="134">
        <v>-12.69</v>
      </c>
      <c r="I10" s="134">
        <v>-4.1</v>
      </c>
      <c r="J10" s="134">
        <v>-7.22</v>
      </c>
      <c r="K10" s="134">
        <v>-11.41</v>
      </c>
      <c r="L10" s="134">
        <v>-3.99</v>
      </c>
      <c r="M10" s="134">
        <v>0.8</v>
      </c>
      <c r="N10" s="134">
        <v>0.92</v>
      </c>
      <c r="O10" s="134">
        <v>12.36</v>
      </c>
      <c r="P10" s="134">
        <v>-1.24</v>
      </c>
      <c r="Q10" s="134">
        <v>1.04</v>
      </c>
      <c r="R10" s="134">
        <v>-6.51</v>
      </c>
      <c r="S10" s="134">
        <v>-1.43</v>
      </c>
      <c r="T10" s="134">
        <v>-10.47</v>
      </c>
      <c r="U10" s="134">
        <v>0.22</v>
      </c>
      <c r="V10" s="134">
        <v>0.78</v>
      </c>
      <c r="W10" s="134">
        <v>0.35</v>
      </c>
      <c r="X10" s="10">
        <v>0.0</v>
      </c>
      <c r="Y10" s="10">
        <v>0.0</v>
      </c>
      <c r="Z10" s="135">
        <v>1596641.67</v>
      </c>
      <c r="AA10" s="134">
        <v>5.79</v>
      </c>
      <c r="AB10" s="134">
        <v>-0.38</v>
      </c>
      <c r="AC10" s="10">
        <v>0.0</v>
      </c>
      <c r="AD10" s="135">
        <v>1.47763615485E9</v>
      </c>
    </row>
    <row r="11">
      <c r="A11" s="10" t="s">
        <v>495</v>
      </c>
      <c r="B11" s="134">
        <v>25.01</v>
      </c>
      <c r="C11" s="10">
        <v>0.0</v>
      </c>
      <c r="D11" s="134">
        <v>-4.09</v>
      </c>
      <c r="E11" s="134">
        <v>-5.0</v>
      </c>
      <c r="F11" s="134">
        <v>0.77</v>
      </c>
      <c r="G11" s="134">
        <v>21.97</v>
      </c>
      <c r="H11" s="134">
        <v>-15.75</v>
      </c>
      <c r="I11" s="134">
        <v>-26.33</v>
      </c>
      <c r="J11" s="134">
        <v>-6.84</v>
      </c>
      <c r="K11" s="134">
        <v>-6.84</v>
      </c>
      <c r="L11" s="134">
        <v>0.11</v>
      </c>
      <c r="M11" s="10">
        <v>0.0</v>
      </c>
      <c r="N11" s="134">
        <v>1.08</v>
      </c>
      <c r="O11" s="134">
        <v>-2.98</v>
      </c>
      <c r="P11" s="134">
        <v>-0.96</v>
      </c>
      <c r="Q11" s="134">
        <v>0.44</v>
      </c>
      <c r="R11" s="134">
        <v>-122.15</v>
      </c>
      <c r="S11" s="134">
        <v>-18.7</v>
      </c>
      <c r="T11" s="134">
        <v>73.09</v>
      </c>
      <c r="U11" s="134">
        <v>-0.15</v>
      </c>
      <c r="V11" s="134">
        <v>1.15</v>
      </c>
      <c r="W11" s="134">
        <v>0.71</v>
      </c>
      <c r="X11" s="134">
        <v>1.88</v>
      </c>
      <c r="Y11" s="10">
        <v>0.0</v>
      </c>
      <c r="Z11" s="136">
        <v>6912.25</v>
      </c>
      <c r="AA11" s="134">
        <v>-5.0</v>
      </c>
      <c r="AB11" s="134">
        <v>-6.11</v>
      </c>
      <c r="AC11" s="134">
        <v>-0.1</v>
      </c>
      <c r="AD11" s="135">
        <v>2.1728587927E8</v>
      </c>
    </row>
    <row r="12">
      <c r="A12" s="10" t="s">
        <v>526</v>
      </c>
      <c r="B12" s="134">
        <v>18.0</v>
      </c>
      <c r="C12" s="10">
        <v>0.0</v>
      </c>
      <c r="D12" s="134">
        <v>-2.94</v>
      </c>
      <c r="E12" s="134">
        <v>-3.6</v>
      </c>
      <c r="F12" s="134">
        <v>0.55</v>
      </c>
      <c r="G12" s="134">
        <v>21.97</v>
      </c>
      <c r="H12" s="134">
        <v>-15.75</v>
      </c>
      <c r="I12" s="134">
        <v>-26.33</v>
      </c>
      <c r="J12" s="134">
        <v>-4.92</v>
      </c>
      <c r="K12" s="134">
        <v>-6.84</v>
      </c>
      <c r="L12" s="134">
        <v>0.11</v>
      </c>
      <c r="M12" s="10">
        <v>0.0</v>
      </c>
      <c r="N12" s="134">
        <v>0.78</v>
      </c>
      <c r="O12" s="134">
        <v>-2.14</v>
      </c>
      <c r="P12" s="134">
        <v>-0.69</v>
      </c>
      <c r="Q12" s="134">
        <v>0.44</v>
      </c>
      <c r="R12" s="134">
        <v>-122.15</v>
      </c>
      <c r="S12" s="134">
        <v>-18.7</v>
      </c>
      <c r="T12" s="134">
        <v>73.09</v>
      </c>
      <c r="U12" s="134">
        <v>-0.15</v>
      </c>
      <c r="V12" s="134">
        <v>1.15</v>
      </c>
      <c r="W12" s="134">
        <v>0.71</v>
      </c>
      <c r="X12" s="134">
        <v>1.88</v>
      </c>
      <c r="Y12" s="10">
        <v>0.0</v>
      </c>
      <c r="Z12" s="136">
        <v>1800.0</v>
      </c>
      <c r="AA12" s="134">
        <v>-5.0</v>
      </c>
      <c r="AB12" s="134">
        <v>-6.11</v>
      </c>
      <c r="AC12" s="134">
        <v>-0.07</v>
      </c>
      <c r="AD12" s="135">
        <v>2.1728587927E8</v>
      </c>
    </row>
    <row r="13">
      <c r="A13" s="10" t="s">
        <v>518</v>
      </c>
      <c r="B13" s="134">
        <v>51.5</v>
      </c>
      <c r="C13" s="10">
        <v>0.0</v>
      </c>
      <c r="D13" s="134">
        <v>-8.43</v>
      </c>
      <c r="E13" s="134">
        <v>-10.29</v>
      </c>
      <c r="F13" s="134">
        <v>1.58</v>
      </c>
      <c r="G13" s="134">
        <v>21.97</v>
      </c>
      <c r="H13" s="134">
        <v>-15.75</v>
      </c>
      <c r="I13" s="134">
        <v>-26.33</v>
      </c>
      <c r="J13" s="134">
        <v>-14.08</v>
      </c>
      <c r="K13" s="134">
        <v>-6.84</v>
      </c>
      <c r="L13" s="134">
        <v>0.11</v>
      </c>
      <c r="M13" s="10">
        <v>0.0</v>
      </c>
      <c r="N13" s="134">
        <v>2.22</v>
      </c>
      <c r="O13" s="134">
        <v>-6.13</v>
      </c>
      <c r="P13" s="134">
        <v>-1.98</v>
      </c>
      <c r="Q13" s="134">
        <v>0.44</v>
      </c>
      <c r="R13" s="134">
        <v>-122.15</v>
      </c>
      <c r="S13" s="134">
        <v>-18.7</v>
      </c>
      <c r="T13" s="134">
        <v>73.09</v>
      </c>
      <c r="U13" s="134">
        <v>-0.15</v>
      </c>
      <c r="V13" s="134">
        <v>1.15</v>
      </c>
      <c r="W13" s="134">
        <v>0.71</v>
      </c>
      <c r="X13" s="134">
        <v>1.88</v>
      </c>
      <c r="Y13" s="10">
        <v>0.0</v>
      </c>
      <c r="Z13" s="136">
        <v>6742.0</v>
      </c>
      <c r="AA13" s="134">
        <v>-5.0</v>
      </c>
      <c r="AB13" s="134">
        <v>-6.11</v>
      </c>
      <c r="AC13" s="134">
        <v>-0.2</v>
      </c>
      <c r="AD13" s="135">
        <v>2.1728587927E8</v>
      </c>
    </row>
    <row r="14">
      <c r="A14" s="10" t="s">
        <v>240</v>
      </c>
      <c r="B14" s="134">
        <v>19.77</v>
      </c>
      <c r="C14" s="134">
        <v>2.35</v>
      </c>
      <c r="D14" s="134">
        <v>5.28</v>
      </c>
      <c r="E14" s="134">
        <v>1.25</v>
      </c>
      <c r="F14" s="134">
        <v>0.47</v>
      </c>
      <c r="G14" s="134">
        <v>15.9</v>
      </c>
      <c r="H14" s="134">
        <v>8.87</v>
      </c>
      <c r="I14" s="134">
        <v>6.1</v>
      </c>
      <c r="J14" s="134">
        <v>3.64</v>
      </c>
      <c r="K14" s="134">
        <v>4.1</v>
      </c>
      <c r="L14" s="134">
        <v>0.46</v>
      </c>
      <c r="M14" s="134">
        <v>0.16</v>
      </c>
      <c r="N14" s="134">
        <v>0.32</v>
      </c>
      <c r="O14" s="134">
        <v>1.97</v>
      </c>
      <c r="P14" s="134">
        <v>-1.63</v>
      </c>
      <c r="Q14" s="134">
        <v>1.5</v>
      </c>
      <c r="R14" s="134">
        <v>23.64</v>
      </c>
      <c r="S14" s="134">
        <v>8.84</v>
      </c>
      <c r="T14" s="134">
        <v>21.45</v>
      </c>
      <c r="U14" s="134">
        <v>0.37</v>
      </c>
      <c r="V14" s="134">
        <v>0.63</v>
      </c>
      <c r="W14" s="134">
        <v>1.45</v>
      </c>
      <c r="X14" s="10">
        <v>0.0</v>
      </c>
      <c r="Y14" s="10">
        <v>0.0</v>
      </c>
      <c r="Z14" s="137">
        <v>1.159623396E7</v>
      </c>
      <c r="AA14" s="134">
        <v>15.83</v>
      </c>
      <c r="AB14" s="134">
        <v>3.74</v>
      </c>
      <c r="AC14" s="134">
        <v>0.01</v>
      </c>
      <c r="AD14" s="135">
        <v>1.84356685196E9</v>
      </c>
    </row>
    <row r="15">
      <c r="A15" s="10" t="s">
        <v>378</v>
      </c>
      <c r="B15" s="134">
        <v>40.3</v>
      </c>
      <c r="C15" s="10">
        <v>0.0</v>
      </c>
      <c r="D15" s="134">
        <v>79.38</v>
      </c>
      <c r="E15" s="134">
        <v>7.48</v>
      </c>
      <c r="F15" s="134">
        <v>4.68</v>
      </c>
      <c r="G15" s="134">
        <v>54.19</v>
      </c>
      <c r="H15" s="136">
        <v>14.16</v>
      </c>
      <c r="I15" s="136">
        <v>7.59</v>
      </c>
      <c r="J15" s="134">
        <v>42.54</v>
      </c>
      <c r="K15" s="134">
        <v>47.38</v>
      </c>
      <c r="L15" s="134">
        <v>-1.12</v>
      </c>
      <c r="M15" s="134">
        <v>-0.2</v>
      </c>
      <c r="N15" s="134">
        <v>6.03</v>
      </c>
      <c r="O15" s="134">
        <v>16.98</v>
      </c>
      <c r="P15" s="134">
        <v>-10.01</v>
      </c>
      <c r="Q15" s="134">
        <v>2.07</v>
      </c>
      <c r="R15" s="134">
        <v>9.42</v>
      </c>
      <c r="S15" s="136">
        <v>5.89</v>
      </c>
      <c r="T15" s="134">
        <v>14.52</v>
      </c>
      <c r="U15" s="134">
        <v>0.63</v>
      </c>
      <c r="V15" s="134">
        <v>0.36</v>
      </c>
      <c r="W15" s="134">
        <v>0.78</v>
      </c>
      <c r="X15" s="134">
        <v>-3.59</v>
      </c>
      <c r="Y15" s="134">
        <v>1.86</v>
      </c>
      <c r="Z15" s="137">
        <v>89008.88</v>
      </c>
      <c r="AA15" s="134">
        <v>5.39</v>
      </c>
      <c r="AB15" s="134">
        <v>0.51</v>
      </c>
      <c r="AC15" s="134">
        <v>6.46</v>
      </c>
      <c r="AD15" s="135">
        <v>2.70180731457E10</v>
      </c>
    </row>
    <row r="16">
      <c r="A16" s="10" t="s">
        <v>101</v>
      </c>
      <c r="B16" s="134">
        <v>48.79</v>
      </c>
      <c r="C16" s="10">
        <v>0.0</v>
      </c>
      <c r="D16" s="134">
        <v>96.11</v>
      </c>
      <c r="E16" s="134">
        <v>9.06</v>
      </c>
      <c r="F16" s="134">
        <v>5.66</v>
      </c>
      <c r="G16" s="134">
        <v>54.19</v>
      </c>
      <c r="H16" s="136">
        <v>14.16</v>
      </c>
      <c r="I16" s="136">
        <v>7.59</v>
      </c>
      <c r="J16" s="134">
        <v>51.5</v>
      </c>
      <c r="K16" s="134">
        <v>47.38</v>
      </c>
      <c r="L16" s="134">
        <v>-1.12</v>
      </c>
      <c r="M16" s="134">
        <v>-0.2</v>
      </c>
      <c r="N16" s="134">
        <v>7.29</v>
      </c>
      <c r="O16" s="134">
        <v>20.56</v>
      </c>
      <c r="P16" s="134">
        <v>-12.12</v>
      </c>
      <c r="Q16" s="134">
        <v>2.07</v>
      </c>
      <c r="R16" s="134">
        <v>9.42</v>
      </c>
      <c r="S16" s="136">
        <v>5.89</v>
      </c>
      <c r="T16" s="134">
        <v>14.52</v>
      </c>
      <c r="U16" s="134">
        <v>0.63</v>
      </c>
      <c r="V16" s="134">
        <v>0.36</v>
      </c>
      <c r="W16" s="134">
        <v>0.78</v>
      </c>
      <c r="X16" s="134">
        <v>-3.59</v>
      </c>
      <c r="Y16" s="134">
        <v>1.86</v>
      </c>
      <c r="Z16" s="135">
        <v>1.3306970271E8</v>
      </c>
      <c r="AA16" s="134">
        <v>5.39</v>
      </c>
      <c r="AB16" s="134">
        <v>0.51</v>
      </c>
      <c r="AC16" s="134">
        <v>7.82</v>
      </c>
      <c r="AD16" s="135">
        <v>2.70180731457E10</v>
      </c>
    </row>
    <row r="17">
      <c r="A17" s="10" t="s">
        <v>379</v>
      </c>
      <c r="B17" s="134">
        <v>6.12</v>
      </c>
      <c r="C17" s="10">
        <v>0.0</v>
      </c>
      <c r="D17" s="134">
        <v>-5.54</v>
      </c>
      <c r="E17" s="134">
        <v>2.15</v>
      </c>
      <c r="F17" s="134">
        <v>0.45</v>
      </c>
      <c r="G17" s="134">
        <v>23.76</v>
      </c>
      <c r="H17" s="134">
        <v>-4.53</v>
      </c>
      <c r="I17" s="134">
        <v>-32.42</v>
      </c>
      <c r="J17" s="134">
        <v>-39.59</v>
      </c>
      <c r="K17" s="134">
        <v>-87.15</v>
      </c>
      <c r="L17" s="134">
        <v>-47.75</v>
      </c>
      <c r="M17" s="134">
        <v>2.59</v>
      </c>
      <c r="N17" s="134">
        <v>1.79</v>
      </c>
      <c r="O17" s="134">
        <v>-2.01</v>
      </c>
      <c r="P17" s="134">
        <v>-0.49</v>
      </c>
      <c r="Q17" s="134">
        <v>0.29</v>
      </c>
      <c r="R17" s="134">
        <v>-38.75</v>
      </c>
      <c r="S17" s="134">
        <v>-8.05</v>
      </c>
      <c r="T17" s="134">
        <v>-1.58</v>
      </c>
      <c r="U17" s="134">
        <v>0.21</v>
      </c>
      <c r="V17" s="134">
        <v>0.79</v>
      </c>
      <c r="W17" s="134">
        <v>0.25</v>
      </c>
      <c r="X17" s="10">
        <v>0.0</v>
      </c>
      <c r="Y17" s="10">
        <v>0.0</v>
      </c>
      <c r="Z17" s="135">
        <v>233868.0</v>
      </c>
      <c r="AA17" s="134">
        <v>2.85</v>
      </c>
      <c r="AB17" s="134">
        <v>-1.11</v>
      </c>
      <c r="AC17" s="134">
        <v>-0.04</v>
      </c>
      <c r="AD17" s="135">
        <v>1.18110194454E9</v>
      </c>
    </row>
    <row r="18">
      <c r="A18" s="10" t="s">
        <v>183</v>
      </c>
      <c r="B18" s="134">
        <v>22.06</v>
      </c>
      <c r="C18" s="134">
        <v>1.03</v>
      </c>
      <c r="D18" s="134">
        <v>45.8</v>
      </c>
      <c r="E18" s="134">
        <v>0.88</v>
      </c>
      <c r="F18" s="134">
        <v>0.54</v>
      </c>
      <c r="G18" s="134">
        <v>65.01</v>
      </c>
      <c r="H18" s="134">
        <v>33.73</v>
      </c>
      <c r="I18" s="134">
        <v>15.82</v>
      </c>
      <c r="J18" s="134">
        <v>21.47</v>
      </c>
      <c r="K18" s="134">
        <v>24.91</v>
      </c>
      <c r="L18" s="134">
        <v>3.43</v>
      </c>
      <c r="M18" s="134">
        <v>0.14</v>
      </c>
      <c r="N18" s="134">
        <v>7.24</v>
      </c>
      <c r="O18" s="134">
        <v>6.5</v>
      </c>
      <c r="P18" s="134">
        <v>-0.63</v>
      </c>
      <c r="Q18" s="134">
        <v>2.54</v>
      </c>
      <c r="R18" s="134">
        <v>1.93</v>
      </c>
      <c r="S18" s="134">
        <v>1.18</v>
      </c>
      <c r="T18" s="134">
        <v>2.47</v>
      </c>
      <c r="U18" s="134">
        <v>0.61</v>
      </c>
      <c r="V18" s="134">
        <v>0.29</v>
      </c>
      <c r="W18" s="134">
        <v>0.07</v>
      </c>
      <c r="X18" s="134">
        <v>19.22</v>
      </c>
      <c r="Y18" s="134">
        <v>5.68</v>
      </c>
      <c r="Z18" s="135">
        <v>2.769498175E7</v>
      </c>
      <c r="AA18" s="134">
        <v>24.95</v>
      </c>
      <c r="AB18" s="134">
        <v>0.48</v>
      </c>
      <c r="AC18" s="134">
        <v>1.49</v>
      </c>
      <c r="AD18" s="135">
        <v>5.86560521046E9</v>
      </c>
    </row>
    <row r="19">
      <c r="A19" s="10" t="s">
        <v>206</v>
      </c>
      <c r="B19" s="134">
        <v>23.6</v>
      </c>
      <c r="C19" s="134">
        <v>3.55</v>
      </c>
      <c r="D19" s="134">
        <v>5.15</v>
      </c>
      <c r="E19" s="134">
        <v>1.09</v>
      </c>
      <c r="F19" s="134">
        <v>0.29</v>
      </c>
      <c r="G19" s="134">
        <v>67.8</v>
      </c>
      <c r="H19" s="134">
        <v>66.47</v>
      </c>
      <c r="I19" s="134">
        <v>19.7</v>
      </c>
      <c r="J19" s="134">
        <v>1.53</v>
      </c>
      <c r="K19" s="134">
        <v>3.21</v>
      </c>
      <c r="L19" s="134">
        <v>1.68</v>
      </c>
      <c r="M19" s="134">
        <v>1.2</v>
      </c>
      <c r="N19" s="134">
        <v>1.01</v>
      </c>
      <c r="O19" s="134">
        <v>4.1</v>
      </c>
      <c r="P19" s="134">
        <v>-0.34</v>
      </c>
      <c r="Q19" s="134">
        <v>1.76</v>
      </c>
      <c r="R19" s="134">
        <v>21.13</v>
      </c>
      <c r="S19" s="134">
        <v>5.59</v>
      </c>
      <c r="T19" s="134">
        <v>18.28</v>
      </c>
      <c r="U19" s="134">
        <v>0.26</v>
      </c>
      <c r="V19" s="134">
        <v>0.59</v>
      </c>
      <c r="W19" s="134">
        <v>0.28</v>
      </c>
      <c r="X19" s="134">
        <v>32.68</v>
      </c>
      <c r="Y19" s="134">
        <v>45.13</v>
      </c>
      <c r="Z19" s="135">
        <v>2.120454667E7</v>
      </c>
      <c r="AA19" s="134">
        <v>21.75</v>
      </c>
      <c r="AB19" s="134">
        <v>4.6</v>
      </c>
      <c r="AC19" s="134">
        <v>0.05</v>
      </c>
      <c r="AD19" s="135">
        <v>6.947909396E9</v>
      </c>
    </row>
    <row r="20">
      <c r="A20" s="10" t="s">
        <v>402</v>
      </c>
      <c r="B20" s="134">
        <v>7.97</v>
      </c>
      <c r="C20" s="134">
        <v>3.51</v>
      </c>
      <c r="D20" s="134">
        <v>5.21</v>
      </c>
      <c r="E20" s="134">
        <v>1.1</v>
      </c>
      <c r="F20" s="134">
        <v>0.29</v>
      </c>
      <c r="G20" s="134">
        <v>67.8</v>
      </c>
      <c r="H20" s="134">
        <v>66.47</v>
      </c>
      <c r="I20" s="134">
        <v>19.7</v>
      </c>
      <c r="J20" s="134">
        <v>1.54</v>
      </c>
      <c r="K20" s="134">
        <v>3.21</v>
      </c>
      <c r="L20" s="134">
        <v>1.68</v>
      </c>
      <c r="M20" s="134">
        <v>1.2</v>
      </c>
      <c r="N20" s="134">
        <v>1.03</v>
      </c>
      <c r="O20" s="134">
        <v>4.15</v>
      </c>
      <c r="P20" s="134">
        <v>-0.35</v>
      </c>
      <c r="Q20" s="134">
        <v>1.76</v>
      </c>
      <c r="R20" s="134">
        <v>21.13</v>
      </c>
      <c r="S20" s="134">
        <v>5.59</v>
      </c>
      <c r="T20" s="134">
        <v>18.28</v>
      </c>
      <c r="U20" s="134">
        <v>0.26</v>
      </c>
      <c r="V20" s="134">
        <v>0.59</v>
      </c>
      <c r="W20" s="134">
        <v>0.28</v>
      </c>
      <c r="X20" s="134">
        <v>32.68</v>
      </c>
      <c r="Y20" s="134">
        <v>45.13</v>
      </c>
      <c r="Z20" s="135">
        <v>106300.5</v>
      </c>
      <c r="AA20" s="134">
        <v>7.25</v>
      </c>
      <c r="AB20" s="134">
        <v>1.53</v>
      </c>
      <c r="AC20" s="134">
        <v>0.05</v>
      </c>
      <c r="AD20" s="135">
        <v>6.947909396E9</v>
      </c>
    </row>
    <row r="21">
      <c r="A21" s="10" t="s">
        <v>391</v>
      </c>
      <c r="B21" s="134">
        <v>7.83</v>
      </c>
      <c r="C21" s="134">
        <v>3.58</v>
      </c>
      <c r="D21" s="134">
        <v>5.11</v>
      </c>
      <c r="E21" s="134">
        <v>1.08</v>
      </c>
      <c r="F21" s="134">
        <v>0.29</v>
      </c>
      <c r="G21" s="134">
        <v>67.8</v>
      </c>
      <c r="H21" s="134">
        <v>66.47</v>
      </c>
      <c r="I21" s="134">
        <v>19.7</v>
      </c>
      <c r="J21" s="134">
        <v>1.52</v>
      </c>
      <c r="K21" s="134">
        <v>3.21</v>
      </c>
      <c r="L21" s="134">
        <v>1.68</v>
      </c>
      <c r="M21" s="134">
        <v>1.2</v>
      </c>
      <c r="N21" s="134">
        <v>1.01</v>
      </c>
      <c r="O21" s="134">
        <v>4.07</v>
      </c>
      <c r="P21" s="134">
        <v>-0.34</v>
      </c>
      <c r="Q21" s="134">
        <v>1.76</v>
      </c>
      <c r="R21" s="134">
        <v>21.13</v>
      </c>
      <c r="S21" s="134">
        <v>5.59</v>
      </c>
      <c r="T21" s="134">
        <v>18.28</v>
      </c>
      <c r="U21" s="134">
        <v>0.26</v>
      </c>
      <c r="V21" s="134">
        <v>0.59</v>
      </c>
      <c r="W21" s="134">
        <v>0.28</v>
      </c>
      <c r="X21" s="134">
        <v>32.68</v>
      </c>
      <c r="Y21" s="134">
        <v>45.13</v>
      </c>
      <c r="Z21" s="135">
        <v>160247.75</v>
      </c>
      <c r="AA21" s="134">
        <v>7.25</v>
      </c>
      <c r="AB21" s="134">
        <v>1.53</v>
      </c>
      <c r="AC21" s="134">
        <v>0.04</v>
      </c>
      <c r="AD21" s="135">
        <v>6.947909396E9</v>
      </c>
    </row>
    <row r="22">
      <c r="A22" s="10" t="s">
        <v>169</v>
      </c>
      <c r="B22" s="134">
        <v>5.24</v>
      </c>
      <c r="C22" s="10">
        <v>0.0</v>
      </c>
      <c r="D22" s="134">
        <v>12.22</v>
      </c>
      <c r="E22" s="134">
        <v>1.56</v>
      </c>
      <c r="F22" s="134">
        <v>0.42</v>
      </c>
      <c r="G22" s="134">
        <v>42.23</v>
      </c>
      <c r="H22" s="134">
        <v>-5.35</v>
      </c>
      <c r="I22" s="134">
        <v>4.85</v>
      </c>
      <c r="J22" s="134">
        <v>-11.09</v>
      </c>
      <c r="K22" s="134">
        <v>-20.86</v>
      </c>
      <c r="L22" s="134">
        <v>-9.7</v>
      </c>
      <c r="M22" s="134">
        <v>1.36</v>
      </c>
      <c r="N22" s="134">
        <v>0.59</v>
      </c>
      <c r="O22" s="134">
        <v>5.65</v>
      </c>
      <c r="P22" s="134">
        <v>-0.86</v>
      </c>
      <c r="Q22" s="134">
        <v>1.17</v>
      </c>
      <c r="R22" s="134">
        <v>12.76</v>
      </c>
      <c r="S22" s="134">
        <v>3.45</v>
      </c>
      <c r="T22" s="134">
        <v>-5.39</v>
      </c>
      <c r="U22" s="134">
        <v>0.27</v>
      </c>
      <c r="V22" s="134">
        <v>0.73</v>
      </c>
      <c r="W22" s="134">
        <v>0.71</v>
      </c>
      <c r="X22" s="134">
        <v>-7.53</v>
      </c>
      <c r="Y22" s="10">
        <v>0.0</v>
      </c>
      <c r="Z22" s="135">
        <v>3.004513671E7</v>
      </c>
      <c r="AA22" s="134">
        <v>3.36</v>
      </c>
      <c r="AB22" s="134">
        <v>0.43</v>
      </c>
      <c r="AC22" s="134">
        <v>-0.08</v>
      </c>
      <c r="AD22" s="135">
        <v>1.37898371453E9</v>
      </c>
    </row>
    <row r="23">
      <c r="A23" s="10" t="s">
        <v>119</v>
      </c>
      <c r="B23" s="134">
        <v>42.95</v>
      </c>
      <c r="C23" s="134">
        <v>0.22</v>
      </c>
      <c r="D23" s="136">
        <v>50.83</v>
      </c>
      <c r="E23" s="134">
        <v>4.28</v>
      </c>
      <c r="F23" s="134">
        <v>1.32</v>
      </c>
      <c r="G23" s="134">
        <v>22.14</v>
      </c>
      <c r="H23" s="134">
        <v>18.23</v>
      </c>
      <c r="I23" s="134">
        <v>9.35</v>
      </c>
      <c r="J23" s="136">
        <v>26.07</v>
      </c>
      <c r="K23" s="136">
        <v>31.61</v>
      </c>
      <c r="L23" s="134">
        <v>5.17</v>
      </c>
      <c r="M23" s="134">
        <v>0.85</v>
      </c>
      <c r="N23" s="134">
        <v>4.75</v>
      </c>
      <c r="O23" s="134">
        <v>5.58</v>
      </c>
      <c r="P23" s="134">
        <v>-2.18</v>
      </c>
      <c r="Q23" s="134">
        <v>2.46</v>
      </c>
      <c r="R23" s="134">
        <v>8.42</v>
      </c>
      <c r="S23" s="134">
        <v>2.59</v>
      </c>
      <c r="T23" s="134">
        <v>4.5</v>
      </c>
      <c r="U23" s="134">
        <v>0.31</v>
      </c>
      <c r="V23" s="134">
        <v>0.67</v>
      </c>
      <c r="W23" s="134">
        <v>0.28</v>
      </c>
      <c r="X23" s="10">
        <v>0.0</v>
      </c>
      <c r="Y23" s="10">
        <v>0.0</v>
      </c>
      <c r="Z23" s="135">
        <v>9.017379258E7</v>
      </c>
      <c r="AA23" s="134">
        <v>10.04</v>
      </c>
      <c r="AB23" s="134">
        <v>0.85</v>
      </c>
      <c r="AC23" s="134">
        <v>0.28</v>
      </c>
      <c r="AD23" s="135">
        <v>4.91947421328E9</v>
      </c>
    </row>
    <row r="24">
      <c r="A24" s="10" t="s">
        <v>81</v>
      </c>
      <c r="B24" s="134">
        <v>30.84</v>
      </c>
      <c r="C24" s="10">
        <v>0.0</v>
      </c>
      <c r="D24" s="136">
        <v>-130.06</v>
      </c>
      <c r="E24" s="134">
        <v>1.77</v>
      </c>
      <c r="F24" s="134">
        <v>0.65</v>
      </c>
      <c r="G24" s="134">
        <v>28.79</v>
      </c>
      <c r="H24" s="134">
        <v>1.4</v>
      </c>
      <c r="I24" s="134">
        <v>-1.61</v>
      </c>
      <c r="J24" s="136">
        <v>149.98</v>
      </c>
      <c r="K24" s="136">
        <v>159.81</v>
      </c>
      <c r="L24" s="134">
        <v>9.1</v>
      </c>
      <c r="M24" s="134">
        <v>0.11</v>
      </c>
      <c r="N24" s="134">
        <v>2.1</v>
      </c>
      <c r="O24" s="134">
        <v>2.12</v>
      </c>
      <c r="P24" s="134">
        <v>-1.63</v>
      </c>
      <c r="Q24" s="134">
        <v>2.04</v>
      </c>
      <c r="R24" s="134">
        <v>-1.36</v>
      </c>
      <c r="S24" s="134">
        <v>-0.5</v>
      </c>
      <c r="T24" s="134">
        <v>0.61</v>
      </c>
      <c r="U24" s="134">
        <v>0.37</v>
      </c>
      <c r="V24" s="134">
        <v>0.63</v>
      </c>
      <c r="W24" s="134">
        <v>0.31</v>
      </c>
      <c r="X24" s="134">
        <v>2.35</v>
      </c>
      <c r="Y24" s="10">
        <v>0.0</v>
      </c>
      <c r="Z24" s="135">
        <v>2.1076411092E8</v>
      </c>
      <c r="AA24" s="136">
        <v>17.42</v>
      </c>
      <c r="AB24" s="136">
        <v>-0.24</v>
      </c>
      <c r="AC24" s="134">
        <v>15.71</v>
      </c>
      <c r="AD24" s="135">
        <v>2.804916082044E10</v>
      </c>
    </row>
    <row r="25">
      <c r="A25" s="10" t="s">
        <v>180</v>
      </c>
      <c r="B25" s="136">
        <v>8.94</v>
      </c>
      <c r="C25" s="10">
        <v>0.0</v>
      </c>
      <c r="D25" s="136">
        <v>151.74</v>
      </c>
      <c r="E25" s="134">
        <v>1.41</v>
      </c>
      <c r="F25" s="134">
        <v>0.35</v>
      </c>
      <c r="G25" s="134">
        <v>54.36</v>
      </c>
      <c r="H25" s="134">
        <v>12.33</v>
      </c>
      <c r="I25" s="134">
        <v>1.38</v>
      </c>
      <c r="J25" s="134">
        <v>16.94</v>
      </c>
      <c r="K25" s="134">
        <v>37.13</v>
      </c>
      <c r="L25" s="134">
        <v>20.1</v>
      </c>
      <c r="M25" s="134">
        <v>1.67</v>
      </c>
      <c r="N25" s="134">
        <v>2.09</v>
      </c>
      <c r="O25" s="134">
        <v>-50.74</v>
      </c>
      <c r="P25" s="134">
        <v>-0.41</v>
      </c>
      <c r="Q25" s="134">
        <v>0.95</v>
      </c>
      <c r="R25" s="134">
        <v>0.93</v>
      </c>
      <c r="S25" s="134">
        <v>0.23</v>
      </c>
      <c r="T25" s="134">
        <v>2.56</v>
      </c>
      <c r="U25" s="134">
        <v>0.25</v>
      </c>
      <c r="V25" s="134">
        <v>0.75</v>
      </c>
      <c r="W25" s="134">
        <v>0.17</v>
      </c>
      <c r="X25" s="134">
        <v>11.24</v>
      </c>
      <c r="Y25" s="134">
        <v>-18.01</v>
      </c>
      <c r="Z25" s="135">
        <v>2.439280479E7</v>
      </c>
      <c r="AA25" s="136">
        <v>6.35</v>
      </c>
      <c r="AB25" s="136">
        <v>0.06</v>
      </c>
      <c r="AC25" s="134">
        <v>-0.96</v>
      </c>
      <c r="AD25" s="135">
        <v>3.63078055695E9</v>
      </c>
    </row>
    <row r="26">
      <c r="A26" s="10" t="s">
        <v>285</v>
      </c>
      <c r="B26" s="136">
        <v>40.38</v>
      </c>
      <c r="C26" s="10">
        <v>0.0</v>
      </c>
      <c r="D26" s="136">
        <v>255.61</v>
      </c>
      <c r="E26" s="134">
        <v>1.6</v>
      </c>
      <c r="F26" s="134">
        <v>1.0</v>
      </c>
      <c r="G26" s="134">
        <v>100.0</v>
      </c>
      <c r="H26" s="134">
        <v>-0.74</v>
      </c>
      <c r="I26" s="134">
        <v>1.53</v>
      </c>
      <c r="J26" s="134">
        <v>-532.13</v>
      </c>
      <c r="K26" s="134">
        <v>-529.65</v>
      </c>
      <c r="L26" s="10">
        <v>0.0</v>
      </c>
      <c r="M26" s="10">
        <v>0.0</v>
      </c>
      <c r="N26" s="134">
        <v>3.92</v>
      </c>
      <c r="O26" s="134">
        <v>6.11</v>
      </c>
      <c r="P26" s="134">
        <v>-1.46</v>
      </c>
      <c r="Q26" s="134">
        <v>2.12</v>
      </c>
      <c r="R26" s="134">
        <v>0.63</v>
      </c>
      <c r="S26" s="134">
        <v>0.39</v>
      </c>
      <c r="T26" s="10">
        <v>0.0</v>
      </c>
      <c r="U26" s="134">
        <v>0.63</v>
      </c>
      <c r="V26" s="134">
        <v>0.37</v>
      </c>
      <c r="W26" s="134">
        <v>0.26</v>
      </c>
      <c r="X26" s="134">
        <v>-11.42</v>
      </c>
      <c r="Y26" s="10">
        <v>0.0</v>
      </c>
      <c r="Z26" s="135">
        <v>5063144.46</v>
      </c>
      <c r="AA26" s="136">
        <v>25.43</v>
      </c>
      <c r="AB26" s="136">
        <v>0.16</v>
      </c>
      <c r="AC26" s="134">
        <v>-1.68</v>
      </c>
      <c r="AD26" s="135">
        <v>4.660934404E8</v>
      </c>
    </row>
    <row r="27">
      <c r="A27" s="10" t="s">
        <v>571</v>
      </c>
      <c r="B27" s="136">
        <v>197.64</v>
      </c>
      <c r="C27" s="134">
        <v>239.54</v>
      </c>
      <c r="D27" s="134">
        <v>0.05</v>
      </c>
      <c r="E27" s="136">
        <v>0.01</v>
      </c>
      <c r="F27" s="136">
        <v>0.01</v>
      </c>
      <c r="G27" s="134">
        <v>79.07</v>
      </c>
      <c r="H27" s="134">
        <v>324.02</v>
      </c>
      <c r="I27" s="134">
        <v>292.25</v>
      </c>
      <c r="J27" s="134">
        <v>0.05</v>
      </c>
      <c r="K27" s="134">
        <v>0.59</v>
      </c>
      <c r="L27" s="134">
        <v>0.02</v>
      </c>
      <c r="M27" s="134">
        <v>0.01</v>
      </c>
      <c r="N27" s="134">
        <v>0.15</v>
      </c>
      <c r="O27" s="136">
        <v>0.05</v>
      </c>
      <c r="P27" s="136">
        <v>-0.01</v>
      </c>
      <c r="Q27" s="134">
        <v>2.29</v>
      </c>
      <c r="R27" s="136">
        <v>27.09</v>
      </c>
      <c r="S27" s="136">
        <v>14.75</v>
      </c>
      <c r="T27" s="136">
        <v>22.8</v>
      </c>
      <c r="U27" s="134">
        <v>0.54</v>
      </c>
      <c r="V27" s="134">
        <v>0.45</v>
      </c>
      <c r="W27" s="134">
        <v>0.05</v>
      </c>
      <c r="X27" s="134">
        <v>-22.74</v>
      </c>
      <c r="Y27" s="134">
        <v>86.58</v>
      </c>
      <c r="Z27" s="138">
        <v>0.0</v>
      </c>
      <c r="AA27" s="136">
        <v>13930.63</v>
      </c>
      <c r="AB27" s="136">
        <v>3773.54</v>
      </c>
      <c r="AC27" s="134">
        <v>0.0</v>
      </c>
      <c r="AD27" s="135">
        <v>4.444275E7</v>
      </c>
    </row>
    <row r="28">
      <c r="A28" s="10" t="s">
        <v>572</v>
      </c>
      <c r="B28" s="136">
        <v>3500.0</v>
      </c>
      <c r="C28" s="134">
        <v>14.88</v>
      </c>
      <c r="D28" s="134">
        <v>0.93</v>
      </c>
      <c r="E28" s="134">
        <v>0.25</v>
      </c>
      <c r="F28" s="136">
        <v>0.14</v>
      </c>
      <c r="G28" s="134">
        <v>79.07</v>
      </c>
      <c r="H28" s="134">
        <v>324.02</v>
      </c>
      <c r="I28" s="134">
        <v>292.25</v>
      </c>
      <c r="J28" s="134">
        <v>0.84</v>
      </c>
      <c r="K28" s="134">
        <v>0.59</v>
      </c>
      <c r="L28" s="134">
        <v>0.02</v>
      </c>
      <c r="M28" s="134">
        <v>0.01</v>
      </c>
      <c r="N28" s="134">
        <v>2.71</v>
      </c>
      <c r="O28" s="134">
        <v>0.83</v>
      </c>
      <c r="P28" s="134">
        <v>-0.19</v>
      </c>
      <c r="Q28" s="134">
        <v>2.29</v>
      </c>
      <c r="R28" s="136">
        <v>27.09</v>
      </c>
      <c r="S28" s="134">
        <v>14.75</v>
      </c>
      <c r="T28" s="134">
        <v>22.8</v>
      </c>
      <c r="U28" s="134">
        <v>0.54</v>
      </c>
      <c r="V28" s="134">
        <v>0.45</v>
      </c>
      <c r="W28" s="134">
        <v>0.05</v>
      </c>
      <c r="X28" s="134">
        <v>-22.74</v>
      </c>
      <c r="Y28" s="134">
        <v>86.58</v>
      </c>
      <c r="Z28" s="138">
        <v>0.0</v>
      </c>
      <c r="AA28" s="136">
        <v>13930.63</v>
      </c>
      <c r="AB28" s="136">
        <v>3773.54</v>
      </c>
      <c r="AC28" s="134">
        <v>0.0</v>
      </c>
      <c r="AD28" s="135">
        <v>4.444275E7</v>
      </c>
    </row>
    <row r="29">
      <c r="A29" s="10" t="s">
        <v>229</v>
      </c>
      <c r="B29" s="134">
        <v>20.09</v>
      </c>
      <c r="C29" s="10">
        <v>0.0</v>
      </c>
      <c r="D29" s="134">
        <v>279.5</v>
      </c>
      <c r="E29" s="134">
        <v>52.59</v>
      </c>
      <c r="F29" s="136">
        <v>8.22</v>
      </c>
      <c r="G29" s="134">
        <v>46.24</v>
      </c>
      <c r="H29" s="134">
        <v>37.45</v>
      </c>
      <c r="I29" s="134">
        <v>15.11</v>
      </c>
      <c r="J29" s="134">
        <v>112.76</v>
      </c>
      <c r="K29" s="134">
        <v>121.44</v>
      </c>
      <c r="L29" s="134">
        <v>7.95</v>
      </c>
      <c r="M29" s="134">
        <v>3.71</v>
      </c>
      <c r="N29" s="134">
        <v>42.24</v>
      </c>
      <c r="O29" s="134">
        <v>80.11</v>
      </c>
      <c r="P29" s="134">
        <v>-11.33</v>
      </c>
      <c r="Q29" s="134">
        <v>1.6</v>
      </c>
      <c r="R29" s="134">
        <v>18.82</v>
      </c>
      <c r="S29" s="134">
        <v>2.94</v>
      </c>
      <c r="T29" s="134">
        <v>6.24</v>
      </c>
      <c r="U29" s="134">
        <v>0.16</v>
      </c>
      <c r="V29" s="134">
        <v>0.84</v>
      </c>
      <c r="W29" s="134">
        <v>0.19</v>
      </c>
      <c r="X29" s="10">
        <v>0.0</v>
      </c>
      <c r="Y29" s="10">
        <v>0.0</v>
      </c>
      <c r="Z29" s="135">
        <v>1.231828358E7</v>
      </c>
      <c r="AA29" s="134">
        <v>0.38</v>
      </c>
      <c r="AB29" s="134">
        <v>0.07</v>
      </c>
      <c r="AC29" s="10">
        <v>0.0</v>
      </c>
      <c r="AD29" s="135">
        <v>7.01546068109E9</v>
      </c>
    </row>
    <row r="30">
      <c r="A30" s="10" t="s">
        <v>151</v>
      </c>
      <c r="B30" s="134">
        <v>79.06</v>
      </c>
      <c r="C30" s="134">
        <v>1.08</v>
      </c>
      <c r="D30" s="134">
        <v>33.19</v>
      </c>
      <c r="E30" s="134">
        <v>5.51</v>
      </c>
      <c r="F30" s="136">
        <v>2.86</v>
      </c>
      <c r="G30" s="136">
        <v>49.3</v>
      </c>
      <c r="H30" s="136">
        <v>20.33</v>
      </c>
      <c r="I30" s="136">
        <v>14.71</v>
      </c>
      <c r="J30" s="134">
        <v>24.01</v>
      </c>
      <c r="K30" s="134">
        <v>24.4</v>
      </c>
      <c r="L30" s="134">
        <v>0.38</v>
      </c>
      <c r="M30" s="134">
        <v>0.09</v>
      </c>
      <c r="N30" s="134">
        <v>4.88</v>
      </c>
      <c r="O30" s="134">
        <v>16.56</v>
      </c>
      <c r="P30" s="134">
        <v>-5.57</v>
      </c>
      <c r="Q30" s="134">
        <v>1.55</v>
      </c>
      <c r="R30" s="134">
        <v>16.6</v>
      </c>
      <c r="S30" s="134">
        <v>8.62</v>
      </c>
      <c r="T30" s="134">
        <v>14.63</v>
      </c>
      <c r="U30" s="134">
        <v>0.52</v>
      </c>
      <c r="V30" s="134">
        <v>0.48</v>
      </c>
      <c r="W30" s="134">
        <v>0.59</v>
      </c>
      <c r="X30" s="134">
        <v>7.26</v>
      </c>
      <c r="Y30" s="134">
        <v>14.7</v>
      </c>
      <c r="Z30" s="135">
        <v>6.005182733E7</v>
      </c>
      <c r="AA30" s="134">
        <v>14.36</v>
      </c>
      <c r="AB30" s="134">
        <v>2.38</v>
      </c>
      <c r="AC30" s="134">
        <v>0.07</v>
      </c>
      <c r="AD30" s="135">
        <v>7.8858264181E9</v>
      </c>
    </row>
    <row r="31">
      <c r="A31" s="10" t="s">
        <v>84</v>
      </c>
      <c r="B31" s="134">
        <v>19.32</v>
      </c>
      <c r="C31" s="134">
        <v>0.57</v>
      </c>
      <c r="D31" s="134">
        <v>15.6</v>
      </c>
      <c r="E31" s="134">
        <v>13.58</v>
      </c>
      <c r="F31" s="134">
        <v>1.27</v>
      </c>
      <c r="G31" s="136">
        <v>15.49</v>
      </c>
      <c r="H31" s="136">
        <v>6.66</v>
      </c>
      <c r="I31" s="136">
        <v>4.87</v>
      </c>
      <c r="J31" s="134">
        <v>11.42</v>
      </c>
      <c r="K31" s="134">
        <v>13.67</v>
      </c>
      <c r="L31" s="134">
        <v>2.2</v>
      </c>
      <c r="M31" s="134">
        <v>2.62</v>
      </c>
      <c r="N31" s="134">
        <v>0.76</v>
      </c>
      <c r="O31" s="134">
        <v>19.07</v>
      </c>
      <c r="P31" s="134">
        <v>-2.34</v>
      </c>
      <c r="Q31" s="134">
        <v>1.17</v>
      </c>
      <c r="R31" s="134">
        <v>87.01</v>
      </c>
      <c r="S31" s="134">
        <v>8.14</v>
      </c>
      <c r="T31" s="134">
        <v>14.94</v>
      </c>
      <c r="U31" s="134">
        <v>0.09</v>
      </c>
      <c r="V31" s="134">
        <v>0.91</v>
      </c>
      <c r="W31" s="134">
        <v>1.67</v>
      </c>
      <c r="X31" s="10">
        <v>0.0</v>
      </c>
      <c r="Y31" s="10">
        <v>0.0</v>
      </c>
      <c r="Z31" s="135">
        <v>2.3802186617E8</v>
      </c>
      <c r="AA31" s="134">
        <v>1.42</v>
      </c>
      <c r="AB31" s="134">
        <v>1.24</v>
      </c>
      <c r="AC31" s="134">
        <v>0.21</v>
      </c>
      <c r="AD31" s="135">
        <v>2.6122086323E10</v>
      </c>
    </row>
    <row r="32">
      <c r="A32" s="10" t="s">
        <v>366</v>
      </c>
      <c r="B32" s="134">
        <v>4.86</v>
      </c>
      <c r="C32" s="10">
        <v>0.0</v>
      </c>
      <c r="D32" s="134">
        <v>-0.87</v>
      </c>
      <c r="E32" s="134">
        <v>0.61</v>
      </c>
      <c r="F32" s="134">
        <v>0.07</v>
      </c>
      <c r="G32" s="136">
        <v>7.65</v>
      </c>
      <c r="H32" s="136">
        <v>-8.76</v>
      </c>
      <c r="I32" s="136">
        <v>-14.53</v>
      </c>
      <c r="J32" s="134">
        <v>-1.44</v>
      </c>
      <c r="K32" s="134">
        <v>-4.43</v>
      </c>
      <c r="L32" s="134">
        <v>-2.98</v>
      </c>
      <c r="M32" s="134">
        <v>1.26</v>
      </c>
      <c r="N32" s="134">
        <v>0.13</v>
      </c>
      <c r="O32" s="134">
        <v>-0.31</v>
      </c>
      <c r="P32" s="134">
        <v>-0.09</v>
      </c>
      <c r="Q32" s="134">
        <v>0.46</v>
      </c>
      <c r="R32" s="134">
        <v>-70.2</v>
      </c>
      <c r="S32" s="134">
        <v>-8.6</v>
      </c>
      <c r="T32" s="134">
        <v>-23.8</v>
      </c>
      <c r="U32" s="134">
        <v>0.12</v>
      </c>
      <c r="V32" s="134">
        <v>0.88</v>
      </c>
      <c r="W32" s="134">
        <v>0.59</v>
      </c>
      <c r="X32" s="134">
        <v>-16.98</v>
      </c>
      <c r="Y32" s="10">
        <v>0.0</v>
      </c>
      <c r="Z32" s="135">
        <v>172646.21</v>
      </c>
      <c r="AA32" s="134">
        <v>7.96</v>
      </c>
      <c r="AB32" s="134">
        <v>-5.58</v>
      </c>
      <c r="AC32" s="134">
        <v>0.01</v>
      </c>
      <c r="AD32" s="135">
        <v>1.2978278254E8</v>
      </c>
    </row>
    <row r="33">
      <c r="A33" s="10" t="s">
        <v>372</v>
      </c>
      <c r="B33" s="134">
        <v>4.69</v>
      </c>
      <c r="C33" s="134">
        <v>6.36</v>
      </c>
      <c r="D33" s="134">
        <v>8.36</v>
      </c>
      <c r="E33" s="134">
        <v>5.55</v>
      </c>
      <c r="F33" s="136">
        <v>3.59</v>
      </c>
      <c r="G33" s="136">
        <v>100.0</v>
      </c>
      <c r="H33" s="136">
        <v>31.96</v>
      </c>
      <c r="I33" s="136">
        <v>33.45</v>
      </c>
      <c r="J33" s="134">
        <v>8.75</v>
      </c>
      <c r="K33" s="134">
        <v>7.69</v>
      </c>
      <c r="L33" s="134">
        <v>-1.19</v>
      </c>
      <c r="M33" s="134">
        <v>-0.76</v>
      </c>
      <c r="N33" s="134">
        <v>2.8</v>
      </c>
      <c r="O33" s="136">
        <v>3.8</v>
      </c>
      <c r="P33" s="136">
        <v>-169.49</v>
      </c>
      <c r="Q33" s="134">
        <v>30.27</v>
      </c>
      <c r="R33" s="136">
        <v>66.4</v>
      </c>
      <c r="S33" s="136">
        <v>42.95</v>
      </c>
      <c r="T33" s="136">
        <v>60.42</v>
      </c>
      <c r="U33" s="134">
        <v>0.65</v>
      </c>
      <c r="V33" s="134">
        <v>0.35</v>
      </c>
      <c r="W33" s="134">
        <v>1.28</v>
      </c>
      <c r="X33" s="10">
        <v>0.0</v>
      </c>
      <c r="Y33" s="10">
        <v>0.0</v>
      </c>
      <c r="Z33" s="135">
        <v>146821.0</v>
      </c>
      <c r="AA33" s="134">
        <v>0.85</v>
      </c>
      <c r="AB33" s="134">
        <v>0.56</v>
      </c>
      <c r="AC33" s="134">
        <v>0.16</v>
      </c>
      <c r="AD33" s="135">
        <v>1.0010618126E8</v>
      </c>
    </row>
    <row r="34">
      <c r="A34" s="10" t="s">
        <v>271</v>
      </c>
      <c r="B34" s="134">
        <v>56.7</v>
      </c>
      <c r="C34" s="134">
        <v>8.1</v>
      </c>
      <c r="D34" s="134">
        <v>7.43</v>
      </c>
      <c r="E34" s="134">
        <v>2.78</v>
      </c>
      <c r="F34" s="136">
        <v>1500.86</v>
      </c>
      <c r="G34" s="136">
        <v>45.23</v>
      </c>
      <c r="H34" s="136">
        <v>31.96</v>
      </c>
      <c r="I34" s="136">
        <v>27.16</v>
      </c>
      <c r="J34" s="134">
        <v>6.31</v>
      </c>
      <c r="K34" s="134">
        <v>6.24</v>
      </c>
      <c r="L34" s="134">
        <v>-0.06</v>
      </c>
      <c r="M34" s="134">
        <v>-0.02</v>
      </c>
      <c r="N34" s="134">
        <v>2.02</v>
      </c>
      <c r="O34" s="136">
        <v>11.37</v>
      </c>
      <c r="P34" s="136">
        <v>-2.4</v>
      </c>
      <c r="Q34" s="134">
        <v>1.54</v>
      </c>
      <c r="R34" s="136">
        <v>37.37</v>
      </c>
      <c r="S34" s="136">
        <v>20205.8</v>
      </c>
      <c r="T34" s="136">
        <v>29.84</v>
      </c>
      <c r="U34" s="134">
        <v>540.74</v>
      </c>
      <c r="V34" s="134">
        <v>459.26</v>
      </c>
      <c r="W34" s="134">
        <v>743.89</v>
      </c>
      <c r="X34" s="10">
        <v>0.0</v>
      </c>
      <c r="Y34" s="10">
        <v>0.0</v>
      </c>
      <c r="Z34" s="137">
        <v>6404152.21</v>
      </c>
      <c r="AA34" s="134">
        <v>20.43</v>
      </c>
      <c r="AB34" s="134">
        <v>7.63</v>
      </c>
      <c r="AC34" s="134">
        <v>0.0</v>
      </c>
      <c r="AD34" s="135">
        <v>4.000486113E9</v>
      </c>
    </row>
    <row r="35">
      <c r="A35" s="10" t="s">
        <v>389</v>
      </c>
      <c r="B35" s="134">
        <v>31.27</v>
      </c>
      <c r="C35" s="10">
        <v>0.0</v>
      </c>
      <c r="D35" s="134">
        <v>-1.74</v>
      </c>
      <c r="E35" s="134">
        <v>2.84</v>
      </c>
      <c r="F35" s="136">
        <v>0.32</v>
      </c>
      <c r="G35" s="136">
        <v>4.41</v>
      </c>
      <c r="H35" s="136">
        <v>-64.55</v>
      </c>
      <c r="I35" s="136">
        <v>-114.74</v>
      </c>
      <c r="J35" s="134">
        <v>-3.08</v>
      </c>
      <c r="K35" s="134">
        <v>-6.11</v>
      </c>
      <c r="L35" s="134">
        <v>-3.05</v>
      </c>
      <c r="M35" s="134">
        <v>2.81</v>
      </c>
      <c r="N35" s="134">
        <v>1.99</v>
      </c>
      <c r="O35" s="134">
        <v>5.66</v>
      </c>
      <c r="P35" s="136">
        <v>-0.54</v>
      </c>
      <c r="Q35" s="134">
        <v>1.17</v>
      </c>
      <c r="R35" s="136">
        <v>-163.84</v>
      </c>
      <c r="S35" s="136">
        <v>-18.63</v>
      </c>
      <c r="T35" s="136">
        <v>-19.42</v>
      </c>
      <c r="U35" s="134">
        <v>0.11</v>
      </c>
      <c r="V35" s="134">
        <v>0.89</v>
      </c>
      <c r="W35" s="134">
        <v>0.16</v>
      </c>
      <c r="X35" s="10">
        <v>0.0</v>
      </c>
      <c r="Y35" s="10">
        <v>0.0</v>
      </c>
      <c r="Z35" s="135">
        <v>157257.42</v>
      </c>
      <c r="AA35" s="134">
        <v>11.0</v>
      </c>
      <c r="AB35" s="134">
        <v>-18.02</v>
      </c>
      <c r="AC35" s="134">
        <v>-6.35</v>
      </c>
      <c r="AD35" s="135">
        <v>6.960104037E8</v>
      </c>
    </row>
    <row r="36">
      <c r="A36" s="10" t="s">
        <v>322</v>
      </c>
      <c r="B36" s="134">
        <v>4.73</v>
      </c>
      <c r="C36" s="10">
        <v>0.0</v>
      </c>
      <c r="D36" s="134">
        <v>1.61</v>
      </c>
      <c r="E36" s="134">
        <v>-3.43</v>
      </c>
      <c r="F36" s="134">
        <v>5.76</v>
      </c>
      <c r="G36" s="134">
        <v>7.94</v>
      </c>
      <c r="H36" s="136">
        <v>1110.11</v>
      </c>
      <c r="I36" s="136">
        <v>1088.63</v>
      </c>
      <c r="J36" s="134">
        <v>1.58</v>
      </c>
      <c r="K36" s="134">
        <v>1.46</v>
      </c>
      <c r="L36" s="134">
        <v>-0.01</v>
      </c>
      <c r="M36" s="10">
        <v>0.0</v>
      </c>
      <c r="N36" s="134">
        <v>17.5</v>
      </c>
      <c r="O36" s="134">
        <v>159.08</v>
      </c>
      <c r="P36" s="134">
        <v>-15.37</v>
      </c>
      <c r="Q36" s="134">
        <v>1.06</v>
      </c>
      <c r="R36" s="134">
        <v>-213.22</v>
      </c>
      <c r="S36" s="134">
        <v>358.22</v>
      </c>
      <c r="T36" s="134">
        <v>-217.35</v>
      </c>
      <c r="U36" s="134">
        <v>-1.68</v>
      </c>
      <c r="V36" s="134">
        <v>2.68</v>
      </c>
      <c r="W36" s="134">
        <v>0.33</v>
      </c>
      <c r="X36" s="134">
        <v>-38.42</v>
      </c>
      <c r="Y36" s="134">
        <v>164.18</v>
      </c>
      <c r="Z36" s="135">
        <v>1167976.33</v>
      </c>
      <c r="AA36" s="134">
        <v>-1.38</v>
      </c>
      <c r="AB36" s="134">
        <v>2.94</v>
      </c>
      <c r="AC36" s="134">
        <v>-0.01</v>
      </c>
      <c r="AD36" s="135">
        <v>2.393985E8</v>
      </c>
    </row>
    <row r="37">
      <c r="A37" s="10" t="s">
        <v>283</v>
      </c>
      <c r="B37" s="134">
        <v>4.19</v>
      </c>
      <c r="C37" s="10">
        <v>0.0</v>
      </c>
      <c r="D37" s="134">
        <v>1.43</v>
      </c>
      <c r="E37" s="134">
        <v>-3.04</v>
      </c>
      <c r="F37" s="134">
        <v>5.11</v>
      </c>
      <c r="G37" s="134">
        <v>7.94</v>
      </c>
      <c r="H37" s="136">
        <v>1110.11</v>
      </c>
      <c r="I37" s="136">
        <v>1088.63</v>
      </c>
      <c r="J37" s="134">
        <v>1.4</v>
      </c>
      <c r="K37" s="134">
        <v>1.46</v>
      </c>
      <c r="L37" s="134">
        <v>-0.01</v>
      </c>
      <c r="M37" s="10">
        <v>0.0</v>
      </c>
      <c r="N37" s="134">
        <v>15.54</v>
      </c>
      <c r="O37" s="134">
        <v>141.25</v>
      </c>
      <c r="P37" s="134">
        <v>-13.65</v>
      </c>
      <c r="Q37" s="134">
        <v>1.06</v>
      </c>
      <c r="R37" s="134">
        <v>-213.22</v>
      </c>
      <c r="S37" s="134">
        <v>358.22</v>
      </c>
      <c r="T37" s="134">
        <v>-217.35</v>
      </c>
      <c r="U37" s="134">
        <v>-1.68</v>
      </c>
      <c r="V37" s="134">
        <v>2.68</v>
      </c>
      <c r="W37" s="134">
        <v>0.33</v>
      </c>
      <c r="X37" s="134">
        <v>-38.42</v>
      </c>
      <c r="Y37" s="134">
        <v>164.18</v>
      </c>
      <c r="Z37" s="135">
        <v>3628867.13</v>
      </c>
      <c r="AA37" s="134">
        <v>-1.38</v>
      </c>
      <c r="AB37" s="134">
        <v>2.94</v>
      </c>
      <c r="AC37" s="134">
        <v>-0.01</v>
      </c>
      <c r="AD37" s="135">
        <v>2.393985E8</v>
      </c>
    </row>
    <row r="38">
      <c r="A38" s="10" t="s">
        <v>93</v>
      </c>
      <c r="B38" s="134">
        <v>36.6</v>
      </c>
      <c r="C38" s="10">
        <v>0.0</v>
      </c>
      <c r="D38" s="134">
        <v>-14.58</v>
      </c>
      <c r="E38" s="134">
        <v>-2.93</v>
      </c>
      <c r="F38" s="134">
        <v>2.66</v>
      </c>
      <c r="G38" s="134">
        <v>6.85</v>
      </c>
      <c r="H38" s="134">
        <v>-19.48</v>
      </c>
      <c r="I38" s="134">
        <v>-52.21</v>
      </c>
      <c r="J38" s="134">
        <v>-39.09</v>
      </c>
      <c r="K38" s="134">
        <v>-15.45</v>
      </c>
      <c r="L38" s="134">
        <v>-4.7</v>
      </c>
      <c r="M38" s="10">
        <v>0.0</v>
      </c>
      <c r="N38" s="134">
        <v>7.61</v>
      </c>
      <c r="O38" s="134">
        <v>-12.81</v>
      </c>
      <c r="P38" s="134">
        <v>-4.35</v>
      </c>
      <c r="Q38" s="134">
        <v>0.65</v>
      </c>
      <c r="R38" s="134">
        <v>-20.13</v>
      </c>
      <c r="S38" s="134">
        <v>-18.22</v>
      </c>
      <c r="T38" s="134">
        <v>20.51</v>
      </c>
      <c r="U38" s="134">
        <v>-0.91</v>
      </c>
      <c r="V38" s="134">
        <v>1.91</v>
      </c>
      <c r="W38" s="134">
        <v>0.35</v>
      </c>
      <c r="X38" s="134">
        <v>-1.7</v>
      </c>
      <c r="Y38" s="10">
        <v>0.0</v>
      </c>
      <c r="Z38" s="135">
        <v>1.6692496371E8</v>
      </c>
      <c r="AA38" s="134">
        <v>-12.47</v>
      </c>
      <c r="AB38" s="134">
        <v>-2.51</v>
      </c>
      <c r="AC38" s="134">
        <v>0.2</v>
      </c>
      <c r="AD38" s="135">
        <v>1.27013458275E10</v>
      </c>
    </row>
    <row r="39">
      <c r="A39" s="10" t="s">
        <v>57</v>
      </c>
      <c r="B39" s="134">
        <v>12.37</v>
      </c>
      <c r="C39" s="134">
        <v>7.76</v>
      </c>
      <c r="D39" s="134">
        <v>16.17</v>
      </c>
      <c r="E39" s="134">
        <v>3.34</v>
      </c>
      <c r="F39" s="134">
        <v>1.53</v>
      </c>
      <c r="G39" s="134">
        <v>90.85</v>
      </c>
      <c r="H39" s="134">
        <v>63.19</v>
      </c>
      <c r="I39" s="134">
        <v>45.35</v>
      </c>
      <c r="J39" s="134">
        <v>11.6</v>
      </c>
      <c r="K39" s="134">
        <v>10.38</v>
      </c>
      <c r="L39" s="134">
        <v>-1.27</v>
      </c>
      <c r="M39" s="134">
        <v>-0.36</v>
      </c>
      <c r="N39" s="134">
        <v>7.33</v>
      </c>
      <c r="O39" s="134">
        <v>10.28</v>
      </c>
      <c r="P39" s="134">
        <v>-2.55</v>
      </c>
      <c r="Q39" s="134">
        <v>1.59</v>
      </c>
      <c r="R39" s="134">
        <v>20.64</v>
      </c>
      <c r="S39" s="134">
        <v>9.46</v>
      </c>
      <c r="T39" s="134">
        <v>13.91</v>
      </c>
      <c r="U39" s="134">
        <v>0.46</v>
      </c>
      <c r="V39" s="134">
        <v>0.54</v>
      </c>
      <c r="W39" s="134">
        <v>0.21</v>
      </c>
      <c r="X39" s="134">
        <v>33.29</v>
      </c>
      <c r="Y39" s="134">
        <v>16.29</v>
      </c>
      <c r="Z39" s="135">
        <v>6.7668429346E8</v>
      </c>
      <c r="AA39" s="134">
        <v>3.7</v>
      </c>
      <c r="AB39" s="134">
        <v>0.76</v>
      </c>
      <c r="AC39" s="134">
        <v>0.42</v>
      </c>
      <c r="AD39" s="135">
        <v>7.602366E10</v>
      </c>
    </row>
    <row r="40">
      <c r="A40" s="10" t="s">
        <v>438</v>
      </c>
      <c r="B40" s="134">
        <v>15.65</v>
      </c>
      <c r="C40" s="10">
        <v>0.0</v>
      </c>
      <c r="D40" s="134">
        <v>-5.46</v>
      </c>
      <c r="E40" s="134">
        <v>1.57</v>
      </c>
      <c r="F40" s="134">
        <v>0.44</v>
      </c>
      <c r="G40" s="134">
        <v>39.46</v>
      </c>
      <c r="H40" s="134">
        <v>-4.96</v>
      </c>
      <c r="I40" s="134">
        <v>-18.95</v>
      </c>
      <c r="J40" s="134">
        <v>-20.83</v>
      </c>
      <c r="K40" s="134">
        <v>-22.28</v>
      </c>
      <c r="L40" s="134">
        <v>-1.5</v>
      </c>
      <c r="M40" s="134">
        <v>0.11</v>
      </c>
      <c r="N40" s="134">
        <v>1.03</v>
      </c>
      <c r="O40" s="134">
        <v>-1.64</v>
      </c>
      <c r="P40" s="134">
        <v>-0.5</v>
      </c>
      <c r="Q40" s="134">
        <v>0.32</v>
      </c>
      <c r="R40" s="134">
        <v>-28.85</v>
      </c>
      <c r="S40" s="134">
        <v>-8.0</v>
      </c>
      <c r="T40" s="134">
        <v>-10.93</v>
      </c>
      <c r="U40" s="134">
        <v>0.28</v>
      </c>
      <c r="V40" s="134">
        <v>0.71</v>
      </c>
      <c r="W40" s="134">
        <v>0.42</v>
      </c>
      <c r="X40" s="10">
        <v>0.0</v>
      </c>
      <c r="Y40" s="10">
        <v>0.0</v>
      </c>
      <c r="Z40" s="136">
        <v>53912.17</v>
      </c>
      <c r="AA40" s="134">
        <v>9.95</v>
      </c>
      <c r="AB40" s="134">
        <v>-2.87</v>
      </c>
      <c r="AC40" s="134">
        <v>-0.04</v>
      </c>
      <c r="AD40" s="135">
        <v>2.390696476E8</v>
      </c>
    </row>
    <row r="41">
      <c r="A41" s="10" t="s">
        <v>505</v>
      </c>
      <c r="B41" s="134">
        <v>16.72</v>
      </c>
      <c r="C41" s="134">
        <v>2.03</v>
      </c>
      <c r="D41" s="134">
        <v>23.55</v>
      </c>
      <c r="E41" s="136">
        <v>1.4</v>
      </c>
      <c r="F41" s="136">
        <v>0.78</v>
      </c>
      <c r="G41" s="134">
        <v>53.56</v>
      </c>
      <c r="H41" s="134">
        <v>8.25</v>
      </c>
      <c r="I41" s="134">
        <v>4.75</v>
      </c>
      <c r="J41" s="136">
        <v>13.57</v>
      </c>
      <c r="K41" s="136">
        <v>11.3</v>
      </c>
      <c r="L41" s="134">
        <v>-1.57</v>
      </c>
      <c r="M41" s="134">
        <v>-0.16</v>
      </c>
      <c r="N41" s="136">
        <v>1.12</v>
      </c>
      <c r="O41" s="136">
        <v>1.89</v>
      </c>
      <c r="P41" s="136">
        <v>-2.45</v>
      </c>
      <c r="Q41" s="134">
        <v>2.57</v>
      </c>
      <c r="R41" s="134">
        <v>5.93</v>
      </c>
      <c r="S41" s="134">
        <v>3.33</v>
      </c>
      <c r="T41" s="134">
        <v>5.02</v>
      </c>
      <c r="U41" s="134">
        <v>0.56</v>
      </c>
      <c r="V41" s="134">
        <v>0.4</v>
      </c>
      <c r="W41" s="134">
        <v>0.7</v>
      </c>
      <c r="X41" s="134">
        <v>7.78</v>
      </c>
      <c r="Y41" s="134">
        <v>-13.19</v>
      </c>
      <c r="Z41" s="136">
        <v>11666.56</v>
      </c>
      <c r="AA41" s="134">
        <v>11.98</v>
      </c>
      <c r="AB41" s="134">
        <v>0.71</v>
      </c>
      <c r="AC41" s="134">
        <v>-0.41</v>
      </c>
      <c r="AD41" s="135">
        <v>1.55428E8</v>
      </c>
    </row>
    <row r="42">
      <c r="A42" s="10" t="s">
        <v>423</v>
      </c>
      <c r="B42" s="136">
        <v>14.98</v>
      </c>
      <c r="C42" s="134">
        <v>2.74</v>
      </c>
      <c r="D42" s="136">
        <v>21.1</v>
      </c>
      <c r="E42" s="136">
        <v>1.25</v>
      </c>
      <c r="F42" s="134">
        <v>0.7</v>
      </c>
      <c r="G42" s="134">
        <v>53.56</v>
      </c>
      <c r="H42" s="134">
        <v>8.25</v>
      </c>
      <c r="I42" s="134">
        <v>4.75</v>
      </c>
      <c r="J42" s="136">
        <v>12.16</v>
      </c>
      <c r="K42" s="136">
        <v>11.3</v>
      </c>
      <c r="L42" s="134">
        <v>-1.57</v>
      </c>
      <c r="M42" s="134">
        <v>-0.16</v>
      </c>
      <c r="N42" s="136">
        <v>1.0</v>
      </c>
      <c r="O42" s="136">
        <v>1.69</v>
      </c>
      <c r="P42" s="134">
        <v>-2.2</v>
      </c>
      <c r="Q42" s="134">
        <v>2.57</v>
      </c>
      <c r="R42" s="134">
        <v>5.93</v>
      </c>
      <c r="S42" s="134">
        <v>3.33</v>
      </c>
      <c r="T42" s="134">
        <v>5.02</v>
      </c>
      <c r="U42" s="134">
        <v>0.56</v>
      </c>
      <c r="V42" s="134">
        <v>0.4</v>
      </c>
      <c r="W42" s="134">
        <v>0.7</v>
      </c>
      <c r="X42" s="134">
        <v>7.78</v>
      </c>
      <c r="Y42" s="134">
        <v>-13.19</v>
      </c>
      <c r="Z42" s="136">
        <v>33296.27</v>
      </c>
      <c r="AA42" s="134">
        <v>11.98</v>
      </c>
      <c r="AB42" s="134">
        <v>0.71</v>
      </c>
      <c r="AC42" s="134">
        <v>-0.37</v>
      </c>
      <c r="AD42" s="135">
        <v>1.55428E8</v>
      </c>
    </row>
    <row r="43">
      <c r="A43" s="10" t="s">
        <v>441</v>
      </c>
      <c r="B43" s="136">
        <v>88.48</v>
      </c>
      <c r="C43" s="10">
        <v>0.0</v>
      </c>
      <c r="D43" s="136">
        <v>20.75</v>
      </c>
      <c r="E43" s="136">
        <v>4.76</v>
      </c>
      <c r="F43" s="134">
        <v>3.13</v>
      </c>
      <c r="G43" s="134">
        <v>20.83</v>
      </c>
      <c r="H43" s="134">
        <v>11.24</v>
      </c>
      <c r="I43" s="134">
        <v>11.86</v>
      </c>
      <c r="J43" s="136">
        <v>21.88</v>
      </c>
      <c r="K43" s="136">
        <v>21.17</v>
      </c>
      <c r="L43" s="134">
        <v>-0.71</v>
      </c>
      <c r="M43" s="134">
        <v>-0.15</v>
      </c>
      <c r="N43" s="134">
        <v>2.46</v>
      </c>
      <c r="O43" s="136">
        <v>213.82</v>
      </c>
      <c r="P43" s="134">
        <v>-4.7</v>
      </c>
      <c r="Q43" s="134">
        <v>1.05</v>
      </c>
      <c r="R43" s="134">
        <v>22.92</v>
      </c>
      <c r="S43" s="134">
        <v>15.1</v>
      </c>
      <c r="T43" s="134">
        <v>15.49</v>
      </c>
      <c r="U43" s="134">
        <v>0.66</v>
      </c>
      <c r="V43" s="134">
        <v>0.34</v>
      </c>
      <c r="W43" s="134">
        <v>1.27</v>
      </c>
      <c r="X43" s="134">
        <v>10.9</v>
      </c>
      <c r="Y43" s="134">
        <v>32.17</v>
      </c>
      <c r="Z43" s="136">
        <v>33506.33</v>
      </c>
      <c r="AA43" s="134">
        <v>18.61</v>
      </c>
      <c r="AB43" s="134">
        <v>4.26</v>
      </c>
      <c r="AC43" s="134">
        <v>0.29</v>
      </c>
      <c r="AD43" s="135">
        <v>4.6206220256E8</v>
      </c>
    </row>
    <row r="44">
      <c r="A44" s="10" t="s">
        <v>430</v>
      </c>
      <c r="B44" s="136">
        <v>38.8</v>
      </c>
      <c r="C44" s="134">
        <v>6.7</v>
      </c>
      <c r="D44" s="136">
        <v>2.5</v>
      </c>
      <c r="E44" s="136">
        <v>0.42</v>
      </c>
      <c r="F44" s="134">
        <v>0.05</v>
      </c>
      <c r="G44" s="134">
        <v>44.32</v>
      </c>
      <c r="H44" s="134">
        <v>89.66</v>
      </c>
      <c r="I44" s="134">
        <v>49.27</v>
      </c>
      <c r="J44" s="136">
        <v>1.38</v>
      </c>
      <c r="K44" s="136">
        <v>1.38</v>
      </c>
      <c r="L44" s="10">
        <v>0.0</v>
      </c>
      <c r="M44" s="10">
        <v>0.0</v>
      </c>
      <c r="N44" s="134">
        <v>1.23</v>
      </c>
      <c r="O44" s="136">
        <v>1.66</v>
      </c>
      <c r="P44" s="134">
        <v>-0.05</v>
      </c>
      <c r="Q44" s="10">
        <v>0.0</v>
      </c>
      <c r="R44" s="136">
        <v>16.87</v>
      </c>
      <c r="S44" s="134">
        <v>2.0</v>
      </c>
      <c r="T44" s="10">
        <v>0.0</v>
      </c>
      <c r="U44" s="134">
        <v>0.12</v>
      </c>
      <c r="V44" s="134">
        <v>0.88</v>
      </c>
      <c r="W44" s="134">
        <v>0.04</v>
      </c>
      <c r="X44" s="134">
        <v>-8.12</v>
      </c>
      <c r="Y44" s="134">
        <v>13.03</v>
      </c>
      <c r="Z44" s="139">
        <v>33252.18</v>
      </c>
      <c r="AA44" s="134">
        <v>91.85</v>
      </c>
      <c r="AB44" s="134">
        <v>15.49</v>
      </c>
      <c r="AC44" s="134">
        <v>0.06</v>
      </c>
      <c r="AD44" s="135">
        <v>1.1502635196E9</v>
      </c>
    </row>
    <row r="45">
      <c r="A45" s="10" t="s">
        <v>65</v>
      </c>
      <c r="B45" s="136">
        <v>30.57</v>
      </c>
      <c r="C45" s="134">
        <v>6.57</v>
      </c>
      <c r="D45" s="136">
        <v>5.51</v>
      </c>
      <c r="E45" s="136">
        <v>0.65</v>
      </c>
      <c r="F45" s="134">
        <v>0.05</v>
      </c>
      <c r="G45" s="134">
        <v>41.25</v>
      </c>
      <c r="H45" s="134">
        <v>17.85</v>
      </c>
      <c r="I45" s="134">
        <v>17.29</v>
      </c>
      <c r="J45" s="136">
        <v>5.34</v>
      </c>
      <c r="K45" s="136">
        <v>5.33</v>
      </c>
      <c r="L45" s="10">
        <v>0.0</v>
      </c>
      <c r="M45" s="10">
        <v>0.0</v>
      </c>
      <c r="N45" s="134">
        <v>0.95</v>
      </c>
      <c r="O45" s="136">
        <v>1.54</v>
      </c>
      <c r="P45" s="134">
        <v>-0.05</v>
      </c>
      <c r="Q45" s="134">
        <v>14.02</v>
      </c>
      <c r="R45" s="136">
        <v>11.73</v>
      </c>
      <c r="S45" s="134">
        <v>0.83</v>
      </c>
      <c r="T45" s="138">
        <v>0.0</v>
      </c>
      <c r="U45" s="134">
        <v>0.07</v>
      </c>
      <c r="V45" s="134">
        <v>0.93</v>
      </c>
      <c r="W45" s="134">
        <v>0.05</v>
      </c>
      <c r="X45" s="134">
        <v>-11.56</v>
      </c>
      <c r="Y45" s="134">
        <v>2.46</v>
      </c>
      <c r="Z45" s="135">
        <v>3.9493188683E8</v>
      </c>
      <c r="AA45" s="134">
        <v>47.27</v>
      </c>
      <c r="AB45" s="134">
        <v>5.55</v>
      </c>
      <c r="AC45" s="134">
        <v>-0.77</v>
      </c>
      <c r="AD45" s="135">
        <v>8.739521911E10</v>
      </c>
    </row>
    <row r="46">
      <c r="A46" s="10" t="s">
        <v>109</v>
      </c>
      <c r="B46" s="136">
        <v>17.94</v>
      </c>
      <c r="C46" s="134">
        <v>6.08</v>
      </c>
      <c r="D46" s="136">
        <v>8.03</v>
      </c>
      <c r="E46" s="136">
        <v>1.19</v>
      </c>
      <c r="F46" s="134">
        <v>0.13</v>
      </c>
      <c r="G46" s="134">
        <v>56.65</v>
      </c>
      <c r="H46" s="134">
        <v>31.41</v>
      </c>
      <c r="I46" s="134">
        <v>24.55</v>
      </c>
      <c r="J46" s="136">
        <v>6.27</v>
      </c>
      <c r="K46" s="136">
        <v>6.84</v>
      </c>
      <c r="L46" s="10">
        <v>0.0</v>
      </c>
      <c r="M46" s="10">
        <v>0.0</v>
      </c>
      <c r="N46" s="134">
        <v>1.97</v>
      </c>
      <c r="O46" s="136">
        <v>2.18</v>
      </c>
      <c r="P46" s="134">
        <v>-0.13</v>
      </c>
      <c r="Q46" s="134">
        <v>4.97</v>
      </c>
      <c r="R46" s="136">
        <v>14.87</v>
      </c>
      <c r="S46" s="134">
        <v>1.56</v>
      </c>
      <c r="T46" s="138">
        <v>0.0</v>
      </c>
      <c r="U46" s="134">
        <v>0.1</v>
      </c>
      <c r="V46" s="134">
        <v>0.9</v>
      </c>
      <c r="W46" s="134">
        <v>0.06</v>
      </c>
      <c r="X46" s="134">
        <v>-3.0</v>
      </c>
      <c r="Y46" s="134">
        <v>3.74</v>
      </c>
      <c r="Z46" s="135">
        <v>1.2164793033E8</v>
      </c>
      <c r="AA46" s="134">
        <v>15.07</v>
      </c>
      <c r="AB46" s="134">
        <v>2.24</v>
      </c>
      <c r="AC46" s="134">
        <v>0.23</v>
      </c>
      <c r="AD46" s="135">
        <v>1.9060497150263E11</v>
      </c>
    </row>
    <row r="47">
      <c r="A47" s="10" t="s">
        <v>56</v>
      </c>
      <c r="B47" s="136">
        <v>21.12</v>
      </c>
      <c r="C47" s="134">
        <v>5.69</v>
      </c>
      <c r="D47" s="136">
        <v>9.44</v>
      </c>
      <c r="E47" s="136">
        <v>1.4</v>
      </c>
      <c r="F47" s="134">
        <v>0.15</v>
      </c>
      <c r="G47" s="134">
        <v>56.65</v>
      </c>
      <c r="H47" s="134">
        <v>31.41</v>
      </c>
      <c r="I47" s="134">
        <v>24.55</v>
      </c>
      <c r="J47" s="136">
        <v>7.37</v>
      </c>
      <c r="K47" s="136">
        <v>6.84</v>
      </c>
      <c r="L47" s="10">
        <v>0.0</v>
      </c>
      <c r="M47" s="10">
        <v>0.0</v>
      </c>
      <c r="N47" s="134">
        <v>2.32</v>
      </c>
      <c r="O47" s="136">
        <v>2.56</v>
      </c>
      <c r="P47" s="134">
        <v>-0.16</v>
      </c>
      <c r="Q47" s="134">
        <v>4.97</v>
      </c>
      <c r="R47" s="134">
        <v>14.87</v>
      </c>
      <c r="S47" s="134">
        <v>1.56</v>
      </c>
      <c r="T47" s="10">
        <v>0.0</v>
      </c>
      <c r="U47" s="134">
        <v>0.1</v>
      </c>
      <c r="V47" s="134">
        <v>0.9</v>
      </c>
      <c r="W47" s="134">
        <v>0.06</v>
      </c>
      <c r="X47" s="134">
        <v>-3.0</v>
      </c>
      <c r="Y47" s="134">
        <v>3.74</v>
      </c>
      <c r="Z47" s="135">
        <v>1.03341606438E9</v>
      </c>
      <c r="AA47" s="134">
        <v>15.07</v>
      </c>
      <c r="AB47" s="134">
        <v>2.24</v>
      </c>
      <c r="AC47" s="134">
        <v>0.27</v>
      </c>
      <c r="AD47" s="135">
        <v>1.9060497150263E11</v>
      </c>
    </row>
    <row r="48">
      <c r="A48" s="10" t="s">
        <v>573</v>
      </c>
      <c r="B48" s="136">
        <v>3936.42</v>
      </c>
      <c r="C48" s="134">
        <v>0.01</v>
      </c>
      <c r="D48" s="136">
        <v>5228.31</v>
      </c>
      <c r="E48" s="136">
        <v>1053.45</v>
      </c>
      <c r="F48" s="134">
        <v>163.86</v>
      </c>
      <c r="G48" s="134">
        <v>11.27</v>
      </c>
      <c r="H48" s="134">
        <v>3.35</v>
      </c>
      <c r="I48" s="134">
        <v>2.57</v>
      </c>
      <c r="J48" s="136">
        <v>4009.99</v>
      </c>
      <c r="K48" s="136">
        <v>4017.65</v>
      </c>
      <c r="L48" s="134">
        <v>7.66</v>
      </c>
      <c r="M48" s="134">
        <v>2.01</v>
      </c>
      <c r="N48" s="134">
        <v>134.21</v>
      </c>
      <c r="O48" s="136">
        <v>5873.48</v>
      </c>
      <c r="P48" s="134">
        <v>-295.47</v>
      </c>
      <c r="Q48" s="134">
        <v>1.07</v>
      </c>
      <c r="R48" s="134">
        <v>20.15</v>
      </c>
      <c r="S48" s="134">
        <v>3.13</v>
      </c>
      <c r="T48" s="134">
        <v>3.59</v>
      </c>
      <c r="U48" s="134">
        <v>0.16</v>
      </c>
      <c r="V48" s="134">
        <v>0.84</v>
      </c>
      <c r="W48" s="134">
        <v>1.22</v>
      </c>
      <c r="X48" s="134">
        <v>45.38</v>
      </c>
      <c r="Y48" s="134">
        <v>60.84</v>
      </c>
      <c r="Z48" s="138">
        <v>0.0</v>
      </c>
      <c r="AA48" s="134">
        <v>3.74</v>
      </c>
      <c r="AB48" s="134">
        <v>0.75</v>
      </c>
      <c r="AC48" s="134">
        <v>50.35</v>
      </c>
      <c r="AD48" s="135">
        <v>1.6045169919156E11</v>
      </c>
    </row>
    <row r="49">
      <c r="A49" s="10" t="s">
        <v>292</v>
      </c>
      <c r="B49" s="134">
        <v>1.64</v>
      </c>
      <c r="C49" s="10">
        <v>0.0</v>
      </c>
      <c r="D49" s="134">
        <v>-1.04</v>
      </c>
      <c r="E49" s="134">
        <v>2.65</v>
      </c>
      <c r="F49" s="134">
        <v>0.68</v>
      </c>
      <c r="G49" s="134">
        <v>62.62</v>
      </c>
      <c r="H49" s="134">
        <v>-91.37</v>
      </c>
      <c r="I49" s="134">
        <v>-100.24</v>
      </c>
      <c r="J49" s="134">
        <v>-1.14</v>
      </c>
      <c r="K49" s="134">
        <v>-0.95</v>
      </c>
      <c r="L49" s="134">
        <v>0.2</v>
      </c>
      <c r="M49" s="134">
        <v>-0.46</v>
      </c>
      <c r="N49" s="134">
        <v>1.04</v>
      </c>
      <c r="O49" s="134">
        <v>-3.78</v>
      </c>
      <c r="P49" s="134">
        <v>-0.91</v>
      </c>
      <c r="Q49" s="134">
        <v>0.58</v>
      </c>
      <c r="R49" s="134">
        <v>-255.74</v>
      </c>
      <c r="S49" s="134">
        <v>-65.74</v>
      </c>
      <c r="T49" s="134">
        <v>-232.34</v>
      </c>
      <c r="U49" s="134">
        <v>0.26</v>
      </c>
      <c r="V49" s="134">
        <v>0.74</v>
      </c>
      <c r="W49" s="134">
        <v>0.66</v>
      </c>
      <c r="X49" s="134">
        <v>-9.38</v>
      </c>
      <c r="Y49" s="10">
        <v>0.0</v>
      </c>
      <c r="Z49" s="135">
        <v>2803750.96</v>
      </c>
      <c r="AA49" s="134">
        <v>0.62</v>
      </c>
      <c r="AB49" s="134">
        <v>-1.57</v>
      </c>
      <c r="AC49" s="134">
        <v>0.06</v>
      </c>
      <c r="AD49" s="135">
        <v>1.2879219136E8</v>
      </c>
    </row>
    <row r="50">
      <c r="A50" s="10" t="s">
        <v>104</v>
      </c>
      <c r="B50" s="134">
        <v>20.12</v>
      </c>
      <c r="C50" s="134">
        <v>4.96</v>
      </c>
      <c r="D50" s="134">
        <v>10.75</v>
      </c>
      <c r="E50" s="134">
        <v>5.83</v>
      </c>
      <c r="F50" s="134">
        <v>3.54</v>
      </c>
      <c r="G50" s="10">
        <v>0.0</v>
      </c>
      <c r="H50" s="10">
        <v>0.0</v>
      </c>
      <c r="I50" s="10">
        <v>0.0</v>
      </c>
      <c r="J50" s="134">
        <v>8.45</v>
      </c>
      <c r="K50" s="134">
        <v>8.49</v>
      </c>
      <c r="L50" s="10">
        <v>0.0</v>
      </c>
      <c r="M50" s="10">
        <v>0.0</v>
      </c>
      <c r="N50" s="10">
        <v>0.0</v>
      </c>
      <c r="O50" s="134">
        <v>34.95</v>
      </c>
      <c r="P50" s="134">
        <v>-5.28</v>
      </c>
      <c r="Q50" s="134">
        <v>1.44</v>
      </c>
      <c r="R50" s="134">
        <v>54.26</v>
      </c>
      <c r="S50" s="134">
        <v>32.87</v>
      </c>
      <c r="T50" s="10">
        <v>0.0</v>
      </c>
      <c r="U50" s="134">
        <v>0.61</v>
      </c>
      <c r="V50" s="134">
        <v>0.39</v>
      </c>
      <c r="W50" s="134">
        <v>0.0</v>
      </c>
      <c r="X50" s="10">
        <v>0.0</v>
      </c>
      <c r="Y50" s="134">
        <v>-2.32</v>
      </c>
      <c r="Z50" s="135">
        <v>1.2039980408E8</v>
      </c>
      <c r="AA50" s="136">
        <v>3.45</v>
      </c>
      <c r="AB50" s="136">
        <v>1.87</v>
      </c>
      <c r="AC50" s="134">
        <v>-0.26</v>
      </c>
      <c r="AD50" s="135">
        <v>4.044E10</v>
      </c>
    </row>
    <row r="51">
      <c r="A51" s="10" t="s">
        <v>475</v>
      </c>
      <c r="B51" s="134">
        <v>10.3</v>
      </c>
      <c r="C51" s="10">
        <v>0.0</v>
      </c>
      <c r="D51" s="134">
        <v>-0.37</v>
      </c>
      <c r="E51" s="134">
        <v>-0.09</v>
      </c>
      <c r="F51" s="134">
        <v>0.02</v>
      </c>
      <c r="G51" s="134">
        <v>-68.86</v>
      </c>
      <c r="H51" s="134">
        <v>-227.65</v>
      </c>
      <c r="I51" s="134">
        <v>-219.55</v>
      </c>
      <c r="J51" s="134">
        <v>-0.35</v>
      </c>
      <c r="K51" s="134">
        <v>-5.64</v>
      </c>
      <c r="L51" s="134">
        <v>-5.25</v>
      </c>
      <c r="M51" s="10">
        <v>0.0</v>
      </c>
      <c r="N51" s="134">
        <v>0.81</v>
      </c>
      <c r="O51" s="134">
        <v>-0.06</v>
      </c>
      <c r="P51" s="134">
        <v>-0.04</v>
      </c>
      <c r="Q51" s="134">
        <v>0.5</v>
      </c>
      <c r="R51" s="134">
        <v>-25.13</v>
      </c>
      <c r="S51" s="134">
        <v>-6.77</v>
      </c>
      <c r="T51" s="134">
        <v>-86.99</v>
      </c>
      <c r="U51" s="134">
        <v>-0.27</v>
      </c>
      <c r="V51" s="134">
        <v>1.27</v>
      </c>
      <c r="W51" s="134">
        <v>0.03</v>
      </c>
      <c r="X51" s="134">
        <v>-46.07</v>
      </c>
      <c r="Y51" s="10">
        <v>0.0</v>
      </c>
      <c r="Z51" s="136">
        <v>18089.09</v>
      </c>
      <c r="AA51" s="136">
        <v>-111.77</v>
      </c>
      <c r="AB51" s="136">
        <v>-28.09</v>
      </c>
      <c r="AC51" s="134">
        <v>0.0</v>
      </c>
      <c r="AD51" s="135">
        <v>1.815784552E7</v>
      </c>
    </row>
    <row r="52">
      <c r="A52" s="10" t="s">
        <v>499</v>
      </c>
      <c r="B52" s="134">
        <v>11.99</v>
      </c>
      <c r="C52" s="10">
        <v>0.0</v>
      </c>
      <c r="D52" s="134">
        <v>-0.43</v>
      </c>
      <c r="E52" s="134">
        <v>-0.11</v>
      </c>
      <c r="F52" s="134">
        <v>0.03</v>
      </c>
      <c r="G52" s="134">
        <v>-68.86</v>
      </c>
      <c r="H52" s="134">
        <v>-227.65</v>
      </c>
      <c r="I52" s="134">
        <v>-219.55</v>
      </c>
      <c r="J52" s="134">
        <v>-0.41</v>
      </c>
      <c r="K52" s="134">
        <v>-5.64</v>
      </c>
      <c r="L52" s="134">
        <v>-5.25</v>
      </c>
      <c r="M52" s="10">
        <v>0.0</v>
      </c>
      <c r="N52" s="134">
        <v>0.94</v>
      </c>
      <c r="O52" s="134">
        <v>-0.07</v>
      </c>
      <c r="P52" s="134">
        <v>-0.05</v>
      </c>
      <c r="Q52" s="134">
        <v>0.5</v>
      </c>
      <c r="R52" s="134">
        <v>-25.13</v>
      </c>
      <c r="S52" s="134">
        <v>-6.77</v>
      </c>
      <c r="T52" s="134">
        <v>-86.99</v>
      </c>
      <c r="U52" s="134">
        <v>-0.27</v>
      </c>
      <c r="V52" s="134">
        <v>1.27</v>
      </c>
      <c r="W52" s="134">
        <v>0.03</v>
      </c>
      <c r="X52" s="134">
        <v>-46.07</v>
      </c>
      <c r="Y52" s="10">
        <v>0.0</v>
      </c>
      <c r="Z52" s="136">
        <v>9376.68</v>
      </c>
      <c r="AA52" s="136">
        <v>-111.77</v>
      </c>
      <c r="AB52" s="136">
        <v>-28.09</v>
      </c>
      <c r="AC52" s="134">
        <v>0.01</v>
      </c>
      <c r="AD52" s="135">
        <v>1.815784552E7</v>
      </c>
    </row>
    <row r="53">
      <c r="A53" s="10" t="s">
        <v>131</v>
      </c>
      <c r="B53" s="134">
        <v>10.88</v>
      </c>
      <c r="C53" s="134">
        <v>9.47</v>
      </c>
      <c r="D53" s="134">
        <v>10.9</v>
      </c>
      <c r="E53" s="134">
        <v>14.14</v>
      </c>
      <c r="F53" s="134">
        <v>0.34</v>
      </c>
      <c r="G53" s="134">
        <v>17.67</v>
      </c>
      <c r="H53" s="134">
        <v>8.07</v>
      </c>
      <c r="I53" s="134">
        <v>2.39</v>
      </c>
      <c r="J53" s="134">
        <v>3.23</v>
      </c>
      <c r="K53" s="134">
        <v>6.11</v>
      </c>
      <c r="L53" s="134">
        <v>2.87</v>
      </c>
      <c r="M53" s="134">
        <v>12.55</v>
      </c>
      <c r="N53" s="134">
        <v>0.26</v>
      </c>
      <c r="O53" s="134">
        <v>1.31</v>
      </c>
      <c r="P53" s="134">
        <v>-1.07</v>
      </c>
      <c r="Q53" s="134">
        <v>1.61</v>
      </c>
      <c r="R53" s="134">
        <v>129.74</v>
      </c>
      <c r="S53" s="134">
        <v>3.11</v>
      </c>
      <c r="T53" s="134">
        <v>14.99</v>
      </c>
      <c r="U53" s="134">
        <v>0.02</v>
      </c>
      <c r="V53" s="134">
        <v>0.98</v>
      </c>
      <c r="W53" s="134">
        <v>1.3</v>
      </c>
      <c r="X53" s="134">
        <v>15.3</v>
      </c>
      <c r="Y53" s="10">
        <v>0.0</v>
      </c>
      <c r="Z53" s="135">
        <v>1.0682322071E8</v>
      </c>
      <c r="AA53" s="136">
        <v>0.77</v>
      </c>
      <c r="AB53" s="136">
        <v>1.0</v>
      </c>
      <c r="AC53" s="134">
        <v>-0.55</v>
      </c>
      <c r="AD53" s="135">
        <v>6.00213271476E9</v>
      </c>
    </row>
    <row r="54">
      <c r="A54" s="10" t="s">
        <v>395</v>
      </c>
      <c r="B54" s="134">
        <v>4.94</v>
      </c>
      <c r="C54" s="134">
        <v>5.59</v>
      </c>
      <c r="D54" s="134">
        <v>7.05</v>
      </c>
      <c r="E54" s="134">
        <v>0.87</v>
      </c>
      <c r="F54" s="134">
        <v>0.05</v>
      </c>
      <c r="G54" s="134">
        <v>51.53</v>
      </c>
      <c r="H54" s="134">
        <v>23.48</v>
      </c>
      <c r="I54" s="134">
        <v>14.66</v>
      </c>
      <c r="J54" s="134">
        <v>4.41</v>
      </c>
      <c r="K54" s="134">
        <v>4.64</v>
      </c>
      <c r="L54" s="10">
        <v>0.0</v>
      </c>
      <c r="M54" s="10">
        <v>0.0</v>
      </c>
      <c r="N54" s="134">
        <v>1.03</v>
      </c>
      <c r="O54" s="134">
        <v>0.53</v>
      </c>
      <c r="P54" s="134">
        <v>-0.05</v>
      </c>
      <c r="Q54" s="10">
        <v>0.0</v>
      </c>
      <c r="R54" s="134">
        <v>12.4</v>
      </c>
      <c r="S54" s="134">
        <v>0.68</v>
      </c>
      <c r="T54" s="10">
        <v>0.0</v>
      </c>
      <c r="U54" s="134">
        <v>0.06</v>
      </c>
      <c r="V54" s="134">
        <v>0.94</v>
      </c>
      <c r="W54" s="134">
        <v>0.05</v>
      </c>
      <c r="X54" s="134">
        <v>-7.16</v>
      </c>
      <c r="Y54" s="134">
        <v>7.19</v>
      </c>
      <c r="Z54" s="135">
        <v>88658.5</v>
      </c>
      <c r="AA54" s="136">
        <v>5.65</v>
      </c>
      <c r="AB54" s="136">
        <v>0.7</v>
      </c>
      <c r="AC54" s="134">
        <v>-1.69</v>
      </c>
      <c r="AD54" s="135">
        <v>1.6426856904E9</v>
      </c>
    </row>
    <row r="55">
      <c r="A55" s="10" t="s">
        <v>450</v>
      </c>
      <c r="B55" s="134">
        <v>5.91</v>
      </c>
      <c r="C55" s="134">
        <v>4.68</v>
      </c>
      <c r="D55" s="136">
        <v>8.44</v>
      </c>
      <c r="E55" s="134">
        <v>1.05</v>
      </c>
      <c r="F55" s="134">
        <v>0.06</v>
      </c>
      <c r="G55" s="134">
        <v>51.53</v>
      </c>
      <c r="H55" s="134">
        <v>23.48</v>
      </c>
      <c r="I55" s="134">
        <v>14.66</v>
      </c>
      <c r="J55" s="134">
        <v>5.27</v>
      </c>
      <c r="K55" s="134">
        <v>4.64</v>
      </c>
      <c r="L55" s="10">
        <v>0.0</v>
      </c>
      <c r="M55" s="10">
        <v>0.0</v>
      </c>
      <c r="N55" s="134">
        <v>1.24</v>
      </c>
      <c r="O55" s="134">
        <v>0.64</v>
      </c>
      <c r="P55" s="134">
        <v>-0.06</v>
      </c>
      <c r="Q55" s="10">
        <v>0.0</v>
      </c>
      <c r="R55" s="134">
        <v>12.4</v>
      </c>
      <c r="S55" s="134">
        <v>0.68</v>
      </c>
      <c r="T55" s="10">
        <v>0.0</v>
      </c>
      <c r="U55" s="134">
        <v>0.06</v>
      </c>
      <c r="V55" s="134">
        <v>0.94</v>
      </c>
      <c r="W55" s="134">
        <v>0.05</v>
      </c>
      <c r="X55" s="134">
        <v>-7.16</v>
      </c>
      <c r="Y55" s="134">
        <v>7.19</v>
      </c>
      <c r="Z55" s="136">
        <v>51948.54</v>
      </c>
      <c r="AA55" s="136">
        <v>5.65</v>
      </c>
      <c r="AB55" s="136">
        <v>0.7</v>
      </c>
      <c r="AC55" s="134">
        <v>-2.02</v>
      </c>
      <c r="AD55" s="135">
        <v>1.6426856904E9</v>
      </c>
    </row>
    <row r="56">
      <c r="A56" s="10" t="s">
        <v>574</v>
      </c>
      <c r="B56" s="134">
        <v>0.0</v>
      </c>
      <c r="C56" s="10">
        <v>0.0</v>
      </c>
      <c r="D56" s="136">
        <v>0.0</v>
      </c>
      <c r="E56" s="134">
        <v>0.0</v>
      </c>
      <c r="F56" s="134">
        <v>0.0</v>
      </c>
      <c r="G56" s="10">
        <v>0.0</v>
      </c>
      <c r="H56" s="10">
        <v>0.0</v>
      </c>
      <c r="I56" s="10">
        <v>0.0</v>
      </c>
      <c r="J56" s="134">
        <v>0.0</v>
      </c>
      <c r="K56" s="10">
        <v>0.0</v>
      </c>
      <c r="L56" s="134">
        <v>-6.61</v>
      </c>
      <c r="M56" s="134">
        <v>-0.14</v>
      </c>
      <c r="N56" s="10">
        <v>0.0</v>
      </c>
      <c r="O56" s="134">
        <v>0.0</v>
      </c>
      <c r="P56" s="134">
        <v>0.0</v>
      </c>
      <c r="Q56" s="134">
        <v>8.2</v>
      </c>
      <c r="R56" s="134">
        <v>5.26</v>
      </c>
      <c r="S56" s="134">
        <v>5.08</v>
      </c>
      <c r="T56" s="134">
        <v>-0.51</v>
      </c>
      <c r="U56" s="134">
        <v>0.96</v>
      </c>
      <c r="V56" s="134">
        <v>0.04</v>
      </c>
      <c r="W56" s="134">
        <v>0.0</v>
      </c>
      <c r="X56" s="10">
        <v>0.0</v>
      </c>
      <c r="Y56" s="134">
        <v>-0.25</v>
      </c>
      <c r="Z56" s="138">
        <v>0.0</v>
      </c>
      <c r="AA56" s="135">
        <v>263177.13</v>
      </c>
      <c r="AB56" s="136">
        <v>13854.95</v>
      </c>
      <c r="AC56" s="134">
        <v>0.0</v>
      </c>
      <c r="AD56" s="138">
        <v>0.0</v>
      </c>
    </row>
    <row r="57">
      <c r="A57" s="10" t="s">
        <v>575</v>
      </c>
      <c r="B57" s="134">
        <v>0.0</v>
      </c>
      <c r="C57" s="10">
        <v>0.0</v>
      </c>
      <c r="D57" s="136">
        <v>0.0</v>
      </c>
      <c r="E57" s="134">
        <v>0.0</v>
      </c>
      <c r="F57" s="134">
        <v>0.0</v>
      </c>
      <c r="G57" s="10">
        <v>0.0</v>
      </c>
      <c r="H57" s="10">
        <v>0.0</v>
      </c>
      <c r="I57" s="10">
        <v>0.0</v>
      </c>
      <c r="J57" s="136">
        <v>0.0</v>
      </c>
      <c r="K57" s="138">
        <v>0.0</v>
      </c>
      <c r="L57" s="134">
        <v>-6.61</v>
      </c>
      <c r="M57" s="134">
        <v>-0.14</v>
      </c>
      <c r="N57" s="10">
        <v>0.0</v>
      </c>
      <c r="O57" s="134">
        <v>0.0</v>
      </c>
      <c r="P57" s="134">
        <v>0.0</v>
      </c>
      <c r="Q57" s="134">
        <v>8.2</v>
      </c>
      <c r="R57" s="134">
        <v>5.26</v>
      </c>
      <c r="S57" s="134">
        <v>5.08</v>
      </c>
      <c r="T57" s="134">
        <v>-0.51</v>
      </c>
      <c r="U57" s="134">
        <v>0.96</v>
      </c>
      <c r="V57" s="134">
        <v>0.04</v>
      </c>
      <c r="W57" s="134">
        <v>0.0</v>
      </c>
      <c r="X57" s="10">
        <v>0.0</v>
      </c>
      <c r="Y57" s="134">
        <v>-0.25</v>
      </c>
      <c r="Z57" s="138">
        <v>0.0</v>
      </c>
      <c r="AA57" s="135">
        <v>263177.13</v>
      </c>
      <c r="AB57" s="136">
        <v>13854.95</v>
      </c>
      <c r="AC57" s="134">
        <v>0.0</v>
      </c>
      <c r="AD57" s="138">
        <v>0.0</v>
      </c>
    </row>
    <row r="58">
      <c r="A58" s="10" t="s">
        <v>501</v>
      </c>
      <c r="B58" s="134">
        <v>31.99</v>
      </c>
      <c r="C58" s="134">
        <v>3.54</v>
      </c>
      <c r="D58" s="136">
        <v>6.14</v>
      </c>
      <c r="E58" s="134">
        <v>0.91</v>
      </c>
      <c r="F58" s="134">
        <v>0.07</v>
      </c>
      <c r="G58" s="134">
        <v>75.35</v>
      </c>
      <c r="H58" s="134">
        <v>18.05</v>
      </c>
      <c r="I58" s="134">
        <v>12.49</v>
      </c>
      <c r="J58" s="136">
        <v>4.25</v>
      </c>
      <c r="K58" s="136">
        <v>3.63</v>
      </c>
      <c r="L58" s="10">
        <v>0.0</v>
      </c>
      <c r="M58" s="10">
        <v>0.0</v>
      </c>
      <c r="N58" s="134">
        <v>0.77</v>
      </c>
      <c r="O58" s="134">
        <v>-0.42</v>
      </c>
      <c r="P58" s="134">
        <v>-0.14</v>
      </c>
      <c r="Q58" s="134">
        <v>0.76</v>
      </c>
      <c r="R58" s="134">
        <v>14.87</v>
      </c>
      <c r="S58" s="134">
        <v>1.1</v>
      </c>
      <c r="T58" s="10">
        <v>0.0</v>
      </c>
      <c r="U58" s="134">
        <v>0.07</v>
      </c>
      <c r="V58" s="134">
        <v>0.93</v>
      </c>
      <c r="W58" s="134">
        <v>0.09</v>
      </c>
      <c r="X58" s="134">
        <v>0.74</v>
      </c>
      <c r="Y58" s="134">
        <v>24.0</v>
      </c>
      <c r="Z58" s="136">
        <v>7137.18</v>
      </c>
      <c r="AA58" s="134">
        <v>35.01</v>
      </c>
      <c r="AB58" s="134">
        <v>5.21</v>
      </c>
      <c r="AC58" s="134">
        <v>0.35</v>
      </c>
      <c r="AD58" s="135">
        <v>4.175886588E8</v>
      </c>
    </row>
    <row r="59">
      <c r="A59" s="10" t="s">
        <v>465</v>
      </c>
      <c r="B59" s="134">
        <v>22.65</v>
      </c>
      <c r="C59" s="134">
        <v>5.5</v>
      </c>
      <c r="D59" s="136">
        <v>4.35</v>
      </c>
      <c r="E59" s="134">
        <v>0.65</v>
      </c>
      <c r="F59" s="134">
        <v>0.05</v>
      </c>
      <c r="G59" s="134">
        <v>75.35</v>
      </c>
      <c r="H59" s="134">
        <v>18.05</v>
      </c>
      <c r="I59" s="134">
        <v>12.49</v>
      </c>
      <c r="J59" s="136">
        <v>3.01</v>
      </c>
      <c r="K59" s="136">
        <v>3.63</v>
      </c>
      <c r="L59" s="10">
        <v>0.0</v>
      </c>
      <c r="M59" s="10">
        <v>0.0</v>
      </c>
      <c r="N59" s="134">
        <v>0.54</v>
      </c>
      <c r="O59" s="134">
        <v>-0.29</v>
      </c>
      <c r="P59" s="134">
        <v>-0.1</v>
      </c>
      <c r="Q59" s="134">
        <v>0.76</v>
      </c>
      <c r="R59" s="134">
        <v>14.87</v>
      </c>
      <c r="S59" s="134">
        <v>1.1</v>
      </c>
      <c r="T59" s="10">
        <v>0.0</v>
      </c>
      <c r="U59" s="134">
        <v>0.07</v>
      </c>
      <c r="V59" s="134">
        <v>0.93</v>
      </c>
      <c r="W59" s="134">
        <v>0.09</v>
      </c>
      <c r="X59" s="134">
        <v>0.74</v>
      </c>
      <c r="Y59" s="134">
        <v>24.0</v>
      </c>
      <c r="Z59" s="136">
        <v>18516.89</v>
      </c>
      <c r="AA59" s="134">
        <v>35.01</v>
      </c>
      <c r="AB59" s="134">
        <v>5.21</v>
      </c>
      <c r="AC59" s="134">
        <v>0.25</v>
      </c>
      <c r="AD59" s="135">
        <v>4.175886588E8</v>
      </c>
    </row>
    <row r="60">
      <c r="A60" s="10" t="s">
        <v>77</v>
      </c>
      <c r="B60" s="134">
        <v>44.36</v>
      </c>
      <c r="C60" s="134">
        <v>0.11</v>
      </c>
      <c r="D60" s="136">
        <v>1417.64</v>
      </c>
      <c r="E60" s="134">
        <v>4.41</v>
      </c>
      <c r="F60" s="134">
        <v>1.27</v>
      </c>
      <c r="G60" s="134">
        <v>57.79</v>
      </c>
      <c r="H60" s="134">
        <v>-7.78</v>
      </c>
      <c r="I60" s="134">
        <v>2.08</v>
      </c>
      <c r="J60" s="136">
        <v>-379.69</v>
      </c>
      <c r="K60" s="136">
        <v>-388.76</v>
      </c>
      <c r="L60" s="10">
        <v>0.0</v>
      </c>
      <c r="M60" s="10">
        <v>0.0</v>
      </c>
      <c r="N60" s="134">
        <v>29.55</v>
      </c>
      <c r="O60" s="134">
        <v>25.92</v>
      </c>
      <c r="P60" s="134">
        <v>-2.61</v>
      </c>
      <c r="Q60" s="134">
        <v>1.11</v>
      </c>
      <c r="R60" s="134">
        <v>0.31</v>
      </c>
      <c r="S60" s="134">
        <v>0.09</v>
      </c>
      <c r="T60" s="10">
        <v>0.0</v>
      </c>
      <c r="U60" s="134">
        <v>0.29</v>
      </c>
      <c r="V60" s="134">
        <v>0.71</v>
      </c>
      <c r="W60" s="134">
        <v>0.04</v>
      </c>
      <c r="X60" s="134">
        <v>14.14</v>
      </c>
      <c r="Y60" s="134">
        <v>-3.95</v>
      </c>
      <c r="Z60" s="135">
        <v>3.9828828933E8</v>
      </c>
      <c r="AA60" s="134">
        <v>10.05</v>
      </c>
      <c r="AB60" s="134">
        <v>0.03</v>
      </c>
      <c r="AC60" s="134">
        <v>133.04</v>
      </c>
      <c r="AD60" s="135">
        <v>3.904005915502E10</v>
      </c>
    </row>
    <row r="61">
      <c r="A61" s="10" t="s">
        <v>210</v>
      </c>
      <c r="B61" s="134">
        <v>14.67</v>
      </c>
      <c r="C61" s="134">
        <v>0.11</v>
      </c>
      <c r="D61" s="136">
        <v>1406.46</v>
      </c>
      <c r="E61" s="134">
        <v>4.38</v>
      </c>
      <c r="F61" s="134">
        <v>1.26</v>
      </c>
      <c r="G61" s="134">
        <v>57.79</v>
      </c>
      <c r="H61" s="134">
        <v>-7.78</v>
      </c>
      <c r="I61" s="134">
        <v>2.08</v>
      </c>
      <c r="J61" s="136">
        <v>-376.7</v>
      </c>
      <c r="K61" s="136">
        <v>-388.76</v>
      </c>
      <c r="L61" s="10">
        <v>0.0</v>
      </c>
      <c r="M61" s="10">
        <v>0.0</v>
      </c>
      <c r="N61" s="134">
        <v>29.32</v>
      </c>
      <c r="O61" s="134">
        <v>25.72</v>
      </c>
      <c r="P61" s="134">
        <v>-2.59</v>
      </c>
      <c r="Q61" s="134">
        <v>1.11</v>
      </c>
      <c r="R61" s="134">
        <v>0.31</v>
      </c>
      <c r="S61" s="134">
        <v>0.09</v>
      </c>
      <c r="T61" s="10">
        <v>0.0</v>
      </c>
      <c r="U61" s="134">
        <v>0.29</v>
      </c>
      <c r="V61" s="134">
        <v>0.71</v>
      </c>
      <c r="W61" s="134">
        <v>0.04</v>
      </c>
      <c r="X61" s="134">
        <v>14.14</v>
      </c>
      <c r="Y61" s="134">
        <v>-3.95</v>
      </c>
      <c r="Z61" s="135">
        <v>2.646769813E7</v>
      </c>
      <c r="AA61" s="134">
        <v>3.35</v>
      </c>
      <c r="AB61" s="134">
        <v>0.01</v>
      </c>
      <c r="AC61" s="134">
        <v>131.99</v>
      </c>
      <c r="AD61" s="135">
        <v>3.904005915502E10</v>
      </c>
    </row>
    <row r="62">
      <c r="A62" s="10" t="s">
        <v>113</v>
      </c>
      <c r="B62" s="134">
        <v>14.89</v>
      </c>
      <c r="C62" s="134">
        <v>0.11</v>
      </c>
      <c r="D62" s="136">
        <v>1427.55</v>
      </c>
      <c r="E62" s="134">
        <v>4.45</v>
      </c>
      <c r="F62" s="134">
        <v>1.28</v>
      </c>
      <c r="G62" s="134">
        <v>57.79</v>
      </c>
      <c r="H62" s="134">
        <v>-7.78</v>
      </c>
      <c r="I62" s="134">
        <v>2.08</v>
      </c>
      <c r="J62" s="134">
        <v>-382.34</v>
      </c>
      <c r="K62" s="136">
        <v>-388.76</v>
      </c>
      <c r="L62" s="10">
        <v>0.0</v>
      </c>
      <c r="M62" s="10">
        <v>0.0</v>
      </c>
      <c r="N62" s="134">
        <v>29.76</v>
      </c>
      <c r="O62" s="134">
        <v>26.11</v>
      </c>
      <c r="P62" s="134">
        <v>-2.63</v>
      </c>
      <c r="Q62" s="134">
        <v>1.11</v>
      </c>
      <c r="R62" s="134">
        <v>0.31</v>
      </c>
      <c r="S62" s="134">
        <v>0.09</v>
      </c>
      <c r="T62" s="10">
        <v>0.0</v>
      </c>
      <c r="U62" s="134">
        <v>0.29</v>
      </c>
      <c r="V62" s="134">
        <v>0.71</v>
      </c>
      <c r="W62" s="134">
        <v>0.04</v>
      </c>
      <c r="X62" s="134">
        <v>14.14</v>
      </c>
      <c r="Y62" s="134">
        <v>-3.95</v>
      </c>
      <c r="Z62" s="135">
        <v>1.3085229729E8</v>
      </c>
      <c r="AA62" s="134">
        <v>3.35</v>
      </c>
      <c r="AB62" s="134">
        <v>0.01</v>
      </c>
      <c r="AC62" s="134">
        <v>133.97</v>
      </c>
      <c r="AD62" s="135">
        <v>3.904005915502E10</v>
      </c>
    </row>
    <row r="63">
      <c r="A63" s="10" t="s">
        <v>385</v>
      </c>
      <c r="B63" s="134">
        <v>16.2</v>
      </c>
      <c r="C63" s="10">
        <v>0.0</v>
      </c>
      <c r="D63" s="134">
        <v>-15.68</v>
      </c>
      <c r="E63" s="134">
        <v>6.92</v>
      </c>
      <c r="F63" s="134">
        <v>2.79</v>
      </c>
      <c r="G63" s="134">
        <v>25.11</v>
      </c>
      <c r="H63" s="134">
        <v>-67.85</v>
      </c>
      <c r="I63" s="134">
        <v>-81.3</v>
      </c>
      <c r="J63" s="134">
        <v>-18.79</v>
      </c>
      <c r="K63" s="134">
        <v>-20.51</v>
      </c>
      <c r="L63" s="134">
        <v>-1.71</v>
      </c>
      <c r="M63" s="134">
        <v>0.63</v>
      </c>
      <c r="N63" s="134">
        <v>12.75</v>
      </c>
      <c r="O63" s="134">
        <v>11.1</v>
      </c>
      <c r="P63" s="134">
        <v>-4.57</v>
      </c>
      <c r="Q63" s="134">
        <v>2.84</v>
      </c>
      <c r="R63" s="134">
        <v>-44.13</v>
      </c>
      <c r="S63" s="134">
        <v>-17.81</v>
      </c>
      <c r="T63" s="134">
        <v>-17.44</v>
      </c>
      <c r="U63" s="134">
        <v>0.4</v>
      </c>
      <c r="V63" s="134">
        <v>0.6</v>
      </c>
      <c r="W63" s="134">
        <v>0.22</v>
      </c>
      <c r="X63" s="10">
        <v>0.0</v>
      </c>
      <c r="Y63" s="10">
        <v>0.0</v>
      </c>
      <c r="Z63" s="135">
        <v>206039.71</v>
      </c>
      <c r="AA63" s="134">
        <v>2.34</v>
      </c>
      <c r="AB63" s="134">
        <v>-1.03</v>
      </c>
      <c r="AC63" s="134">
        <v>-1.02</v>
      </c>
      <c r="AD63" s="135">
        <v>1.097972658E9</v>
      </c>
    </row>
    <row r="64">
      <c r="A64" s="10" t="s">
        <v>203</v>
      </c>
      <c r="B64" s="134">
        <v>7.9</v>
      </c>
      <c r="C64" s="10">
        <v>0.0</v>
      </c>
      <c r="D64" s="134">
        <v>-4.7</v>
      </c>
      <c r="E64" s="134">
        <v>1.37</v>
      </c>
      <c r="F64" s="134">
        <v>0.6</v>
      </c>
      <c r="G64" s="134">
        <v>59.85</v>
      </c>
      <c r="H64" s="134">
        <v>-14.55</v>
      </c>
      <c r="I64" s="134">
        <v>-19.07</v>
      </c>
      <c r="J64" s="134">
        <v>-6.16</v>
      </c>
      <c r="K64" s="134">
        <v>-7.04</v>
      </c>
      <c r="L64" s="134">
        <v>-0.9</v>
      </c>
      <c r="M64" s="134">
        <v>0.2</v>
      </c>
      <c r="N64" s="134">
        <v>0.9</v>
      </c>
      <c r="O64" s="134">
        <v>12.11</v>
      </c>
      <c r="P64" s="134">
        <v>-0.76</v>
      </c>
      <c r="Q64" s="134">
        <v>1.3</v>
      </c>
      <c r="R64" s="134">
        <v>-29.24</v>
      </c>
      <c r="S64" s="134">
        <v>-12.69</v>
      </c>
      <c r="T64" s="134">
        <v>-16.88</v>
      </c>
      <c r="U64" s="134">
        <v>0.43</v>
      </c>
      <c r="V64" s="134">
        <v>0.57</v>
      </c>
      <c r="W64" s="134">
        <v>0.67</v>
      </c>
      <c r="X64" s="134">
        <v>18.7</v>
      </c>
      <c r="Y64" s="10">
        <v>0.0</v>
      </c>
      <c r="Z64" s="135">
        <v>2.590343863E7</v>
      </c>
      <c r="AA64" s="134">
        <v>5.75</v>
      </c>
      <c r="AB64" s="134">
        <v>-1.68</v>
      </c>
      <c r="AC64" s="134">
        <v>-0.03</v>
      </c>
      <c r="AD64" s="135">
        <v>2.16704736789E9</v>
      </c>
    </row>
    <row r="65">
      <c r="A65" s="10" t="s">
        <v>233</v>
      </c>
      <c r="B65" s="134">
        <v>43.38</v>
      </c>
      <c r="C65" s="134">
        <v>0.29</v>
      </c>
      <c r="D65" s="134">
        <v>23.24</v>
      </c>
      <c r="E65" s="134">
        <v>5.01</v>
      </c>
      <c r="F65" s="134">
        <v>3.36</v>
      </c>
      <c r="G65" s="134">
        <v>50.55</v>
      </c>
      <c r="H65" s="134">
        <v>36.11</v>
      </c>
      <c r="I65" s="134">
        <v>25.03</v>
      </c>
      <c r="J65" s="134">
        <v>16.11</v>
      </c>
      <c r="K65" s="134">
        <v>15.17</v>
      </c>
      <c r="L65" s="134">
        <v>-1.05</v>
      </c>
      <c r="M65" s="134">
        <v>-0.33</v>
      </c>
      <c r="N65" s="134">
        <v>5.82</v>
      </c>
      <c r="O65" s="134">
        <v>5.72</v>
      </c>
      <c r="P65" s="134">
        <v>-14.21</v>
      </c>
      <c r="Q65" s="134">
        <v>4.34</v>
      </c>
      <c r="R65" s="134">
        <v>21.54</v>
      </c>
      <c r="S65" s="134">
        <v>14.47</v>
      </c>
      <c r="T65" s="134">
        <v>16.38</v>
      </c>
      <c r="U65" s="134">
        <v>0.67</v>
      </c>
      <c r="V65" s="134">
        <v>0.33</v>
      </c>
      <c r="W65" s="134">
        <v>0.58</v>
      </c>
      <c r="X65" s="10">
        <v>0.0</v>
      </c>
      <c r="Y65" s="10">
        <v>0.0</v>
      </c>
      <c r="Z65" s="135">
        <v>1.49034445E7</v>
      </c>
      <c r="AA65" s="134">
        <v>8.67</v>
      </c>
      <c r="AB65" s="134">
        <v>1.87</v>
      </c>
      <c r="AC65" s="134">
        <v>0.41</v>
      </c>
      <c r="AD65" s="135">
        <v>7.83592725552E9</v>
      </c>
    </row>
    <row r="66">
      <c r="A66" s="10" t="s">
        <v>576</v>
      </c>
      <c r="B66" s="134">
        <v>3.03</v>
      </c>
      <c r="C66" s="134">
        <v>0.0</v>
      </c>
      <c r="D66" s="134">
        <v>-7.01</v>
      </c>
      <c r="E66" s="134">
        <v>1.04</v>
      </c>
      <c r="F66" s="134">
        <v>0.32</v>
      </c>
      <c r="G66" s="134">
        <v>0.0</v>
      </c>
      <c r="H66" s="134">
        <v>0.0</v>
      </c>
      <c r="I66" s="134">
        <v>0.0</v>
      </c>
      <c r="J66" s="134">
        <v>-7.14</v>
      </c>
      <c r="K66" s="134">
        <v>-5.06</v>
      </c>
      <c r="L66" s="10">
        <v>-0.77</v>
      </c>
      <c r="M66" s="10">
        <v>0.11</v>
      </c>
      <c r="N66" s="134">
        <v>0.0</v>
      </c>
      <c r="O66" s="134">
        <v>-2.53</v>
      </c>
      <c r="P66" s="134">
        <v>-0.32</v>
      </c>
      <c r="Q66" s="134">
        <v>0.0</v>
      </c>
      <c r="R66" s="134">
        <v>-14.79</v>
      </c>
      <c r="S66" s="134">
        <v>-4.56</v>
      </c>
      <c r="T66" s="10">
        <v>-13.07</v>
      </c>
      <c r="U66" s="134">
        <v>0.31</v>
      </c>
      <c r="V66" s="134">
        <v>0.69</v>
      </c>
      <c r="W66" s="134">
        <v>0.0</v>
      </c>
      <c r="X66" s="134">
        <v>0.0</v>
      </c>
      <c r="Y66" s="134">
        <v>0.0</v>
      </c>
      <c r="Z66" s="136">
        <v>1991966.96</v>
      </c>
      <c r="AA66" s="134">
        <v>2.92</v>
      </c>
      <c r="AB66" s="134">
        <v>-0.43</v>
      </c>
      <c r="AC66" s="134">
        <v>-0.01</v>
      </c>
      <c r="AD66" s="135">
        <v>3.660649908E7</v>
      </c>
    </row>
    <row r="67">
      <c r="A67" s="10" t="s">
        <v>577</v>
      </c>
      <c r="B67" s="134">
        <v>1.25</v>
      </c>
      <c r="C67" s="134">
        <v>0.0</v>
      </c>
      <c r="D67" s="134">
        <v>-2.89</v>
      </c>
      <c r="E67" s="134">
        <v>0.43</v>
      </c>
      <c r="F67" s="134">
        <v>0.13</v>
      </c>
      <c r="G67" s="134">
        <v>0.0</v>
      </c>
      <c r="H67" s="134">
        <v>0.0</v>
      </c>
      <c r="I67" s="134">
        <v>0.0</v>
      </c>
      <c r="J67" s="134">
        <v>-2.94</v>
      </c>
      <c r="K67" s="134">
        <v>-5.06</v>
      </c>
      <c r="L67" s="10">
        <v>-0.77</v>
      </c>
      <c r="M67" s="10">
        <v>0.11</v>
      </c>
      <c r="N67" s="134">
        <v>0.0</v>
      </c>
      <c r="O67" s="134">
        <v>-1.04</v>
      </c>
      <c r="P67" s="134">
        <v>-0.13</v>
      </c>
      <c r="Q67" s="134">
        <v>0.0</v>
      </c>
      <c r="R67" s="134">
        <v>-14.79</v>
      </c>
      <c r="S67" s="134">
        <v>-4.56</v>
      </c>
      <c r="T67" s="138">
        <v>-13.07</v>
      </c>
      <c r="U67" s="134">
        <v>0.31</v>
      </c>
      <c r="V67" s="134">
        <v>0.69</v>
      </c>
      <c r="W67" s="134">
        <v>0.0</v>
      </c>
      <c r="X67" s="134">
        <v>0.0</v>
      </c>
      <c r="Y67" s="134">
        <v>0.0</v>
      </c>
      <c r="Z67" s="136">
        <v>2035375.21</v>
      </c>
      <c r="AA67" s="134">
        <v>2.92</v>
      </c>
      <c r="AB67" s="134">
        <v>-0.43</v>
      </c>
      <c r="AC67" s="134">
        <v>0.0</v>
      </c>
      <c r="AD67" s="135">
        <v>3.660649908E7</v>
      </c>
    </row>
    <row r="68">
      <c r="A68" s="10" t="s">
        <v>428</v>
      </c>
      <c r="B68" s="134">
        <v>22.72</v>
      </c>
      <c r="C68" s="134">
        <v>5.2</v>
      </c>
      <c r="D68" s="134">
        <v>6.69</v>
      </c>
      <c r="E68" s="134">
        <v>1.12</v>
      </c>
      <c r="F68" s="134">
        <v>0.1</v>
      </c>
      <c r="G68" s="134">
        <v>79.01</v>
      </c>
      <c r="H68" s="134">
        <v>11.29</v>
      </c>
      <c r="I68" s="134">
        <v>7.93</v>
      </c>
      <c r="J68" s="134">
        <v>4.7</v>
      </c>
      <c r="K68" s="134">
        <v>4.41</v>
      </c>
      <c r="L68" s="10">
        <v>0.0</v>
      </c>
      <c r="M68" s="10">
        <v>0.0</v>
      </c>
      <c r="N68" s="134">
        <v>0.53</v>
      </c>
      <c r="O68" s="10">
        <v>0.65</v>
      </c>
      <c r="P68" s="134">
        <v>-0.19</v>
      </c>
      <c r="Q68" s="10">
        <v>1.51</v>
      </c>
      <c r="R68" s="134">
        <v>16.67</v>
      </c>
      <c r="S68" s="134">
        <v>1.54</v>
      </c>
      <c r="T68" s="138">
        <v>0.0</v>
      </c>
      <c r="U68" s="134">
        <v>0.09</v>
      </c>
      <c r="V68" s="134">
        <v>0.91</v>
      </c>
      <c r="W68" s="134">
        <v>0.19</v>
      </c>
      <c r="X68" s="134">
        <v>-9.42</v>
      </c>
      <c r="Y68" s="134">
        <v>11.41</v>
      </c>
      <c r="Z68" s="135">
        <v>10475.07</v>
      </c>
      <c r="AA68" s="134">
        <v>20.37</v>
      </c>
      <c r="AB68" s="134">
        <v>3.4</v>
      </c>
      <c r="AC68" s="134">
        <v>0.21</v>
      </c>
      <c r="AD68" s="135">
        <v>1.11609779794E9</v>
      </c>
    </row>
    <row r="69">
      <c r="A69" s="10" t="s">
        <v>417</v>
      </c>
      <c r="B69" s="134">
        <v>18.95</v>
      </c>
      <c r="C69" s="10">
        <v>6.86</v>
      </c>
      <c r="D69" s="134">
        <v>5.58</v>
      </c>
      <c r="E69" s="134">
        <v>0.93</v>
      </c>
      <c r="F69" s="134">
        <v>0.09</v>
      </c>
      <c r="G69" s="134">
        <v>79.01</v>
      </c>
      <c r="H69" s="134">
        <v>11.29</v>
      </c>
      <c r="I69" s="134">
        <v>7.93</v>
      </c>
      <c r="J69" s="134">
        <v>3.92</v>
      </c>
      <c r="K69" s="134">
        <v>4.41</v>
      </c>
      <c r="L69" s="10">
        <v>0.0</v>
      </c>
      <c r="M69" s="10">
        <v>0.0</v>
      </c>
      <c r="N69" s="134">
        <v>0.44</v>
      </c>
      <c r="O69" s="134">
        <v>0.54</v>
      </c>
      <c r="P69" s="134">
        <v>-0.16</v>
      </c>
      <c r="Q69" s="134">
        <v>1.51</v>
      </c>
      <c r="R69" s="134">
        <v>16.67</v>
      </c>
      <c r="S69" s="134">
        <v>1.54</v>
      </c>
      <c r="T69" s="138">
        <v>0.0</v>
      </c>
      <c r="U69" s="134">
        <v>0.09</v>
      </c>
      <c r="V69" s="134">
        <v>0.91</v>
      </c>
      <c r="W69" s="134">
        <v>0.19</v>
      </c>
      <c r="X69" s="134">
        <v>-9.42</v>
      </c>
      <c r="Y69" s="134">
        <v>11.41</v>
      </c>
      <c r="Z69" s="136">
        <v>46575.29</v>
      </c>
      <c r="AA69" s="134">
        <v>20.37</v>
      </c>
      <c r="AB69" s="134">
        <v>3.4</v>
      </c>
      <c r="AC69" s="134">
        <v>0.17</v>
      </c>
      <c r="AD69" s="135">
        <v>1.11609779794E9</v>
      </c>
    </row>
    <row r="70">
      <c r="A70" s="10" t="s">
        <v>278</v>
      </c>
      <c r="B70" s="134">
        <v>3.76</v>
      </c>
      <c r="C70" s="134">
        <v>4.75</v>
      </c>
      <c r="D70" s="134">
        <v>6.98</v>
      </c>
      <c r="E70" s="134">
        <v>0.54</v>
      </c>
      <c r="F70" s="134">
        <v>0.07</v>
      </c>
      <c r="G70" s="134">
        <v>70.49</v>
      </c>
      <c r="H70" s="134">
        <v>6.55</v>
      </c>
      <c r="I70" s="134">
        <v>7.44</v>
      </c>
      <c r="J70" s="134">
        <v>7.93</v>
      </c>
      <c r="K70" s="134">
        <v>7.99</v>
      </c>
      <c r="L70" s="10">
        <v>0.0</v>
      </c>
      <c r="M70" s="10">
        <v>0.0</v>
      </c>
      <c r="N70" s="134">
        <v>0.52</v>
      </c>
      <c r="O70" s="134">
        <v>0.0</v>
      </c>
      <c r="P70" s="134">
        <v>-0.07</v>
      </c>
      <c r="Q70" s="134">
        <v>0.0</v>
      </c>
      <c r="R70" s="134">
        <v>7.75</v>
      </c>
      <c r="S70" s="134">
        <v>1.01</v>
      </c>
      <c r="T70" s="10">
        <v>0.0</v>
      </c>
      <c r="U70" s="134">
        <v>0.13</v>
      </c>
      <c r="V70" s="134">
        <v>0.87</v>
      </c>
      <c r="W70" s="134">
        <v>0.14</v>
      </c>
      <c r="X70" s="134">
        <v>11.98</v>
      </c>
      <c r="Y70" s="134">
        <v>8.66</v>
      </c>
      <c r="Z70" s="136">
        <v>4188756.88</v>
      </c>
      <c r="AA70" s="134">
        <v>6.95</v>
      </c>
      <c r="AB70" s="134">
        <v>0.54</v>
      </c>
      <c r="AC70" s="134">
        <v>-0.43</v>
      </c>
      <c r="AD70" s="135">
        <v>2.21045083769E9</v>
      </c>
    </row>
    <row r="71">
      <c r="A71" s="10" t="s">
        <v>515</v>
      </c>
      <c r="B71" s="134">
        <v>22.25</v>
      </c>
      <c r="C71" s="134">
        <v>0.0</v>
      </c>
      <c r="D71" s="134">
        <v>28.52</v>
      </c>
      <c r="E71" s="136">
        <v>0.85</v>
      </c>
      <c r="F71" s="136">
        <v>0.47</v>
      </c>
      <c r="G71" s="134">
        <v>83.45</v>
      </c>
      <c r="H71" s="134">
        <v>55.41</v>
      </c>
      <c r="I71" s="134">
        <v>33.78</v>
      </c>
      <c r="J71" s="134">
        <v>17.38</v>
      </c>
      <c r="K71" s="134">
        <v>17.1</v>
      </c>
      <c r="L71" s="134">
        <v>0.0</v>
      </c>
      <c r="M71" s="134">
        <v>0.0</v>
      </c>
      <c r="N71" s="134">
        <v>9.63</v>
      </c>
      <c r="O71" s="136">
        <v>-8.12</v>
      </c>
      <c r="P71" s="136">
        <v>-0.64</v>
      </c>
      <c r="Q71" s="134">
        <v>0.82</v>
      </c>
      <c r="R71" s="136">
        <v>2.99</v>
      </c>
      <c r="S71" s="136">
        <v>1.66</v>
      </c>
      <c r="T71" s="136">
        <v>0.0</v>
      </c>
      <c r="U71" s="134">
        <v>0.56</v>
      </c>
      <c r="V71" s="134">
        <v>0.44</v>
      </c>
      <c r="W71" s="134">
        <v>0.05</v>
      </c>
      <c r="X71" s="134">
        <v>-1.79</v>
      </c>
      <c r="Y71" s="134">
        <v>-1.49</v>
      </c>
      <c r="Z71" s="136">
        <v>2225.0</v>
      </c>
      <c r="AA71" s="134">
        <v>26.1</v>
      </c>
      <c r="AB71" s="134">
        <v>0.78</v>
      </c>
      <c r="AC71" s="134">
        <v>0.35</v>
      </c>
      <c r="AD71" s="135">
        <v>1.0562795108E8</v>
      </c>
    </row>
    <row r="72">
      <c r="A72" s="10" t="s">
        <v>473</v>
      </c>
      <c r="B72" s="134">
        <v>19.81</v>
      </c>
      <c r="C72" s="10">
        <v>9.84</v>
      </c>
      <c r="D72" s="134">
        <v>25.39</v>
      </c>
      <c r="E72" s="134">
        <v>0.76</v>
      </c>
      <c r="F72" s="136">
        <v>0.42</v>
      </c>
      <c r="G72" s="134">
        <v>83.45</v>
      </c>
      <c r="H72" s="134">
        <v>55.41</v>
      </c>
      <c r="I72" s="134">
        <v>33.78</v>
      </c>
      <c r="J72" s="134">
        <v>15.48</v>
      </c>
      <c r="K72" s="134">
        <v>17.1</v>
      </c>
      <c r="L72" s="134">
        <v>0.0</v>
      </c>
      <c r="M72" s="134">
        <v>0.0</v>
      </c>
      <c r="N72" s="134">
        <v>8.58</v>
      </c>
      <c r="O72" s="134">
        <v>-7.23</v>
      </c>
      <c r="P72" s="134">
        <v>-0.57</v>
      </c>
      <c r="Q72" s="134">
        <v>0.82</v>
      </c>
      <c r="R72" s="134">
        <v>2.99</v>
      </c>
      <c r="S72" s="136">
        <v>1.66</v>
      </c>
      <c r="T72" s="134">
        <v>0.0</v>
      </c>
      <c r="U72" s="134">
        <v>0.56</v>
      </c>
      <c r="V72" s="134">
        <v>0.44</v>
      </c>
      <c r="W72" s="134">
        <v>0.05</v>
      </c>
      <c r="X72" s="10">
        <v>-1.79</v>
      </c>
      <c r="Y72" s="10">
        <v>-1.49</v>
      </c>
      <c r="Z72" s="135">
        <v>21752.74</v>
      </c>
      <c r="AA72" s="134">
        <v>26.1</v>
      </c>
      <c r="AB72" s="134">
        <v>0.78</v>
      </c>
      <c r="AC72" s="10">
        <v>0.31</v>
      </c>
      <c r="AD72" s="135">
        <v>1.0562795108E8</v>
      </c>
    </row>
    <row r="73">
      <c r="A73" s="10" t="s">
        <v>446</v>
      </c>
      <c r="B73" s="134">
        <v>230.0</v>
      </c>
      <c r="C73" s="134">
        <v>3.45</v>
      </c>
      <c r="D73" s="134">
        <v>35.92</v>
      </c>
      <c r="E73" s="134">
        <v>0.55</v>
      </c>
      <c r="F73" s="136">
        <v>0.49</v>
      </c>
      <c r="G73" s="134">
        <v>34.4</v>
      </c>
      <c r="H73" s="134">
        <v>3.85</v>
      </c>
      <c r="I73" s="134">
        <v>12.43</v>
      </c>
      <c r="J73" s="134">
        <v>115.83</v>
      </c>
      <c r="K73" s="134">
        <v>-36.12</v>
      </c>
      <c r="L73" s="10">
        <v>-151.95</v>
      </c>
      <c r="M73" s="10">
        <v>-0.72</v>
      </c>
      <c r="N73" s="134">
        <v>4.46</v>
      </c>
      <c r="O73" s="134">
        <v>0.66</v>
      </c>
      <c r="P73" s="134">
        <v>-1.99</v>
      </c>
      <c r="Q73" s="10">
        <v>34.0</v>
      </c>
      <c r="R73" s="134">
        <v>1.53</v>
      </c>
      <c r="S73" s="136">
        <v>1.35</v>
      </c>
      <c r="T73" s="10">
        <v>-0.11</v>
      </c>
      <c r="U73" s="134">
        <v>0.88</v>
      </c>
      <c r="V73" s="134">
        <v>0.12</v>
      </c>
      <c r="W73" s="134">
        <v>0.11</v>
      </c>
      <c r="X73" s="134">
        <v>1.12</v>
      </c>
      <c r="Y73" s="134">
        <v>-22.91</v>
      </c>
      <c r="Z73" s="136">
        <v>80067.19</v>
      </c>
      <c r="AA73" s="134">
        <v>418.98</v>
      </c>
      <c r="AB73" s="134">
        <v>6.4</v>
      </c>
      <c r="AC73" s="134">
        <v>-1.45</v>
      </c>
      <c r="AD73" s="135">
        <v>1.045925E8</v>
      </c>
    </row>
    <row r="74">
      <c r="A74" s="10" t="s">
        <v>204</v>
      </c>
      <c r="B74" s="134">
        <v>16.15</v>
      </c>
      <c r="C74" s="134">
        <v>0.0</v>
      </c>
      <c r="D74" s="134">
        <v>24.32</v>
      </c>
      <c r="E74" s="134">
        <v>1.45</v>
      </c>
      <c r="F74" s="136">
        <v>1.38</v>
      </c>
      <c r="G74" s="134">
        <v>54.75</v>
      </c>
      <c r="H74" s="134">
        <v>35.92</v>
      </c>
      <c r="I74" s="134">
        <v>26.01</v>
      </c>
      <c r="J74" s="134">
        <v>17.61</v>
      </c>
      <c r="K74" s="134">
        <v>9.34</v>
      </c>
      <c r="L74" s="134">
        <v>-8.52</v>
      </c>
      <c r="M74" s="134">
        <v>-0.7</v>
      </c>
      <c r="N74" s="134">
        <v>6.33</v>
      </c>
      <c r="O74" s="134">
        <v>1.89</v>
      </c>
      <c r="P74" s="134">
        <v>-6.08</v>
      </c>
      <c r="Q74" s="134">
        <v>17.01</v>
      </c>
      <c r="R74" s="134">
        <v>5.95</v>
      </c>
      <c r="S74" s="136">
        <v>5.67</v>
      </c>
      <c r="T74" s="134">
        <v>5.17</v>
      </c>
      <c r="U74" s="134">
        <v>0.95</v>
      </c>
      <c r="V74" s="134">
        <v>0.05</v>
      </c>
      <c r="W74" s="134">
        <v>0.22</v>
      </c>
      <c r="X74" s="10">
        <v>0.0</v>
      </c>
      <c r="Y74" s="10">
        <v>0.0</v>
      </c>
      <c r="Z74" s="135">
        <v>1.508465558E7</v>
      </c>
      <c r="AA74" s="134">
        <v>11.16</v>
      </c>
      <c r="AB74" s="134">
        <v>0.66</v>
      </c>
      <c r="AC74" s="134">
        <v>0.0</v>
      </c>
      <c r="AD74" s="135">
        <v>1.48818183604E9</v>
      </c>
    </row>
    <row r="75">
      <c r="A75" s="10" t="s">
        <v>460</v>
      </c>
      <c r="B75" s="134">
        <v>71.8</v>
      </c>
      <c r="C75" s="10">
        <v>3.91</v>
      </c>
      <c r="D75" s="134">
        <v>4.44</v>
      </c>
      <c r="E75" s="134">
        <v>0.89</v>
      </c>
      <c r="F75" s="134">
        <v>0.1</v>
      </c>
      <c r="G75" s="134">
        <v>74.92</v>
      </c>
      <c r="H75" s="136">
        <v>61.22</v>
      </c>
      <c r="I75" s="136">
        <v>35.59</v>
      </c>
      <c r="J75" s="134">
        <v>2.58</v>
      </c>
      <c r="K75" s="134">
        <v>2.58</v>
      </c>
      <c r="L75" s="134">
        <v>0.0</v>
      </c>
      <c r="M75" s="10">
        <v>0.0</v>
      </c>
      <c r="N75" s="134">
        <v>1.58</v>
      </c>
      <c r="O75" s="134">
        <v>1.33</v>
      </c>
      <c r="P75" s="134">
        <v>-0.11</v>
      </c>
      <c r="Q75" s="134">
        <v>0.0</v>
      </c>
      <c r="R75" s="134">
        <v>20.13</v>
      </c>
      <c r="S75" s="136">
        <v>2.22</v>
      </c>
      <c r="T75" s="134">
        <v>0.0</v>
      </c>
      <c r="U75" s="134">
        <v>0.11</v>
      </c>
      <c r="V75" s="134">
        <v>0.89</v>
      </c>
      <c r="W75" s="134">
        <v>0.06</v>
      </c>
      <c r="X75" s="134">
        <v>-9.48</v>
      </c>
      <c r="Y75" s="10">
        <v>35.51</v>
      </c>
      <c r="Z75" s="138">
        <v>18616.17</v>
      </c>
      <c r="AA75" s="134">
        <v>80.35</v>
      </c>
      <c r="AB75" s="134">
        <v>16.18</v>
      </c>
      <c r="AC75" s="134">
        <v>0.81</v>
      </c>
      <c r="AD75" s="135">
        <v>6.2014711152E9</v>
      </c>
    </row>
    <row r="76">
      <c r="A76" s="10" t="s">
        <v>236</v>
      </c>
      <c r="B76" s="134">
        <v>12.21</v>
      </c>
      <c r="C76" s="10">
        <v>0.17</v>
      </c>
      <c r="D76" s="134">
        <v>100.49</v>
      </c>
      <c r="E76" s="134">
        <v>3.44</v>
      </c>
      <c r="F76" s="134">
        <v>2.63</v>
      </c>
      <c r="G76" s="134">
        <v>47.42</v>
      </c>
      <c r="H76" s="136">
        <v>13.88</v>
      </c>
      <c r="I76" s="136">
        <v>9.59</v>
      </c>
      <c r="J76" s="134">
        <v>69.4</v>
      </c>
      <c r="K76" s="134">
        <v>56.59</v>
      </c>
      <c r="L76" s="134">
        <v>-12.93</v>
      </c>
      <c r="M76" s="10">
        <v>-0.64</v>
      </c>
      <c r="N76" s="134">
        <v>9.64</v>
      </c>
      <c r="O76" s="136">
        <v>4.98</v>
      </c>
      <c r="P76" s="136">
        <v>-6.57</v>
      </c>
      <c r="Q76" s="134">
        <v>8.24</v>
      </c>
      <c r="R76" s="134">
        <v>3.42</v>
      </c>
      <c r="S76" s="136">
        <v>2.61</v>
      </c>
      <c r="T76" s="134">
        <v>3.38</v>
      </c>
      <c r="U76" s="134">
        <v>0.76</v>
      </c>
      <c r="V76" s="134">
        <v>0.24</v>
      </c>
      <c r="W76" s="134">
        <v>0.27</v>
      </c>
      <c r="X76" s="134">
        <v>0.0</v>
      </c>
      <c r="Y76" s="10">
        <v>0.0</v>
      </c>
      <c r="Z76" s="135">
        <v>1.446211663E7</v>
      </c>
      <c r="AA76" s="134">
        <v>3.55</v>
      </c>
      <c r="AB76" s="134">
        <v>0.12</v>
      </c>
      <c r="AC76" s="134">
        <v>-46.04</v>
      </c>
      <c r="AD76" s="135">
        <v>6.49951576179E9</v>
      </c>
    </row>
    <row r="77">
      <c r="A77" s="10" t="s">
        <v>578</v>
      </c>
      <c r="B77" s="134">
        <v>0.0</v>
      </c>
      <c r="C77" s="134">
        <v>0.0</v>
      </c>
      <c r="D77" s="134">
        <v>0.0</v>
      </c>
      <c r="E77" s="134">
        <v>0.0</v>
      </c>
      <c r="F77" s="134">
        <v>0.0</v>
      </c>
      <c r="G77" s="134">
        <v>32.02</v>
      </c>
      <c r="H77" s="136">
        <v>14.71</v>
      </c>
      <c r="I77" s="136">
        <v>12.46</v>
      </c>
      <c r="J77" s="134">
        <v>0.0</v>
      </c>
      <c r="K77" s="134">
        <v>3.23</v>
      </c>
      <c r="L77" s="10">
        <v>1.79</v>
      </c>
      <c r="M77" s="10">
        <v>0.0</v>
      </c>
      <c r="N77" s="134">
        <v>0.0</v>
      </c>
      <c r="O77" s="136">
        <v>0.0</v>
      </c>
      <c r="P77" s="136">
        <v>0.0</v>
      </c>
      <c r="Q77" s="134">
        <v>0.57</v>
      </c>
      <c r="R77" s="134">
        <v>-121.55</v>
      </c>
      <c r="S77" s="136">
        <v>16.48</v>
      </c>
      <c r="T77" s="10">
        <v>59.79</v>
      </c>
      <c r="U77" s="134">
        <v>-0.14</v>
      </c>
      <c r="V77" s="134">
        <v>1.14</v>
      </c>
      <c r="W77" s="134">
        <v>1.32</v>
      </c>
      <c r="X77" s="134">
        <v>1.1</v>
      </c>
      <c r="Y77" s="134">
        <v>0.0</v>
      </c>
      <c r="Z77" s="135">
        <v>0.0</v>
      </c>
      <c r="AA77" s="134">
        <v>-0.44</v>
      </c>
      <c r="AB77" s="134">
        <v>0.54</v>
      </c>
      <c r="AC77" s="134">
        <v>0.0</v>
      </c>
      <c r="AD77" s="135">
        <v>2.3718631166E8</v>
      </c>
    </row>
    <row r="78">
      <c r="A78" s="10" t="s">
        <v>393</v>
      </c>
      <c r="B78" s="134">
        <v>1.95</v>
      </c>
      <c r="C78" s="134">
        <v>0.0</v>
      </c>
      <c r="D78" s="134">
        <v>3.64</v>
      </c>
      <c r="E78" s="136">
        <v>-4.42</v>
      </c>
      <c r="F78" s="134">
        <v>0.6</v>
      </c>
      <c r="G78" s="134">
        <v>32.02</v>
      </c>
      <c r="H78" s="136">
        <v>14.71</v>
      </c>
      <c r="I78" s="136">
        <v>12.46</v>
      </c>
      <c r="J78" s="134">
        <v>3.08</v>
      </c>
      <c r="K78" s="134">
        <v>3.23</v>
      </c>
      <c r="L78" s="10">
        <v>1.79</v>
      </c>
      <c r="M78" s="10">
        <v>0.0</v>
      </c>
      <c r="N78" s="134">
        <v>0.45</v>
      </c>
      <c r="O78" s="134">
        <v>-2.14</v>
      </c>
      <c r="P78" s="134">
        <v>-0.95</v>
      </c>
      <c r="Q78" s="134">
        <v>0.57</v>
      </c>
      <c r="R78" s="136">
        <v>-121.55</v>
      </c>
      <c r="S78" s="136">
        <v>16.48</v>
      </c>
      <c r="T78" s="10">
        <v>59.79</v>
      </c>
      <c r="U78" s="134">
        <v>-0.14</v>
      </c>
      <c r="V78" s="134">
        <v>1.14</v>
      </c>
      <c r="W78" s="134">
        <v>1.32</v>
      </c>
      <c r="X78" s="134">
        <v>1.1</v>
      </c>
      <c r="Y78" s="134">
        <v>0.0</v>
      </c>
      <c r="Z78" s="135">
        <v>87098.08</v>
      </c>
      <c r="AA78" s="134">
        <v>-0.44</v>
      </c>
      <c r="AB78" s="134">
        <v>0.54</v>
      </c>
      <c r="AC78" s="134">
        <v>0.0</v>
      </c>
      <c r="AD78" s="135">
        <v>2.3718631166E8</v>
      </c>
    </row>
    <row r="79">
      <c r="A79" s="10" t="s">
        <v>70</v>
      </c>
      <c r="B79" s="134">
        <v>24.5</v>
      </c>
      <c r="C79" s="134">
        <v>1.33</v>
      </c>
      <c r="D79" s="134">
        <v>19.28</v>
      </c>
      <c r="E79" s="136">
        <v>2.67</v>
      </c>
      <c r="F79" s="134">
        <v>0.31</v>
      </c>
      <c r="G79" s="134">
        <v>18.8</v>
      </c>
      <c r="H79" s="136">
        <v>35.6</v>
      </c>
      <c r="I79" s="136">
        <v>37.23</v>
      </c>
      <c r="J79" s="134">
        <v>20.16</v>
      </c>
      <c r="K79" s="134">
        <v>20.34</v>
      </c>
      <c r="L79" s="10">
        <v>0.0</v>
      </c>
      <c r="M79" s="10">
        <v>0.0</v>
      </c>
      <c r="N79" s="134">
        <v>7.18</v>
      </c>
      <c r="O79" s="134">
        <v>5.91</v>
      </c>
      <c r="P79" s="134">
        <v>-1.19</v>
      </c>
      <c r="Q79" s="134">
        <v>1.08</v>
      </c>
      <c r="R79" s="136">
        <v>13.87</v>
      </c>
      <c r="S79" s="136">
        <v>1.61</v>
      </c>
      <c r="T79" s="10">
        <v>0.0</v>
      </c>
      <c r="U79" s="134">
        <v>0.12</v>
      </c>
      <c r="V79" s="134">
        <v>0.88</v>
      </c>
      <c r="W79" s="134">
        <v>0.04</v>
      </c>
      <c r="X79" s="134">
        <v>2.49</v>
      </c>
      <c r="Y79" s="134">
        <v>45.84</v>
      </c>
      <c r="Z79" s="135">
        <v>3.0490565342E8</v>
      </c>
      <c r="AA79" s="134">
        <v>9.16</v>
      </c>
      <c r="AB79" s="134">
        <v>1.27</v>
      </c>
      <c r="AC79" s="134">
        <v>0.16</v>
      </c>
      <c r="AD79" s="135">
        <v>9.457035824576E10</v>
      </c>
    </row>
    <row r="80">
      <c r="A80" s="10" t="s">
        <v>380</v>
      </c>
      <c r="B80" s="134">
        <v>14.72</v>
      </c>
      <c r="C80" s="134">
        <v>0.74</v>
      </c>
      <c r="D80" s="134">
        <v>34.75</v>
      </c>
      <c r="E80" s="136">
        <v>4.82</v>
      </c>
      <c r="F80" s="134">
        <v>0.56</v>
      </c>
      <c r="G80" s="134">
        <v>18.8</v>
      </c>
      <c r="H80" s="136">
        <v>35.6</v>
      </c>
      <c r="I80" s="136">
        <v>37.23</v>
      </c>
      <c r="J80" s="134">
        <v>36.34</v>
      </c>
      <c r="K80" s="134">
        <v>20.34</v>
      </c>
      <c r="L80" s="10">
        <v>0.0</v>
      </c>
      <c r="M80" s="10">
        <v>0.0</v>
      </c>
      <c r="N80" s="134">
        <v>12.94</v>
      </c>
      <c r="O80" s="134">
        <v>10.66</v>
      </c>
      <c r="P80" s="134">
        <v>-2.15</v>
      </c>
      <c r="Q80" s="134">
        <v>1.08</v>
      </c>
      <c r="R80" s="136">
        <v>13.87</v>
      </c>
      <c r="S80" s="136">
        <v>1.61</v>
      </c>
      <c r="T80" s="10">
        <v>0.0</v>
      </c>
      <c r="U80" s="134">
        <v>0.12</v>
      </c>
      <c r="V80" s="134">
        <v>0.88</v>
      </c>
      <c r="W80" s="134">
        <v>0.04</v>
      </c>
      <c r="X80" s="134">
        <v>2.49</v>
      </c>
      <c r="Y80" s="134">
        <v>45.84</v>
      </c>
      <c r="Z80" s="135">
        <v>144462.92</v>
      </c>
      <c r="AA80" s="134">
        <v>3.05</v>
      </c>
      <c r="AB80" s="134">
        <v>0.42</v>
      </c>
      <c r="AC80" s="134">
        <v>0.29</v>
      </c>
      <c r="AD80" s="135">
        <v>9.457035824576E10</v>
      </c>
    </row>
    <row r="81">
      <c r="A81" s="10" t="s">
        <v>399</v>
      </c>
      <c r="B81" s="134">
        <v>5.73</v>
      </c>
      <c r="C81" s="134">
        <v>1.89</v>
      </c>
      <c r="D81" s="134">
        <v>13.53</v>
      </c>
      <c r="E81" s="136">
        <v>1.88</v>
      </c>
      <c r="F81" s="134">
        <v>0.22</v>
      </c>
      <c r="G81" s="134">
        <v>18.8</v>
      </c>
      <c r="H81" s="136">
        <v>35.6</v>
      </c>
      <c r="I81" s="136">
        <v>37.23</v>
      </c>
      <c r="J81" s="134">
        <v>14.15</v>
      </c>
      <c r="K81" s="134">
        <v>20.34</v>
      </c>
      <c r="L81" s="10">
        <v>0.0</v>
      </c>
      <c r="M81" s="10">
        <v>0.0</v>
      </c>
      <c r="N81" s="134">
        <v>5.04</v>
      </c>
      <c r="O81" s="134">
        <v>4.15</v>
      </c>
      <c r="P81" s="134">
        <v>-0.84</v>
      </c>
      <c r="Q81" s="10">
        <v>1.08</v>
      </c>
      <c r="R81" s="136">
        <v>13.87</v>
      </c>
      <c r="S81" s="136">
        <v>1.61</v>
      </c>
      <c r="T81" s="10">
        <v>0.0</v>
      </c>
      <c r="U81" s="134">
        <v>0.12</v>
      </c>
      <c r="V81" s="134">
        <v>0.88</v>
      </c>
      <c r="W81" s="134">
        <v>0.04</v>
      </c>
      <c r="X81" s="134">
        <v>2.49</v>
      </c>
      <c r="Y81" s="134">
        <v>45.84</v>
      </c>
      <c r="Z81" s="138">
        <v>90901.5</v>
      </c>
      <c r="AA81" s="134">
        <v>3.05</v>
      </c>
      <c r="AB81" s="134">
        <v>0.42</v>
      </c>
      <c r="AC81" s="134">
        <v>0.11</v>
      </c>
      <c r="AD81" s="135">
        <v>9.457035824576E10</v>
      </c>
    </row>
    <row r="82">
      <c r="A82" s="10" t="s">
        <v>114</v>
      </c>
      <c r="B82" s="134">
        <v>14.89</v>
      </c>
      <c r="C82" s="10">
        <v>1.42</v>
      </c>
      <c r="D82" s="134">
        <v>24.45</v>
      </c>
      <c r="E82" s="134">
        <v>3.23</v>
      </c>
      <c r="F82" s="134">
        <v>0.42</v>
      </c>
      <c r="G82" s="134">
        <v>68.53</v>
      </c>
      <c r="H82" s="136">
        <v>11.11</v>
      </c>
      <c r="I82" s="136">
        <v>7.84</v>
      </c>
      <c r="J82" s="134">
        <v>17.25</v>
      </c>
      <c r="K82" s="134">
        <v>17.75</v>
      </c>
      <c r="L82" s="10">
        <v>0.0</v>
      </c>
      <c r="M82" s="10">
        <v>0.0</v>
      </c>
      <c r="N82" s="134">
        <v>1.92</v>
      </c>
      <c r="O82" s="10">
        <v>-34.95</v>
      </c>
      <c r="P82" s="134">
        <v>-0.72</v>
      </c>
      <c r="Q82" s="10">
        <v>0.97</v>
      </c>
      <c r="R82" s="134">
        <v>13.2</v>
      </c>
      <c r="S82" s="136">
        <v>1.7</v>
      </c>
      <c r="T82" s="10">
        <v>0.0</v>
      </c>
      <c r="U82" s="134">
        <v>0.13</v>
      </c>
      <c r="V82" s="134">
        <v>0.87</v>
      </c>
      <c r="W82" s="134">
        <v>0.22</v>
      </c>
      <c r="X82" s="134">
        <v>4.82</v>
      </c>
      <c r="Y82" s="134">
        <v>38.52</v>
      </c>
      <c r="Z82" s="138">
        <v>1.2447617592E8</v>
      </c>
      <c r="AA82" s="134">
        <v>4.61</v>
      </c>
      <c r="AB82" s="134">
        <v>0.61</v>
      </c>
      <c r="AC82" s="134">
        <v>15.45</v>
      </c>
      <c r="AD82" s="135">
        <v>1.846145977372E10</v>
      </c>
    </row>
    <row r="83">
      <c r="A83" s="10" t="s">
        <v>579</v>
      </c>
      <c r="B83" s="134">
        <v>182.07</v>
      </c>
      <c r="C83" s="10">
        <v>2.96</v>
      </c>
      <c r="D83" s="134">
        <v>10.28</v>
      </c>
      <c r="E83" s="134">
        <v>1.1</v>
      </c>
      <c r="F83" s="134">
        <v>138.79</v>
      </c>
      <c r="G83" s="134">
        <v>78.05</v>
      </c>
      <c r="H83" s="136">
        <v>26.89</v>
      </c>
      <c r="I83" s="136">
        <v>13.81</v>
      </c>
      <c r="J83" s="134">
        <v>5.28</v>
      </c>
      <c r="K83" s="134">
        <v>5.28</v>
      </c>
      <c r="L83" s="134">
        <v>0.0</v>
      </c>
      <c r="M83" s="10">
        <v>0.0</v>
      </c>
      <c r="N83" s="134">
        <v>1.42</v>
      </c>
      <c r="O83" s="134">
        <v>0.75</v>
      </c>
      <c r="P83" s="134">
        <v>-0.17</v>
      </c>
      <c r="Q83" s="134">
        <v>0.0</v>
      </c>
      <c r="R83" s="134">
        <v>10.69</v>
      </c>
      <c r="S83" s="136">
        <v>1349.52</v>
      </c>
      <c r="T83" s="134">
        <v>0.0</v>
      </c>
      <c r="U83" s="134">
        <v>126.29</v>
      </c>
      <c r="V83" s="134">
        <v>873.71</v>
      </c>
      <c r="W83" s="134">
        <v>97.71</v>
      </c>
      <c r="X83" s="134">
        <v>3.12</v>
      </c>
      <c r="Y83" s="10">
        <v>-3.75</v>
      </c>
      <c r="Z83" s="138">
        <v>0.0</v>
      </c>
      <c r="AA83" s="134">
        <v>165.67</v>
      </c>
      <c r="AB83" s="134">
        <v>17.7</v>
      </c>
      <c r="AC83" s="134">
        <v>-0.23</v>
      </c>
      <c r="AD83" s="135">
        <v>1.73360663343E9</v>
      </c>
    </row>
    <row r="84">
      <c r="A84" s="10" t="s">
        <v>580</v>
      </c>
      <c r="B84" s="134">
        <v>44.05</v>
      </c>
      <c r="C84" s="134">
        <v>0.0</v>
      </c>
      <c r="D84" s="134">
        <v>6.98</v>
      </c>
      <c r="E84" s="134">
        <v>0.66</v>
      </c>
      <c r="F84" s="134">
        <v>0.09</v>
      </c>
      <c r="G84" s="10">
        <v>51.56</v>
      </c>
      <c r="H84" s="10">
        <v>21.77</v>
      </c>
      <c r="I84" s="10">
        <v>5.61</v>
      </c>
      <c r="J84" s="134">
        <v>1.8</v>
      </c>
      <c r="K84" s="134">
        <v>1.8</v>
      </c>
      <c r="L84" s="134">
        <v>0.0</v>
      </c>
      <c r="M84" s="134">
        <v>0.0</v>
      </c>
      <c r="N84" s="10">
        <v>0.39</v>
      </c>
      <c r="O84" s="134">
        <v>0.0</v>
      </c>
      <c r="P84" s="134">
        <v>-0.12</v>
      </c>
      <c r="Q84" s="134">
        <v>0.0</v>
      </c>
      <c r="R84" s="134">
        <v>9.46</v>
      </c>
      <c r="S84" s="134">
        <v>1.35</v>
      </c>
      <c r="T84" s="134">
        <v>0.0</v>
      </c>
      <c r="U84" s="134">
        <v>0.14</v>
      </c>
      <c r="V84" s="134">
        <v>0.86</v>
      </c>
      <c r="W84" s="134">
        <v>0.24</v>
      </c>
      <c r="X84" s="10">
        <v>14.99</v>
      </c>
      <c r="Y84" s="10">
        <v>-18.89</v>
      </c>
      <c r="Z84" s="137">
        <v>0.0</v>
      </c>
      <c r="AA84" s="134">
        <v>66.71</v>
      </c>
      <c r="AB84" s="134">
        <v>6.31</v>
      </c>
      <c r="AC84" s="134">
        <v>-0.11</v>
      </c>
      <c r="AD84" s="135">
        <v>1.533769021E9</v>
      </c>
    </row>
    <row r="85">
      <c r="A85" s="10" t="s">
        <v>581</v>
      </c>
      <c r="B85" s="134">
        <v>0.62</v>
      </c>
      <c r="C85" s="134">
        <v>0.0</v>
      </c>
      <c r="D85" s="134">
        <v>0.06</v>
      </c>
      <c r="E85" s="134">
        <v>-0.24</v>
      </c>
      <c r="F85" s="134">
        <v>0.99</v>
      </c>
      <c r="G85" s="10">
        <v>98.02</v>
      </c>
      <c r="H85" s="138">
        <v>1029.99</v>
      </c>
      <c r="I85" s="138">
        <v>13896.67</v>
      </c>
      <c r="J85" s="134">
        <v>0.8</v>
      </c>
      <c r="K85" s="134">
        <v>1.66</v>
      </c>
      <c r="L85" s="134">
        <v>0.85</v>
      </c>
      <c r="M85" s="134">
        <v>0.0</v>
      </c>
      <c r="N85" s="10">
        <v>8.28</v>
      </c>
      <c r="O85" s="134">
        <v>-0.38</v>
      </c>
      <c r="P85" s="134">
        <v>-1.18</v>
      </c>
      <c r="Q85" s="134">
        <v>0.06</v>
      </c>
      <c r="R85" s="134">
        <v>-402.5</v>
      </c>
      <c r="S85" s="136">
        <v>1669.02</v>
      </c>
      <c r="T85" s="134">
        <v>-36.75</v>
      </c>
      <c r="U85" s="134">
        <v>-4.15</v>
      </c>
      <c r="V85" s="134">
        <v>5.15</v>
      </c>
      <c r="W85" s="134">
        <v>0.12</v>
      </c>
      <c r="X85" s="10">
        <v>-68.85</v>
      </c>
      <c r="Y85" s="10">
        <v>0.0</v>
      </c>
      <c r="Z85" s="137">
        <v>0.0</v>
      </c>
      <c r="AA85" s="134">
        <v>-2.58</v>
      </c>
      <c r="AB85" s="134">
        <v>10.4</v>
      </c>
      <c r="AC85" s="134">
        <v>0.0</v>
      </c>
      <c r="AD85" s="135">
        <v>7.011029874E7</v>
      </c>
    </row>
    <row r="86">
      <c r="A86" s="10" t="s">
        <v>249</v>
      </c>
      <c r="B86" s="134">
        <v>47.33</v>
      </c>
      <c r="C86" s="10">
        <v>13.88</v>
      </c>
      <c r="D86" s="134">
        <v>3.67</v>
      </c>
      <c r="E86" s="134">
        <v>1.39</v>
      </c>
      <c r="F86" s="134">
        <v>1.38</v>
      </c>
      <c r="G86" s="134">
        <v>0.0</v>
      </c>
      <c r="H86" s="134">
        <v>0.0</v>
      </c>
      <c r="I86" s="134">
        <v>0.0</v>
      </c>
      <c r="J86" s="134">
        <v>3.67</v>
      </c>
      <c r="K86" s="134">
        <v>3.69</v>
      </c>
      <c r="L86" s="134">
        <v>-0.15</v>
      </c>
      <c r="M86" s="134">
        <v>-0.06</v>
      </c>
      <c r="N86" s="134">
        <v>0.0</v>
      </c>
      <c r="O86" s="134">
        <v>25.43</v>
      </c>
      <c r="P86" s="134">
        <v>-1.47</v>
      </c>
      <c r="Q86" s="10">
        <v>16.3</v>
      </c>
      <c r="R86" s="134">
        <v>37.74</v>
      </c>
      <c r="S86" s="134">
        <v>37.58</v>
      </c>
      <c r="T86" s="134">
        <v>37.65</v>
      </c>
      <c r="U86" s="134">
        <v>1.0</v>
      </c>
      <c r="V86" s="134">
        <v>0.0</v>
      </c>
      <c r="W86" s="134">
        <v>0.0</v>
      </c>
      <c r="X86" s="10">
        <v>0.0</v>
      </c>
      <c r="Y86" s="10">
        <v>0.0</v>
      </c>
      <c r="Z86" s="137">
        <v>1.711182933E7</v>
      </c>
      <c r="AA86" s="134">
        <v>34.14</v>
      </c>
      <c r="AB86" s="134">
        <v>12.88</v>
      </c>
      <c r="AC86" s="10">
        <v>0.0</v>
      </c>
      <c r="AD86" s="135">
        <v>1.946359227176E10</v>
      </c>
    </row>
    <row r="87">
      <c r="A87" s="10" t="s">
        <v>88</v>
      </c>
      <c r="B87" s="134">
        <v>50.58</v>
      </c>
      <c r="C87" s="10">
        <v>14.29</v>
      </c>
      <c r="D87" s="134">
        <v>3.93</v>
      </c>
      <c r="E87" s="134">
        <v>1.48</v>
      </c>
      <c r="F87" s="134">
        <v>1.48</v>
      </c>
      <c r="G87" s="134">
        <v>0.0</v>
      </c>
      <c r="H87" s="134">
        <v>0.0</v>
      </c>
      <c r="I87" s="134">
        <v>0.0</v>
      </c>
      <c r="J87" s="134">
        <v>3.92</v>
      </c>
      <c r="K87" s="134">
        <v>3.69</v>
      </c>
      <c r="L87" s="134">
        <v>-0.15</v>
      </c>
      <c r="M87" s="134">
        <v>-0.06</v>
      </c>
      <c r="N87" s="134">
        <v>0.0</v>
      </c>
      <c r="O87" s="134">
        <v>27.18</v>
      </c>
      <c r="P87" s="134">
        <v>-1.57</v>
      </c>
      <c r="Q87" s="10">
        <v>16.3</v>
      </c>
      <c r="R87" s="134">
        <v>37.74</v>
      </c>
      <c r="S87" s="134">
        <v>37.58</v>
      </c>
      <c r="T87" s="134">
        <v>37.65</v>
      </c>
      <c r="U87" s="134">
        <v>1.0</v>
      </c>
      <c r="V87" s="134">
        <v>0.0</v>
      </c>
      <c r="W87" s="134">
        <v>0.0</v>
      </c>
      <c r="X87" s="10">
        <v>0.0</v>
      </c>
      <c r="Y87" s="10">
        <v>0.0</v>
      </c>
      <c r="Z87" s="138">
        <v>1.9433687417E8</v>
      </c>
      <c r="AA87" s="134">
        <v>34.14</v>
      </c>
      <c r="AB87" s="134">
        <v>12.88</v>
      </c>
      <c r="AC87" s="10">
        <v>0.0</v>
      </c>
      <c r="AD87" s="135">
        <v>1.946359227176E10</v>
      </c>
    </row>
    <row r="88">
      <c r="A88" s="10" t="s">
        <v>220</v>
      </c>
      <c r="B88" s="134">
        <v>19.08</v>
      </c>
      <c r="C88" s="10">
        <v>0.0</v>
      </c>
      <c r="D88" s="134">
        <v>37.94</v>
      </c>
      <c r="E88" s="134">
        <v>2.73</v>
      </c>
      <c r="F88" s="134">
        <v>1.4</v>
      </c>
      <c r="G88" s="134">
        <v>4.18</v>
      </c>
      <c r="H88" s="134">
        <v>15.89</v>
      </c>
      <c r="I88" s="134">
        <v>5.96</v>
      </c>
      <c r="J88" s="134">
        <v>14.23</v>
      </c>
      <c r="K88" s="134">
        <v>4.58</v>
      </c>
      <c r="L88" s="134">
        <v>-9.83</v>
      </c>
      <c r="M88" s="134">
        <v>-1.89</v>
      </c>
      <c r="N88" s="134">
        <v>2.26</v>
      </c>
      <c r="O88" s="134">
        <v>1.43</v>
      </c>
      <c r="P88" s="134">
        <v>3.56</v>
      </c>
      <c r="Q88" s="10">
        <v>0.0</v>
      </c>
      <c r="R88" s="134">
        <v>7.2</v>
      </c>
      <c r="S88" s="134">
        <v>3.69</v>
      </c>
      <c r="T88" s="134">
        <v>15.25</v>
      </c>
      <c r="U88" s="134">
        <v>0.51</v>
      </c>
      <c r="V88" s="134">
        <v>0.07</v>
      </c>
      <c r="W88" s="134">
        <v>0.62</v>
      </c>
      <c r="X88" s="10">
        <v>0.0</v>
      </c>
      <c r="Y88" s="10">
        <v>0.0</v>
      </c>
      <c r="Z88" s="138">
        <v>1.44185675E7</v>
      </c>
      <c r="AA88" s="134">
        <v>6.99</v>
      </c>
      <c r="AB88" s="134">
        <v>0.5</v>
      </c>
      <c r="AC88" s="10">
        <v>0.0</v>
      </c>
      <c r="AD88" s="135">
        <v>2.020799224E9</v>
      </c>
    </row>
    <row r="89">
      <c r="A89" s="10" t="s">
        <v>582</v>
      </c>
      <c r="B89" s="134">
        <v>0.0</v>
      </c>
      <c r="C89" s="134">
        <v>0.0</v>
      </c>
      <c r="D89" s="134">
        <v>0.0</v>
      </c>
      <c r="E89" s="134">
        <v>0.0</v>
      </c>
      <c r="F89" s="134">
        <v>0.0</v>
      </c>
      <c r="G89" s="136">
        <v>4.18</v>
      </c>
      <c r="H89" s="136">
        <v>15.89</v>
      </c>
      <c r="I89" s="134">
        <v>5.96</v>
      </c>
      <c r="J89" s="134">
        <v>0.0</v>
      </c>
      <c r="K89" s="134">
        <v>4.58</v>
      </c>
      <c r="L89" s="134">
        <v>-9.83</v>
      </c>
      <c r="M89" s="134">
        <v>-1.89</v>
      </c>
      <c r="N89" s="134">
        <v>0.0</v>
      </c>
      <c r="O89" s="134">
        <v>0.0</v>
      </c>
      <c r="P89" s="134">
        <v>0.0</v>
      </c>
      <c r="Q89" s="134">
        <v>0.0</v>
      </c>
      <c r="R89" s="134">
        <v>7.2</v>
      </c>
      <c r="S89" s="134">
        <v>3.69</v>
      </c>
      <c r="T89" s="134">
        <v>15.25</v>
      </c>
      <c r="U89" s="134">
        <v>0.51</v>
      </c>
      <c r="V89" s="134">
        <v>0.07</v>
      </c>
      <c r="W89" s="134">
        <v>0.62</v>
      </c>
      <c r="X89" s="134">
        <v>0.0</v>
      </c>
      <c r="Y89" s="10">
        <v>0.0</v>
      </c>
      <c r="Z89" s="135">
        <v>0.0</v>
      </c>
      <c r="AA89" s="134">
        <v>2.33</v>
      </c>
      <c r="AB89" s="134">
        <v>0.17</v>
      </c>
      <c r="AC89" s="134">
        <v>0.0</v>
      </c>
      <c r="AD89" s="135">
        <v>2.020799224E9</v>
      </c>
    </row>
    <row r="90">
      <c r="A90" s="10" t="s">
        <v>583</v>
      </c>
      <c r="B90" s="134">
        <v>0.0</v>
      </c>
      <c r="C90" s="10">
        <v>0.0</v>
      </c>
      <c r="D90" s="134">
        <v>0.0</v>
      </c>
      <c r="E90" s="134">
        <v>0.0</v>
      </c>
      <c r="F90" s="134">
        <v>0.0</v>
      </c>
      <c r="G90" s="136">
        <v>4.18</v>
      </c>
      <c r="H90" s="136">
        <v>15.89</v>
      </c>
      <c r="I90" s="134">
        <v>5.96</v>
      </c>
      <c r="J90" s="134">
        <v>0.0</v>
      </c>
      <c r="K90" s="134">
        <v>4.58</v>
      </c>
      <c r="L90" s="134">
        <v>-9.83</v>
      </c>
      <c r="M90" s="134">
        <v>-1.89</v>
      </c>
      <c r="N90" s="134">
        <v>0.0</v>
      </c>
      <c r="O90" s="134">
        <v>0.0</v>
      </c>
      <c r="P90" s="134">
        <v>0.0</v>
      </c>
      <c r="Q90" s="134">
        <v>0.0</v>
      </c>
      <c r="R90" s="134">
        <v>7.2</v>
      </c>
      <c r="S90" s="134">
        <v>3.69</v>
      </c>
      <c r="T90" s="134">
        <v>15.25</v>
      </c>
      <c r="U90" s="134">
        <v>0.51</v>
      </c>
      <c r="V90" s="134">
        <v>0.07</v>
      </c>
      <c r="W90" s="134">
        <v>0.62</v>
      </c>
      <c r="X90" s="134">
        <v>0.0</v>
      </c>
      <c r="Y90" s="134">
        <v>0.0</v>
      </c>
      <c r="Z90" s="137">
        <v>0.0</v>
      </c>
      <c r="AA90" s="134">
        <v>2.33</v>
      </c>
      <c r="AB90" s="134">
        <v>0.17</v>
      </c>
      <c r="AC90" s="134">
        <v>0.0</v>
      </c>
      <c r="AD90" s="135">
        <v>2.020799224E9</v>
      </c>
    </row>
    <row r="91">
      <c r="A91" s="10" t="s">
        <v>76</v>
      </c>
      <c r="B91" s="134">
        <v>23.76</v>
      </c>
      <c r="C91" s="134">
        <v>9.81</v>
      </c>
      <c r="D91" s="134">
        <v>6.35</v>
      </c>
      <c r="E91" s="134">
        <v>2.35</v>
      </c>
      <c r="F91" s="134">
        <v>0.97</v>
      </c>
      <c r="G91" s="136">
        <v>6.03</v>
      </c>
      <c r="H91" s="136">
        <v>5.33</v>
      </c>
      <c r="I91" s="134">
        <v>4.33</v>
      </c>
      <c r="J91" s="134">
        <v>5.16</v>
      </c>
      <c r="K91" s="134">
        <v>6.46</v>
      </c>
      <c r="L91" s="134">
        <v>1.27</v>
      </c>
      <c r="M91" s="134">
        <v>0.58</v>
      </c>
      <c r="N91" s="134">
        <v>0.28</v>
      </c>
      <c r="O91" s="134">
        <v>3.11</v>
      </c>
      <c r="P91" s="134">
        <v>-1.96</v>
      </c>
      <c r="Q91" s="134">
        <v>2.6</v>
      </c>
      <c r="R91" s="134">
        <v>37.0</v>
      </c>
      <c r="S91" s="134">
        <v>15.25</v>
      </c>
      <c r="T91" s="134">
        <v>20.4</v>
      </c>
      <c r="U91" s="134">
        <v>0.41</v>
      </c>
      <c r="V91" s="134">
        <v>0.59</v>
      </c>
      <c r="W91" s="134">
        <v>3.52</v>
      </c>
      <c r="X91" s="134">
        <v>-3.48</v>
      </c>
      <c r="Y91" s="134">
        <v>0.0</v>
      </c>
      <c r="Z91" s="136">
        <v>2.7459433733E8</v>
      </c>
      <c r="AA91" s="134">
        <v>10.11</v>
      </c>
      <c r="AB91" s="134">
        <v>3.74</v>
      </c>
      <c r="AC91" s="134">
        <v>0.05</v>
      </c>
      <c r="AD91" s="135">
        <v>2.78435E10</v>
      </c>
    </row>
    <row r="92">
      <c r="A92" s="10" t="s">
        <v>106</v>
      </c>
      <c r="B92" s="134">
        <v>26.95</v>
      </c>
      <c r="C92" s="134">
        <v>0.0</v>
      </c>
      <c r="D92" s="134">
        <v>24.17</v>
      </c>
      <c r="E92" s="134">
        <v>2.63</v>
      </c>
      <c r="F92" s="134">
        <v>0.44</v>
      </c>
      <c r="G92" s="136">
        <v>22.13</v>
      </c>
      <c r="H92" s="136">
        <v>6.67</v>
      </c>
      <c r="I92" s="134">
        <v>2.08</v>
      </c>
      <c r="J92" s="134">
        <v>7.52</v>
      </c>
      <c r="K92" s="134">
        <v>12.78</v>
      </c>
      <c r="L92" s="134">
        <v>5.25</v>
      </c>
      <c r="M92" s="134">
        <v>1.83</v>
      </c>
      <c r="N92" s="134">
        <v>0.5</v>
      </c>
      <c r="O92" s="134">
        <v>4.23</v>
      </c>
      <c r="P92" s="134">
        <v>-0.81</v>
      </c>
      <c r="Q92" s="134">
        <v>1.3</v>
      </c>
      <c r="R92" s="134">
        <v>10.87</v>
      </c>
      <c r="S92" s="134">
        <v>1.83</v>
      </c>
      <c r="T92" s="134">
        <v>8.45</v>
      </c>
      <c r="U92" s="134">
        <v>0.17</v>
      </c>
      <c r="V92" s="134">
        <v>0.83</v>
      </c>
      <c r="W92" s="134">
        <v>0.88</v>
      </c>
      <c r="X92" s="134">
        <v>4.16</v>
      </c>
      <c r="Y92" s="134">
        <v>-21.87</v>
      </c>
      <c r="Z92" s="136">
        <v>1.5770761058E8</v>
      </c>
      <c r="AA92" s="134">
        <v>10.26</v>
      </c>
      <c r="AB92" s="134">
        <v>1.12</v>
      </c>
      <c r="AC92" s="134">
        <v>-0.91</v>
      </c>
      <c r="AD92" s="135">
        <v>2.192865290954E10</v>
      </c>
    </row>
    <row r="93">
      <c r="A93" s="10" t="s">
        <v>540</v>
      </c>
      <c r="B93" s="134">
        <v>7.61</v>
      </c>
      <c r="C93" s="134">
        <v>4.83</v>
      </c>
      <c r="D93" s="134">
        <v>21.79</v>
      </c>
      <c r="E93" s="134">
        <v>0.45</v>
      </c>
      <c r="F93" s="134">
        <v>0.18</v>
      </c>
      <c r="G93" s="136">
        <v>-1812.31</v>
      </c>
      <c r="H93" s="136">
        <v>2793.51</v>
      </c>
      <c r="I93" s="134">
        <v>463.68</v>
      </c>
      <c r="J93" s="134">
        <v>3.62</v>
      </c>
      <c r="K93" s="134">
        <v>-4.86</v>
      </c>
      <c r="L93" s="134">
        <v>-10.02</v>
      </c>
      <c r="M93" s="134">
        <v>-1.26</v>
      </c>
      <c r="N93" s="134">
        <v>101.02</v>
      </c>
      <c r="O93" s="134">
        <v>0.44</v>
      </c>
      <c r="P93" s="134">
        <v>-0.46</v>
      </c>
      <c r="Q93" s="134">
        <v>3.25</v>
      </c>
      <c r="R93" s="134">
        <v>2.08</v>
      </c>
      <c r="S93" s="134">
        <v>0.84</v>
      </c>
      <c r="T93" s="134">
        <v>8.38</v>
      </c>
      <c r="U93" s="134">
        <v>0.4</v>
      </c>
      <c r="V93" s="134">
        <v>0.41</v>
      </c>
      <c r="W93" s="134">
        <v>0.0</v>
      </c>
      <c r="X93" s="134">
        <v>-1.53</v>
      </c>
      <c r="Y93" s="134">
        <v>-16.72</v>
      </c>
      <c r="Z93" s="136">
        <v>1053.67</v>
      </c>
      <c r="AA93" s="134">
        <v>16.77</v>
      </c>
      <c r="AB93" s="134">
        <v>0.35</v>
      </c>
      <c r="AC93" s="134">
        <v>-0.42</v>
      </c>
      <c r="AD93" s="135">
        <v>7.98722396E8</v>
      </c>
    </row>
    <row r="94">
      <c r="A94" s="10" t="s">
        <v>537</v>
      </c>
      <c r="B94" s="134">
        <v>6.89</v>
      </c>
      <c r="C94" s="134">
        <v>0.01</v>
      </c>
      <c r="D94" s="134">
        <v>19.72</v>
      </c>
      <c r="E94" s="134">
        <v>0.41</v>
      </c>
      <c r="F94" s="134">
        <v>0.17</v>
      </c>
      <c r="G94" s="136">
        <v>-1812.31</v>
      </c>
      <c r="H94" s="136">
        <v>2793.51</v>
      </c>
      <c r="I94" s="134">
        <v>463.68</v>
      </c>
      <c r="J94" s="134">
        <v>3.27</v>
      </c>
      <c r="K94" s="134">
        <v>-4.86</v>
      </c>
      <c r="L94" s="134">
        <v>-10.02</v>
      </c>
      <c r="M94" s="134">
        <v>-1.26</v>
      </c>
      <c r="N94" s="134">
        <v>91.46</v>
      </c>
      <c r="O94" s="134">
        <v>0.4</v>
      </c>
      <c r="P94" s="134">
        <v>-0.41</v>
      </c>
      <c r="Q94" s="134">
        <v>3.25</v>
      </c>
      <c r="R94" s="134">
        <v>2.08</v>
      </c>
      <c r="S94" s="134">
        <v>0.84</v>
      </c>
      <c r="T94" s="134">
        <v>8.38</v>
      </c>
      <c r="U94" s="134">
        <v>0.4</v>
      </c>
      <c r="V94" s="134">
        <v>0.41</v>
      </c>
      <c r="W94" s="134">
        <v>0.0</v>
      </c>
      <c r="X94" s="134">
        <v>-1.53</v>
      </c>
      <c r="Y94" s="134">
        <v>-16.72</v>
      </c>
      <c r="Z94" s="136">
        <v>5069.17</v>
      </c>
      <c r="AA94" s="134">
        <v>16.77</v>
      </c>
      <c r="AB94" s="134">
        <v>0.35</v>
      </c>
      <c r="AC94" s="134">
        <v>-0.38</v>
      </c>
      <c r="AD94" s="135">
        <v>7.98722396E8</v>
      </c>
    </row>
    <row r="95">
      <c r="A95" s="10" t="s">
        <v>498</v>
      </c>
      <c r="B95" s="134">
        <v>9.08</v>
      </c>
      <c r="C95" s="134">
        <v>0.01</v>
      </c>
      <c r="D95" s="134">
        <v>25.99</v>
      </c>
      <c r="E95" s="134">
        <v>0.54</v>
      </c>
      <c r="F95" s="134">
        <v>0.22</v>
      </c>
      <c r="G95" s="136">
        <v>-1812.31</v>
      </c>
      <c r="H95" s="136">
        <v>2793.51</v>
      </c>
      <c r="I95" s="134">
        <v>463.68</v>
      </c>
      <c r="J95" s="134">
        <v>4.31</v>
      </c>
      <c r="K95" s="134">
        <v>-4.86</v>
      </c>
      <c r="L95" s="134">
        <v>-10.02</v>
      </c>
      <c r="M95" s="134">
        <v>-1.26</v>
      </c>
      <c r="N95" s="134">
        <v>120.53</v>
      </c>
      <c r="O95" s="134">
        <v>0.53</v>
      </c>
      <c r="P95" s="134">
        <v>-0.54</v>
      </c>
      <c r="Q95" s="134">
        <v>3.25</v>
      </c>
      <c r="R95" s="134">
        <v>2.08</v>
      </c>
      <c r="S95" s="134">
        <v>0.84</v>
      </c>
      <c r="T95" s="134">
        <v>8.38</v>
      </c>
      <c r="U95" s="134">
        <v>0.4</v>
      </c>
      <c r="V95" s="134">
        <v>0.41</v>
      </c>
      <c r="W95" s="134">
        <v>0.0</v>
      </c>
      <c r="X95" s="134">
        <v>-1.53</v>
      </c>
      <c r="Y95" s="134">
        <v>-16.72</v>
      </c>
      <c r="Z95" s="139">
        <v>908.0</v>
      </c>
      <c r="AA95" s="134">
        <v>16.77</v>
      </c>
      <c r="AB95" s="134">
        <v>0.35</v>
      </c>
      <c r="AC95" s="134">
        <v>-0.5</v>
      </c>
      <c r="AD95" s="135">
        <v>7.98722396E8</v>
      </c>
    </row>
    <row r="96">
      <c r="A96" s="10" t="s">
        <v>543</v>
      </c>
      <c r="B96" s="134">
        <v>10.41</v>
      </c>
      <c r="C96" s="134">
        <v>2.94</v>
      </c>
      <c r="D96" s="134">
        <v>29.8</v>
      </c>
      <c r="E96" s="134">
        <v>0.62</v>
      </c>
      <c r="F96" s="134">
        <v>0.25</v>
      </c>
      <c r="G96" s="136">
        <v>-1812.31</v>
      </c>
      <c r="H96" s="136">
        <v>2793.51</v>
      </c>
      <c r="I96" s="134">
        <v>463.68</v>
      </c>
      <c r="J96" s="134">
        <v>4.95</v>
      </c>
      <c r="K96" s="134">
        <v>-4.86</v>
      </c>
      <c r="L96" s="134">
        <v>-10.02</v>
      </c>
      <c r="M96" s="134">
        <v>-1.26</v>
      </c>
      <c r="N96" s="134">
        <v>138.19</v>
      </c>
      <c r="O96" s="134">
        <v>0.6</v>
      </c>
      <c r="P96" s="134">
        <v>-0.62</v>
      </c>
      <c r="Q96" s="134">
        <v>3.25</v>
      </c>
      <c r="R96" s="134">
        <v>2.08</v>
      </c>
      <c r="S96" s="134">
        <v>0.84</v>
      </c>
      <c r="T96" s="134">
        <v>8.38</v>
      </c>
      <c r="U96" s="134">
        <v>0.4</v>
      </c>
      <c r="V96" s="134">
        <v>0.41</v>
      </c>
      <c r="W96" s="134">
        <v>0.0</v>
      </c>
      <c r="X96" s="134">
        <v>-1.53</v>
      </c>
      <c r="Y96" s="134">
        <v>-16.72</v>
      </c>
      <c r="Z96" s="138">
        <v>1041.0</v>
      </c>
      <c r="AA96" s="134">
        <v>16.77</v>
      </c>
      <c r="AB96" s="134">
        <v>0.35</v>
      </c>
      <c r="AC96" s="134">
        <v>-0.57</v>
      </c>
      <c r="AD96" s="135">
        <v>7.98722396E8</v>
      </c>
    </row>
    <row r="97">
      <c r="A97" s="10" t="s">
        <v>541</v>
      </c>
      <c r="B97" s="134">
        <v>12.99</v>
      </c>
      <c r="C97" s="134">
        <v>5.66</v>
      </c>
      <c r="D97" s="134">
        <v>37.19</v>
      </c>
      <c r="E97" s="134">
        <v>0.77</v>
      </c>
      <c r="F97" s="134">
        <v>0.31</v>
      </c>
      <c r="G97" s="136">
        <v>-1812.31</v>
      </c>
      <c r="H97" s="136">
        <v>2793.51</v>
      </c>
      <c r="I97" s="134">
        <v>463.68</v>
      </c>
      <c r="J97" s="134">
        <v>6.17</v>
      </c>
      <c r="K97" s="134">
        <v>-4.86</v>
      </c>
      <c r="L97" s="134">
        <v>-10.02</v>
      </c>
      <c r="M97" s="134">
        <v>-1.26</v>
      </c>
      <c r="N97" s="134">
        <v>172.43</v>
      </c>
      <c r="O97" s="134">
        <v>0.75</v>
      </c>
      <c r="P97" s="134">
        <v>-0.78</v>
      </c>
      <c r="Q97" s="134">
        <v>3.25</v>
      </c>
      <c r="R97" s="134">
        <v>2.08</v>
      </c>
      <c r="S97" s="134">
        <v>0.84</v>
      </c>
      <c r="T97" s="134">
        <v>8.38</v>
      </c>
      <c r="U97" s="134">
        <v>0.4</v>
      </c>
      <c r="V97" s="134">
        <v>0.41</v>
      </c>
      <c r="W97" s="134">
        <v>0.0</v>
      </c>
      <c r="X97" s="134">
        <v>-1.53</v>
      </c>
      <c r="Y97" s="134">
        <v>-16.72</v>
      </c>
      <c r="Z97" s="136">
        <v>1801.2</v>
      </c>
      <c r="AA97" s="134">
        <v>16.77</v>
      </c>
      <c r="AB97" s="134">
        <v>0.35</v>
      </c>
      <c r="AC97" s="134">
        <v>-0.71</v>
      </c>
      <c r="AD97" s="135">
        <v>7.98722396E8</v>
      </c>
    </row>
    <row r="98">
      <c r="A98" s="10" t="s">
        <v>584</v>
      </c>
      <c r="B98" s="134">
        <v>5.4</v>
      </c>
      <c r="C98" s="10">
        <v>7.94</v>
      </c>
      <c r="D98" s="134">
        <v>15.46</v>
      </c>
      <c r="E98" s="134">
        <v>0.32</v>
      </c>
      <c r="F98" s="134">
        <v>0.13</v>
      </c>
      <c r="G98" s="136">
        <v>-1812.31</v>
      </c>
      <c r="H98" s="136">
        <v>2793.51</v>
      </c>
      <c r="I98" s="134">
        <v>463.68</v>
      </c>
      <c r="J98" s="134">
        <v>2.57</v>
      </c>
      <c r="K98" s="134">
        <v>-4.86</v>
      </c>
      <c r="L98" s="134">
        <v>-10.02</v>
      </c>
      <c r="M98" s="134">
        <v>-1.26</v>
      </c>
      <c r="N98" s="134">
        <v>71.68</v>
      </c>
      <c r="O98" s="134">
        <v>0.31</v>
      </c>
      <c r="P98" s="134">
        <v>-0.32</v>
      </c>
      <c r="Q98" s="134">
        <v>3.25</v>
      </c>
      <c r="R98" s="134">
        <v>2.08</v>
      </c>
      <c r="S98" s="134">
        <v>0.84</v>
      </c>
      <c r="T98" s="134">
        <v>8.38</v>
      </c>
      <c r="U98" s="134">
        <v>0.4</v>
      </c>
      <c r="V98" s="134">
        <v>0.41</v>
      </c>
      <c r="W98" s="134">
        <v>0.0</v>
      </c>
      <c r="X98" s="10">
        <v>-1.53</v>
      </c>
      <c r="Y98" s="10">
        <v>-16.72</v>
      </c>
      <c r="Z98" s="135">
        <v>0.0</v>
      </c>
      <c r="AA98" s="134">
        <v>16.77</v>
      </c>
      <c r="AB98" s="134">
        <v>0.35</v>
      </c>
      <c r="AC98" s="10">
        <v>-0.3</v>
      </c>
      <c r="AD98" s="135">
        <v>7.98722396E8</v>
      </c>
    </row>
    <row r="99">
      <c r="A99" s="10" t="s">
        <v>527</v>
      </c>
      <c r="B99" s="134">
        <v>9.99</v>
      </c>
      <c r="C99" s="134">
        <v>3.07</v>
      </c>
      <c r="D99" s="134">
        <v>28.6</v>
      </c>
      <c r="E99" s="134">
        <v>0.6</v>
      </c>
      <c r="F99" s="134">
        <v>0.24</v>
      </c>
      <c r="G99" s="136">
        <v>-1812.31</v>
      </c>
      <c r="H99" s="136">
        <v>2793.51</v>
      </c>
      <c r="I99" s="134">
        <v>463.68</v>
      </c>
      <c r="J99" s="134">
        <v>4.75</v>
      </c>
      <c r="K99" s="134">
        <v>-4.86</v>
      </c>
      <c r="L99" s="10">
        <v>-10.02</v>
      </c>
      <c r="M99" s="10">
        <v>-1.26</v>
      </c>
      <c r="N99" s="134">
        <v>132.61</v>
      </c>
      <c r="O99" s="134">
        <v>0.58</v>
      </c>
      <c r="P99" s="134">
        <v>-0.6</v>
      </c>
      <c r="Q99" s="134">
        <v>3.25</v>
      </c>
      <c r="R99" s="134">
        <v>2.08</v>
      </c>
      <c r="S99" s="134">
        <v>0.84</v>
      </c>
      <c r="T99" s="10">
        <v>8.38</v>
      </c>
      <c r="U99" s="134">
        <v>0.4</v>
      </c>
      <c r="V99" s="134">
        <v>0.41</v>
      </c>
      <c r="W99" s="134">
        <v>0.0</v>
      </c>
      <c r="X99" s="134">
        <v>-1.53</v>
      </c>
      <c r="Y99" s="134">
        <v>-16.72</v>
      </c>
      <c r="Z99" s="136">
        <v>4604.0</v>
      </c>
      <c r="AA99" s="134">
        <v>16.77</v>
      </c>
      <c r="AB99" s="134">
        <v>0.35</v>
      </c>
      <c r="AC99" s="134">
        <v>-0.55</v>
      </c>
      <c r="AD99" s="135">
        <v>7.98722396E8</v>
      </c>
    </row>
    <row r="100">
      <c r="A100" s="10" t="s">
        <v>273</v>
      </c>
      <c r="B100" s="134">
        <v>10.46</v>
      </c>
      <c r="C100" s="134">
        <v>0.0</v>
      </c>
      <c r="D100" s="134">
        <v>177.41</v>
      </c>
      <c r="E100" s="134">
        <v>34.05</v>
      </c>
      <c r="F100" s="134">
        <v>3.08</v>
      </c>
      <c r="G100" s="134">
        <v>44.11</v>
      </c>
      <c r="H100" s="134">
        <v>13.49</v>
      </c>
      <c r="I100" s="134">
        <v>9.72</v>
      </c>
      <c r="J100" s="134">
        <v>127.8</v>
      </c>
      <c r="K100" s="134">
        <v>148.69</v>
      </c>
      <c r="L100" s="10">
        <v>21.13</v>
      </c>
      <c r="M100" s="10">
        <v>5.63</v>
      </c>
      <c r="N100" s="134">
        <v>17.24</v>
      </c>
      <c r="O100" s="134">
        <v>-136.72</v>
      </c>
      <c r="P100" s="134">
        <v>-4.41</v>
      </c>
      <c r="Q100" s="134">
        <v>0.93</v>
      </c>
      <c r="R100" s="134">
        <v>19.19</v>
      </c>
      <c r="S100" s="134">
        <v>1.73</v>
      </c>
      <c r="T100" s="10">
        <v>2.63</v>
      </c>
      <c r="U100" s="134">
        <v>0.09</v>
      </c>
      <c r="V100" s="134">
        <v>0.91</v>
      </c>
      <c r="W100" s="134">
        <v>0.18</v>
      </c>
      <c r="X100" s="134">
        <v>0.0</v>
      </c>
      <c r="Y100" s="134">
        <v>0.0</v>
      </c>
      <c r="Z100" s="136">
        <v>5107884.71</v>
      </c>
      <c r="AA100" s="134">
        <v>0.31</v>
      </c>
      <c r="AB100" s="134">
        <v>0.06</v>
      </c>
      <c r="AC100" s="134">
        <v>0.0</v>
      </c>
      <c r="AD100" s="135">
        <v>4.68855092304E9</v>
      </c>
    </row>
    <row r="101">
      <c r="A101" s="10" t="s">
        <v>532</v>
      </c>
      <c r="B101" s="134">
        <v>9.05</v>
      </c>
      <c r="C101" s="10">
        <v>0.21</v>
      </c>
      <c r="D101" s="134">
        <v>9.53</v>
      </c>
      <c r="E101" s="134">
        <v>0.52</v>
      </c>
      <c r="F101" s="134">
        <v>0.04</v>
      </c>
      <c r="G101" s="134">
        <v>32.49</v>
      </c>
      <c r="H101" s="134">
        <v>24.31</v>
      </c>
      <c r="I101" s="134">
        <v>16.77</v>
      </c>
      <c r="J101" s="134">
        <v>6.57</v>
      </c>
      <c r="K101" s="134">
        <v>6.4</v>
      </c>
      <c r="L101" s="134">
        <v>0.0</v>
      </c>
      <c r="M101" s="134">
        <v>0.0</v>
      </c>
      <c r="N101" s="134">
        <v>1.6</v>
      </c>
      <c r="O101" s="134">
        <v>0.16</v>
      </c>
      <c r="P101" s="134">
        <v>-0.05</v>
      </c>
      <c r="Q101" s="134">
        <v>84.58</v>
      </c>
      <c r="R101" s="134">
        <v>5.4</v>
      </c>
      <c r="S101" s="134">
        <v>0.41</v>
      </c>
      <c r="T101" s="134">
        <v>0.0</v>
      </c>
      <c r="U101" s="134">
        <v>0.08</v>
      </c>
      <c r="V101" s="134">
        <v>0.92</v>
      </c>
      <c r="W101" s="134">
        <v>0.02</v>
      </c>
      <c r="X101" s="134">
        <v>-14.49</v>
      </c>
      <c r="Y101" s="134">
        <v>-0.16</v>
      </c>
      <c r="Z101" s="135">
        <v>3675.6</v>
      </c>
      <c r="AA101" s="134">
        <v>17.57</v>
      </c>
      <c r="AB101" s="134">
        <v>0.95</v>
      </c>
      <c r="AC101" s="134">
        <v>0.57</v>
      </c>
      <c r="AD101" s="135">
        <v>7.807642122E8</v>
      </c>
    </row>
    <row r="102">
      <c r="A102" s="10" t="s">
        <v>500</v>
      </c>
      <c r="B102" s="134">
        <v>8.45</v>
      </c>
      <c r="C102" s="10">
        <v>7.11</v>
      </c>
      <c r="D102" s="134">
        <v>8.9</v>
      </c>
      <c r="E102" s="134">
        <v>0.48</v>
      </c>
      <c r="F102" s="134">
        <v>0.04</v>
      </c>
      <c r="G102" s="134">
        <v>32.49</v>
      </c>
      <c r="H102" s="134">
        <v>24.31</v>
      </c>
      <c r="I102" s="134">
        <v>16.77</v>
      </c>
      <c r="J102" s="134">
        <v>6.14</v>
      </c>
      <c r="K102" s="134">
        <v>6.4</v>
      </c>
      <c r="L102" s="134">
        <v>0.0</v>
      </c>
      <c r="M102" s="134">
        <v>0.0</v>
      </c>
      <c r="N102" s="134">
        <v>1.49</v>
      </c>
      <c r="O102" s="134">
        <v>0.15</v>
      </c>
      <c r="P102" s="134">
        <v>-0.05</v>
      </c>
      <c r="Q102" s="134">
        <v>84.58</v>
      </c>
      <c r="R102" s="134">
        <v>5.4</v>
      </c>
      <c r="S102" s="134">
        <v>0.41</v>
      </c>
      <c r="T102" s="134">
        <v>0.0</v>
      </c>
      <c r="U102" s="134">
        <v>0.08</v>
      </c>
      <c r="V102" s="134">
        <v>0.92</v>
      </c>
      <c r="W102" s="134">
        <v>0.02</v>
      </c>
      <c r="X102" s="134">
        <v>-14.49</v>
      </c>
      <c r="Y102" s="134">
        <v>-0.16</v>
      </c>
      <c r="Z102" s="135">
        <v>15975.65</v>
      </c>
      <c r="AA102" s="134">
        <v>17.57</v>
      </c>
      <c r="AB102" s="134">
        <v>0.95</v>
      </c>
      <c r="AC102" s="134">
        <v>0.53</v>
      </c>
      <c r="AD102" s="135">
        <v>7.807642122E8</v>
      </c>
    </row>
    <row r="103">
      <c r="A103" s="10" t="s">
        <v>337</v>
      </c>
      <c r="B103" s="136">
        <v>57.4</v>
      </c>
      <c r="C103" s="10">
        <v>0.0</v>
      </c>
      <c r="D103" s="136">
        <v>4.89</v>
      </c>
      <c r="E103" s="136">
        <v>5.28</v>
      </c>
      <c r="F103" s="136">
        <v>0.52</v>
      </c>
      <c r="G103" s="134">
        <v>30.48</v>
      </c>
      <c r="H103" s="134">
        <v>19.5</v>
      </c>
      <c r="I103" s="134">
        <v>11.15</v>
      </c>
      <c r="J103" s="136">
        <v>2.8</v>
      </c>
      <c r="K103" s="134">
        <v>4.14</v>
      </c>
      <c r="L103" s="134">
        <v>1.26</v>
      </c>
      <c r="M103" s="134">
        <v>2.37</v>
      </c>
      <c r="N103" s="134">
        <v>0.55</v>
      </c>
      <c r="O103" s="136">
        <v>5.72</v>
      </c>
      <c r="P103" s="136">
        <v>-0.94</v>
      </c>
      <c r="Q103" s="134">
        <v>1.26</v>
      </c>
      <c r="R103" s="134">
        <v>107.98</v>
      </c>
      <c r="S103" s="134">
        <v>10.63</v>
      </c>
      <c r="T103" s="134">
        <v>31.39</v>
      </c>
      <c r="U103" s="134">
        <v>0.1</v>
      </c>
      <c r="V103" s="134">
        <v>0.92</v>
      </c>
      <c r="W103" s="134">
        <v>0.95</v>
      </c>
      <c r="X103" s="134">
        <v>4.54</v>
      </c>
      <c r="Y103" s="134">
        <v>25.52</v>
      </c>
      <c r="Z103" s="136">
        <v>757701.08</v>
      </c>
      <c r="AA103" s="134">
        <v>10.86</v>
      </c>
      <c r="AB103" s="134">
        <v>11.73</v>
      </c>
      <c r="AC103" s="134">
        <v>-0.03</v>
      </c>
      <c r="AD103" s="135">
        <v>4.717701992206E10</v>
      </c>
    </row>
    <row r="104">
      <c r="A104" s="10" t="s">
        <v>83</v>
      </c>
      <c r="B104" s="136">
        <v>60.71</v>
      </c>
      <c r="C104" s="10">
        <v>0.0</v>
      </c>
      <c r="D104" s="136">
        <v>5.18</v>
      </c>
      <c r="E104" s="136">
        <v>5.59</v>
      </c>
      <c r="F104" s="136">
        <v>0.55</v>
      </c>
      <c r="G104" s="134">
        <v>30.48</v>
      </c>
      <c r="H104" s="134">
        <v>19.5</v>
      </c>
      <c r="I104" s="134">
        <v>11.15</v>
      </c>
      <c r="J104" s="136">
        <v>2.96</v>
      </c>
      <c r="K104" s="134">
        <v>4.14</v>
      </c>
      <c r="L104" s="134">
        <v>1.26</v>
      </c>
      <c r="M104" s="134">
        <v>2.37</v>
      </c>
      <c r="N104" s="134">
        <v>0.58</v>
      </c>
      <c r="O104" s="136">
        <v>6.05</v>
      </c>
      <c r="P104" s="136">
        <v>-0.99</v>
      </c>
      <c r="Q104" s="134">
        <v>1.26</v>
      </c>
      <c r="R104" s="136">
        <v>107.98</v>
      </c>
      <c r="S104" s="134">
        <v>10.63</v>
      </c>
      <c r="T104" s="134">
        <v>31.39</v>
      </c>
      <c r="U104" s="134">
        <v>0.1</v>
      </c>
      <c r="V104" s="134">
        <v>0.92</v>
      </c>
      <c r="W104" s="134">
        <v>0.95</v>
      </c>
      <c r="X104" s="134">
        <v>4.54</v>
      </c>
      <c r="Y104" s="134">
        <v>25.52</v>
      </c>
      <c r="Z104" s="135">
        <v>2.4141121104E8</v>
      </c>
      <c r="AA104" s="134">
        <v>10.86</v>
      </c>
      <c r="AB104" s="134">
        <v>11.73</v>
      </c>
      <c r="AC104" s="136">
        <v>-0.03</v>
      </c>
      <c r="AD104" s="135">
        <v>4.717701992206E10</v>
      </c>
    </row>
    <row r="105">
      <c r="A105" s="10" t="s">
        <v>524</v>
      </c>
      <c r="B105" s="136">
        <v>36.98</v>
      </c>
      <c r="C105" s="134">
        <v>0.0</v>
      </c>
      <c r="D105" s="136">
        <v>3.15</v>
      </c>
      <c r="E105" s="136">
        <v>3.4</v>
      </c>
      <c r="F105" s="136">
        <v>0.34</v>
      </c>
      <c r="G105" s="134">
        <v>30.48</v>
      </c>
      <c r="H105" s="134">
        <v>19.5</v>
      </c>
      <c r="I105" s="134">
        <v>11.15</v>
      </c>
      <c r="J105" s="136">
        <v>1.8</v>
      </c>
      <c r="K105" s="134">
        <v>4.14</v>
      </c>
      <c r="L105" s="134">
        <v>1.26</v>
      </c>
      <c r="M105" s="134">
        <v>2.37</v>
      </c>
      <c r="N105" s="134">
        <v>0.35</v>
      </c>
      <c r="O105" s="136">
        <v>3.69</v>
      </c>
      <c r="P105" s="136">
        <v>-0.6</v>
      </c>
      <c r="Q105" s="134">
        <v>1.26</v>
      </c>
      <c r="R105" s="136">
        <v>107.98</v>
      </c>
      <c r="S105" s="134">
        <v>10.63</v>
      </c>
      <c r="T105" s="134">
        <v>31.39</v>
      </c>
      <c r="U105" s="134">
        <v>0.1</v>
      </c>
      <c r="V105" s="134">
        <v>0.92</v>
      </c>
      <c r="W105" s="134">
        <v>0.95</v>
      </c>
      <c r="X105" s="134">
        <v>4.54</v>
      </c>
      <c r="Y105" s="10">
        <v>25.52</v>
      </c>
      <c r="Z105" s="135">
        <v>6142.2</v>
      </c>
      <c r="AA105" s="134">
        <v>10.86</v>
      </c>
      <c r="AB105" s="134">
        <v>11.73</v>
      </c>
      <c r="AC105" s="134">
        <v>-0.02</v>
      </c>
      <c r="AD105" s="135">
        <v>4.717701992206E10</v>
      </c>
    </row>
    <row r="106">
      <c r="A106" s="10" t="s">
        <v>107</v>
      </c>
      <c r="B106" s="136">
        <v>8.03</v>
      </c>
      <c r="C106" s="10">
        <v>0.0</v>
      </c>
      <c r="D106" s="136">
        <v>46.49</v>
      </c>
      <c r="E106" s="136">
        <v>0.66</v>
      </c>
      <c r="F106" s="136">
        <v>0.36</v>
      </c>
      <c r="G106" s="134">
        <v>89.93</v>
      </c>
      <c r="H106" s="134">
        <v>42.02</v>
      </c>
      <c r="I106" s="134">
        <v>16.14</v>
      </c>
      <c r="J106" s="136">
        <v>17.86</v>
      </c>
      <c r="K106" s="134">
        <v>23.98</v>
      </c>
      <c r="L106" s="134">
        <v>6.17</v>
      </c>
      <c r="M106" s="134">
        <v>0.23</v>
      </c>
      <c r="N106" s="134">
        <v>7.51</v>
      </c>
      <c r="O106" s="136">
        <v>5.2</v>
      </c>
      <c r="P106" s="136">
        <v>-0.41</v>
      </c>
      <c r="Q106" s="134">
        <v>2.53</v>
      </c>
      <c r="R106" s="136">
        <v>1.41</v>
      </c>
      <c r="S106" s="134">
        <v>0.78</v>
      </c>
      <c r="T106" s="134">
        <v>2.45</v>
      </c>
      <c r="U106" s="134">
        <v>0.55</v>
      </c>
      <c r="V106" s="134">
        <v>0.43</v>
      </c>
      <c r="W106" s="134">
        <v>0.05</v>
      </c>
      <c r="X106" s="134">
        <v>-7.67</v>
      </c>
      <c r="Y106" s="134">
        <v>98.92</v>
      </c>
      <c r="Z106" s="138">
        <v>1.2060791038E8</v>
      </c>
      <c r="AA106" s="134">
        <v>12.25</v>
      </c>
      <c r="AB106" s="134">
        <v>0.17</v>
      </c>
      <c r="AC106" s="134">
        <v>-5.43</v>
      </c>
      <c r="AD106" s="136">
        <v>6.99386207733E9</v>
      </c>
    </row>
    <row r="107">
      <c r="A107" s="10" t="s">
        <v>195</v>
      </c>
      <c r="B107" s="136">
        <v>7.83</v>
      </c>
      <c r="C107" s="134">
        <v>2.51</v>
      </c>
      <c r="D107" s="136">
        <v>17.42</v>
      </c>
      <c r="E107" s="136">
        <v>0.51</v>
      </c>
      <c r="F107" s="136">
        <v>0.33</v>
      </c>
      <c r="G107" s="134">
        <v>100.0</v>
      </c>
      <c r="H107" s="134">
        <v>123.18</v>
      </c>
      <c r="I107" s="134">
        <v>65.97</v>
      </c>
      <c r="J107" s="136">
        <v>9.33</v>
      </c>
      <c r="K107" s="134">
        <v>14.1</v>
      </c>
      <c r="L107" s="10">
        <v>4.82</v>
      </c>
      <c r="M107" s="10">
        <v>0.26</v>
      </c>
      <c r="N107" s="134">
        <v>11.49</v>
      </c>
      <c r="O107" s="136">
        <v>12.35</v>
      </c>
      <c r="P107" s="136">
        <v>-0.36</v>
      </c>
      <c r="Q107" s="134">
        <v>1.56</v>
      </c>
      <c r="R107" s="136">
        <v>2.94</v>
      </c>
      <c r="S107" s="134">
        <v>1.9</v>
      </c>
      <c r="T107" s="10">
        <v>2.86</v>
      </c>
      <c r="U107" s="134">
        <v>0.65</v>
      </c>
      <c r="V107" s="134">
        <v>0.35</v>
      </c>
      <c r="W107" s="134">
        <v>0.03</v>
      </c>
      <c r="X107" s="134">
        <v>-15.19</v>
      </c>
      <c r="Y107" s="134">
        <v>0.0</v>
      </c>
      <c r="Z107" s="136">
        <v>2.933751858E7</v>
      </c>
      <c r="AA107" s="134">
        <v>15.29</v>
      </c>
      <c r="AB107" s="134">
        <v>0.45</v>
      </c>
      <c r="AC107" s="134">
        <v>-0.33</v>
      </c>
      <c r="AD107" s="135">
        <v>3.69370403963E9</v>
      </c>
    </row>
    <row r="108">
      <c r="A108" s="10" t="s">
        <v>585</v>
      </c>
      <c r="B108" s="136">
        <v>0.0</v>
      </c>
      <c r="C108" s="134">
        <v>0.0</v>
      </c>
      <c r="D108" s="136">
        <v>0.0</v>
      </c>
      <c r="E108" s="136">
        <v>0.0</v>
      </c>
      <c r="F108" s="136">
        <v>0.0</v>
      </c>
      <c r="G108" s="134">
        <v>34.35</v>
      </c>
      <c r="H108" s="134">
        <v>15.1</v>
      </c>
      <c r="I108" s="134">
        <v>9.13</v>
      </c>
      <c r="J108" s="136">
        <v>0.0</v>
      </c>
      <c r="K108" s="134">
        <v>-0.58</v>
      </c>
      <c r="L108" s="10">
        <v>-0.58</v>
      </c>
      <c r="M108" s="10">
        <v>-0.45</v>
      </c>
      <c r="N108" s="134">
        <v>0.0</v>
      </c>
      <c r="O108" s="136">
        <v>0.0</v>
      </c>
      <c r="P108" s="136">
        <v>0.0</v>
      </c>
      <c r="Q108" s="134">
        <v>2.08</v>
      </c>
      <c r="R108" s="136">
        <v>46.25</v>
      </c>
      <c r="S108" s="134">
        <v>18.52</v>
      </c>
      <c r="T108" s="10">
        <v>32.45</v>
      </c>
      <c r="U108" s="134">
        <v>0.4</v>
      </c>
      <c r="V108" s="134">
        <v>0.59</v>
      </c>
      <c r="W108" s="134">
        <v>2.03</v>
      </c>
      <c r="X108" s="134">
        <v>3.8</v>
      </c>
      <c r="Y108" s="134">
        <v>51.6</v>
      </c>
      <c r="Z108" s="136">
        <v>0.0</v>
      </c>
      <c r="AA108" s="134">
        <v>0.83</v>
      </c>
      <c r="AB108" s="134">
        <v>0.38</v>
      </c>
      <c r="AC108" s="134">
        <v>0.0</v>
      </c>
      <c r="AD108" s="135">
        <v>0.0</v>
      </c>
    </row>
    <row r="109">
      <c r="A109" s="10" t="s">
        <v>404</v>
      </c>
      <c r="B109" s="136">
        <v>12.93</v>
      </c>
      <c r="C109" s="134">
        <v>7.83</v>
      </c>
      <c r="D109" s="136">
        <v>5.91</v>
      </c>
      <c r="E109" s="136">
        <v>0.61</v>
      </c>
      <c r="F109" s="134">
        <v>0.05</v>
      </c>
      <c r="G109" s="134">
        <v>85.68</v>
      </c>
      <c r="H109" s="134">
        <v>17.04</v>
      </c>
      <c r="I109" s="134">
        <v>13.76</v>
      </c>
      <c r="J109" s="136">
        <v>4.77</v>
      </c>
      <c r="K109" s="134">
        <v>4.62</v>
      </c>
      <c r="L109" s="10">
        <v>0.0</v>
      </c>
      <c r="M109" s="10">
        <v>0.0</v>
      </c>
      <c r="N109" s="134">
        <v>0.81</v>
      </c>
      <c r="O109" s="136">
        <v>1.08</v>
      </c>
      <c r="P109" s="136">
        <v>-0.06</v>
      </c>
      <c r="Q109" s="134">
        <v>2.07</v>
      </c>
      <c r="R109" s="134">
        <v>10.34</v>
      </c>
      <c r="S109" s="134">
        <v>0.91</v>
      </c>
      <c r="T109" s="10">
        <v>0.0</v>
      </c>
      <c r="U109" s="134">
        <v>0.09</v>
      </c>
      <c r="V109" s="134">
        <v>0.91</v>
      </c>
      <c r="W109" s="134">
        <v>0.07</v>
      </c>
      <c r="X109" s="134">
        <v>-5.25</v>
      </c>
      <c r="Y109" s="134">
        <v>0.33</v>
      </c>
      <c r="Z109" s="135">
        <v>91833.96</v>
      </c>
      <c r="AA109" s="134">
        <v>21.16</v>
      </c>
      <c r="AB109" s="134">
        <v>2.19</v>
      </c>
      <c r="AC109" s="136">
        <v>-0.6</v>
      </c>
      <c r="AD109" s="135">
        <v>5.11675589337E9</v>
      </c>
    </row>
    <row r="110">
      <c r="A110" s="10" t="s">
        <v>519</v>
      </c>
      <c r="B110" s="134">
        <v>17.0</v>
      </c>
      <c r="C110" s="10">
        <v>7.31</v>
      </c>
      <c r="D110" s="134">
        <v>7.77</v>
      </c>
      <c r="E110" s="134">
        <v>0.8</v>
      </c>
      <c r="F110" s="134">
        <v>0.07</v>
      </c>
      <c r="G110" s="134">
        <v>85.68</v>
      </c>
      <c r="H110" s="134">
        <v>17.04</v>
      </c>
      <c r="I110" s="134">
        <v>13.76</v>
      </c>
      <c r="J110" s="134">
        <v>6.27</v>
      </c>
      <c r="K110" s="134">
        <v>4.62</v>
      </c>
      <c r="L110" s="134">
        <v>0.0</v>
      </c>
      <c r="M110" s="10">
        <v>0.0</v>
      </c>
      <c r="N110" s="134">
        <v>1.07</v>
      </c>
      <c r="O110" s="134">
        <v>1.43</v>
      </c>
      <c r="P110" s="134">
        <v>-0.08</v>
      </c>
      <c r="Q110" s="134">
        <v>2.07</v>
      </c>
      <c r="R110" s="134">
        <v>10.34</v>
      </c>
      <c r="S110" s="134">
        <v>0.91</v>
      </c>
      <c r="T110" s="134">
        <v>0.0</v>
      </c>
      <c r="U110" s="134">
        <v>0.09</v>
      </c>
      <c r="V110" s="134">
        <v>0.91</v>
      </c>
      <c r="W110" s="134">
        <v>0.07</v>
      </c>
      <c r="X110" s="134">
        <v>-5.25</v>
      </c>
      <c r="Y110" s="10">
        <v>0.33</v>
      </c>
      <c r="Z110" s="135">
        <v>5473.83</v>
      </c>
      <c r="AA110" s="134">
        <v>21.16</v>
      </c>
      <c r="AB110" s="134">
        <v>2.19</v>
      </c>
      <c r="AC110" s="134">
        <v>-0.79</v>
      </c>
      <c r="AD110" s="135">
        <v>5.11675589337E9</v>
      </c>
    </row>
    <row r="111">
      <c r="A111" s="10" t="s">
        <v>207</v>
      </c>
      <c r="B111" s="136">
        <v>12.05</v>
      </c>
      <c r="C111" s="134">
        <v>8.4</v>
      </c>
      <c r="D111" s="136">
        <v>5.51</v>
      </c>
      <c r="E111" s="136">
        <v>0.57</v>
      </c>
      <c r="F111" s="134">
        <v>0.05</v>
      </c>
      <c r="G111" s="134">
        <v>85.68</v>
      </c>
      <c r="H111" s="134">
        <v>17.04</v>
      </c>
      <c r="I111" s="134">
        <v>13.76</v>
      </c>
      <c r="J111" s="136">
        <v>4.45</v>
      </c>
      <c r="K111" s="134">
        <v>4.62</v>
      </c>
      <c r="L111" s="10">
        <v>0.0</v>
      </c>
      <c r="M111" s="10">
        <v>0.0</v>
      </c>
      <c r="N111" s="134">
        <v>0.76</v>
      </c>
      <c r="O111" s="136">
        <v>1.01</v>
      </c>
      <c r="P111" s="136">
        <v>-0.06</v>
      </c>
      <c r="Q111" s="134">
        <v>2.07</v>
      </c>
      <c r="R111" s="134">
        <v>10.34</v>
      </c>
      <c r="S111" s="134">
        <v>0.91</v>
      </c>
      <c r="T111" s="10">
        <v>0.0</v>
      </c>
      <c r="U111" s="134">
        <v>0.09</v>
      </c>
      <c r="V111" s="134">
        <v>0.91</v>
      </c>
      <c r="W111" s="134">
        <v>0.07</v>
      </c>
      <c r="X111" s="134">
        <v>-5.25</v>
      </c>
      <c r="Y111" s="134">
        <v>0.33</v>
      </c>
      <c r="Z111" s="136">
        <v>2.111958879E7</v>
      </c>
      <c r="AA111" s="134">
        <v>21.16</v>
      </c>
      <c r="AB111" s="134">
        <v>2.19</v>
      </c>
      <c r="AC111" s="134">
        <v>-0.56</v>
      </c>
      <c r="AD111" s="135">
        <v>5.11675589337E9</v>
      </c>
    </row>
    <row r="112">
      <c r="A112" s="10" t="s">
        <v>586</v>
      </c>
      <c r="B112" s="134">
        <v>9.0</v>
      </c>
      <c r="C112" s="134">
        <v>0.0</v>
      </c>
      <c r="D112" s="134">
        <v>10.22</v>
      </c>
      <c r="E112" s="134">
        <v>-10.84</v>
      </c>
      <c r="F112" s="134">
        <v>0.78</v>
      </c>
      <c r="G112" s="134">
        <v>26.77</v>
      </c>
      <c r="H112" s="134">
        <v>17.92</v>
      </c>
      <c r="I112" s="134">
        <v>5.55</v>
      </c>
      <c r="J112" s="134">
        <v>3.17</v>
      </c>
      <c r="K112" s="134">
        <v>5.46</v>
      </c>
      <c r="L112" s="10">
        <v>2.3</v>
      </c>
      <c r="M112" s="10">
        <v>0.0</v>
      </c>
      <c r="N112" s="134">
        <v>0.57</v>
      </c>
      <c r="O112" s="134">
        <v>-1.59</v>
      </c>
      <c r="P112" s="134">
        <v>-1.13</v>
      </c>
      <c r="Q112" s="134">
        <v>0.39</v>
      </c>
      <c r="R112" s="134">
        <v>-106.05</v>
      </c>
      <c r="S112" s="134">
        <v>7.59</v>
      </c>
      <c r="T112" s="10">
        <v>30.9</v>
      </c>
      <c r="U112" s="134">
        <v>-0.07</v>
      </c>
      <c r="V112" s="134">
        <v>1.07</v>
      </c>
      <c r="W112" s="134">
        <v>1.37</v>
      </c>
      <c r="X112" s="134">
        <v>10.88</v>
      </c>
      <c r="Y112" s="134">
        <v>0.0</v>
      </c>
      <c r="Z112" s="136">
        <v>1097133.5</v>
      </c>
      <c r="AA112" s="134">
        <v>-0.83</v>
      </c>
      <c r="AB112" s="134">
        <v>0.88</v>
      </c>
      <c r="AC112" s="134">
        <v>-0.06</v>
      </c>
      <c r="AD112" s="135">
        <v>9.183864834E9</v>
      </c>
    </row>
    <row r="113">
      <c r="A113" s="10" t="s">
        <v>434</v>
      </c>
      <c r="B113" s="136">
        <v>27.0</v>
      </c>
      <c r="C113" s="10">
        <v>5.32</v>
      </c>
      <c r="D113" s="136">
        <v>19.95</v>
      </c>
      <c r="E113" s="136">
        <v>4.56</v>
      </c>
      <c r="F113" s="134">
        <v>0.36</v>
      </c>
      <c r="G113" s="134">
        <v>74.02</v>
      </c>
      <c r="H113" s="134">
        <v>26.69</v>
      </c>
      <c r="I113" s="134">
        <v>18.8</v>
      </c>
      <c r="J113" s="136">
        <v>14.05</v>
      </c>
      <c r="K113" s="134">
        <v>13.26</v>
      </c>
      <c r="L113" s="134">
        <v>0.0</v>
      </c>
      <c r="M113" s="134">
        <v>0.0</v>
      </c>
      <c r="N113" s="134">
        <v>3.75</v>
      </c>
      <c r="O113" s="136">
        <v>-1.3</v>
      </c>
      <c r="P113" s="136">
        <v>-0.4</v>
      </c>
      <c r="Q113" s="134">
        <v>0.23</v>
      </c>
      <c r="R113" s="134">
        <v>22.86</v>
      </c>
      <c r="S113" s="134">
        <v>1.82</v>
      </c>
      <c r="T113" s="134">
        <v>0.0</v>
      </c>
      <c r="U113" s="134">
        <v>0.08</v>
      </c>
      <c r="V113" s="134">
        <v>0.92</v>
      </c>
      <c r="W113" s="134">
        <v>0.1</v>
      </c>
      <c r="X113" s="134">
        <v>-2.43</v>
      </c>
      <c r="Y113" s="134">
        <v>36.13</v>
      </c>
      <c r="Z113" s="138">
        <v>34785.31</v>
      </c>
      <c r="AA113" s="134">
        <v>5.92</v>
      </c>
      <c r="AB113" s="134">
        <v>1.35</v>
      </c>
      <c r="AC113" s="134">
        <v>2.6</v>
      </c>
      <c r="AD113" s="135">
        <v>9.2509705E9</v>
      </c>
    </row>
    <row r="114">
      <c r="A114" s="10" t="s">
        <v>481</v>
      </c>
      <c r="B114" s="134">
        <v>20.35</v>
      </c>
      <c r="C114" s="10">
        <v>7.76</v>
      </c>
      <c r="D114" s="134">
        <v>15.04</v>
      </c>
      <c r="E114" s="134">
        <v>3.44</v>
      </c>
      <c r="F114" s="134">
        <v>0.27</v>
      </c>
      <c r="G114" s="134">
        <v>74.02</v>
      </c>
      <c r="H114" s="134">
        <v>26.69</v>
      </c>
      <c r="I114" s="134">
        <v>18.8</v>
      </c>
      <c r="J114" s="134">
        <v>10.59</v>
      </c>
      <c r="K114" s="134">
        <v>13.26</v>
      </c>
      <c r="L114" s="134">
        <v>0.0</v>
      </c>
      <c r="M114" s="134">
        <v>0.0</v>
      </c>
      <c r="N114" s="134">
        <v>2.83</v>
      </c>
      <c r="O114" s="134">
        <v>-0.98</v>
      </c>
      <c r="P114" s="134">
        <v>-0.3</v>
      </c>
      <c r="Q114" s="134">
        <v>0.23</v>
      </c>
      <c r="R114" s="134">
        <v>22.86</v>
      </c>
      <c r="S114" s="134">
        <v>1.82</v>
      </c>
      <c r="T114" s="134">
        <v>0.0</v>
      </c>
      <c r="U114" s="134">
        <v>0.08</v>
      </c>
      <c r="V114" s="134">
        <v>0.92</v>
      </c>
      <c r="W114" s="134">
        <v>0.1</v>
      </c>
      <c r="X114" s="134">
        <v>-2.43</v>
      </c>
      <c r="Y114" s="134">
        <v>36.13</v>
      </c>
      <c r="Z114" s="138">
        <v>15233.0</v>
      </c>
      <c r="AA114" s="134">
        <v>5.92</v>
      </c>
      <c r="AB114" s="134">
        <v>1.35</v>
      </c>
      <c r="AC114" s="134">
        <v>1.96</v>
      </c>
      <c r="AD114" s="135">
        <v>9.2509705E9</v>
      </c>
    </row>
    <row r="115">
      <c r="A115" s="10" t="s">
        <v>587</v>
      </c>
      <c r="B115" s="136">
        <v>11091.73</v>
      </c>
      <c r="C115" s="10">
        <v>0.0</v>
      </c>
      <c r="D115" s="136">
        <v>4145.5</v>
      </c>
      <c r="E115" s="136">
        <v>3034.97</v>
      </c>
      <c r="F115" s="134">
        <v>797.36</v>
      </c>
      <c r="G115" s="134">
        <v>16.22</v>
      </c>
      <c r="H115" s="134">
        <v>8.54</v>
      </c>
      <c r="I115" s="134">
        <v>5.83</v>
      </c>
      <c r="J115" s="136">
        <v>2832.61</v>
      </c>
      <c r="K115" s="134">
        <v>3.26</v>
      </c>
      <c r="L115" s="134">
        <v>0.04</v>
      </c>
      <c r="M115" s="134">
        <v>0.04</v>
      </c>
      <c r="N115" s="134">
        <v>241.8</v>
      </c>
      <c r="O115" s="136">
        <v>4952.81</v>
      </c>
      <c r="P115" s="136">
        <v>-1983.72</v>
      </c>
      <c r="Q115" s="134">
        <v>1.37</v>
      </c>
      <c r="R115" s="134">
        <v>73.21</v>
      </c>
      <c r="S115" s="134">
        <v>19.23</v>
      </c>
      <c r="T115" s="134">
        <v>52.01</v>
      </c>
      <c r="U115" s="134">
        <v>0.26</v>
      </c>
      <c r="V115" s="134">
        <v>0.74</v>
      </c>
      <c r="W115" s="134">
        <v>3.3</v>
      </c>
      <c r="X115" s="134">
        <v>5.92</v>
      </c>
      <c r="Y115" s="134">
        <v>-9.14</v>
      </c>
      <c r="Z115" s="136">
        <v>0.0</v>
      </c>
      <c r="AA115" s="134">
        <v>3.65</v>
      </c>
      <c r="AB115" s="134">
        <v>2.68</v>
      </c>
      <c r="AC115" s="134">
        <v>13.41</v>
      </c>
      <c r="AD115" s="135">
        <v>1.8783757952E8</v>
      </c>
    </row>
    <row r="116">
      <c r="A116" s="10" t="s">
        <v>588</v>
      </c>
      <c r="B116" s="134">
        <v>98.18</v>
      </c>
      <c r="C116" s="10">
        <v>0.0</v>
      </c>
      <c r="D116" s="134">
        <v>13.59</v>
      </c>
      <c r="E116" s="134">
        <v>5.85</v>
      </c>
      <c r="F116" s="134">
        <v>0.27</v>
      </c>
      <c r="G116" s="134">
        <v>27.76</v>
      </c>
      <c r="H116" s="134">
        <v>13.05</v>
      </c>
      <c r="I116" s="134">
        <v>4.23</v>
      </c>
      <c r="J116" s="134">
        <v>4.41</v>
      </c>
      <c r="K116" s="134">
        <v>6.91</v>
      </c>
      <c r="L116" s="134">
        <v>3.95</v>
      </c>
      <c r="M116" s="134">
        <v>5.24</v>
      </c>
      <c r="N116" s="134">
        <v>0.58</v>
      </c>
      <c r="O116" s="134">
        <v>0.88</v>
      </c>
      <c r="P116" s="134">
        <v>-0.54</v>
      </c>
      <c r="Q116" s="134">
        <v>2.6</v>
      </c>
      <c r="R116" s="134">
        <v>43.09</v>
      </c>
      <c r="S116" s="134">
        <v>1.99</v>
      </c>
      <c r="T116" s="134">
        <v>13.82</v>
      </c>
      <c r="U116" s="134">
        <v>0.05</v>
      </c>
      <c r="V116" s="134">
        <v>0.95</v>
      </c>
      <c r="W116" s="134">
        <v>0.47</v>
      </c>
      <c r="X116" s="134">
        <v>-7.97</v>
      </c>
      <c r="Y116" s="10">
        <v>-28.69</v>
      </c>
      <c r="Z116" s="135">
        <v>0.0</v>
      </c>
      <c r="AA116" s="134">
        <v>16.77</v>
      </c>
      <c r="AB116" s="134">
        <v>7.23</v>
      </c>
      <c r="AC116" s="134">
        <v>-0.11</v>
      </c>
      <c r="AD116" s="135">
        <v>2.45821972E7</v>
      </c>
    </row>
    <row r="117">
      <c r="A117" s="10" t="s">
        <v>502</v>
      </c>
      <c r="B117" s="134">
        <v>50.0</v>
      </c>
      <c r="C117" s="10">
        <v>0.0</v>
      </c>
      <c r="D117" s="134">
        <v>6.92</v>
      </c>
      <c r="E117" s="136">
        <v>2.98</v>
      </c>
      <c r="F117" s="134">
        <v>0.14</v>
      </c>
      <c r="G117" s="134">
        <v>27.76</v>
      </c>
      <c r="H117" s="134">
        <v>13.05</v>
      </c>
      <c r="I117" s="134">
        <v>4.23</v>
      </c>
      <c r="J117" s="134">
        <v>2.24</v>
      </c>
      <c r="K117" s="134">
        <v>6.91</v>
      </c>
      <c r="L117" s="134">
        <v>3.95</v>
      </c>
      <c r="M117" s="134">
        <v>5.24</v>
      </c>
      <c r="N117" s="134">
        <v>0.29</v>
      </c>
      <c r="O117" s="136">
        <v>0.45</v>
      </c>
      <c r="P117" s="134">
        <v>-0.27</v>
      </c>
      <c r="Q117" s="134">
        <v>2.6</v>
      </c>
      <c r="R117" s="136">
        <v>43.09</v>
      </c>
      <c r="S117" s="136">
        <v>1.99</v>
      </c>
      <c r="T117" s="136">
        <v>13.82</v>
      </c>
      <c r="U117" s="134">
        <v>0.05</v>
      </c>
      <c r="V117" s="134">
        <v>0.95</v>
      </c>
      <c r="W117" s="134">
        <v>0.47</v>
      </c>
      <c r="X117" s="134">
        <v>-7.97</v>
      </c>
      <c r="Y117" s="10">
        <v>-28.69</v>
      </c>
      <c r="Z117" s="138">
        <v>9554.0</v>
      </c>
      <c r="AA117" s="134">
        <v>16.77</v>
      </c>
      <c r="AB117" s="134">
        <v>7.23</v>
      </c>
      <c r="AC117" s="134">
        <v>-0.06</v>
      </c>
      <c r="AD117" s="135">
        <v>2.45821972E7</v>
      </c>
    </row>
    <row r="118">
      <c r="A118" s="10" t="s">
        <v>357</v>
      </c>
      <c r="B118" s="134">
        <v>4.68</v>
      </c>
      <c r="C118" s="134">
        <v>0.0</v>
      </c>
      <c r="D118" s="136">
        <v>6.55</v>
      </c>
      <c r="E118" s="136">
        <v>2.08</v>
      </c>
      <c r="F118" s="134">
        <v>0.74</v>
      </c>
      <c r="G118" s="134">
        <v>45.6</v>
      </c>
      <c r="H118" s="134">
        <v>17.13</v>
      </c>
      <c r="I118" s="134">
        <v>17.13</v>
      </c>
      <c r="J118" s="134">
        <v>6.55</v>
      </c>
      <c r="K118" s="134">
        <v>8.57</v>
      </c>
      <c r="L118" s="134">
        <v>2.03</v>
      </c>
      <c r="M118" s="134">
        <v>0.65</v>
      </c>
      <c r="N118" s="134">
        <v>1.12</v>
      </c>
      <c r="O118" s="136">
        <v>160.72</v>
      </c>
      <c r="P118" s="134">
        <v>-1.13</v>
      </c>
      <c r="Q118" s="134">
        <v>1.01</v>
      </c>
      <c r="R118" s="136">
        <v>31.73</v>
      </c>
      <c r="S118" s="136">
        <v>11.27</v>
      </c>
      <c r="T118" s="136">
        <v>13.71</v>
      </c>
      <c r="U118" s="134">
        <v>0.36</v>
      </c>
      <c r="V118" s="134">
        <v>0.65</v>
      </c>
      <c r="W118" s="134">
        <v>0.66</v>
      </c>
      <c r="X118" s="134">
        <v>-11.36</v>
      </c>
      <c r="Y118" s="134">
        <v>0.0</v>
      </c>
      <c r="Z118" s="135">
        <v>268872.5</v>
      </c>
      <c r="AA118" s="134">
        <v>2.25</v>
      </c>
      <c r="AB118" s="134">
        <v>0.71</v>
      </c>
      <c r="AC118" s="134">
        <v>0.01</v>
      </c>
      <c r="AD118" s="135">
        <v>1.974246236E8</v>
      </c>
    </row>
    <row r="119">
      <c r="A119" s="10" t="s">
        <v>589</v>
      </c>
      <c r="B119" s="134">
        <v>6.25</v>
      </c>
      <c r="C119" s="134">
        <v>0.0</v>
      </c>
      <c r="D119" s="136">
        <v>8.75</v>
      </c>
      <c r="E119" s="136">
        <v>2.78</v>
      </c>
      <c r="F119" s="134">
        <v>0.99</v>
      </c>
      <c r="G119" s="134">
        <v>45.6</v>
      </c>
      <c r="H119" s="134">
        <v>17.13</v>
      </c>
      <c r="I119" s="134">
        <v>17.13</v>
      </c>
      <c r="J119" s="134">
        <v>8.75</v>
      </c>
      <c r="K119" s="134">
        <v>8.57</v>
      </c>
      <c r="L119" s="134">
        <v>2.03</v>
      </c>
      <c r="M119" s="134">
        <v>0.65</v>
      </c>
      <c r="N119" s="134">
        <v>1.5</v>
      </c>
      <c r="O119" s="136">
        <v>214.64</v>
      </c>
      <c r="P119" s="134">
        <v>-1.51</v>
      </c>
      <c r="Q119" s="134">
        <v>1.01</v>
      </c>
      <c r="R119" s="136">
        <v>31.73</v>
      </c>
      <c r="S119" s="136">
        <v>11.27</v>
      </c>
      <c r="T119" s="136">
        <v>13.71</v>
      </c>
      <c r="U119" s="134">
        <v>0.36</v>
      </c>
      <c r="V119" s="134">
        <v>0.65</v>
      </c>
      <c r="W119" s="134">
        <v>0.66</v>
      </c>
      <c r="X119" s="134">
        <v>-11.36</v>
      </c>
      <c r="Y119" s="134">
        <v>0.0</v>
      </c>
      <c r="Z119" s="135">
        <v>0.0</v>
      </c>
      <c r="AA119" s="134">
        <v>2.25</v>
      </c>
      <c r="AB119" s="134">
        <v>0.71</v>
      </c>
      <c r="AC119" s="134">
        <v>0.01</v>
      </c>
      <c r="AD119" s="135">
        <v>1.974246236E8</v>
      </c>
    </row>
    <row r="120">
      <c r="A120" s="10" t="s">
        <v>234</v>
      </c>
      <c r="B120" s="134">
        <v>10.02</v>
      </c>
      <c r="C120" s="134">
        <v>6.39</v>
      </c>
      <c r="D120" s="136">
        <v>8.04</v>
      </c>
      <c r="E120" s="134">
        <v>1.37</v>
      </c>
      <c r="F120" s="134">
        <v>0.6</v>
      </c>
      <c r="G120" s="134">
        <v>21.2</v>
      </c>
      <c r="H120" s="134">
        <v>7.62</v>
      </c>
      <c r="I120" s="134">
        <v>5.77</v>
      </c>
      <c r="J120" s="134">
        <v>6.08</v>
      </c>
      <c r="K120" s="134">
        <v>8.17</v>
      </c>
      <c r="L120" s="134">
        <v>2.05</v>
      </c>
      <c r="M120" s="134">
        <v>0.46</v>
      </c>
      <c r="N120" s="134">
        <v>0.46</v>
      </c>
      <c r="O120" s="134">
        <v>1.68</v>
      </c>
      <c r="P120" s="134">
        <v>-1.57</v>
      </c>
      <c r="Q120" s="134">
        <v>2.38</v>
      </c>
      <c r="R120" s="134">
        <v>17.03</v>
      </c>
      <c r="S120" s="134">
        <v>7.48</v>
      </c>
      <c r="T120" s="134">
        <v>10.93</v>
      </c>
      <c r="U120" s="134">
        <v>0.44</v>
      </c>
      <c r="V120" s="134">
        <v>0.56</v>
      </c>
      <c r="W120" s="134">
        <v>1.3</v>
      </c>
      <c r="X120" s="10">
        <v>12.04</v>
      </c>
      <c r="Y120" s="10">
        <v>33.02</v>
      </c>
      <c r="Z120" s="135">
        <v>1.479004354E7</v>
      </c>
      <c r="AA120" s="134">
        <v>7.32</v>
      </c>
      <c r="AB120" s="134">
        <v>1.25</v>
      </c>
      <c r="AC120" s="134">
        <v>0.11</v>
      </c>
      <c r="AD120" s="135">
        <v>3.7259E9</v>
      </c>
    </row>
    <row r="121">
      <c r="A121" s="10" t="s">
        <v>266</v>
      </c>
      <c r="B121" s="134">
        <v>18.79</v>
      </c>
      <c r="C121" s="134">
        <v>2.67</v>
      </c>
      <c r="D121" s="136">
        <v>14.54</v>
      </c>
      <c r="E121" s="134">
        <v>2.54</v>
      </c>
      <c r="F121" s="134">
        <v>1.46</v>
      </c>
      <c r="G121" s="134">
        <v>30.92</v>
      </c>
      <c r="H121" s="134">
        <v>17.38</v>
      </c>
      <c r="I121" s="134">
        <v>11.13</v>
      </c>
      <c r="J121" s="134">
        <v>9.31</v>
      </c>
      <c r="K121" s="134">
        <v>9.81</v>
      </c>
      <c r="L121" s="134">
        <v>0.41</v>
      </c>
      <c r="M121" s="134">
        <v>0.11</v>
      </c>
      <c r="N121" s="134">
        <v>1.62</v>
      </c>
      <c r="O121" s="134">
        <v>41.55</v>
      </c>
      <c r="P121" s="134">
        <v>-2.07</v>
      </c>
      <c r="Q121" s="134">
        <v>1.14</v>
      </c>
      <c r="R121" s="134">
        <v>17.5</v>
      </c>
      <c r="S121" s="134">
        <v>10.04</v>
      </c>
      <c r="T121" s="134">
        <v>14.51</v>
      </c>
      <c r="U121" s="134">
        <v>0.57</v>
      </c>
      <c r="V121" s="134">
        <v>0.43</v>
      </c>
      <c r="W121" s="134">
        <v>0.9</v>
      </c>
      <c r="X121" s="134">
        <v>-0.29</v>
      </c>
      <c r="Y121" s="134">
        <v>23.22</v>
      </c>
      <c r="Z121" s="138">
        <v>8391127.04</v>
      </c>
      <c r="AA121" s="134">
        <v>7.38</v>
      </c>
      <c r="AB121" s="134">
        <v>1.29</v>
      </c>
      <c r="AC121" s="134">
        <v>0.35</v>
      </c>
      <c r="AD121" s="135">
        <v>7.92946E8</v>
      </c>
    </row>
    <row r="122">
      <c r="A122" s="10" t="s">
        <v>74</v>
      </c>
      <c r="B122" s="134">
        <v>5.82</v>
      </c>
      <c r="C122" s="134">
        <v>0.11</v>
      </c>
      <c r="D122" s="136">
        <v>1067.31</v>
      </c>
      <c r="E122" s="134">
        <v>13.3</v>
      </c>
      <c r="F122" s="134">
        <v>10.89</v>
      </c>
      <c r="G122" s="134">
        <v>3.72</v>
      </c>
      <c r="H122" s="134">
        <v>3.72</v>
      </c>
      <c r="I122" s="134">
        <v>2.5</v>
      </c>
      <c r="J122" s="134">
        <v>717.21</v>
      </c>
      <c r="K122" s="134">
        <v>693.7</v>
      </c>
      <c r="L122" s="134">
        <v>-29.68</v>
      </c>
      <c r="M122" s="134">
        <v>-0.55</v>
      </c>
      <c r="N122" s="134">
        <v>26.68</v>
      </c>
      <c r="O122" s="134">
        <v>22.22</v>
      </c>
      <c r="P122" s="134">
        <v>-24.08</v>
      </c>
      <c r="Q122" s="134">
        <v>9.54</v>
      </c>
      <c r="R122" s="134">
        <v>1.25</v>
      </c>
      <c r="S122" s="134">
        <v>1.02</v>
      </c>
      <c r="T122" s="134">
        <v>1.08</v>
      </c>
      <c r="U122" s="134">
        <v>0.82</v>
      </c>
      <c r="V122" s="134">
        <v>0.14</v>
      </c>
      <c r="W122" s="134">
        <v>0.41</v>
      </c>
      <c r="X122" s="134">
        <v>0.0</v>
      </c>
      <c r="Y122" s="134">
        <v>0.0</v>
      </c>
      <c r="Z122" s="138">
        <v>3.3792734675E8</v>
      </c>
      <c r="AA122" s="134">
        <v>0.44</v>
      </c>
      <c r="AB122" s="134">
        <v>0.01</v>
      </c>
      <c r="AC122" s="134">
        <v>-12.88</v>
      </c>
      <c r="AD122" s="135">
        <v>4.71712026E9</v>
      </c>
    </row>
    <row r="123">
      <c r="A123" s="10" t="s">
        <v>549</v>
      </c>
      <c r="B123" s="134">
        <v>15.01</v>
      </c>
      <c r="C123" s="10">
        <v>0.25</v>
      </c>
      <c r="D123" s="134">
        <v>98.93</v>
      </c>
      <c r="E123" s="134">
        <v>8.29</v>
      </c>
      <c r="F123" s="134">
        <v>3.2</v>
      </c>
      <c r="G123" s="134">
        <v>49.75</v>
      </c>
      <c r="H123" s="134">
        <v>21.44</v>
      </c>
      <c r="I123" s="134">
        <v>10.42</v>
      </c>
      <c r="J123" s="134">
        <v>48.06</v>
      </c>
      <c r="K123" s="134">
        <v>42.61</v>
      </c>
      <c r="L123" s="134">
        <v>5.18</v>
      </c>
      <c r="M123" s="134">
        <v>0.89</v>
      </c>
      <c r="N123" s="134">
        <v>10.3</v>
      </c>
      <c r="O123" s="134">
        <v>-224.24</v>
      </c>
      <c r="P123" s="134">
        <v>-3.64</v>
      </c>
      <c r="Q123" s="134">
        <v>0.89</v>
      </c>
      <c r="R123" s="134">
        <v>8.38</v>
      </c>
      <c r="S123" s="134">
        <v>3.24</v>
      </c>
      <c r="T123" s="134">
        <v>6.36</v>
      </c>
      <c r="U123" s="134">
        <v>0.39</v>
      </c>
      <c r="V123" s="134">
        <v>0.61</v>
      </c>
      <c r="W123" s="134">
        <v>0.31</v>
      </c>
      <c r="X123" s="134">
        <v>7.49</v>
      </c>
      <c r="Y123" s="10">
        <v>61.83</v>
      </c>
      <c r="Z123" s="138">
        <v>0.0</v>
      </c>
      <c r="AA123" s="134">
        <v>1.81</v>
      </c>
      <c r="AB123" s="134">
        <v>0.15</v>
      </c>
      <c r="AC123" s="134">
        <v>46.81</v>
      </c>
      <c r="AD123" s="135">
        <v>9.35199986982E9</v>
      </c>
    </row>
    <row r="124">
      <c r="A124" s="10" t="s">
        <v>590</v>
      </c>
      <c r="B124" s="134">
        <v>8.37</v>
      </c>
      <c r="C124" s="10">
        <v>0.49</v>
      </c>
      <c r="D124" s="134">
        <v>55.17</v>
      </c>
      <c r="E124" s="134">
        <v>4.62</v>
      </c>
      <c r="F124" s="134">
        <v>1.79</v>
      </c>
      <c r="G124" s="134">
        <v>49.75</v>
      </c>
      <c r="H124" s="134">
        <v>21.44</v>
      </c>
      <c r="I124" s="134">
        <v>10.42</v>
      </c>
      <c r="J124" s="134">
        <v>26.8</v>
      </c>
      <c r="K124" s="134">
        <v>42.61</v>
      </c>
      <c r="L124" s="134">
        <v>5.18</v>
      </c>
      <c r="M124" s="134">
        <v>0.89</v>
      </c>
      <c r="N124" s="134">
        <v>5.75</v>
      </c>
      <c r="O124" s="134">
        <v>-125.04</v>
      </c>
      <c r="P124" s="134">
        <v>-2.03</v>
      </c>
      <c r="Q124" s="134">
        <v>0.89</v>
      </c>
      <c r="R124" s="134">
        <v>8.38</v>
      </c>
      <c r="S124" s="134">
        <v>3.24</v>
      </c>
      <c r="T124" s="134">
        <v>6.36</v>
      </c>
      <c r="U124" s="134">
        <v>0.39</v>
      </c>
      <c r="V124" s="134">
        <v>0.61</v>
      </c>
      <c r="W124" s="134">
        <v>0.31</v>
      </c>
      <c r="X124" s="134">
        <v>7.49</v>
      </c>
      <c r="Y124" s="10">
        <v>61.83</v>
      </c>
      <c r="Z124" s="138">
        <v>0.0</v>
      </c>
      <c r="AA124" s="134">
        <v>1.81</v>
      </c>
      <c r="AB124" s="134">
        <v>0.15</v>
      </c>
      <c r="AC124" s="134">
        <v>26.1</v>
      </c>
      <c r="AD124" s="135">
        <v>9.35199986982E9</v>
      </c>
    </row>
    <row r="125">
      <c r="A125" s="10" t="s">
        <v>591</v>
      </c>
      <c r="B125" s="134">
        <v>103.61</v>
      </c>
      <c r="C125" s="10">
        <v>0.0</v>
      </c>
      <c r="D125" s="134">
        <v>2.7</v>
      </c>
      <c r="E125" s="134">
        <v>0.11</v>
      </c>
      <c r="F125" s="134">
        <v>0.06</v>
      </c>
      <c r="G125" s="134">
        <v>23.62</v>
      </c>
      <c r="H125" s="134">
        <v>3.95</v>
      </c>
      <c r="I125" s="134">
        <v>3.1</v>
      </c>
      <c r="J125" s="134">
        <v>2.12</v>
      </c>
      <c r="K125" s="134">
        <v>6.12</v>
      </c>
      <c r="L125" s="134">
        <v>4.02</v>
      </c>
      <c r="M125" s="134">
        <v>0.21</v>
      </c>
      <c r="N125" s="134">
        <v>0.08</v>
      </c>
      <c r="O125" s="134">
        <v>0.27</v>
      </c>
      <c r="P125" s="134">
        <v>-0.12</v>
      </c>
      <c r="Q125" s="134">
        <v>1.91</v>
      </c>
      <c r="R125" s="134">
        <v>4.17</v>
      </c>
      <c r="S125" s="134">
        <v>2.31</v>
      </c>
      <c r="T125" s="134">
        <v>3.57</v>
      </c>
      <c r="U125" s="134">
        <v>0.55</v>
      </c>
      <c r="V125" s="134">
        <v>0.45</v>
      </c>
      <c r="W125" s="134">
        <v>0.74</v>
      </c>
      <c r="X125" s="10">
        <v>-4.76</v>
      </c>
      <c r="Y125" s="10">
        <v>0.0</v>
      </c>
      <c r="Z125" s="135">
        <v>0.0</v>
      </c>
      <c r="AA125" s="134">
        <v>922.36</v>
      </c>
      <c r="AB125" s="134">
        <v>38.44</v>
      </c>
      <c r="AC125" s="10">
        <v>-0.04</v>
      </c>
      <c r="AD125" s="135">
        <v>1.494035478E7</v>
      </c>
    </row>
    <row r="126">
      <c r="A126" s="10" t="s">
        <v>592</v>
      </c>
      <c r="B126" s="134">
        <v>0.0</v>
      </c>
      <c r="C126" s="134">
        <v>0.0</v>
      </c>
      <c r="D126" s="134">
        <v>0.0</v>
      </c>
      <c r="E126" s="134">
        <v>0.0</v>
      </c>
      <c r="F126" s="134">
        <v>0.0</v>
      </c>
      <c r="G126" s="134">
        <v>23.62</v>
      </c>
      <c r="H126" s="134">
        <v>3.95</v>
      </c>
      <c r="I126" s="134">
        <v>3.1</v>
      </c>
      <c r="J126" s="134">
        <v>0.0</v>
      </c>
      <c r="K126" s="134">
        <v>6.12</v>
      </c>
      <c r="L126" s="134">
        <v>4.02</v>
      </c>
      <c r="M126" s="134">
        <v>0.21</v>
      </c>
      <c r="N126" s="134">
        <v>0.0</v>
      </c>
      <c r="O126" s="134">
        <v>0.0</v>
      </c>
      <c r="P126" s="134">
        <v>0.0</v>
      </c>
      <c r="Q126" s="134">
        <v>1.91</v>
      </c>
      <c r="R126" s="134">
        <v>4.17</v>
      </c>
      <c r="S126" s="134">
        <v>2.31</v>
      </c>
      <c r="T126" s="134">
        <v>3.57</v>
      </c>
      <c r="U126" s="134">
        <v>0.55</v>
      </c>
      <c r="V126" s="134">
        <v>0.45</v>
      </c>
      <c r="W126" s="134">
        <v>0.74</v>
      </c>
      <c r="X126" s="134">
        <v>-4.76</v>
      </c>
      <c r="Y126" s="10">
        <v>0.0</v>
      </c>
      <c r="Z126" s="136">
        <v>0.0</v>
      </c>
      <c r="AA126" s="134">
        <v>922.36</v>
      </c>
      <c r="AB126" s="134">
        <v>38.44</v>
      </c>
      <c r="AC126" s="134">
        <v>0.0</v>
      </c>
      <c r="AD126" s="135">
        <v>1.494035478E7</v>
      </c>
    </row>
    <row r="127">
      <c r="A127" s="10" t="s">
        <v>201</v>
      </c>
      <c r="B127" s="134">
        <v>14.35</v>
      </c>
      <c r="C127" s="134">
        <v>0.0</v>
      </c>
      <c r="D127" s="134">
        <v>21.19</v>
      </c>
      <c r="E127" s="134">
        <v>2.51</v>
      </c>
      <c r="F127" s="134">
        <v>0.81</v>
      </c>
      <c r="G127" s="134">
        <v>14.94</v>
      </c>
      <c r="H127" s="134">
        <v>16.21</v>
      </c>
      <c r="I127" s="134">
        <v>13.38</v>
      </c>
      <c r="J127" s="134">
        <v>17.5</v>
      </c>
      <c r="K127" s="134">
        <v>22.0</v>
      </c>
      <c r="L127" s="134">
        <v>4.37</v>
      </c>
      <c r="M127" s="134">
        <v>0.63</v>
      </c>
      <c r="N127" s="134">
        <v>2.84</v>
      </c>
      <c r="O127" s="134">
        <v>6.15</v>
      </c>
      <c r="P127" s="134">
        <v>-1.24</v>
      </c>
      <c r="Q127" s="134">
        <v>1.62</v>
      </c>
      <c r="R127" s="134">
        <v>11.85</v>
      </c>
      <c r="S127" s="134">
        <v>3.84</v>
      </c>
      <c r="T127" s="134">
        <v>4.91</v>
      </c>
      <c r="U127" s="134">
        <v>0.32</v>
      </c>
      <c r="V127" s="134">
        <v>0.66</v>
      </c>
      <c r="W127" s="134">
        <v>0.29</v>
      </c>
      <c r="X127" s="134">
        <v>0.0</v>
      </c>
      <c r="Y127" s="134">
        <v>0.0</v>
      </c>
      <c r="Z127" s="135">
        <v>3.676255621E7</v>
      </c>
      <c r="AA127" s="134">
        <v>5.71</v>
      </c>
      <c r="AB127" s="134">
        <v>0.68</v>
      </c>
      <c r="AC127" s="134">
        <v>0.0</v>
      </c>
      <c r="AD127" s="135">
        <v>8.61574999518E9</v>
      </c>
    </row>
    <row r="128">
      <c r="A128" s="10" t="s">
        <v>455</v>
      </c>
      <c r="B128" s="134">
        <v>23.0</v>
      </c>
      <c r="C128" s="10">
        <v>0.3</v>
      </c>
      <c r="D128" s="134">
        <v>-234.04</v>
      </c>
      <c r="E128" s="134">
        <v>1.05</v>
      </c>
      <c r="F128" s="134">
        <v>0.26</v>
      </c>
      <c r="G128" s="10">
        <v>11.95</v>
      </c>
      <c r="H128" s="10">
        <v>1.16</v>
      </c>
      <c r="I128" s="10">
        <v>-0.24</v>
      </c>
      <c r="J128" s="134">
        <v>48.23</v>
      </c>
      <c r="K128" s="134">
        <v>103.39</v>
      </c>
      <c r="L128" s="134">
        <v>55.16</v>
      </c>
      <c r="M128" s="10">
        <v>1.2</v>
      </c>
      <c r="N128" s="10">
        <v>0.56</v>
      </c>
      <c r="O128" s="134">
        <v>-4.1</v>
      </c>
      <c r="P128" s="10">
        <v>-0.32</v>
      </c>
      <c r="Q128" s="134">
        <v>0.75</v>
      </c>
      <c r="R128" s="134">
        <v>-0.45</v>
      </c>
      <c r="S128" s="134">
        <v>-0.11</v>
      </c>
      <c r="T128" s="134">
        <v>0.56</v>
      </c>
      <c r="U128" s="134">
        <v>0.24</v>
      </c>
      <c r="V128" s="134">
        <v>0.76</v>
      </c>
      <c r="W128" s="134">
        <v>0.46</v>
      </c>
      <c r="X128" s="10">
        <v>3.81</v>
      </c>
      <c r="Y128" s="10">
        <v>0.0</v>
      </c>
      <c r="Z128" s="138">
        <v>42048.33</v>
      </c>
      <c r="AA128" s="134">
        <v>21.89</v>
      </c>
      <c r="AB128" s="134">
        <v>-0.1</v>
      </c>
      <c r="AC128" s="134">
        <v>2.21</v>
      </c>
      <c r="AD128" s="135">
        <v>3.832589498E9</v>
      </c>
    </row>
    <row r="129">
      <c r="A129" s="10" t="s">
        <v>98</v>
      </c>
      <c r="B129" s="134">
        <v>11.58</v>
      </c>
      <c r="C129" s="10">
        <v>0.78</v>
      </c>
      <c r="D129" s="134">
        <v>33.98</v>
      </c>
      <c r="E129" s="134">
        <v>2.85</v>
      </c>
      <c r="F129" s="134">
        <v>0.64</v>
      </c>
      <c r="G129" s="134">
        <v>38.33</v>
      </c>
      <c r="H129" s="134">
        <v>27.2</v>
      </c>
      <c r="I129" s="134">
        <v>5.96</v>
      </c>
      <c r="J129" s="134">
        <v>7.45</v>
      </c>
      <c r="K129" s="134">
        <v>12.01</v>
      </c>
      <c r="L129" s="134">
        <v>4.52</v>
      </c>
      <c r="M129" s="134">
        <v>1.73</v>
      </c>
      <c r="N129" s="134">
        <v>2.03</v>
      </c>
      <c r="O129" s="134">
        <v>14.97</v>
      </c>
      <c r="P129" s="134">
        <v>-0.85</v>
      </c>
      <c r="Q129" s="134">
        <v>1.22</v>
      </c>
      <c r="R129" s="134">
        <v>8.39</v>
      </c>
      <c r="S129" s="134">
        <v>1.9</v>
      </c>
      <c r="T129" s="134">
        <v>7.63</v>
      </c>
      <c r="U129" s="134">
        <v>0.23</v>
      </c>
      <c r="V129" s="134">
        <v>0.76</v>
      </c>
      <c r="W129" s="134">
        <v>0.32</v>
      </c>
      <c r="X129" s="10">
        <v>3.13</v>
      </c>
      <c r="Y129" s="10">
        <v>-4.67</v>
      </c>
      <c r="Z129" s="135">
        <v>1.6789045946E8</v>
      </c>
      <c r="AA129" s="134">
        <v>4.06</v>
      </c>
      <c r="AB129" s="134">
        <v>0.34</v>
      </c>
      <c r="AC129" s="134">
        <v>-1.56</v>
      </c>
      <c r="AD129" s="135">
        <v>2.3533E10</v>
      </c>
    </row>
    <row r="130">
      <c r="A130" s="10" t="s">
        <v>593</v>
      </c>
      <c r="B130" s="134">
        <v>1.16</v>
      </c>
      <c r="C130" s="134">
        <v>0.0</v>
      </c>
      <c r="D130" s="134">
        <v>0.35</v>
      </c>
      <c r="E130" s="134">
        <v>-0.03</v>
      </c>
      <c r="F130" s="134">
        <v>0.22</v>
      </c>
      <c r="G130" s="134">
        <v>0.0</v>
      </c>
      <c r="H130" s="134">
        <v>0.0</v>
      </c>
      <c r="I130" s="134">
        <v>0.0</v>
      </c>
      <c r="J130" s="134">
        <v>-3.63</v>
      </c>
      <c r="K130" s="134">
        <v>-3.58</v>
      </c>
      <c r="L130" s="134">
        <v>0.06</v>
      </c>
      <c r="M130" s="134">
        <v>0.0</v>
      </c>
      <c r="N130" s="10">
        <v>0.0</v>
      </c>
      <c r="O130" s="134">
        <v>-0.03</v>
      </c>
      <c r="P130" s="134">
        <v>0.0</v>
      </c>
      <c r="Q130" s="134">
        <v>0.11</v>
      </c>
      <c r="R130" s="134">
        <v>-7.84</v>
      </c>
      <c r="S130" s="134">
        <v>64.02</v>
      </c>
      <c r="T130" s="134">
        <v>0.75</v>
      </c>
      <c r="U130" s="134">
        <v>-8.16</v>
      </c>
      <c r="V130" s="134">
        <v>9.16</v>
      </c>
      <c r="W130" s="134">
        <v>0.0</v>
      </c>
      <c r="X130" s="134">
        <v>0.0</v>
      </c>
      <c r="Y130" s="134">
        <v>0.0</v>
      </c>
      <c r="Z130" s="135">
        <v>0.0</v>
      </c>
      <c r="AA130" s="134">
        <v>-42.33</v>
      </c>
      <c r="AB130" s="134">
        <v>3.32</v>
      </c>
      <c r="AC130" s="134">
        <v>0.0</v>
      </c>
      <c r="AD130" s="135">
        <v>1973425.64</v>
      </c>
    </row>
    <row r="131">
      <c r="A131" s="10" t="s">
        <v>196</v>
      </c>
      <c r="B131" s="134">
        <v>7.46</v>
      </c>
      <c r="C131" s="134">
        <v>0.0</v>
      </c>
      <c r="D131" s="134">
        <v>194.77</v>
      </c>
      <c r="E131" s="134">
        <v>0.89</v>
      </c>
      <c r="F131" s="134">
        <v>0.33</v>
      </c>
      <c r="G131" s="134">
        <v>45.67</v>
      </c>
      <c r="H131" s="134">
        <v>0.98</v>
      </c>
      <c r="I131" s="134">
        <v>0.25</v>
      </c>
      <c r="J131" s="134">
        <v>49.12</v>
      </c>
      <c r="K131" s="134">
        <v>59.63</v>
      </c>
      <c r="L131" s="134">
        <v>10.05</v>
      </c>
      <c r="M131" s="134">
        <v>0.18</v>
      </c>
      <c r="N131" s="10">
        <v>0.48</v>
      </c>
      <c r="O131" s="134">
        <v>1.75</v>
      </c>
      <c r="P131" s="134">
        <v>-0.57</v>
      </c>
      <c r="Q131" s="134">
        <v>1.83</v>
      </c>
      <c r="R131" s="134">
        <v>0.46</v>
      </c>
      <c r="S131" s="134">
        <v>0.17</v>
      </c>
      <c r="T131" s="134">
        <v>1.08</v>
      </c>
      <c r="U131" s="134">
        <v>0.37</v>
      </c>
      <c r="V131" s="134">
        <v>0.63</v>
      </c>
      <c r="W131" s="134">
        <v>0.68</v>
      </c>
      <c r="X131" s="134">
        <v>0.0</v>
      </c>
      <c r="Y131" s="134">
        <v>0.0</v>
      </c>
      <c r="Z131" s="135">
        <v>1.77615865E7</v>
      </c>
      <c r="AA131" s="134">
        <v>8.4</v>
      </c>
      <c r="AB131" s="134">
        <v>0.04</v>
      </c>
      <c r="AC131" s="134">
        <v>-1.87</v>
      </c>
      <c r="AD131" s="135">
        <v>2.32108536204E9</v>
      </c>
    </row>
    <row r="132">
      <c r="A132" s="10" t="s">
        <v>362</v>
      </c>
      <c r="B132" s="134">
        <v>183.07</v>
      </c>
      <c r="C132" s="134">
        <v>20.16</v>
      </c>
      <c r="D132" s="134">
        <v>1.59</v>
      </c>
      <c r="E132" s="134">
        <v>1.41</v>
      </c>
      <c r="F132" s="134">
        <v>1.22</v>
      </c>
      <c r="G132" s="134">
        <v>-7.88</v>
      </c>
      <c r="H132" s="134">
        <v>-212.61</v>
      </c>
      <c r="I132" s="134">
        <v>-184.88</v>
      </c>
      <c r="J132" s="134">
        <v>1.39</v>
      </c>
      <c r="K132" s="134">
        <v>0.64</v>
      </c>
      <c r="L132" s="134">
        <v>-0.74</v>
      </c>
      <c r="M132" s="134">
        <v>-0.75</v>
      </c>
      <c r="N132" s="10">
        <v>0.0</v>
      </c>
      <c r="O132" s="134">
        <v>1.67</v>
      </c>
      <c r="P132" s="134">
        <v>-5.0</v>
      </c>
      <c r="Q132" s="134">
        <v>25.71</v>
      </c>
      <c r="R132" s="134">
        <v>88.42</v>
      </c>
      <c r="S132" s="134">
        <v>76.37</v>
      </c>
      <c r="T132" s="134">
        <v>61.87</v>
      </c>
      <c r="U132" s="134">
        <v>0.86</v>
      </c>
      <c r="V132" s="134">
        <v>0.04</v>
      </c>
      <c r="W132" s="134">
        <v>-0.41</v>
      </c>
      <c r="X132" s="134">
        <v>-36.1</v>
      </c>
      <c r="Y132" s="134">
        <v>130.5</v>
      </c>
      <c r="Z132" s="135">
        <v>353701.12</v>
      </c>
      <c r="AA132" s="134">
        <v>129.89</v>
      </c>
      <c r="AB132" s="134">
        <v>114.85</v>
      </c>
      <c r="AC132" s="134">
        <v>0.0</v>
      </c>
      <c r="AD132" s="135">
        <v>2.61700436646E9</v>
      </c>
    </row>
    <row r="133">
      <c r="A133" s="10" t="s">
        <v>367</v>
      </c>
      <c r="B133" s="134">
        <v>182.0</v>
      </c>
      <c r="C133" s="10">
        <v>20.28</v>
      </c>
      <c r="D133" s="134">
        <v>1.58</v>
      </c>
      <c r="E133" s="134">
        <v>1.4</v>
      </c>
      <c r="F133" s="134">
        <v>1.21</v>
      </c>
      <c r="G133" s="134">
        <v>-7.88</v>
      </c>
      <c r="H133" s="134">
        <v>-212.61</v>
      </c>
      <c r="I133" s="134">
        <v>-184.88</v>
      </c>
      <c r="J133" s="134">
        <v>1.38</v>
      </c>
      <c r="K133" s="134">
        <v>0.64</v>
      </c>
      <c r="L133" s="134">
        <v>-0.74</v>
      </c>
      <c r="M133" s="134">
        <v>-0.75</v>
      </c>
      <c r="N133" s="134">
        <v>0.0</v>
      </c>
      <c r="O133" s="134">
        <v>1.66</v>
      </c>
      <c r="P133" s="134">
        <v>-4.97</v>
      </c>
      <c r="Q133" s="134">
        <v>25.71</v>
      </c>
      <c r="R133" s="134">
        <v>88.42</v>
      </c>
      <c r="S133" s="134">
        <v>76.37</v>
      </c>
      <c r="T133" s="134">
        <v>61.87</v>
      </c>
      <c r="U133" s="134">
        <v>0.86</v>
      </c>
      <c r="V133" s="134">
        <v>0.04</v>
      </c>
      <c r="W133" s="134">
        <v>-0.41</v>
      </c>
      <c r="X133" s="134">
        <v>-36.1</v>
      </c>
      <c r="Y133" s="10">
        <v>130.5</v>
      </c>
      <c r="Z133" s="136">
        <v>322522.19</v>
      </c>
      <c r="AA133" s="134">
        <v>129.89</v>
      </c>
      <c r="AB133" s="134">
        <v>114.85</v>
      </c>
      <c r="AC133" s="134">
        <v>0.0</v>
      </c>
      <c r="AD133" s="135">
        <v>2.61700436646E9</v>
      </c>
    </row>
    <row r="134">
      <c r="A134" s="10" t="s">
        <v>361</v>
      </c>
      <c r="B134" s="134">
        <v>180.02</v>
      </c>
      <c r="C134" s="10">
        <v>22.55</v>
      </c>
      <c r="D134" s="134">
        <v>1.57</v>
      </c>
      <c r="E134" s="134">
        <v>1.39</v>
      </c>
      <c r="F134" s="134">
        <v>1.2</v>
      </c>
      <c r="G134" s="134">
        <v>-7.88</v>
      </c>
      <c r="H134" s="134">
        <v>-212.61</v>
      </c>
      <c r="I134" s="134">
        <v>-184.88</v>
      </c>
      <c r="J134" s="134">
        <v>1.36</v>
      </c>
      <c r="K134" s="134">
        <v>0.64</v>
      </c>
      <c r="L134" s="134">
        <v>-0.74</v>
      </c>
      <c r="M134" s="134">
        <v>-0.75</v>
      </c>
      <c r="N134" s="134">
        <v>0.0</v>
      </c>
      <c r="O134" s="134">
        <v>1.65</v>
      </c>
      <c r="P134" s="134">
        <v>-4.92</v>
      </c>
      <c r="Q134" s="134">
        <v>25.71</v>
      </c>
      <c r="R134" s="134">
        <v>88.42</v>
      </c>
      <c r="S134" s="134">
        <v>76.37</v>
      </c>
      <c r="T134" s="134">
        <v>61.87</v>
      </c>
      <c r="U134" s="134">
        <v>0.86</v>
      </c>
      <c r="V134" s="134">
        <v>0.04</v>
      </c>
      <c r="W134" s="134">
        <v>-0.41</v>
      </c>
      <c r="X134" s="134">
        <v>-36.1</v>
      </c>
      <c r="Y134" s="10">
        <v>130.5</v>
      </c>
      <c r="Z134" s="136">
        <v>493015.84</v>
      </c>
      <c r="AA134" s="134">
        <v>129.89</v>
      </c>
      <c r="AB134" s="134">
        <v>114.85</v>
      </c>
      <c r="AC134" s="134">
        <v>0.0</v>
      </c>
      <c r="AD134" s="135">
        <v>2.61700436646E9</v>
      </c>
    </row>
    <row r="135">
      <c r="A135" s="10" t="s">
        <v>506</v>
      </c>
      <c r="B135" s="134">
        <v>7.35</v>
      </c>
      <c r="C135" s="134">
        <v>0.0</v>
      </c>
      <c r="D135" s="134">
        <v>22.77</v>
      </c>
      <c r="E135" s="134">
        <v>0.54</v>
      </c>
      <c r="F135" s="134">
        <v>0.1</v>
      </c>
      <c r="G135" s="134">
        <v>17.21</v>
      </c>
      <c r="H135" s="134">
        <v>5.01</v>
      </c>
      <c r="I135" s="134">
        <v>0.4</v>
      </c>
      <c r="J135" s="134">
        <v>1.81</v>
      </c>
      <c r="K135" s="134">
        <v>6.53</v>
      </c>
      <c r="L135" s="134">
        <v>4.84</v>
      </c>
      <c r="M135" s="134">
        <v>1.44</v>
      </c>
      <c r="N135" s="134">
        <v>0.09</v>
      </c>
      <c r="O135" s="134">
        <v>-1.75</v>
      </c>
      <c r="P135" s="134">
        <v>-0.18</v>
      </c>
      <c r="Q135" s="134">
        <v>0.9</v>
      </c>
      <c r="R135" s="134">
        <v>2.36</v>
      </c>
      <c r="S135" s="134">
        <v>0.42</v>
      </c>
      <c r="T135" s="134">
        <v>10.82</v>
      </c>
      <c r="U135" s="134">
        <v>0.18</v>
      </c>
      <c r="V135" s="134">
        <v>0.8</v>
      </c>
      <c r="W135" s="134">
        <v>1.06</v>
      </c>
      <c r="X135" s="134">
        <v>9.31</v>
      </c>
      <c r="Y135" s="134">
        <v>0.0</v>
      </c>
      <c r="Z135" s="136">
        <v>10531.71</v>
      </c>
      <c r="AA135" s="134">
        <v>13.69</v>
      </c>
      <c r="AB135" s="134">
        <v>0.32</v>
      </c>
      <c r="AC135" s="134">
        <v>-0.22</v>
      </c>
      <c r="AD135" s="135">
        <v>6.83485248E7</v>
      </c>
    </row>
    <row r="136">
      <c r="A136" s="10" t="s">
        <v>433</v>
      </c>
      <c r="B136" s="134">
        <v>6.16</v>
      </c>
      <c r="C136" s="134">
        <v>0.0</v>
      </c>
      <c r="D136" s="134">
        <v>19.08</v>
      </c>
      <c r="E136" s="134">
        <v>0.45</v>
      </c>
      <c r="F136" s="134">
        <v>0.08</v>
      </c>
      <c r="G136" s="134">
        <v>17.21</v>
      </c>
      <c r="H136" s="134">
        <v>5.01</v>
      </c>
      <c r="I136" s="134">
        <v>0.4</v>
      </c>
      <c r="J136" s="134">
        <v>1.52</v>
      </c>
      <c r="K136" s="134">
        <v>6.53</v>
      </c>
      <c r="L136" s="134">
        <v>4.84</v>
      </c>
      <c r="M136" s="134">
        <v>1.44</v>
      </c>
      <c r="N136" s="134">
        <v>0.08</v>
      </c>
      <c r="O136" s="134">
        <v>-1.47</v>
      </c>
      <c r="P136" s="134">
        <v>-0.15</v>
      </c>
      <c r="Q136" s="134">
        <v>0.9</v>
      </c>
      <c r="R136" s="134">
        <v>2.36</v>
      </c>
      <c r="S136" s="134">
        <v>0.42</v>
      </c>
      <c r="T136" s="134">
        <v>10.82</v>
      </c>
      <c r="U136" s="134">
        <v>0.18</v>
      </c>
      <c r="V136" s="134">
        <v>0.8</v>
      </c>
      <c r="W136" s="134">
        <v>1.06</v>
      </c>
      <c r="X136" s="134">
        <v>9.31</v>
      </c>
      <c r="Y136" s="134">
        <v>0.0</v>
      </c>
      <c r="Z136" s="136">
        <v>28942.14</v>
      </c>
      <c r="AA136" s="134">
        <v>13.69</v>
      </c>
      <c r="AB136" s="134">
        <v>0.32</v>
      </c>
      <c r="AC136" s="134">
        <v>-0.18</v>
      </c>
      <c r="AD136" s="135">
        <v>6.83485248E7</v>
      </c>
    </row>
    <row r="137">
      <c r="A137" s="10" t="s">
        <v>429</v>
      </c>
      <c r="B137" s="134">
        <v>34.2</v>
      </c>
      <c r="C137" s="134">
        <v>13.47</v>
      </c>
      <c r="D137" s="134">
        <v>5.87</v>
      </c>
      <c r="E137" s="134">
        <v>1.52</v>
      </c>
      <c r="F137" s="134">
        <v>0.4</v>
      </c>
      <c r="G137" s="134">
        <v>23.51</v>
      </c>
      <c r="H137" s="134">
        <v>17.69</v>
      </c>
      <c r="I137" s="134">
        <v>11.84</v>
      </c>
      <c r="J137" s="134">
        <v>3.93</v>
      </c>
      <c r="K137" s="134">
        <v>8.74</v>
      </c>
      <c r="L137" s="134">
        <v>3.54</v>
      </c>
      <c r="M137" s="134">
        <v>1.37</v>
      </c>
      <c r="N137" s="134">
        <v>0.69</v>
      </c>
      <c r="O137" s="134">
        <v>-61.82</v>
      </c>
      <c r="P137" s="134">
        <v>-0.5</v>
      </c>
      <c r="Q137" s="134">
        <v>0.97</v>
      </c>
      <c r="R137" s="134">
        <v>25.99</v>
      </c>
      <c r="S137" s="134">
        <v>6.74</v>
      </c>
      <c r="T137" s="134">
        <v>13.2</v>
      </c>
      <c r="U137" s="134">
        <v>0.26</v>
      </c>
      <c r="V137" s="134">
        <v>0.74</v>
      </c>
      <c r="W137" s="134">
        <v>0.57</v>
      </c>
      <c r="X137" s="134">
        <v>10.93</v>
      </c>
      <c r="Y137" s="134">
        <v>35.37</v>
      </c>
      <c r="Z137" s="138">
        <v>101931.88</v>
      </c>
      <c r="AA137" s="134">
        <v>22.43</v>
      </c>
      <c r="AB137" s="134">
        <v>5.83</v>
      </c>
      <c r="AC137" s="134">
        <v>0.09</v>
      </c>
      <c r="AD137" s="135">
        <v>1.187909387284E10</v>
      </c>
    </row>
    <row r="138">
      <c r="A138" s="10" t="s">
        <v>522</v>
      </c>
      <c r="B138" s="134">
        <v>39.0</v>
      </c>
      <c r="C138" s="10">
        <v>11.81</v>
      </c>
      <c r="D138" s="134">
        <v>6.69</v>
      </c>
      <c r="E138" s="134">
        <v>1.74</v>
      </c>
      <c r="F138" s="134">
        <v>0.45</v>
      </c>
      <c r="G138" s="134">
        <v>23.51</v>
      </c>
      <c r="H138" s="134">
        <v>17.69</v>
      </c>
      <c r="I138" s="134">
        <v>11.84</v>
      </c>
      <c r="J138" s="134">
        <v>4.48</v>
      </c>
      <c r="K138" s="134">
        <v>8.74</v>
      </c>
      <c r="L138" s="134">
        <v>3.54</v>
      </c>
      <c r="M138" s="10">
        <v>1.37</v>
      </c>
      <c r="N138" s="134">
        <v>0.79</v>
      </c>
      <c r="O138" s="134">
        <v>-70.49</v>
      </c>
      <c r="P138" s="134">
        <v>-0.57</v>
      </c>
      <c r="Q138" s="134">
        <v>0.97</v>
      </c>
      <c r="R138" s="134">
        <v>25.99</v>
      </c>
      <c r="S138" s="134">
        <v>6.74</v>
      </c>
      <c r="T138" s="134">
        <v>13.2</v>
      </c>
      <c r="U138" s="134">
        <v>0.26</v>
      </c>
      <c r="V138" s="134">
        <v>0.74</v>
      </c>
      <c r="W138" s="134">
        <v>0.57</v>
      </c>
      <c r="X138" s="134">
        <v>10.93</v>
      </c>
      <c r="Y138" s="10">
        <v>35.37</v>
      </c>
      <c r="Z138" s="136">
        <v>7800.0</v>
      </c>
      <c r="AA138" s="134">
        <v>22.43</v>
      </c>
      <c r="AB138" s="134">
        <v>5.83</v>
      </c>
      <c r="AC138" s="134">
        <v>0.1</v>
      </c>
      <c r="AD138" s="135">
        <v>1.187909387284E10</v>
      </c>
    </row>
    <row r="139">
      <c r="A139" s="10" t="s">
        <v>594</v>
      </c>
      <c r="B139" s="134">
        <v>60.68</v>
      </c>
      <c r="C139" s="10">
        <v>8.35</v>
      </c>
      <c r="D139" s="134">
        <v>10.41</v>
      </c>
      <c r="E139" s="134">
        <v>2.71</v>
      </c>
      <c r="F139" s="134">
        <v>0.7</v>
      </c>
      <c r="G139" s="134">
        <v>23.51</v>
      </c>
      <c r="H139" s="134">
        <v>17.69</v>
      </c>
      <c r="I139" s="134">
        <v>11.84</v>
      </c>
      <c r="J139" s="134">
        <v>6.97</v>
      </c>
      <c r="K139" s="134">
        <v>8.74</v>
      </c>
      <c r="L139" s="134">
        <v>3.54</v>
      </c>
      <c r="M139" s="10">
        <v>1.37</v>
      </c>
      <c r="N139" s="134">
        <v>1.23</v>
      </c>
      <c r="O139" s="136">
        <v>-109.68</v>
      </c>
      <c r="P139" s="134">
        <v>-0.89</v>
      </c>
      <c r="Q139" s="134">
        <v>0.97</v>
      </c>
      <c r="R139" s="134">
        <v>25.99</v>
      </c>
      <c r="S139" s="134">
        <v>6.74</v>
      </c>
      <c r="T139" s="134">
        <v>13.2</v>
      </c>
      <c r="U139" s="134">
        <v>0.26</v>
      </c>
      <c r="V139" s="134">
        <v>0.74</v>
      </c>
      <c r="W139" s="134">
        <v>0.57</v>
      </c>
      <c r="X139" s="134">
        <v>10.93</v>
      </c>
      <c r="Y139" s="10">
        <v>35.37</v>
      </c>
      <c r="Z139" s="136">
        <v>0.0</v>
      </c>
      <c r="AA139" s="134">
        <v>22.43</v>
      </c>
      <c r="AB139" s="134">
        <v>5.83</v>
      </c>
      <c r="AC139" s="134">
        <v>0.16</v>
      </c>
      <c r="AD139" s="135">
        <v>1.187909387284E10</v>
      </c>
    </row>
    <row r="140">
      <c r="A140" s="10" t="s">
        <v>490</v>
      </c>
      <c r="B140" s="134">
        <v>45.0</v>
      </c>
      <c r="C140" s="134">
        <v>0.0</v>
      </c>
      <c r="D140" s="134">
        <v>-3.27</v>
      </c>
      <c r="E140" s="134">
        <v>-1.16</v>
      </c>
      <c r="F140" s="134">
        <v>0.58</v>
      </c>
      <c r="G140" s="134">
        <v>4.53</v>
      </c>
      <c r="H140" s="134">
        <v>-7.6</v>
      </c>
      <c r="I140" s="134">
        <v>-23.74</v>
      </c>
      <c r="J140" s="134">
        <v>-10.21</v>
      </c>
      <c r="K140" s="134">
        <v>-13.58</v>
      </c>
      <c r="L140" s="134">
        <v>-3.36</v>
      </c>
      <c r="M140" s="134">
        <v>0.0</v>
      </c>
      <c r="N140" s="134">
        <v>0.78</v>
      </c>
      <c r="O140" s="136">
        <v>-2.07</v>
      </c>
      <c r="P140" s="134">
        <v>-0.76</v>
      </c>
      <c r="Q140" s="134">
        <v>0.46</v>
      </c>
      <c r="R140" s="134">
        <v>-35.38</v>
      </c>
      <c r="S140" s="134">
        <v>-17.71</v>
      </c>
      <c r="T140" s="134">
        <v>20.8</v>
      </c>
      <c r="U140" s="134">
        <v>-0.5</v>
      </c>
      <c r="V140" s="134">
        <v>1.5</v>
      </c>
      <c r="W140" s="134">
        <v>0.75</v>
      </c>
      <c r="X140" s="134">
        <v>-0.25</v>
      </c>
      <c r="Y140" s="134">
        <v>0.0</v>
      </c>
      <c r="Z140" s="136">
        <v>4510.17</v>
      </c>
      <c r="AA140" s="134">
        <v>-38.91</v>
      </c>
      <c r="AB140" s="134">
        <v>-13.76</v>
      </c>
      <c r="AC140" s="134">
        <v>0.08</v>
      </c>
      <c r="AD140" s="135">
        <v>3.0732432012E9</v>
      </c>
    </row>
    <row r="141">
      <c r="A141" s="10" t="s">
        <v>523</v>
      </c>
      <c r="B141" s="134">
        <v>55.8</v>
      </c>
      <c r="C141" s="134">
        <v>0.0</v>
      </c>
      <c r="D141" s="134">
        <v>-4.05</v>
      </c>
      <c r="E141" s="134">
        <v>-1.43</v>
      </c>
      <c r="F141" s="134">
        <v>0.72</v>
      </c>
      <c r="G141" s="134">
        <v>4.53</v>
      </c>
      <c r="H141" s="134">
        <v>-7.6</v>
      </c>
      <c r="I141" s="134">
        <v>-23.74</v>
      </c>
      <c r="J141" s="134">
        <v>-12.66</v>
      </c>
      <c r="K141" s="134">
        <v>-13.58</v>
      </c>
      <c r="L141" s="134">
        <v>-3.36</v>
      </c>
      <c r="M141" s="134">
        <v>0.0</v>
      </c>
      <c r="N141" s="134">
        <v>0.96</v>
      </c>
      <c r="O141" s="136">
        <v>-2.56</v>
      </c>
      <c r="P141" s="134">
        <v>-0.95</v>
      </c>
      <c r="Q141" s="134">
        <v>0.46</v>
      </c>
      <c r="R141" s="134">
        <v>-35.38</v>
      </c>
      <c r="S141" s="134">
        <v>-17.71</v>
      </c>
      <c r="T141" s="134">
        <v>20.8</v>
      </c>
      <c r="U141" s="134">
        <v>-0.5</v>
      </c>
      <c r="V141" s="134">
        <v>1.5</v>
      </c>
      <c r="W141" s="134">
        <v>0.75</v>
      </c>
      <c r="X141" s="134">
        <v>-0.25</v>
      </c>
      <c r="Y141" s="134">
        <v>0.0</v>
      </c>
      <c r="Z141" s="136">
        <v>5580.0</v>
      </c>
      <c r="AA141" s="134">
        <v>-38.91</v>
      </c>
      <c r="AB141" s="134">
        <v>-13.76</v>
      </c>
      <c r="AC141" s="134">
        <v>0.1</v>
      </c>
      <c r="AD141" s="135">
        <v>3.0732432012E9</v>
      </c>
    </row>
    <row r="142">
      <c r="A142" s="10" t="s">
        <v>412</v>
      </c>
      <c r="B142" s="134">
        <v>60.05</v>
      </c>
      <c r="C142" s="134">
        <v>2.26</v>
      </c>
      <c r="D142" s="134">
        <v>41.6</v>
      </c>
      <c r="E142" s="134">
        <v>13.91</v>
      </c>
      <c r="F142" s="134">
        <v>4.26</v>
      </c>
      <c r="G142" s="134">
        <v>30.7</v>
      </c>
      <c r="H142" s="134">
        <v>18.29</v>
      </c>
      <c r="I142" s="134">
        <v>10.83</v>
      </c>
      <c r="J142" s="134">
        <v>24.64</v>
      </c>
      <c r="K142" s="134">
        <v>25.8</v>
      </c>
      <c r="L142" s="134">
        <v>1.16</v>
      </c>
      <c r="M142" s="134">
        <v>0.65</v>
      </c>
      <c r="N142" s="134">
        <v>4.51</v>
      </c>
      <c r="O142" s="136">
        <v>-362.26</v>
      </c>
      <c r="P142" s="134">
        <v>-6.01</v>
      </c>
      <c r="Q142" s="134">
        <v>0.96</v>
      </c>
      <c r="R142" s="134">
        <v>33.44</v>
      </c>
      <c r="S142" s="134">
        <v>10.24</v>
      </c>
      <c r="T142" s="134">
        <v>19.7</v>
      </c>
      <c r="U142" s="134">
        <v>0.31</v>
      </c>
      <c r="V142" s="134">
        <v>0.69</v>
      </c>
      <c r="W142" s="134">
        <v>0.94</v>
      </c>
      <c r="X142" s="134">
        <v>-3.1</v>
      </c>
      <c r="Y142" s="134">
        <v>5.68</v>
      </c>
      <c r="Z142" s="136">
        <v>9621.0</v>
      </c>
      <c r="AA142" s="134">
        <v>4.32</v>
      </c>
      <c r="AB142" s="134">
        <v>1.44</v>
      </c>
      <c r="AC142" s="134">
        <v>-79.28</v>
      </c>
      <c r="AD142" s="135">
        <v>1.55912458066E10</v>
      </c>
    </row>
    <row r="143">
      <c r="A143" s="10" t="s">
        <v>406</v>
      </c>
      <c r="B143" s="134">
        <v>125.26</v>
      </c>
      <c r="C143" s="134">
        <v>2.37</v>
      </c>
      <c r="D143" s="134">
        <v>21.28</v>
      </c>
      <c r="E143" s="134">
        <v>5.2</v>
      </c>
      <c r="F143" s="134">
        <v>0.81</v>
      </c>
      <c r="G143" s="134">
        <v>17.46</v>
      </c>
      <c r="H143" s="134">
        <v>10.98</v>
      </c>
      <c r="I143" s="134">
        <v>5.63</v>
      </c>
      <c r="J143" s="134">
        <v>10.91</v>
      </c>
      <c r="K143" s="134">
        <v>15.82</v>
      </c>
      <c r="L143" s="134">
        <v>5.84</v>
      </c>
      <c r="M143" s="134">
        <v>2.78</v>
      </c>
      <c r="N143" s="134">
        <v>1.2</v>
      </c>
      <c r="O143" s="134">
        <v>18.69</v>
      </c>
      <c r="P143" s="134">
        <v>-1.08</v>
      </c>
      <c r="Q143" s="134">
        <v>1.21</v>
      </c>
      <c r="R143" s="134">
        <v>24.44</v>
      </c>
      <c r="S143" s="134">
        <v>3.81</v>
      </c>
      <c r="T143" s="134">
        <v>10.08</v>
      </c>
      <c r="U143" s="134">
        <v>0.16</v>
      </c>
      <c r="V143" s="134">
        <v>0.84</v>
      </c>
      <c r="W143" s="134">
        <v>0.68</v>
      </c>
      <c r="X143" s="134">
        <v>8.76</v>
      </c>
      <c r="Y143" s="134">
        <v>87.22</v>
      </c>
      <c r="Z143" s="136">
        <v>92909.67</v>
      </c>
      <c r="AA143" s="134">
        <v>24.08</v>
      </c>
      <c r="AB143" s="134">
        <v>5.89</v>
      </c>
      <c r="AC143" s="134">
        <v>0.09</v>
      </c>
      <c r="AD143" s="135">
        <v>8.54057208148E9</v>
      </c>
    </row>
    <row r="144">
      <c r="A144" s="10" t="s">
        <v>466</v>
      </c>
      <c r="B144" s="134">
        <v>28.34</v>
      </c>
      <c r="C144" s="134">
        <v>10.46</v>
      </c>
      <c r="D144" s="134">
        <v>4.81</v>
      </c>
      <c r="E144" s="134">
        <v>1.18</v>
      </c>
      <c r="F144" s="134">
        <v>0.18</v>
      </c>
      <c r="G144" s="134">
        <v>17.46</v>
      </c>
      <c r="H144" s="134">
        <v>10.98</v>
      </c>
      <c r="I144" s="134">
        <v>5.63</v>
      </c>
      <c r="J144" s="134">
        <v>2.47</v>
      </c>
      <c r="K144" s="134">
        <v>15.82</v>
      </c>
      <c r="L144" s="134">
        <v>5.84</v>
      </c>
      <c r="M144" s="134">
        <v>2.78</v>
      </c>
      <c r="N144" s="134">
        <v>0.27</v>
      </c>
      <c r="O144" s="134">
        <v>4.23</v>
      </c>
      <c r="P144" s="134">
        <v>-0.24</v>
      </c>
      <c r="Q144" s="134">
        <v>1.21</v>
      </c>
      <c r="R144" s="134">
        <v>24.44</v>
      </c>
      <c r="S144" s="134">
        <v>3.81</v>
      </c>
      <c r="T144" s="134">
        <v>10.08</v>
      </c>
      <c r="U144" s="134">
        <v>0.16</v>
      </c>
      <c r="V144" s="134">
        <v>0.84</v>
      </c>
      <c r="W144" s="134">
        <v>0.68</v>
      </c>
      <c r="X144" s="134">
        <v>8.76</v>
      </c>
      <c r="Y144" s="10">
        <v>87.22</v>
      </c>
      <c r="Z144" s="135">
        <v>7051.0</v>
      </c>
      <c r="AA144" s="134">
        <v>24.08</v>
      </c>
      <c r="AB144" s="134">
        <v>5.89</v>
      </c>
      <c r="AC144" s="134">
        <v>0.02</v>
      </c>
      <c r="AD144" s="135">
        <v>8.54057208148E9</v>
      </c>
    </row>
    <row r="145">
      <c r="A145" s="10" t="s">
        <v>538</v>
      </c>
      <c r="B145" s="134">
        <v>28.05</v>
      </c>
      <c r="C145" s="134">
        <v>11.62</v>
      </c>
      <c r="D145" s="134">
        <v>4.77</v>
      </c>
      <c r="E145" s="134">
        <v>1.16</v>
      </c>
      <c r="F145" s="134">
        <v>0.18</v>
      </c>
      <c r="G145" s="134">
        <v>17.46</v>
      </c>
      <c r="H145" s="134">
        <v>10.98</v>
      </c>
      <c r="I145" s="134">
        <v>5.63</v>
      </c>
      <c r="J145" s="134">
        <v>2.44</v>
      </c>
      <c r="K145" s="134">
        <v>15.82</v>
      </c>
      <c r="L145" s="134">
        <v>5.84</v>
      </c>
      <c r="M145" s="134">
        <v>2.78</v>
      </c>
      <c r="N145" s="134">
        <v>0.27</v>
      </c>
      <c r="O145" s="134">
        <v>4.19</v>
      </c>
      <c r="P145" s="134">
        <v>-0.24</v>
      </c>
      <c r="Q145" s="134">
        <v>1.21</v>
      </c>
      <c r="R145" s="134">
        <v>24.44</v>
      </c>
      <c r="S145" s="134">
        <v>3.81</v>
      </c>
      <c r="T145" s="134">
        <v>10.08</v>
      </c>
      <c r="U145" s="134">
        <v>0.16</v>
      </c>
      <c r="V145" s="134">
        <v>0.84</v>
      </c>
      <c r="W145" s="134">
        <v>0.68</v>
      </c>
      <c r="X145" s="134">
        <v>8.76</v>
      </c>
      <c r="Y145" s="10">
        <v>87.22</v>
      </c>
      <c r="Z145" s="136">
        <v>2924.33</v>
      </c>
      <c r="AA145" s="134">
        <v>24.08</v>
      </c>
      <c r="AB145" s="134">
        <v>5.89</v>
      </c>
      <c r="AC145" s="134">
        <v>0.02</v>
      </c>
      <c r="AD145" s="135">
        <v>8.54057208148E9</v>
      </c>
    </row>
    <row r="146">
      <c r="A146" s="10" t="s">
        <v>374</v>
      </c>
      <c r="B146" s="134">
        <v>21.92</v>
      </c>
      <c r="C146" s="134">
        <v>11.84</v>
      </c>
      <c r="D146" s="134">
        <v>4.39</v>
      </c>
      <c r="E146" s="134">
        <v>1.01</v>
      </c>
      <c r="F146" s="134">
        <v>0.51</v>
      </c>
      <c r="G146" s="134">
        <v>32.27</v>
      </c>
      <c r="H146" s="134">
        <v>38.28</v>
      </c>
      <c r="I146" s="134">
        <v>79.62</v>
      </c>
      <c r="J146" s="134">
        <v>9.13</v>
      </c>
      <c r="K146" s="134">
        <v>11.1</v>
      </c>
      <c r="L146" s="134">
        <v>1.73</v>
      </c>
      <c r="M146" s="134">
        <v>0.19</v>
      </c>
      <c r="N146" s="134">
        <v>3.5</v>
      </c>
      <c r="O146" s="134">
        <v>29.71</v>
      </c>
      <c r="P146" s="134">
        <v>-0.55</v>
      </c>
      <c r="Q146" s="134">
        <v>1.35</v>
      </c>
      <c r="R146" s="134">
        <v>23.09</v>
      </c>
      <c r="S146" s="134">
        <v>11.61</v>
      </c>
      <c r="T146" s="134">
        <v>-8.25</v>
      </c>
      <c r="U146" s="134">
        <v>0.5</v>
      </c>
      <c r="V146" s="134">
        <v>0.5</v>
      </c>
      <c r="W146" s="134">
        <v>0.15</v>
      </c>
      <c r="X146" s="134">
        <v>-8.26</v>
      </c>
      <c r="Y146" s="10">
        <v>0.0</v>
      </c>
      <c r="Z146" s="135">
        <v>360202.29</v>
      </c>
      <c r="AA146" s="134">
        <v>21.62</v>
      </c>
      <c r="AB146" s="134">
        <v>4.99</v>
      </c>
      <c r="AC146" s="134">
        <v>0.56</v>
      </c>
      <c r="AD146" s="135">
        <v>7.36225988464E9</v>
      </c>
    </row>
    <row r="147">
      <c r="A147" s="10" t="s">
        <v>491</v>
      </c>
      <c r="B147" s="134">
        <v>30.5</v>
      </c>
      <c r="C147" s="134">
        <v>11.04</v>
      </c>
      <c r="D147" s="134">
        <v>6.11</v>
      </c>
      <c r="E147" s="134">
        <v>1.41</v>
      </c>
      <c r="F147" s="134">
        <v>0.71</v>
      </c>
      <c r="G147" s="134">
        <v>32.27</v>
      </c>
      <c r="H147" s="134">
        <v>38.28</v>
      </c>
      <c r="I147" s="134">
        <v>79.62</v>
      </c>
      <c r="J147" s="134">
        <v>12.71</v>
      </c>
      <c r="K147" s="134">
        <v>11.1</v>
      </c>
      <c r="L147" s="134">
        <v>1.73</v>
      </c>
      <c r="M147" s="134">
        <v>0.19</v>
      </c>
      <c r="N147" s="134">
        <v>4.86</v>
      </c>
      <c r="O147" s="134">
        <v>41.35</v>
      </c>
      <c r="P147" s="134">
        <v>-0.76</v>
      </c>
      <c r="Q147" s="134">
        <v>1.35</v>
      </c>
      <c r="R147" s="134">
        <v>23.09</v>
      </c>
      <c r="S147" s="134">
        <v>11.61</v>
      </c>
      <c r="T147" s="134">
        <v>-8.25</v>
      </c>
      <c r="U147" s="134">
        <v>0.5</v>
      </c>
      <c r="V147" s="134">
        <v>0.5</v>
      </c>
      <c r="W147" s="134">
        <v>0.15</v>
      </c>
      <c r="X147" s="134">
        <v>-8.26</v>
      </c>
      <c r="Y147" s="134">
        <v>0.0</v>
      </c>
      <c r="Z147" s="139">
        <v>4644.67</v>
      </c>
      <c r="AA147" s="134">
        <v>21.62</v>
      </c>
      <c r="AB147" s="134">
        <v>4.99</v>
      </c>
      <c r="AC147" s="134">
        <v>0.79</v>
      </c>
      <c r="AD147" s="135">
        <v>7.36225988464E9</v>
      </c>
    </row>
    <row r="148">
      <c r="A148" s="10" t="s">
        <v>154</v>
      </c>
      <c r="B148" s="134">
        <v>22.75</v>
      </c>
      <c r="C148" s="134">
        <v>11.41</v>
      </c>
      <c r="D148" s="134">
        <v>4.56</v>
      </c>
      <c r="E148" s="134">
        <v>1.05</v>
      </c>
      <c r="F148" s="134">
        <v>0.53</v>
      </c>
      <c r="G148" s="134">
        <v>32.27</v>
      </c>
      <c r="H148" s="134">
        <v>38.28</v>
      </c>
      <c r="I148" s="134">
        <v>79.62</v>
      </c>
      <c r="J148" s="134">
        <v>9.48</v>
      </c>
      <c r="K148" s="134">
        <v>11.1</v>
      </c>
      <c r="L148" s="134">
        <v>1.73</v>
      </c>
      <c r="M148" s="134">
        <v>0.19</v>
      </c>
      <c r="N148" s="134">
        <v>3.63</v>
      </c>
      <c r="O148" s="134">
        <v>30.84</v>
      </c>
      <c r="P148" s="134">
        <v>-0.57</v>
      </c>
      <c r="Q148" s="134">
        <v>1.35</v>
      </c>
      <c r="R148" s="134">
        <v>23.09</v>
      </c>
      <c r="S148" s="134">
        <v>11.61</v>
      </c>
      <c r="T148" s="134">
        <v>-8.25</v>
      </c>
      <c r="U148" s="134">
        <v>0.5</v>
      </c>
      <c r="V148" s="134">
        <v>0.5</v>
      </c>
      <c r="W148" s="134">
        <v>0.15</v>
      </c>
      <c r="X148" s="134">
        <v>-8.26</v>
      </c>
      <c r="Y148" s="134">
        <v>0.0</v>
      </c>
      <c r="Z148" s="137">
        <v>5.722853471E7</v>
      </c>
      <c r="AA148" s="134">
        <v>21.62</v>
      </c>
      <c r="AB148" s="134">
        <v>4.99</v>
      </c>
      <c r="AC148" s="134">
        <v>0.59</v>
      </c>
      <c r="AD148" s="135">
        <v>7.36225988464E9</v>
      </c>
    </row>
    <row r="149">
      <c r="A149" s="10" t="s">
        <v>459</v>
      </c>
      <c r="B149" s="134">
        <v>159.5</v>
      </c>
      <c r="C149" s="134">
        <v>5.33</v>
      </c>
      <c r="D149" s="134">
        <v>12.7</v>
      </c>
      <c r="E149" s="134">
        <v>14.16</v>
      </c>
      <c r="F149" s="134">
        <v>1.8</v>
      </c>
      <c r="G149" s="134">
        <v>31.39</v>
      </c>
      <c r="H149" s="134">
        <v>24.74</v>
      </c>
      <c r="I149" s="134">
        <v>17.35</v>
      </c>
      <c r="J149" s="134">
        <v>8.9</v>
      </c>
      <c r="K149" s="134">
        <v>10.84</v>
      </c>
      <c r="L149" s="134">
        <v>1.93</v>
      </c>
      <c r="M149" s="134">
        <v>3.07</v>
      </c>
      <c r="N149" s="134">
        <v>2.2</v>
      </c>
      <c r="O149" s="134">
        <v>14.82</v>
      </c>
      <c r="P149" s="134">
        <v>-2.73</v>
      </c>
      <c r="Q149" s="134">
        <v>1.55</v>
      </c>
      <c r="R149" s="134">
        <v>111.49</v>
      </c>
      <c r="S149" s="134">
        <v>14.16</v>
      </c>
      <c r="T149" s="134">
        <v>25.2</v>
      </c>
      <c r="U149" s="134">
        <v>0.13</v>
      </c>
      <c r="V149" s="134">
        <v>0.87</v>
      </c>
      <c r="W149" s="134">
        <v>0.82</v>
      </c>
      <c r="X149" s="134">
        <v>4.74</v>
      </c>
      <c r="Y149" s="134">
        <v>18.95</v>
      </c>
      <c r="Z149" s="136">
        <v>22707.0</v>
      </c>
      <c r="AA149" s="134">
        <v>11.26</v>
      </c>
      <c r="AB149" s="134">
        <v>12.56</v>
      </c>
      <c r="AC149" s="134">
        <v>0.53</v>
      </c>
      <c r="AD149" s="135">
        <v>2.11370336265E10</v>
      </c>
    </row>
    <row r="150">
      <c r="A150" s="10" t="s">
        <v>349</v>
      </c>
      <c r="B150" s="134">
        <v>152.88</v>
      </c>
      <c r="C150" s="134">
        <v>6.11</v>
      </c>
      <c r="D150" s="134">
        <v>12.17</v>
      </c>
      <c r="E150" s="134">
        <v>13.57</v>
      </c>
      <c r="F150" s="134">
        <v>1.72</v>
      </c>
      <c r="G150" s="134">
        <v>31.39</v>
      </c>
      <c r="H150" s="134">
        <v>24.74</v>
      </c>
      <c r="I150" s="134">
        <v>17.35</v>
      </c>
      <c r="J150" s="134">
        <v>8.54</v>
      </c>
      <c r="K150" s="134">
        <v>10.84</v>
      </c>
      <c r="L150" s="134">
        <v>1.93</v>
      </c>
      <c r="M150" s="134">
        <v>3.07</v>
      </c>
      <c r="N150" s="134">
        <v>2.11</v>
      </c>
      <c r="O150" s="134">
        <v>14.2</v>
      </c>
      <c r="P150" s="134">
        <v>-2.62</v>
      </c>
      <c r="Q150" s="134">
        <v>1.55</v>
      </c>
      <c r="R150" s="134">
        <v>111.49</v>
      </c>
      <c r="S150" s="134">
        <v>14.16</v>
      </c>
      <c r="T150" s="134">
        <v>25.2</v>
      </c>
      <c r="U150" s="134">
        <v>0.13</v>
      </c>
      <c r="V150" s="134">
        <v>0.87</v>
      </c>
      <c r="W150" s="134">
        <v>0.82</v>
      </c>
      <c r="X150" s="134">
        <v>4.74</v>
      </c>
      <c r="Y150" s="134">
        <v>18.95</v>
      </c>
      <c r="Z150" s="135">
        <v>376041.67</v>
      </c>
      <c r="AA150" s="134">
        <v>11.26</v>
      </c>
      <c r="AB150" s="134">
        <v>12.56</v>
      </c>
      <c r="AC150" s="134">
        <v>0.51</v>
      </c>
      <c r="AD150" s="135">
        <v>2.11370336265E10</v>
      </c>
    </row>
    <row r="151">
      <c r="A151" s="10" t="s">
        <v>405</v>
      </c>
      <c r="B151" s="134">
        <v>45.75</v>
      </c>
      <c r="C151" s="134">
        <v>4.15</v>
      </c>
      <c r="D151" s="134">
        <v>14.05</v>
      </c>
      <c r="E151" s="134">
        <v>1.29</v>
      </c>
      <c r="F151" s="134">
        <v>0.94</v>
      </c>
      <c r="G151" s="134">
        <v>53.29</v>
      </c>
      <c r="H151" s="134">
        <v>25.34</v>
      </c>
      <c r="I151" s="134">
        <v>11.84</v>
      </c>
      <c r="J151" s="134">
        <v>6.56</v>
      </c>
      <c r="K151" s="134">
        <v>5.66</v>
      </c>
      <c r="L151" s="134">
        <v>-0.84</v>
      </c>
      <c r="M151" s="134">
        <v>-0.16</v>
      </c>
      <c r="N151" s="134">
        <v>1.66</v>
      </c>
      <c r="O151" s="134">
        <v>3.09</v>
      </c>
      <c r="P151" s="134">
        <v>-1.84</v>
      </c>
      <c r="Q151" s="134">
        <v>2.64</v>
      </c>
      <c r="R151" s="134">
        <v>9.18</v>
      </c>
      <c r="S151" s="134">
        <v>6.69</v>
      </c>
      <c r="T151" s="134">
        <v>15.95</v>
      </c>
      <c r="U151" s="134">
        <v>0.73</v>
      </c>
      <c r="V151" s="134">
        <v>0.27</v>
      </c>
      <c r="W151" s="134">
        <v>0.57</v>
      </c>
      <c r="X151" s="134">
        <v>3.76</v>
      </c>
      <c r="Y151" s="10">
        <v>6.48</v>
      </c>
      <c r="Z151" s="135">
        <v>58207.46</v>
      </c>
      <c r="AA151" s="134">
        <v>35.48</v>
      </c>
      <c r="AB151" s="134">
        <v>3.26</v>
      </c>
      <c r="AC151" s="134">
        <v>-0.28</v>
      </c>
      <c r="AD151" s="135">
        <v>8.87604301E8</v>
      </c>
    </row>
    <row r="152">
      <c r="A152" s="10" t="s">
        <v>345</v>
      </c>
      <c r="B152" s="134">
        <v>45.44</v>
      </c>
      <c r="C152" s="10">
        <v>4.18</v>
      </c>
      <c r="D152" s="134">
        <v>13.95</v>
      </c>
      <c r="E152" s="134">
        <v>1.28</v>
      </c>
      <c r="F152" s="134">
        <v>0.93</v>
      </c>
      <c r="G152" s="134">
        <v>53.29</v>
      </c>
      <c r="H152" s="134">
        <v>25.34</v>
      </c>
      <c r="I152" s="134">
        <v>11.84</v>
      </c>
      <c r="J152" s="134">
        <v>6.52</v>
      </c>
      <c r="K152" s="134">
        <v>5.66</v>
      </c>
      <c r="L152" s="134">
        <v>-0.84</v>
      </c>
      <c r="M152" s="134">
        <v>-0.16</v>
      </c>
      <c r="N152" s="134">
        <v>1.65</v>
      </c>
      <c r="O152" s="134">
        <v>3.07</v>
      </c>
      <c r="P152" s="134">
        <v>-1.83</v>
      </c>
      <c r="Q152" s="134">
        <v>2.64</v>
      </c>
      <c r="R152" s="136">
        <v>9.18</v>
      </c>
      <c r="S152" s="136">
        <v>6.69</v>
      </c>
      <c r="T152" s="136">
        <v>15.95</v>
      </c>
      <c r="U152" s="134">
        <v>0.73</v>
      </c>
      <c r="V152" s="134">
        <v>0.27</v>
      </c>
      <c r="W152" s="134">
        <v>0.57</v>
      </c>
      <c r="X152" s="10">
        <v>3.76</v>
      </c>
      <c r="Y152" s="10">
        <v>6.48</v>
      </c>
      <c r="Z152" s="135">
        <v>565649.79</v>
      </c>
      <c r="AA152" s="134">
        <v>35.48</v>
      </c>
      <c r="AB152" s="134">
        <v>3.26</v>
      </c>
      <c r="AC152" s="10">
        <v>-0.27</v>
      </c>
      <c r="AD152" s="135">
        <v>8.87604301E8</v>
      </c>
    </row>
    <row r="153">
      <c r="A153" s="10" t="s">
        <v>126</v>
      </c>
      <c r="B153" s="134">
        <v>2.29</v>
      </c>
      <c r="C153" s="134">
        <v>5.09</v>
      </c>
      <c r="D153" s="134">
        <v>-39.27</v>
      </c>
      <c r="E153" s="134">
        <v>0.63</v>
      </c>
      <c r="F153" s="134">
        <v>0.08</v>
      </c>
      <c r="G153" s="134">
        <v>28.0</v>
      </c>
      <c r="H153" s="134">
        <v>2.19</v>
      </c>
      <c r="I153" s="134">
        <v>-1.4</v>
      </c>
      <c r="J153" s="134">
        <v>25.03</v>
      </c>
      <c r="K153" s="134">
        <v>29.47</v>
      </c>
      <c r="L153" s="134">
        <v>4.34</v>
      </c>
      <c r="M153" s="134">
        <v>0.11</v>
      </c>
      <c r="N153" s="134">
        <v>0.55</v>
      </c>
      <c r="O153" s="134">
        <v>1.19</v>
      </c>
      <c r="P153" s="134">
        <v>-0.53</v>
      </c>
      <c r="Q153" s="134">
        <v>1.08</v>
      </c>
      <c r="R153" s="136">
        <v>-1.62</v>
      </c>
      <c r="S153" s="136">
        <v>-0.19</v>
      </c>
      <c r="T153" s="136">
        <v>-0.5</v>
      </c>
      <c r="U153" s="134">
        <v>0.12</v>
      </c>
      <c r="V153" s="134">
        <v>0.88</v>
      </c>
      <c r="W153" s="134">
        <v>0.14</v>
      </c>
      <c r="X153" s="134">
        <v>0.11</v>
      </c>
      <c r="Y153" s="134">
        <v>0.0</v>
      </c>
      <c r="Z153" s="136">
        <v>7.820121033E7</v>
      </c>
      <c r="AA153" s="134">
        <v>3.61</v>
      </c>
      <c r="AB153" s="134">
        <v>-0.06</v>
      </c>
      <c r="AC153" s="134">
        <v>0.32</v>
      </c>
      <c r="AD153" s="135">
        <v>6.2486746403E9</v>
      </c>
    </row>
    <row r="154">
      <c r="A154" s="10" t="s">
        <v>213</v>
      </c>
      <c r="B154" s="134">
        <v>22.96</v>
      </c>
      <c r="C154" s="134">
        <v>0.0</v>
      </c>
      <c r="D154" s="134">
        <v>219.68</v>
      </c>
      <c r="E154" s="134">
        <v>111.51</v>
      </c>
      <c r="F154" s="134">
        <v>16.15</v>
      </c>
      <c r="G154" s="134">
        <v>46.76</v>
      </c>
      <c r="H154" s="134">
        <v>19.74</v>
      </c>
      <c r="I154" s="134">
        <v>10.05</v>
      </c>
      <c r="J154" s="134">
        <v>111.87</v>
      </c>
      <c r="K154" s="134">
        <v>114.37</v>
      </c>
      <c r="L154" s="134">
        <v>2.44</v>
      </c>
      <c r="M154" s="134">
        <v>2.44</v>
      </c>
      <c r="N154" s="134">
        <v>22.09</v>
      </c>
      <c r="O154" s="134">
        <v>112.73</v>
      </c>
      <c r="P154" s="134">
        <v>-39.71</v>
      </c>
      <c r="Q154" s="134">
        <v>1.32</v>
      </c>
      <c r="R154" s="136">
        <v>50.76</v>
      </c>
      <c r="S154" s="136">
        <v>7.35</v>
      </c>
      <c r="T154" s="136">
        <v>17.0</v>
      </c>
      <c r="U154" s="134">
        <v>0.14</v>
      </c>
      <c r="V154" s="134">
        <v>0.86</v>
      </c>
      <c r="W154" s="134">
        <v>0.73</v>
      </c>
      <c r="X154" s="134">
        <v>0.0</v>
      </c>
      <c r="Y154" s="134">
        <v>0.0</v>
      </c>
      <c r="Z154" s="135">
        <v>1.64518255E7</v>
      </c>
      <c r="AA154" s="134">
        <v>0.21</v>
      </c>
      <c r="AB154" s="134">
        <v>0.1</v>
      </c>
      <c r="AC154" s="134">
        <v>0.0</v>
      </c>
      <c r="AD154" s="135">
        <v>4.3166615982E9</v>
      </c>
    </row>
    <row r="155">
      <c r="A155" s="10" t="s">
        <v>471</v>
      </c>
      <c r="B155" s="134">
        <v>69.0</v>
      </c>
      <c r="C155" s="134">
        <v>4.59</v>
      </c>
      <c r="D155" s="134">
        <v>4.34</v>
      </c>
      <c r="E155" s="134">
        <v>1.17</v>
      </c>
      <c r="F155" s="134">
        <v>0.22</v>
      </c>
      <c r="G155" s="134">
        <v>13.28</v>
      </c>
      <c r="H155" s="134">
        <v>8.14</v>
      </c>
      <c r="I155" s="134">
        <v>6.31</v>
      </c>
      <c r="J155" s="134">
        <v>3.37</v>
      </c>
      <c r="K155" s="134">
        <v>4.35</v>
      </c>
      <c r="L155" s="134">
        <v>1.04</v>
      </c>
      <c r="M155" s="134">
        <v>0.36</v>
      </c>
      <c r="N155" s="134">
        <v>0.27</v>
      </c>
      <c r="O155" s="134">
        <v>1.73</v>
      </c>
      <c r="P155" s="134">
        <v>-0.35</v>
      </c>
      <c r="Q155" s="134">
        <v>1.57</v>
      </c>
      <c r="R155" s="136">
        <v>26.85</v>
      </c>
      <c r="S155" s="136">
        <v>5.16</v>
      </c>
      <c r="T155" s="136">
        <v>12.55</v>
      </c>
      <c r="U155" s="134">
        <v>0.19</v>
      </c>
      <c r="V155" s="134">
        <v>0.81</v>
      </c>
      <c r="W155" s="134">
        <v>0.82</v>
      </c>
      <c r="X155" s="134">
        <v>4.67</v>
      </c>
      <c r="Y155" s="134">
        <v>36.24</v>
      </c>
      <c r="Z155" s="135">
        <v>37288.6</v>
      </c>
      <c r="AA155" s="134">
        <v>59.21</v>
      </c>
      <c r="AB155" s="134">
        <v>15.9</v>
      </c>
      <c r="AC155" s="134">
        <v>0.07</v>
      </c>
      <c r="AD155" s="135">
        <v>2.615350871E9</v>
      </c>
    </row>
    <row r="156">
      <c r="A156" s="10" t="s">
        <v>354</v>
      </c>
      <c r="B156" s="134">
        <v>67.0</v>
      </c>
      <c r="C156" s="134">
        <v>5.2</v>
      </c>
      <c r="D156" s="134">
        <v>4.21</v>
      </c>
      <c r="E156" s="134">
        <v>1.13</v>
      </c>
      <c r="F156" s="134">
        <v>0.22</v>
      </c>
      <c r="G156" s="134">
        <v>13.28</v>
      </c>
      <c r="H156" s="134">
        <v>8.14</v>
      </c>
      <c r="I156" s="134">
        <v>6.31</v>
      </c>
      <c r="J156" s="134">
        <v>3.27</v>
      </c>
      <c r="K156" s="134">
        <v>4.35</v>
      </c>
      <c r="L156" s="134">
        <v>1.04</v>
      </c>
      <c r="M156" s="134">
        <v>0.36</v>
      </c>
      <c r="N156" s="134">
        <v>0.27</v>
      </c>
      <c r="O156" s="134">
        <v>1.68</v>
      </c>
      <c r="P156" s="134">
        <v>-0.34</v>
      </c>
      <c r="Q156" s="134">
        <v>1.57</v>
      </c>
      <c r="R156" s="136">
        <v>26.85</v>
      </c>
      <c r="S156" s="136">
        <v>5.16</v>
      </c>
      <c r="T156" s="136">
        <v>12.55</v>
      </c>
      <c r="U156" s="134">
        <v>0.19</v>
      </c>
      <c r="V156" s="134">
        <v>0.81</v>
      </c>
      <c r="W156" s="134">
        <v>0.82</v>
      </c>
      <c r="X156" s="134">
        <v>4.67</v>
      </c>
      <c r="Y156" s="134">
        <v>36.24</v>
      </c>
      <c r="Z156" s="135">
        <v>217832.0</v>
      </c>
      <c r="AA156" s="134">
        <v>59.21</v>
      </c>
      <c r="AB156" s="134">
        <v>15.9</v>
      </c>
      <c r="AC156" s="134">
        <v>0.06</v>
      </c>
      <c r="AD156" s="135">
        <v>2.615350871E9</v>
      </c>
    </row>
    <row r="157">
      <c r="A157" s="10" t="s">
        <v>262</v>
      </c>
      <c r="B157" s="134">
        <v>17.06</v>
      </c>
      <c r="C157" s="134">
        <v>5.26</v>
      </c>
      <c r="D157" s="134">
        <v>6.8</v>
      </c>
      <c r="E157" s="134">
        <v>1.46</v>
      </c>
      <c r="F157" s="134">
        <v>0.54</v>
      </c>
      <c r="G157" s="134">
        <v>20.48</v>
      </c>
      <c r="H157" s="134">
        <v>23.59</v>
      </c>
      <c r="I157" s="134">
        <v>15.33</v>
      </c>
      <c r="J157" s="134">
        <v>4.42</v>
      </c>
      <c r="K157" s="134">
        <v>4.99</v>
      </c>
      <c r="L157" s="134">
        <v>1.1</v>
      </c>
      <c r="M157" s="134">
        <v>0.36</v>
      </c>
      <c r="N157" s="134">
        <v>1.04</v>
      </c>
      <c r="O157" s="134">
        <v>5.4</v>
      </c>
      <c r="P157" s="134">
        <v>-0.74</v>
      </c>
      <c r="Q157" s="134">
        <v>1.56</v>
      </c>
      <c r="R157" s="136">
        <v>21.4</v>
      </c>
      <c r="S157" s="136">
        <v>7.89</v>
      </c>
      <c r="T157" s="136">
        <v>15.61</v>
      </c>
      <c r="U157" s="134">
        <v>0.37</v>
      </c>
      <c r="V157" s="134">
        <v>0.63</v>
      </c>
      <c r="W157" s="134">
        <v>0.51</v>
      </c>
      <c r="X157" s="10">
        <v>2.9</v>
      </c>
      <c r="Y157" s="10">
        <v>11.46</v>
      </c>
      <c r="Z157" s="135">
        <v>9191360.04</v>
      </c>
      <c r="AA157" s="134">
        <v>11.72</v>
      </c>
      <c r="AB157" s="134">
        <v>2.51</v>
      </c>
      <c r="AC157" s="134">
        <v>0.03</v>
      </c>
      <c r="AD157" s="135">
        <v>2.543343320736E10</v>
      </c>
    </row>
    <row r="158">
      <c r="A158" s="10" t="s">
        <v>110</v>
      </c>
      <c r="B158" s="134">
        <v>14.0</v>
      </c>
      <c r="C158" s="10">
        <v>6.41</v>
      </c>
      <c r="D158" s="134">
        <v>5.58</v>
      </c>
      <c r="E158" s="134">
        <v>1.19</v>
      </c>
      <c r="F158" s="134">
        <v>0.44</v>
      </c>
      <c r="G158" s="10">
        <v>20.48</v>
      </c>
      <c r="H158" s="10">
        <v>23.59</v>
      </c>
      <c r="I158" s="10">
        <v>15.33</v>
      </c>
      <c r="J158" s="134">
        <v>3.63</v>
      </c>
      <c r="K158" s="134">
        <v>4.99</v>
      </c>
      <c r="L158" s="134">
        <v>1.1</v>
      </c>
      <c r="M158" s="134">
        <v>0.36</v>
      </c>
      <c r="N158" s="10">
        <v>0.86</v>
      </c>
      <c r="O158" s="134">
        <v>4.43</v>
      </c>
      <c r="P158" s="134">
        <v>-0.61</v>
      </c>
      <c r="Q158" s="134">
        <v>1.56</v>
      </c>
      <c r="R158" s="136">
        <v>21.4</v>
      </c>
      <c r="S158" s="136">
        <v>7.89</v>
      </c>
      <c r="T158" s="136">
        <v>15.61</v>
      </c>
      <c r="U158" s="134">
        <v>0.37</v>
      </c>
      <c r="V158" s="134">
        <v>0.63</v>
      </c>
      <c r="W158" s="134">
        <v>0.51</v>
      </c>
      <c r="X158" s="10">
        <v>2.9</v>
      </c>
      <c r="Y158" s="10">
        <v>11.46</v>
      </c>
      <c r="Z158" s="138">
        <v>1.3025924783E8</v>
      </c>
      <c r="AA158" s="134">
        <v>11.72</v>
      </c>
      <c r="AB158" s="134">
        <v>2.51</v>
      </c>
      <c r="AC158" s="134">
        <v>0.02</v>
      </c>
      <c r="AD158" s="136">
        <v>2.543343320736E10</v>
      </c>
    </row>
    <row r="159">
      <c r="A159" s="10" t="s">
        <v>145</v>
      </c>
      <c r="B159" s="134">
        <v>6.28</v>
      </c>
      <c r="C159" s="10">
        <v>6.08</v>
      </c>
      <c r="D159" s="134">
        <v>4.58</v>
      </c>
      <c r="E159" s="134">
        <v>2.27</v>
      </c>
      <c r="F159" s="134">
        <v>1.29</v>
      </c>
      <c r="G159" s="10">
        <v>65.85</v>
      </c>
      <c r="H159" s="10">
        <v>55.35</v>
      </c>
      <c r="I159" s="10">
        <v>34.22</v>
      </c>
      <c r="J159" s="134">
        <v>2.83</v>
      </c>
      <c r="K159" s="134">
        <v>2.37</v>
      </c>
      <c r="L159" s="134">
        <v>-0.48</v>
      </c>
      <c r="M159" s="134">
        <v>-0.38</v>
      </c>
      <c r="N159" s="10">
        <v>1.57</v>
      </c>
      <c r="O159" s="134">
        <v>4.7</v>
      </c>
      <c r="P159" s="134">
        <v>-2.6</v>
      </c>
      <c r="Q159" s="134">
        <v>2.17</v>
      </c>
      <c r="R159" s="134">
        <v>49.53</v>
      </c>
      <c r="S159" s="134">
        <v>28.08</v>
      </c>
      <c r="T159" s="134">
        <v>46.59</v>
      </c>
      <c r="U159" s="134">
        <v>0.57</v>
      </c>
      <c r="V159" s="134">
        <v>0.43</v>
      </c>
      <c r="W159" s="134">
        <v>0.82</v>
      </c>
      <c r="X159" s="10">
        <v>0.0</v>
      </c>
      <c r="Y159" s="10">
        <v>0.0</v>
      </c>
      <c r="Z159" s="138">
        <v>6.264953125E7</v>
      </c>
      <c r="AA159" s="134">
        <v>2.77</v>
      </c>
      <c r="AB159" s="134">
        <v>1.37</v>
      </c>
      <c r="AC159" s="134">
        <v>0.03</v>
      </c>
      <c r="AD159" s="136">
        <v>3.528076313078E10</v>
      </c>
    </row>
    <row r="160">
      <c r="A160" s="10" t="s">
        <v>595</v>
      </c>
      <c r="B160" s="134">
        <v>0.0</v>
      </c>
      <c r="C160" s="10">
        <v>0.0</v>
      </c>
      <c r="D160" s="134">
        <v>0.0</v>
      </c>
      <c r="E160" s="134">
        <v>0.0</v>
      </c>
      <c r="F160" s="134">
        <v>0.0</v>
      </c>
      <c r="G160" s="134">
        <v>0.0</v>
      </c>
      <c r="H160" s="134">
        <v>0.0</v>
      </c>
      <c r="I160" s="134">
        <v>0.0</v>
      </c>
      <c r="J160" s="134">
        <v>0.0</v>
      </c>
      <c r="K160" s="134">
        <v>0.56</v>
      </c>
      <c r="L160" s="134">
        <v>0.56</v>
      </c>
      <c r="M160" s="10">
        <v>-0.96</v>
      </c>
      <c r="N160" s="134">
        <v>0.0</v>
      </c>
      <c r="O160" s="134">
        <v>0.0</v>
      </c>
      <c r="P160" s="134">
        <v>0.0</v>
      </c>
      <c r="Q160" s="134">
        <v>259.59</v>
      </c>
      <c r="R160" s="134">
        <v>-170.08</v>
      </c>
      <c r="S160" s="134">
        <v>-169.45</v>
      </c>
      <c r="T160" s="134">
        <v>-170.76</v>
      </c>
      <c r="U160" s="134">
        <v>1.0</v>
      </c>
      <c r="V160" s="134">
        <v>0.0</v>
      </c>
      <c r="W160" s="134">
        <v>0.0</v>
      </c>
      <c r="X160" s="134">
        <v>0.0</v>
      </c>
      <c r="Y160" s="10">
        <v>0.0</v>
      </c>
      <c r="Z160" s="138">
        <v>0.0</v>
      </c>
      <c r="AA160" s="134">
        <v>0.0</v>
      </c>
      <c r="AB160" s="134">
        <v>0.0</v>
      </c>
      <c r="AC160" s="134">
        <v>0.0</v>
      </c>
      <c r="AD160" s="135">
        <v>0.0</v>
      </c>
    </row>
    <row r="161">
      <c r="A161" s="10" t="s">
        <v>596</v>
      </c>
      <c r="B161" s="134">
        <v>0.0</v>
      </c>
      <c r="C161" s="134">
        <v>0.0</v>
      </c>
      <c r="D161" s="134">
        <v>0.0</v>
      </c>
      <c r="E161" s="134">
        <v>0.0</v>
      </c>
      <c r="F161" s="134">
        <v>0.0</v>
      </c>
      <c r="G161" s="134">
        <v>0.0</v>
      </c>
      <c r="H161" s="134">
        <v>0.0</v>
      </c>
      <c r="I161" s="134">
        <v>0.0</v>
      </c>
      <c r="J161" s="134">
        <v>0.0</v>
      </c>
      <c r="K161" s="134">
        <v>0.56</v>
      </c>
      <c r="L161" s="134">
        <v>0.56</v>
      </c>
      <c r="M161" s="134">
        <v>-0.96</v>
      </c>
      <c r="N161" s="134">
        <v>0.0</v>
      </c>
      <c r="O161" s="134">
        <v>0.0</v>
      </c>
      <c r="P161" s="134">
        <v>0.0</v>
      </c>
      <c r="Q161" s="134">
        <v>259.59</v>
      </c>
      <c r="R161" s="134">
        <v>-170.08</v>
      </c>
      <c r="S161" s="134">
        <v>-169.45</v>
      </c>
      <c r="T161" s="134">
        <v>-170.76</v>
      </c>
      <c r="U161" s="134">
        <v>1.0</v>
      </c>
      <c r="V161" s="134">
        <v>0.0</v>
      </c>
      <c r="W161" s="134">
        <v>0.0</v>
      </c>
      <c r="X161" s="134">
        <v>0.0</v>
      </c>
      <c r="Y161" s="134">
        <v>0.0</v>
      </c>
      <c r="Z161" s="136">
        <v>0.0</v>
      </c>
      <c r="AA161" s="134">
        <v>0.0</v>
      </c>
      <c r="AB161" s="134">
        <v>0.0</v>
      </c>
      <c r="AC161" s="134">
        <v>0.0</v>
      </c>
      <c r="AD161" s="135">
        <v>0.0</v>
      </c>
    </row>
    <row r="162">
      <c r="A162" s="10" t="s">
        <v>597</v>
      </c>
      <c r="B162" s="134">
        <v>30.22</v>
      </c>
      <c r="C162" s="134">
        <v>0.0</v>
      </c>
      <c r="D162" s="134">
        <v>-17.74</v>
      </c>
      <c r="E162" s="134">
        <v>-30.5</v>
      </c>
      <c r="F162" s="134">
        <v>5.42</v>
      </c>
      <c r="G162" s="134">
        <v>-236.68</v>
      </c>
      <c r="H162" s="134">
        <v>-280.17</v>
      </c>
      <c r="I162" s="134">
        <v>-351.85</v>
      </c>
      <c r="J162" s="134">
        <v>-22.28</v>
      </c>
      <c r="K162" s="134">
        <v>-25.61</v>
      </c>
      <c r="L162" s="134">
        <v>-3.32</v>
      </c>
      <c r="M162" s="134">
        <v>0.0</v>
      </c>
      <c r="N162" s="134">
        <v>62.43</v>
      </c>
      <c r="O162" s="134">
        <v>-15.39</v>
      </c>
      <c r="P162" s="134">
        <v>-5.83</v>
      </c>
      <c r="Q162" s="134">
        <v>0.17</v>
      </c>
      <c r="R162" s="134">
        <v>-171.87</v>
      </c>
      <c r="S162" s="134">
        <v>-30.52</v>
      </c>
      <c r="T162" s="134">
        <v>-40.89</v>
      </c>
      <c r="U162" s="134">
        <v>-0.18</v>
      </c>
      <c r="V162" s="134">
        <v>1.18</v>
      </c>
      <c r="W162" s="134">
        <v>0.09</v>
      </c>
      <c r="X162" s="134">
        <v>-13.15</v>
      </c>
      <c r="Y162" s="134">
        <v>0.0</v>
      </c>
      <c r="Z162" s="135">
        <v>0.0</v>
      </c>
      <c r="AA162" s="134">
        <v>-0.99</v>
      </c>
      <c r="AB162" s="134">
        <v>-1.7</v>
      </c>
      <c r="AC162" s="134">
        <v>-0.09</v>
      </c>
      <c r="AD162" s="135">
        <v>9.3588508386E8</v>
      </c>
    </row>
    <row r="163">
      <c r="A163" s="10" t="s">
        <v>510</v>
      </c>
      <c r="B163" s="134">
        <v>65.9</v>
      </c>
      <c r="C163" s="134">
        <v>3.21</v>
      </c>
      <c r="D163" s="134">
        <v>11.86</v>
      </c>
      <c r="E163" s="134">
        <v>1.51</v>
      </c>
      <c r="F163" s="134">
        <v>0.5</v>
      </c>
      <c r="G163" s="134">
        <v>12.53</v>
      </c>
      <c r="H163" s="134">
        <v>8.52</v>
      </c>
      <c r="I163" s="134">
        <v>6.71</v>
      </c>
      <c r="J163" s="134">
        <v>9.34</v>
      </c>
      <c r="K163" s="134">
        <v>11.77</v>
      </c>
      <c r="L163" s="134">
        <v>4.96</v>
      </c>
      <c r="M163" s="134">
        <v>0.8</v>
      </c>
      <c r="N163" s="134">
        <v>0.8</v>
      </c>
      <c r="O163" s="134">
        <v>-704.66</v>
      </c>
      <c r="P163" s="134">
        <v>-0.69</v>
      </c>
      <c r="Q163" s="134">
        <v>1.0</v>
      </c>
      <c r="R163" s="134">
        <v>12.7</v>
      </c>
      <c r="S163" s="134">
        <v>4.23</v>
      </c>
      <c r="T163" s="134">
        <v>5.86</v>
      </c>
      <c r="U163" s="134">
        <v>0.33</v>
      </c>
      <c r="V163" s="134">
        <v>0.67</v>
      </c>
      <c r="W163" s="134">
        <v>0.63</v>
      </c>
      <c r="X163" s="134">
        <v>7.29</v>
      </c>
      <c r="Y163" s="134">
        <v>3.57</v>
      </c>
      <c r="Z163" s="138">
        <v>6590.0</v>
      </c>
      <c r="AA163" s="134">
        <v>43.75</v>
      </c>
      <c r="AB163" s="134">
        <v>5.56</v>
      </c>
      <c r="AC163" s="134">
        <v>0.93</v>
      </c>
      <c r="AD163" s="135">
        <v>3.73870077784E9</v>
      </c>
    </row>
    <row r="164">
      <c r="A164" s="10" t="s">
        <v>324</v>
      </c>
      <c r="B164" s="134">
        <v>57.15</v>
      </c>
      <c r="C164" s="10">
        <v>3.7</v>
      </c>
      <c r="D164" s="134">
        <v>10.28</v>
      </c>
      <c r="E164" s="134">
        <v>1.31</v>
      </c>
      <c r="F164" s="134">
        <v>0.44</v>
      </c>
      <c r="G164" s="134">
        <v>12.53</v>
      </c>
      <c r="H164" s="134">
        <v>8.52</v>
      </c>
      <c r="I164" s="134">
        <v>6.71</v>
      </c>
      <c r="J164" s="134">
        <v>8.1</v>
      </c>
      <c r="K164" s="134">
        <v>11.77</v>
      </c>
      <c r="L164" s="134">
        <v>4.96</v>
      </c>
      <c r="M164" s="134">
        <v>0.8</v>
      </c>
      <c r="N164" s="134">
        <v>0.69</v>
      </c>
      <c r="O164" s="134">
        <v>-611.1</v>
      </c>
      <c r="P164" s="134">
        <v>-0.6</v>
      </c>
      <c r="Q164" s="134">
        <v>1.0</v>
      </c>
      <c r="R164" s="136">
        <v>12.7</v>
      </c>
      <c r="S164" s="134">
        <v>4.23</v>
      </c>
      <c r="T164" s="136">
        <v>5.86</v>
      </c>
      <c r="U164" s="134">
        <v>0.33</v>
      </c>
      <c r="V164" s="134">
        <v>0.67</v>
      </c>
      <c r="W164" s="134">
        <v>0.63</v>
      </c>
      <c r="X164" s="134">
        <v>7.29</v>
      </c>
      <c r="Y164" s="10">
        <v>3.57</v>
      </c>
      <c r="Z164" s="135">
        <v>1238695.75</v>
      </c>
      <c r="AA164" s="134">
        <v>43.75</v>
      </c>
      <c r="AB164" s="134">
        <v>5.56</v>
      </c>
      <c r="AC164" s="134">
        <v>0.81</v>
      </c>
      <c r="AD164" s="135">
        <v>3.73870077784E9</v>
      </c>
    </row>
    <row r="165">
      <c r="A165" s="10" t="s">
        <v>598</v>
      </c>
      <c r="B165" s="134">
        <v>19.17</v>
      </c>
      <c r="C165" s="10">
        <v>11.03</v>
      </c>
      <c r="D165" s="134">
        <v>3.45</v>
      </c>
      <c r="E165" s="134">
        <v>0.44</v>
      </c>
      <c r="F165" s="134">
        <v>0.15</v>
      </c>
      <c r="G165" s="134">
        <v>12.53</v>
      </c>
      <c r="H165" s="134">
        <v>8.52</v>
      </c>
      <c r="I165" s="134">
        <v>6.71</v>
      </c>
      <c r="J165" s="134">
        <v>2.72</v>
      </c>
      <c r="K165" s="134">
        <v>11.77</v>
      </c>
      <c r="L165" s="134">
        <v>4.96</v>
      </c>
      <c r="M165" s="134">
        <v>0.8</v>
      </c>
      <c r="N165" s="134">
        <v>0.23</v>
      </c>
      <c r="O165" s="134">
        <v>-204.98</v>
      </c>
      <c r="P165" s="134">
        <v>-0.2</v>
      </c>
      <c r="Q165" s="134">
        <v>1.0</v>
      </c>
      <c r="R165" s="136">
        <v>12.7</v>
      </c>
      <c r="S165" s="134">
        <v>4.23</v>
      </c>
      <c r="T165" s="136">
        <v>5.86</v>
      </c>
      <c r="U165" s="134">
        <v>0.33</v>
      </c>
      <c r="V165" s="134">
        <v>0.67</v>
      </c>
      <c r="W165" s="134">
        <v>0.63</v>
      </c>
      <c r="X165" s="134">
        <v>7.29</v>
      </c>
      <c r="Y165" s="10">
        <v>3.57</v>
      </c>
      <c r="Z165" s="138">
        <v>0.0</v>
      </c>
      <c r="AA165" s="134">
        <v>43.75</v>
      </c>
      <c r="AB165" s="134">
        <v>5.56</v>
      </c>
      <c r="AC165" s="134">
        <v>0.27</v>
      </c>
      <c r="AD165" s="135">
        <v>3.73870077784E9</v>
      </c>
    </row>
    <row r="166">
      <c r="A166" s="10" t="s">
        <v>105</v>
      </c>
      <c r="B166" s="134">
        <v>2.81</v>
      </c>
      <c r="C166" s="134">
        <v>0.0</v>
      </c>
      <c r="D166" s="134">
        <v>-0.96</v>
      </c>
      <c r="E166" s="134">
        <v>0.4</v>
      </c>
      <c r="F166" s="134">
        <v>0.18</v>
      </c>
      <c r="G166" s="134">
        <v>64.58</v>
      </c>
      <c r="H166" s="134">
        <v>-63.84</v>
      </c>
      <c r="I166" s="134">
        <v>-121.4</v>
      </c>
      <c r="J166" s="134">
        <v>-1.82</v>
      </c>
      <c r="K166" s="134">
        <v>-4.0</v>
      </c>
      <c r="L166" s="134">
        <v>-2.15</v>
      </c>
      <c r="M166" s="134">
        <v>0.48</v>
      </c>
      <c r="N166" s="134">
        <v>1.16</v>
      </c>
      <c r="O166" s="134">
        <v>1.35</v>
      </c>
      <c r="P166" s="134">
        <v>-0.25</v>
      </c>
      <c r="Q166" s="134">
        <v>1.89</v>
      </c>
      <c r="R166" s="136">
        <v>-42.12</v>
      </c>
      <c r="S166" s="134">
        <v>-18.55</v>
      </c>
      <c r="T166" s="136">
        <v>-12.66</v>
      </c>
      <c r="U166" s="134">
        <v>0.44</v>
      </c>
      <c r="V166" s="134">
        <v>0.52</v>
      </c>
      <c r="W166" s="134">
        <v>0.15</v>
      </c>
      <c r="X166" s="134">
        <v>0.02</v>
      </c>
      <c r="Y166" s="10">
        <v>0.0</v>
      </c>
      <c r="Z166" s="140">
        <v>1.1457076458E8</v>
      </c>
      <c r="AA166" s="134">
        <v>6.95</v>
      </c>
      <c r="AB166" s="134">
        <v>-2.93</v>
      </c>
      <c r="AC166" s="134">
        <v>0.0</v>
      </c>
      <c r="AD166" s="135">
        <v>5.3295616364E9</v>
      </c>
    </row>
    <row r="167">
      <c r="A167" s="10" t="s">
        <v>599</v>
      </c>
      <c r="B167" s="134">
        <v>2.71</v>
      </c>
      <c r="C167" s="134">
        <v>0.0</v>
      </c>
      <c r="D167" s="134">
        <v>0.01</v>
      </c>
      <c r="E167" s="134">
        <v>0.17</v>
      </c>
      <c r="F167" s="134">
        <v>0.0</v>
      </c>
      <c r="G167" s="134">
        <v>77.16</v>
      </c>
      <c r="H167" s="134">
        <v>28.59</v>
      </c>
      <c r="I167" s="134">
        <v>27.09</v>
      </c>
      <c r="J167" s="134">
        <v>0.01</v>
      </c>
      <c r="K167" s="134">
        <v>-2.53</v>
      </c>
      <c r="L167" s="134">
        <v>-2.75</v>
      </c>
      <c r="M167" s="134">
        <v>-40.8</v>
      </c>
      <c r="N167" s="134">
        <v>0.0</v>
      </c>
      <c r="O167" s="134">
        <v>0.0</v>
      </c>
      <c r="P167" s="134">
        <v>-0.02</v>
      </c>
      <c r="Q167" s="134">
        <v>27.03</v>
      </c>
      <c r="R167" s="136">
        <v>1403.96</v>
      </c>
      <c r="S167" s="134">
        <v>24.34</v>
      </c>
      <c r="T167" s="136">
        <v>1220.05</v>
      </c>
      <c r="U167" s="134">
        <v>0.02</v>
      </c>
      <c r="V167" s="134">
        <v>0.98</v>
      </c>
      <c r="W167" s="134">
        <v>0.9</v>
      </c>
      <c r="X167" s="134">
        <v>44.77</v>
      </c>
      <c r="Y167" s="134">
        <v>0.0</v>
      </c>
      <c r="Z167" s="135">
        <v>0.0</v>
      </c>
      <c r="AA167" s="134">
        <v>16.37</v>
      </c>
      <c r="AB167" s="134">
        <v>229.82</v>
      </c>
      <c r="AC167" s="134">
        <v>0.0</v>
      </c>
      <c r="AD167" s="135">
        <v>1278894.65</v>
      </c>
    </row>
    <row r="168">
      <c r="A168" s="10" t="s">
        <v>548</v>
      </c>
      <c r="B168" s="134">
        <v>82.0</v>
      </c>
      <c r="C168" s="134">
        <v>7.5</v>
      </c>
      <c r="D168" s="134">
        <v>0.36</v>
      </c>
      <c r="E168" s="134">
        <v>5.01</v>
      </c>
      <c r="F168" s="134">
        <v>0.09</v>
      </c>
      <c r="G168" s="134">
        <v>77.16</v>
      </c>
      <c r="H168" s="134">
        <v>28.59</v>
      </c>
      <c r="I168" s="134">
        <v>27.09</v>
      </c>
      <c r="J168" s="134">
        <v>0.34</v>
      </c>
      <c r="K168" s="134">
        <v>-2.53</v>
      </c>
      <c r="L168" s="134">
        <v>-2.75</v>
      </c>
      <c r="M168" s="134">
        <v>-40.8</v>
      </c>
      <c r="N168" s="134">
        <v>0.1</v>
      </c>
      <c r="O168" s="134">
        <v>0.11</v>
      </c>
      <c r="P168" s="134">
        <v>-0.46</v>
      </c>
      <c r="Q168" s="134">
        <v>27.03</v>
      </c>
      <c r="R168" s="136">
        <v>1403.96</v>
      </c>
      <c r="S168" s="134">
        <v>24.34</v>
      </c>
      <c r="T168" s="136">
        <v>1220.05</v>
      </c>
      <c r="U168" s="134">
        <v>0.02</v>
      </c>
      <c r="V168" s="134">
        <v>0.98</v>
      </c>
      <c r="W168" s="134">
        <v>0.9</v>
      </c>
      <c r="X168" s="134">
        <v>44.77</v>
      </c>
      <c r="Y168" s="134">
        <v>0.0</v>
      </c>
      <c r="Z168" s="135">
        <v>0.0</v>
      </c>
      <c r="AA168" s="134">
        <v>16.37</v>
      </c>
      <c r="AB168" s="134">
        <v>229.82</v>
      </c>
      <c r="AC168" s="134">
        <v>0.0</v>
      </c>
      <c r="AD168" s="135">
        <v>1278894.65</v>
      </c>
    </row>
    <row r="169">
      <c r="A169" s="10" t="s">
        <v>142</v>
      </c>
      <c r="B169" s="134">
        <v>26.01</v>
      </c>
      <c r="C169" s="134">
        <v>11.55</v>
      </c>
      <c r="D169" s="134">
        <v>6.88</v>
      </c>
      <c r="E169" s="134">
        <v>1.99</v>
      </c>
      <c r="F169" s="134">
        <v>0.53</v>
      </c>
      <c r="G169" s="134">
        <v>23.45</v>
      </c>
      <c r="H169" s="136">
        <v>18.25</v>
      </c>
      <c r="I169" s="136">
        <v>12.75</v>
      </c>
      <c r="J169" s="134">
        <v>4.81</v>
      </c>
      <c r="K169" s="134">
        <v>7.05</v>
      </c>
      <c r="L169" s="134">
        <v>2.24</v>
      </c>
      <c r="M169" s="134">
        <v>0.93</v>
      </c>
      <c r="N169" s="134">
        <v>0.88</v>
      </c>
      <c r="O169" s="134">
        <v>-29.2</v>
      </c>
      <c r="P169" s="134">
        <v>-0.67</v>
      </c>
      <c r="Q169" s="134">
        <v>0.92</v>
      </c>
      <c r="R169" s="134">
        <v>28.86</v>
      </c>
      <c r="S169" s="134">
        <v>7.76</v>
      </c>
      <c r="T169" s="134">
        <v>15.21</v>
      </c>
      <c r="U169" s="134">
        <v>0.27</v>
      </c>
      <c r="V169" s="134">
        <v>0.73</v>
      </c>
      <c r="W169" s="134">
        <v>0.61</v>
      </c>
      <c r="X169" s="134">
        <v>8.45</v>
      </c>
      <c r="Y169" s="134">
        <v>38.17</v>
      </c>
      <c r="Z169" s="135">
        <v>5.4702308E7</v>
      </c>
      <c r="AA169" s="134">
        <v>13.1</v>
      </c>
      <c r="AB169" s="134">
        <v>3.78</v>
      </c>
      <c r="AC169" s="134">
        <v>0.13</v>
      </c>
      <c r="AD169" s="135">
        <v>2.99931830732E10</v>
      </c>
    </row>
    <row r="170">
      <c r="A170" s="10" t="s">
        <v>227</v>
      </c>
      <c r="B170" s="134">
        <v>31.89</v>
      </c>
      <c r="C170" s="134">
        <v>9.6</v>
      </c>
      <c r="D170" s="134">
        <v>4.96</v>
      </c>
      <c r="E170" s="134">
        <v>0.87</v>
      </c>
      <c r="F170" s="134">
        <v>0.37</v>
      </c>
      <c r="G170" s="134">
        <v>24.81</v>
      </c>
      <c r="H170" s="136">
        <v>20.66</v>
      </c>
      <c r="I170" s="136">
        <v>17.4</v>
      </c>
      <c r="J170" s="134">
        <v>4.18</v>
      </c>
      <c r="K170" s="134">
        <v>6.15</v>
      </c>
      <c r="L170" s="134">
        <v>1.95</v>
      </c>
      <c r="M170" s="134">
        <v>0.4</v>
      </c>
      <c r="N170" s="134">
        <v>0.86</v>
      </c>
      <c r="O170" s="134">
        <v>57.32</v>
      </c>
      <c r="P170" s="134">
        <v>-0.47</v>
      </c>
      <c r="Q170" s="134">
        <v>1.03</v>
      </c>
      <c r="R170" s="134">
        <v>17.45</v>
      </c>
      <c r="S170" s="134">
        <v>7.43</v>
      </c>
      <c r="T170" s="134">
        <v>11.29</v>
      </c>
      <c r="U170" s="134">
        <v>0.43</v>
      </c>
      <c r="V170" s="134">
        <v>0.57</v>
      </c>
      <c r="W170" s="134">
        <v>0.43</v>
      </c>
      <c r="X170" s="134">
        <v>4.51</v>
      </c>
      <c r="Y170" s="134">
        <v>24.16</v>
      </c>
      <c r="Z170" s="136">
        <v>1.962583025E7</v>
      </c>
      <c r="AA170" s="134">
        <v>36.86</v>
      </c>
      <c r="AB170" s="134">
        <v>6.43</v>
      </c>
      <c r="AC170" s="134">
        <v>-0.77</v>
      </c>
      <c r="AD170" s="135">
        <v>1.75303633225E10</v>
      </c>
    </row>
    <row r="171">
      <c r="A171" s="10" t="s">
        <v>226</v>
      </c>
      <c r="B171" s="134">
        <v>5.9</v>
      </c>
      <c r="C171" s="134">
        <v>23.3</v>
      </c>
      <c r="D171" s="134">
        <v>4.59</v>
      </c>
      <c r="E171" s="134">
        <v>0.8</v>
      </c>
      <c r="F171" s="134">
        <v>0.34</v>
      </c>
      <c r="G171" s="134">
        <v>24.81</v>
      </c>
      <c r="H171" s="136">
        <v>20.66</v>
      </c>
      <c r="I171" s="136">
        <v>17.4</v>
      </c>
      <c r="J171" s="134">
        <v>3.86</v>
      </c>
      <c r="K171" s="134">
        <v>6.15</v>
      </c>
      <c r="L171" s="134">
        <v>1.95</v>
      </c>
      <c r="M171" s="134">
        <v>0.4</v>
      </c>
      <c r="N171" s="134">
        <v>0.8</v>
      </c>
      <c r="O171" s="134">
        <v>53.02</v>
      </c>
      <c r="P171" s="134">
        <v>-0.43</v>
      </c>
      <c r="Q171" s="134">
        <v>1.03</v>
      </c>
      <c r="R171" s="134">
        <v>17.45</v>
      </c>
      <c r="S171" s="134">
        <v>7.43</v>
      </c>
      <c r="T171" s="134">
        <v>11.29</v>
      </c>
      <c r="U171" s="134">
        <v>0.43</v>
      </c>
      <c r="V171" s="134">
        <v>0.57</v>
      </c>
      <c r="W171" s="134">
        <v>0.43</v>
      </c>
      <c r="X171" s="134">
        <v>4.51</v>
      </c>
      <c r="Y171" s="134">
        <v>24.16</v>
      </c>
      <c r="Z171" s="135">
        <v>2.161153946E7</v>
      </c>
      <c r="AA171" s="134">
        <v>7.37</v>
      </c>
      <c r="AB171" s="134">
        <v>1.29</v>
      </c>
      <c r="AC171" s="134">
        <v>-0.72</v>
      </c>
      <c r="AD171" s="135">
        <v>1.75303633225E10</v>
      </c>
    </row>
    <row r="172">
      <c r="A172" s="10" t="s">
        <v>476</v>
      </c>
      <c r="B172" s="134">
        <v>49.9</v>
      </c>
      <c r="C172" s="10">
        <v>3.16</v>
      </c>
      <c r="D172" s="134">
        <v>38.8</v>
      </c>
      <c r="E172" s="134">
        <v>6.77</v>
      </c>
      <c r="F172" s="134">
        <v>2.88</v>
      </c>
      <c r="G172" s="134">
        <v>24.81</v>
      </c>
      <c r="H172" s="136">
        <v>20.66</v>
      </c>
      <c r="I172" s="136">
        <v>17.4</v>
      </c>
      <c r="J172" s="134">
        <v>32.68</v>
      </c>
      <c r="K172" s="134">
        <v>6.15</v>
      </c>
      <c r="L172" s="134">
        <v>1.95</v>
      </c>
      <c r="M172" s="134">
        <v>0.4</v>
      </c>
      <c r="N172" s="134">
        <v>6.75</v>
      </c>
      <c r="O172" s="134">
        <v>448.45</v>
      </c>
      <c r="P172" s="134">
        <v>-3.67</v>
      </c>
      <c r="Q172" s="134">
        <v>1.03</v>
      </c>
      <c r="R172" s="134">
        <v>17.45</v>
      </c>
      <c r="S172" s="134">
        <v>7.43</v>
      </c>
      <c r="T172" s="134">
        <v>11.29</v>
      </c>
      <c r="U172" s="134">
        <v>0.43</v>
      </c>
      <c r="V172" s="134">
        <v>0.57</v>
      </c>
      <c r="W172" s="134">
        <v>0.43</v>
      </c>
      <c r="X172" s="134">
        <v>4.51</v>
      </c>
      <c r="Y172" s="10">
        <v>24.16</v>
      </c>
      <c r="Z172" s="138">
        <v>18616.0</v>
      </c>
      <c r="AA172" s="134">
        <v>7.37</v>
      </c>
      <c r="AB172" s="134">
        <v>1.29</v>
      </c>
      <c r="AC172" s="134">
        <v>-6.06</v>
      </c>
      <c r="AD172" s="135">
        <v>1.75303633225E10</v>
      </c>
    </row>
    <row r="173">
      <c r="A173" s="10" t="s">
        <v>118</v>
      </c>
      <c r="B173" s="134">
        <v>6.53</v>
      </c>
      <c r="C173" s="10">
        <v>23.16</v>
      </c>
      <c r="D173" s="134">
        <v>5.08</v>
      </c>
      <c r="E173" s="134">
        <v>0.89</v>
      </c>
      <c r="F173" s="134">
        <v>0.38</v>
      </c>
      <c r="G173" s="134">
        <v>24.81</v>
      </c>
      <c r="H173" s="136">
        <v>20.66</v>
      </c>
      <c r="I173" s="136">
        <v>17.4</v>
      </c>
      <c r="J173" s="134">
        <v>4.28</v>
      </c>
      <c r="K173" s="134">
        <v>6.15</v>
      </c>
      <c r="L173" s="134">
        <v>1.95</v>
      </c>
      <c r="M173" s="134">
        <v>0.4</v>
      </c>
      <c r="N173" s="134">
        <v>0.88</v>
      </c>
      <c r="O173" s="134">
        <v>58.69</v>
      </c>
      <c r="P173" s="134">
        <v>-0.48</v>
      </c>
      <c r="Q173" s="134">
        <v>1.03</v>
      </c>
      <c r="R173" s="134">
        <v>17.45</v>
      </c>
      <c r="S173" s="134">
        <v>7.43</v>
      </c>
      <c r="T173" s="134">
        <v>11.29</v>
      </c>
      <c r="U173" s="134">
        <v>0.43</v>
      </c>
      <c r="V173" s="134">
        <v>0.57</v>
      </c>
      <c r="W173" s="134">
        <v>0.43</v>
      </c>
      <c r="X173" s="134">
        <v>4.51</v>
      </c>
      <c r="Y173" s="10">
        <v>24.16</v>
      </c>
      <c r="Z173" s="139">
        <v>1.1983282392E8</v>
      </c>
      <c r="AA173" s="134">
        <v>7.37</v>
      </c>
      <c r="AB173" s="134">
        <v>1.29</v>
      </c>
      <c r="AC173" s="134">
        <v>-0.79</v>
      </c>
      <c r="AD173" s="135">
        <v>1.75303633225E10</v>
      </c>
    </row>
    <row r="174">
      <c r="A174" s="10" t="s">
        <v>600</v>
      </c>
      <c r="B174" s="134">
        <v>18.23</v>
      </c>
      <c r="C174" s="10">
        <v>0.0</v>
      </c>
      <c r="D174" s="134">
        <v>8.13</v>
      </c>
      <c r="E174" s="134">
        <v>1.94</v>
      </c>
      <c r="F174" s="134">
        <v>0.9</v>
      </c>
      <c r="G174" s="134">
        <v>61.25</v>
      </c>
      <c r="H174" s="136">
        <v>50.17</v>
      </c>
      <c r="I174" s="136">
        <v>45.87</v>
      </c>
      <c r="J174" s="134">
        <v>7.43</v>
      </c>
      <c r="K174" s="134">
        <v>8.39</v>
      </c>
      <c r="L174" s="134">
        <v>0.96</v>
      </c>
      <c r="M174" s="134">
        <v>0.25</v>
      </c>
      <c r="N174" s="134">
        <v>3.73</v>
      </c>
      <c r="O174" s="134">
        <v>-4.5</v>
      </c>
      <c r="P174" s="134">
        <v>-1.01</v>
      </c>
      <c r="Q174" s="134">
        <v>0.35</v>
      </c>
      <c r="R174" s="134">
        <v>23.89</v>
      </c>
      <c r="S174" s="134">
        <v>11.13</v>
      </c>
      <c r="T174" s="134">
        <v>17.17</v>
      </c>
      <c r="U174" s="134">
        <v>0.47</v>
      </c>
      <c r="V174" s="134">
        <v>0.53</v>
      </c>
      <c r="W174" s="134">
        <v>0.24</v>
      </c>
      <c r="X174" s="134">
        <v>7.96</v>
      </c>
      <c r="Y174" s="10">
        <v>0.0</v>
      </c>
      <c r="Z174" s="138">
        <v>0.0</v>
      </c>
      <c r="AA174" s="134">
        <v>9.39</v>
      </c>
      <c r="AB174" s="134">
        <v>2.24</v>
      </c>
      <c r="AC174" s="134">
        <v>0.01</v>
      </c>
      <c r="AD174" s="135">
        <v>1.082465504792E10</v>
      </c>
    </row>
    <row r="175">
      <c r="A175" s="10" t="s">
        <v>514</v>
      </c>
      <c r="B175" s="134">
        <v>21.5</v>
      </c>
      <c r="C175" s="134">
        <v>0.0</v>
      </c>
      <c r="D175" s="134">
        <v>-3.05</v>
      </c>
      <c r="E175" s="134">
        <v>0.5</v>
      </c>
      <c r="F175" s="134">
        <v>0.45</v>
      </c>
      <c r="G175" s="134">
        <v>-18.7</v>
      </c>
      <c r="H175" s="136">
        <v>-828.63</v>
      </c>
      <c r="I175" s="136">
        <v>-868.67</v>
      </c>
      <c r="J175" s="134">
        <v>-3.2</v>
      </c>
      <c r="K175" s="134">
        <v>-2.18</v>
      </c>
      <c r="L175" s="134">
        <v>1.02</v>
      </c>
      <c r="M175" s="134">
        <v>-0.16</v>
      </c>
      <c r="N175" s="134">
        <v>26.53</v>
      </c>
      <c r="O175" s="134">
        <v>3.58</v>
      </c>
      <c r="P175" s="134">
        <v>-0.55</v>
      </c>
      <c r="Q175" s="134">
        <v>2.82</v>
      </c>
      <c r="R175" s="134">
        <v>-16.34</v>
      </c>
      <c r="S175" s="134">
        <v>-14.58</v>
      </c>
      <c r="T175" s="134">
        <v>-17.06</v>
      </c>
      <c r="U175" s="134">
        <v>0.89</v>
      </c>
      <c r="V175" s="134">
        <v>0.11</v>
      </c>
      <c r="W175" s="134">
        <v>0.02</v>
      </c>
      <c r="X175" s="134">
        <v>-41.45</v>
      </c>
      <c r="Y175" s="134">
        <v>0.0</v>
      </c>
      <c r="Z175" s="135">
        <v>14318.2</v>
      </c>
      <c r="AA175" s="134">
        <v>43.1</v>
      </c>
      <c r="AB175" s="134">
        <v>-7.04</v>
      </c>
      <c r="AC175" s="134">
        <v>-0.01</v>
      </c>
      <c r="AD175" s="135">
        <v>5.20762895E7</v>
      </c>
    </row>
    <row r="176">
      <c r="A176" s="10" t="s">
        <v>601</v>
      </c>
      <c r="B176" s="134">
        <v>14.5</v>
      </c>
      <c r="C176" s="10">
        <v>0.0</v>
      </c>
      <c r="D176" s="134">
        <v>32.7</v>
      </c>
      <c r="E176" s="134">
        <v>2.45</v>
      </c>
      <c r="F176" s="134">
        <v>0.67</v>
      </c>
      <c r="G176" s="134">
        <v>30.3</v>
      </c>
      <c r="H176" s="136">
        <v>7.39</v>
      </c>
      <c r="I176" s="136">
        <v>2.1</v>
      </c>
      <c r="J176" s="134">
        <v>9.28</v>
      </c>
      <c r="K176" s="134">
        <v>13.11</v>
      </c>
      <c r="L176" s="10">
        <v>3.84</v>
      </c>
      <c r="M176" s="10">
        <v>1.01</v>
      </c>
      <c r="N176" s="134">
        <v>0.69</v>
      </c>
      <c r="O176" s="134">
        <v>4.89</v>
      </c>
      <c r="P176" s="134">
        <v>-1.69</v>
      </c>
      <c r="Q176" s="134">
        <v>1.29</v>
      </c>
      <c r="R176" s="134">
        <v>7.5</v>
      </c>
      <c r="S176" s="134">
        <v>2.05</v>
      </c>
      <c r="T176" s="10">
        <v>9.29</v>
      </c>
      <c r="U176" s="134">
        <v>0.27</v>
      </c>
      <c r="V176" s="134">
        <v>0.73</v>
      </c>
      <c r="W176" s="134">
        <v>0.98</v>
      </c>
      <c r="X176" s="134">
        <v>1.09</v>
      </c>
      <c r="Y176" s="134">
        <v>0.0</v>
      </c>
      <c r="Z176" s="136">
        <v>0.0</v>
      </c>
      <c r="AA176" s="134">
        <v>5.91</v>
      </c>
      <c r="AB176" s="134">
        <v>0.44</v>
      </c>
      <c r="AC176" s="134">
        <v>22.14</v>
      </c>
      <c r="AD176" s="135">
        <v>4.65122474E8</v>
      </c>
    </row>
    <row r="177">
      <c r="A177" s="10" t="s">
        <v>130</v>
      </c>
      <c r="B177" s="134">
        <v>18.09</v>
      </c>
      <c r="C177" s="134">
        <v>2.6</v>
      </c>
      <c r="D177" s="134">
        <v>11.54</v>
      </c>
      <c r="E177" s="134">
        <v>2.21</v>
      </c>
      <c r="F177" s="134">
        <v>0.7</v>
      </c>
      <c r="G177" s="134">
        <v>18.96</v>
      </c>
      <c r="H177" s="136">
        <v>6.48</v>
      </c>
      <c r="I177" s="136">
        <v>4.15</v>
      </c>
      <c r="J177" s="134">
        <v>7.38</v>
      </c>
      <c r="K177" s="134">
        <v>8.93</v>
      </c>
      <c r="L177" s="10">
        <v>1.55</v>
      </c>
      <c r="M177" s="10">
        <v>0.46</v>
      </c>
      <c r="N177" s="134">
        <v>0.48</v>
      </c>
      <c r="O177" s="134">
        <v>-84.11</v>
      </c>
      <c r="P177" s="134">
        <v>-1.33</v>
      </c>
      <c r="Q177" s="134">
        <v>0.98</v>
      </c>
      <c r="R177" s="134">
        <v>19.11</v>
      </c>
      <c r="S177" s="134">
        <v>6.03</v>
      </c>
      <c r="T177" s="10">
        <v>14.13</v>
      </c>
      <c r="U177" s="134">
        <v>0.32</v>
      </c>
      <c r="V177" s="134">
        <v>0.66</v>
      </c>
      <c r="W177" s="134">
        <v>1.46</v>
      </c>
      <c r="X177" s="134">
        <v>11.38</v>
      </c>
      <c r="Y177" s="134">
        <v>32.35</v>
      </c>
      <c r="Z177" s="136">
        <v>9.156961675E7</v>
      </c>
      <c r="AA177" s="134">
        <v>8.2</v>
      </c>
      <c r="AB177" s="134">
        <v>1.57</v>
      </c>
      <c r="AC177" s="134">
        <v>0.25</v>
      </c>
      <c r="AD177" s="135">
        <v>3.59147924595E10</v>
      </c>
    </row>
    <row r="178">
      <c r="A178" s="10" t="s">
        <v>520</v>
      </c>
      <c r="B178" s="134">
        <v>5.06</v>
      </c>
      <c r="C178" s="134">
        <v>0.0</v>
      </c>
      <c r="D178" s="136">
        <v>9.54</v>
      </c>
      <c r="E178" s="134">
        <v>0.52</v>
      </c>
      <c r="F178" s="134">
        <v>0.08</v>
      </c>
      <c r="G178" s="134">
        <v>73.44</v>
      </c>
      <c r="H178" s="136">
        <v>12.33</v>
      </c>
      <c r="I178" s="136">
        <v>9.29</v>
      </c>
      <c r="J178" s="134">
        <v>7.19</v>
      </c>
      <c r="K178" s="134">
        <v>7.75</v>
      </c>
      <c r="L178" s="134">
        <v>0.0</v>
      </c>
      <c r="M178" s="134">
        <v>0.0</v>
      </c>
      <c r="N178" s="134">
        <v>0.89</v>
      </c>
      <c r="O178" s="134">
        <v>0.33</v>
      </c>
      <c r="P178" s="134">
        <v>-0.11</v>
      </c>
      <c r="Q178" s="134">
        <v>6.72</v>
      </c>
      <c r="R178" s="136">
        <v>5.46</v>
      </c>
      <c r="S178" s="134">
        <v>0.81</v>
      </c>
      <c r="T178" s="134">
        <v>0.0</v>
      </c>
      <c r="U178" s="134">
        <v>0.15</v>
      </c>
      <c r="V178" s="134">
        <v>0.85</v>
      </c>
      <c r="W178" s="134">
        <v>0.09</v>
      </c>
      <c r="X178" s="134">
        <v>-7.18</v>
      </c>
      <c r="Y178" s="10">
        <v>6.93</v>
      </c>
      <c r="Z178" s="139">
        <v>5792.59</v>
      </c>
      <c r="AA178" s="134">
        <v>9.72</v>
      </c>
      <c r="AB178" s="134">
        <v>0.53</v>
      </c>
      <c r="AC178" s="134">
        <v>-0.43</v>
      </c>
      <c r="AD178" s="135">
        <v>5.6154679058E8</v>
      </c>
    </row>
    <row r="179">
      <c r="A179" s="10" t="s">
        <v>480</v>
      </c>
      <c r="B179" s="134">
        <v>5.9</v>
      </c>
      <c r="C179" s="134">
        <v>7.69</v>
      </c>
      <c r="D179" s="136">
        <v>11.12</v>
      </c>
      <c r="E179" s="134">
        <v>0.61</v>
      </c>
      <c r="F179" s="134">
        <v>0.09</v>
      </c>
      <c r="G179" s="134">
        <v>73.44</v>
      </c>
      <c r="H179" s="136">
        <v>12.33</v>
      </c>
      <c r="I179" s="136">
        <v>9.29</v>
      </c>
      <c r="J179" s="134">
        <v>8.38</v>
      </c>
      <c r="K179" s="134">
        <v>7.75</v>
      </c>
      <c r="L179" s="134">
        <v>0.0</v>
      </c>
      <c r="M179" s="134">
        <v>0.0</v>
      </c>
      <c r="N179" s="134">
        <v>1.03</v>
      </c>
      <c r="O179" s="134">
        <v>0.39</v>
      </c>
      <c r="P179" s="134">
        <v>-0.12</v>
      </c>
      <c r="Q179" s="134">
        <v>6.72</v>
      </c>
      <c r="R179" s="134">
        <v>5.46</v>
      </c>
      <c r="S179" s="134">
        <v>0.81</v>
      </c>
      <c r="T179" s="134">
        <v>0.0</v>
      </c>
      <c r="U179" s="134">
        <v>0.15</v>
      </c>
      <c r="V179" s="134">
        <v>0.85</v>
      </c>
      <c r="W179" s="134">
        <v>0.09</v>
      </c>
      <c r="X179" s="134">
        <v>-7.18</v>
      </c>
      <c r="Y179" s="10">
        <v>6.93</v>
      </c>
      <c r="Z179" s="135">
        <v>17711.29</v>
      </c>
      <c r="AA179" s="134">
        <v>9.72</v>
      </c>
      <c r="AB179" s="134">
        <v>0.53</v>
      </c>
      <c r="AC179" s="134">
        <v>-0.51</v>
      </c>
      <c r="AD179" s="135">
        <v>5.6154679058E8</v>
      </c>
    </row>
    <row r="180">
      <c r="A180" s="10" t="s">
        <v>467</v>
      </c>
      <c r="B180" s="134">
        <v>110.5</v>
      </c>
      <c r="C180" s="134">
        <v>2.9</v>
      </c>
      <c r="D180" s="136">
        <v>11.08</v>
      </c>
      <c r="E180" s="134">
        <v>3.76</v>
      </c>
      <c r="F180" s="134">
        <v>2.75</v>
      </c>
      <c r="G180" s="134">
        <v>37.41</v>
      </c>
      <c r="H180" s="136">
        <v>25.9</v>
      </c>
      <c r="I180" s="136">
        <v>29.95</v>
      </c>
      <c r="J180" s="134">
        <v>12.81</v>
      </c>
      <c r="K180" s="134">
        <v>8.74</v>
      </c>
      <c r="L180" s="134">
        <v>-1.67</v>
      </c>
      <c r="M180" s="134">
        <v>-0.49</v>
      </c>
      <c r="N180" s="134">
        <v>3.32</v>
      </c>
      <c r="O180" s="134">
        <v>3.95</v>
      </c>
      <c r="P180" s="134">
        <v>-14.22</v>
      </c>
      <c r="Q180" s="134">
        <v>7.38</v>
      </c>
      <c r="R180" s="134">
        <v>33.94</v>
      </c>
      <c r="S180" s="134">
        <v>24.85</v>
      </c>
      <c r="T180" s="134">
        <v>23.94</v>
      </c>
      <c r="U180" s="134">
        <v>0.73</v>
      </c>
      <c r="V180" s="134">
        <v>0.27</v>
      </c>
      <c r="W180" s="134">
        <v>0.83</v>
      </c>
      <c r="X180" s="134">
        <v>15.93</v>
      </c>
      <c r="Y180" s="10">
        <v>0.0</v>
      </c>
      <c r="Z180" s="135">
        <v>22099.0</v>
      </c>
      <c r="AA180" s="134">
        <v>29.39</v>
      </c>
      <c r="AB180" s="134">
        <v>9.98</v>
      </c>
      <c r="AC180" s="134">
        <v>0.06</v>
      </c>
      <c r="AD180" s="135">
        <v>2.60662384181E9</v>
      </c>
    </row>
    <row r="181">
      <c r="A181" s="10" t="s">
        <v>296</v>
      </c>
      <c r="B181" s="134">
        <v>78.43</v>
      </c>
      <c r="C181" s="134">
        <v>4.08</v>
      </c>
      <c r="D181" s="134">
        <v>7.86</v>
      </c>
      <c r="E181" s="134">
        <v>2.67</v>
      </c>
      <c r="F181" s="134">
        <v>1.95</v>
      </c>
      <c r="G181" s="134">
        <v>37.41</v>
      </c>
      <c r="H181" s="136">
        <v>25.9</v>
      </c>
      <c r="I181" s="136">
        <v>29.95</v>
      </c>
      <c r="J181" s="134">
        <v>9.09</v>
      </c>
      <c r="K181" s="134">
        <v>8.74</v>
      </c>
      <c r="L181" s="10">
        <v>-1.67</v>
      </c>
      <c r="M181" s="10">
        <v>-0.49</v>
      </c>
      <c r="N181" s="134">
        <v>2.35</v>
      </c>
      <c r="O181" s="134">
        <v>2.8</v>
      </c>
      <c r="P181" s="134">
        <v>-10.09</v>
      </c>
      <c r="Q181" s="134">
        <v>7.38</v>
      </c>
      <c r="R181" s="134">
        <v>33.94</v>
      </c>
      <c r="S181" s="134">
        <v>24.85</v>
      </c>
      <c r="T181" s="10">
        <v>23.94</v>
      </c>
      <c r="U181" s="134">
        <v>0.73</v>
      </c>
      <c r="V181" s="134">
        <v>0.27</v>
      </c>
      <c r="W181" s="134">
        <v>0.83</v>
      </c>
      <c r="X181" s="134">
        <v>15.93</v>
      </c>
      <c r="Y181" s="134">
        <v>0.0</v>
      </c>
      <c r="Z181" s="136">
        <v>2920497.0</v>
      </c>
      <c r="AA181" s="134">
        <v>29.39</v>
      </c>
      <c r="AB181" s="134">
        <v>9.98</v>
      </c>
      <c r="AC181" s="134">
        <v>0.04</v>
      </c>
      <c r="AD181" s="135">
        <v>2.60662384181E9</v>
      </c>
    </row>
    <row r="182">
      <c r="A182" s="10" t="s">
        <v>383</v>
      </c>
      <c r="B182" s="134">
        <v>83.02</v>
      </c>
      <c r="C182" s="134">
        <v>3.86</v>
      </c>
      <c r="D182" s="136">
        <v>8.32</v>
      </c>
      <c r="E182" s="134">
        <v>2.82</v>
      </c>
      <c r="F182" s="134">
        <v>2.07</v>
      </c>
      <c r="G182" s="134">
        <v>37.41</v>
      </c>
      <c r="H182" s="136">
        <v>25.9</v>
      </c>
      <c r="I182" s="136">
        <v>29.95</v>
      </c>
      <c r="J182" s="134">
        <v>9.62</v>
      </c>
      <c r="K182" s="134">
        <v>8.74</v>
      </c>
      <c r="L182" s="10">
        <v>-1.67</v>
      </c>
      <c r="M182" s="10">
        <v>-0.49</v>
      </c>
      <c r="N182" s="134">
        <v>2.49</v>
      </c>
      <c r="O182" s="134">
        <v>2.97</v>
      </c>
      <c r="P182" s="134">
        <v>-10.69</v>
      </c>
      <c r="Q182" s="134">
        <v>7.38</v>
      </c>
      <c r="R182" s="134">
        <v>33.94</v>
      </c>
      <c r="S182" s="134">
        <v>24.85</v>
      </c>
      <c r="T182" s="10">
        <v>23.94</v>
      </c>
      <c r="U182" s="134">
        <v>0.73</v>
      </c>
      <c r="V182" s="134">
        <v>0.27</v>
      </c>
      <c r="W182" s="134">
        <v>0.83</v>
      </c>
      <c r="X182" s="134">
        <v>15.93</v>
      </c>
      <c r="Y182" s="134">
        <v>0.0</v>
      </c>
      <c r="Z182" s="139">
        <v>96723.06</v>
      </c>
      <c r="AA182" s="134">
        <v>29.39</v>
      </c>
      <c r="AB182" s="134">
        <v>9.98</v>
      </c>
      <c r="AC182" s="134">
        <v>0.04</v>
      </c>
      <c r="AD182" s="135">
        <v>2.60662384181E9</v>
      </c>
    </row>
    <row r="183">
      <c r="A183" s="10" t="s">
        <v>492</v>
      </c>
      <c r="B183" s="134">
        <v>65.0</v>
      </c>
      <c r="C183" s="134">
        <v>2.86</v>
      </c>
      <c r="D183" s="136">
        <v>10.62</v>
      </c>
      <c r="E183" s="134">
        <v>2.77</v>
      </c>
      <c r="F183" s="134">
        <v>1.35</v>
      </c>
      <c r="G183" s="134">
        <v>154.42</v>
      </c>
      <c r="H183" s="136">
        <v>1285.07</v>
      </c>
      <c r="I183" s="136">
        <v>1426.31</v>
      </c>
      <c r="J183" s="134">
        <v>11.79</v>
      </c>
      <c r="K183" s="134">
        <v>9.98</v>
      </c>
      <c r="L183" s="134">
        <v>0.0</v>
      </c>
      <c r="M183" s="134">
        <v>0.0</v>
      </c>
      <c r="N183" s="134">
        <v>151.5</v>
      </c>
      <c r="O183" s="134">
        <v>9.72</v>
      </c>
      <c r="P183" s="134">
        <v>-1.66</v>
      </c>
      <c r="Q183" s="134">
        <v>3.74</v>
      </c>
      <c r="R183" s="134">
        <v>26.1</v>
      </c>
      <c r="S183" s="134">
        <v>12.69</v>
      </c>
      <c r="T183" s="134">
        <v>0.0</v>
      </c>
      <c r="U183" s="134">
        <v>0.49</v>
      </c>
      <c r="V183" s="134">
        <v>0.51</v>
      </c>
      <c r="W183" s="134">
        <v>0.01</v>
      </c>
      <c r="X183" s="134">
        <v>-41.88</v>
      </c>
      <c r="Y183" s="134">
        <v>0.35</v>
      </c>
      <c r="Z183" s="135">
        <v>13000.0</v>
      </c>
      <c r="AA183" s="134">
        <v>23.45</v>
      </c>
      <c r="AB183" s="134">
        <v>6.12</v>
      </c>
      <c r="AC183" s="134">
        <v>0.06</v>
      </c>
      <c r="AD183" s="135">
        <v>4.224E8</v>
      </c>
    </row>
    <row r="184">
      <c r="A184" s="10" t="s">
        <v>516</v>
      </c>
      <c r="B184" s="134">
        <v>45.0</v>
      </c>
      <c r="C184" s="10">
        <v>4.55</v>
      </c>
      <c r="D184" s="136">
        <v>7.35</v>
      </c>
      <c r="E184" s="134">
        <v>1.92</v>
      </c>
      <c r="F184" s="134">
        <v>0.93</v>
      </c>
      <c r="G184" s="134">
        <v>154.42</v>
      </c>
      <c r="H184" s="136">
        <v>1285.07</v>
      </c>
      <c r="I184" s="136">
        <v>1426.31</v>
      </c>
      <c r="J184" s="134">
        <v>8.16</v>
      </c>
      <c r="K184" s="134">
        <v>9.98</v>
      </c>
      <c r="L184" s="134">
        <v>0.0</v>
      </c>
      <c r="M184" s="134">
        <v>0.0</v>
      </c>
      <c r="N184" s="134">
        <v>104.89</v>
      </c>
      <c r="O184" s="134">
        <v>6.73</v>
      </c>
      <c r="P184" s="134">
        <v>-1.15</v>
      </c>
      <c r="Q184" s="134">
        <v>3.74</v>
      </c>
      <c r="R184" s="134">
        <v>26.1</v>
      </c>
      <c r="S184" s="134">
        <v>12.69</v>
      </c>
      <c r="T184" s="134">
        <v>0.0</v>
      </c>
      <c r="U184" s="134">
        <v>0.49</v>
      </c>
      <c r="V184" s="134">
        <v>0.51</v>
      </c>
      <c r="W184" s="134">
        <v>0.01</v>
      </c>
      <c r="X184" s="10">
        <v>-41.88</v>
      </c>
      <c r="Y184" s="10">
        <v>0.35</v>
      </c>
      <c r="Z184" s="135">
        <v>6588.5</v>
      </c>
      <c r="AA184" s="134">
        <v>23.45</v>
      </c>
      <c r="AB184" s="134">
        <v>6.12</v>
      </c>
      <c r="AC184" s="134">
        <v>0.04</v>
      </c>
      <c r="AD184" s="135">
        <v>4.224E8</v>
      </c>
    </row>
    <row r="185">
      <c r="A185" s="10" t="s">
        <v>82</v>
      </c>
      <c r="B185" s="134">
        <v>23.2</v>
      </c>
      <c r="C185" s="134">
        <v>1.11</v>
      </c>
      <c r="D185" s="136">
        <v>17.36</v>
      </c>
      <c r="E185" s="134">
        <v>4.21</v>
      </c>
      <c r="F185" s="134">
        <v>0.55</v>
      </c>
      <c r="G185" s="134">
        <v>26.07</v>
      </c>
      <c r="H185" s="134">
        <v>23.49</v>
      </c>
      <c r="I185" s="134">
        <v>13.24</v>
      </c>
      <c r="J185" s="134">
        <v>9.78</v>
      </c>
      <c r="K185" s="134">
        <v>16.58</v>
      </c>
      <c r="L185" s="134">
        <v>6.79</v>
      </c>
      <c r="M185" s="134">
        <v>2.92</v>
      </c>
      <c r="N185" s="134">
        <v>2.3</v>
      </c>
      <c r="O185" s="134">
        <v>4.67</v>
      </c>
      <c r="P185" s="134">
        <v>-0.73</v>
      </c>
      <c r="Q185" s="134">
        <v>1.95</v>
      </c>
      <c r="R185" s="134">
        <v>24.28</v>
      </c>
      <c r="S185" s="134">
        <v>3.17</v>
      </c>
      <c r="T185" s="134">
        <v>6.55</v>
      </c>
      <c r="U185" s="134">
        <v>0.13</v>
      </c>
      <c r="V185" s="134">
        <v>0.72</v>
      </c>
      <c r="W185" s="134">
        <v>0.24</v>
      </c>
      <c r="X185" s="134">
        <v>10.1</v>
      </c>
      <c r="Y185" s="10">
        <v>33.99</v>
      </c>
      <c r="Z185" s="135">
        <v>1.9811482604E8</v>
      </c>
      <c r="AA185" s="134">
        <v>5.5</v>
      </c>
      <c r="AB185" s="134">
        <v>1.34</v>
      </c>
      <c r="AC185" s="134">
        <v>0.28</v>
      </c>
      <c r="AD185" s="135">
        <v>4.349718633172E10</v>
      </c>
    </row>
    <row r="186">
      <c r="A186" s="10" t="s">
        <v>284</v>
      </c>
      <c r="B186" s="134">
        <v>7.43</v>
      </c>
      <c r="C186" s="134">
        <v>0.0</v>
      </c>
      <c r="D186" s="136">
        <v>37.55</v>
      </c>
      <c r="E186" s="136">
        <v>1.98</v>
      </c>
      <c r="F186" s="136">
        <v>0.59</v>
      </c>
      <c r="G186" s="134">
        <v>51.15</v>
      </c>
      <c r="H186" s="134">
        <v>15.88</v>
      </c>
      <c r="I186" s="134">
        <v>4.2</v>
      </c>
      <c r="J186" s="134">
        <v>9.92</v>
      </c>
      <c r="K186" s="134">
        <v>10.4</v>
      </c>
      <c r="L186" s="134">
        <v>0.36</v>
      </c>
      <c r="M186" s="134">
        <v>0.07</v>
      </c>
      <c r="N186" s="134">
        <v>1.58</v>
      </c>
      <c r="O186" s="136">
        <v>3.49</v>
      </c>
      <c r="P186" s="136">
        <v>-0.83</v>
      </c>
      <c r="Q186" s="134">
        <v>2.41</v>
      </c>
      <c r="R186" s="136">
        <v>5.27</v>
      </c>
      <c r="S186" s="136">
        <v>1.57</v>
      </c>
      <c r="T186" s="136">
        <v>10.38</v>
      </c>
      <c r="U186" s="134">
        <v>0.3</v>
      </c>
      <c r="V186" s="134">
        <v>0.7</v>
      </c>
      <c r="W186" s="134">
        <v>0.37</v>
      </c>
      <c r="X186" s="134">
        <v>0.0</v>
      </c>
      <c r="Y186" s="10">
        <v>0.0</v>
      </c>
      <c r="Z186" s="137">
        <v>5018005.83</v>
      </c>
      <c r="AA186" s="134">
        <v>3.76</v>
      </c>
      <c r="AB186" s="134">
        <v>0.2</v>
      </c>
      <c r="AC186" s="134">
        <v>-0.07</v>
      </c>
      <c r="AD186" s="135">
        <v>2.8713032448E9</v>
      </c>
    </row>
    <row r="187">
      <c r="A187" s="10" t="s">
        <v>188</v>
      </c>
      <c r="B187" s="134">
        <v>13.55</v>
      </c>
      <c r="C187" s="134">
        <v>22.93</v>
      </c>
      <c r="D187" s="136">
        <v>5.33</v>
      </c>
      <c r="E187" s="136">
        <v>0.76</v>
      </c>
      <c r="F187" s="136">
        <v>0.43</v>
      </c>
      <c r="G187" s="134">
        <v>44.28</v>
      </c>
      <c r="H187" s="134">
        <v>25.2</v>
      </c>
      <c r="I187" s="134">
        <v>17.15</v>
      </c>
      <c r="J187" s="134">
        <v>3.63</v>
      </c>
      <c r="K187" s="134">
        <v>5.46</v>
      </c>
      <c r="L187" s="134">
        <v>1.82</v>
      </c>
      <c r="M187" s="134">
        <v>0.38</v>
      </c>
      <c r="N187" s="134">
        <v>0.91</v>
      </c>
      <c r="O187" s="136">
        <v>9.15</v>
      </c>
      <c r="P187" s="136">
        <v>-0.53</v>
      </c>
      <c r="Q187" s="134">
        <v>1.36</v>
      </c>
      <c r="R187" s="136">
        <v>14.21</v>
      </c>
      <c r="S187" s="136">
        <v>8.12</v>
      </c>
      <c r="T187" s="136">
        <v>10.45</v>
      </c>
      <c r="U187" s="134">
        <v>0.57</v>
      </c>
      <c r="V187" s="134">
        <v>0.43</v>
      </c>
      <c r="W187" s="134">
        <v>0.47</v>
      </c>
      <c r="X187" s="134">
        <v>6.86</v>
      </c>
      <c r="Y187" s="134">
        <v>0.0</v>
      </c>
      <c r="Z187" s="136">
        <v>2.802786342E7</v>
      </c>
      <c r="AA187" s="134">
        <v>17.88</v>
      </c>
      <c r="AB187" s="134">
        <v>2.54</v>
      </c>
      <c r="AC187" s="134">
        <v>0.19</v>
      </c>
      <c r="AD187" s="135">
        <v>5.16383667702E9</v>
      </c>
    </row>
    <row r="188">
      <c r="A188" s="10" t="s">
        <v>61</v>
      </c>
      <c r="B188" s="134">
        <v>27.99</v>
      </c>
      <c r="C188" s="134">
        <v>6.86</v>
      </c>
      <c r="D188" s="136">
        <v>2.59</v>
      </c>
      <c r="E188" s="136">
        <v>1.79</v>
      </c>
      <c r="F188" s="136">
        <v>0.49</v>
      </c>
      <c r="G188" s="134">
        <v>47.57</v>
      </c>
      <c r="H188" s="134">
        <v>42.24</v>
      </c>
      <c r="I188" s="134">
        <v>32.78</v>
      </c>
      <c r="J188" s="134">
        <v>2.01</v>
      </c>
      <c r="K188" s="134">
        <v>2.49</v>
      </c>
      <c r="L188" s="134">
        <v>0.48</v>
      </c>
      <c r="M188" s="134">
        <v>0.43</v>
      </c>
      <c r="N188" s="134">
        <v>0.85</v>
      </c>
      <c r="O188" s="136">
        <v>1.96</v>
      </c>
      <c r="P188" s="136">
        <v>-0.96</v>
      </c>
      <c r="Q188" s="134">
        <v>2.05</v>
      </c>
      <c r="R188" s="136">
        <v>69.14</v>
      </c>
      <c r="S188" s="136">
        <v>18.9</v>
      </c>
      <c r="T188" s="136">
        <v>28.12</v>
      </c>
      <c r="U188" s="134">
        <v>0.27</v>
      </c>
      <c r="V188" s="134">
        <v>0.68</v>
      </c>
      <c r="W188" s="134">
        <v>0.58</v>
      </c>
      <c r="X188" s="134">
        <v>14.52</v>
      </c>
      <c r="Y188" s="134">
        <v>0.0</v>
      </c>
      <c r="Z188" s="136">
        <v>4.0742538654E8</v>
      </c>
      <c r="AA188" s="134">
        <v>15.65</v>
      </c>
      <c r="AB188" s="134">
        <v>10.82</v>
      </c>
      <c r="AC188" s="134">
        <v>0.0</v>
      </c>
      <c r="AD188" s="135">
        <v>3.8850673316E10</v>
      </c>
    </row>
    <row r="189">
      <c r="A189" s="10" t="s">
        <v>469</v>
      </c>
      <c r="B189" s="134">
        <v>17.24</v>
      </c>
      <c r="C189" s="134">
        <v>10.61</v>
      </c>
      <c r="D189" s="136">
        <v>6.58</v>
      </c>
      <c r="E189" s="134">
        <v>2.17</v>
      </c>
      <c r="F189" s="134">
        <v>0.6</v>
      </c>
      <c r="G189" s="134">
        <v>23.15</v>
      </c>
      <c r="H189" s="134">
        <v>17.98</v>
      </c>
      <c r="I189" s="134">
        <v>13.97</v>
      </c>
      <c r="J189" s="134">
        <v>5.11</v>
      </c>
      <c r="K189" s="134">
        <v>7.71</v>
      </c>
      <c r="L189" s="134">
        <v>2.69</v>
      </c>
      <c r="M189" s="134">
        <v>1.14</v>
      </c>
      <c r="N189" s="134">
        <v>0.92</v>
      </c>
      <c r="O189" s="134">
        <v>11.36</v>
      </c>
      <c r="P189" s="134">
        <v>-0.78</v>
      </c>
      <c r="Q189" s="134">
        <v>1.29</v>
      </c>
      <c r="R189" s="134">
        <v>33.04</v>
      </c>
      <c r="S189" s="134">
        <v>9.09</v>
      </c>
      <c r="T189" s="134">
        <v>15.28</v>
      </c>
      <c r="U189" s="134">
        <v>0.28</v>
      </c>
      <c r="V189" s="134">
        <v>0.72</v>
      </c>
      <c r="W189" s="134">
        <v>0.65</v>
      </c>
      <c r="X189" s="134">
        <v>9.71</v>
      </c>
      <c r="Y189" s="134">
        <v>18.81</v>
      </c>
      <c r="Z189" s="136">
        <v>15063.11</v>
      </c>
      <c r="AA189" s="134">
        <v>7.94</v>
      </c>
      <c r="AB189" s="134">
        <v>2.62</v>
      </c>
      <c r="AC189" s="134">
        <v>0.14</v>
      </c>
      <c r="AD189" s="135">
        <v>2.85083631574E9</v>
      </c>
    </row>
    <row r="190">
      <c r="A190" s="10" t="s">
        <v>489</v>
      </c>
      <c r="B190" s="134">
        <v>16.02</v>
      </c>
      <c r="C190" s="10">
        <v>12.56</v>
      </c>
      <c r="D190" s="136">
        <v>6.11</v>
      </c>
      <c r="E190" s="136">
        <v>2.02</v>
      </c>
      <c r="F190" s="136">
        <v>0.56</v>
      </c>
      <c r="G190" s="134">
        <v>23.15</v>
      </c>
      <c r="H190" s="134">
        <v>17.98</v>
      </c>
      <c r="I190" s="134">
        <v>13.97</v>
      </c>
      <c r="J190" s="136">
        <v>4.75</v>
      </c>
      <c r="K190" s="136">
        <v>7.71</v>
      </c>
      <c r="L190" s="134">
        <v>2.69</v>
      </c>
      <c r="M190" s="134">
        <v>1.14</v>
      </c>
      <c r="N190" s="136">
        <v>0.85</v>
      </c>
      <c r="O190" s="136">
        <v>10.56</v>
      </c>
      <c r="P190" s="136">
        <v>-0.73</v>
      </c>
      <c r="Q190" s="134">
        <v>1.29</v>
      </c>
      <c r="R190" s="136">
        <v>33.04</v>
      </c>
      <c r="S190" s="136">
        <v>9.09</v>
      </c>
      <c r="T190" s="136">
        <v>15.28</v>
      </c>
      <c r="U190" s="134">
        <v>0.28</v>
      </c>
      <c r="V190" s="134">
        <v>0.72</v>
      </c>
      <c r="W190" s="134">
        <v>0.65</v>
      </c>
      <c r="X190" s="134">
        <v>9.71</v>
      </c>
      <c r="Y190" s="134">
        <v>18.81</v>
      </c>
      <c r="Z190" s="138">
        <v>8363.75</v>
      </c>
      <c r="AA190" s="134">
        <v>7.94</v>
      </c>
      <c r="AB190" s="134">
        <v>2.62</v>
      </c>
      <c r="AC190" s="134">
        <v>0.13</v>
      </c>
      <c r="AD190" s="136">
        <v>2.85083631574E9</v>
      </c>
    </row>
    <row r="191">
      <c r="A191" s="10" t="s">
        <v>463</v>
      </c>
      <c r="B191" s="134">
        <v>17.26</v>
      </c>
      <c r="C191" s="10">
        <v>11.66</v>
      </c>
      <c r="D191" s="136">
        <v>6.58</v>
      </c>
      <c r="E191" s="136">
        <v>2.17</v>
      </c>
      <c r="F191" s="136">
        <v>0.6</v>
      </c>
      <c r="G191" s="134">
        <v>23.15</v>
      </c>
      <c r="H191" s="134">
        <v>17.98</v>
      </c>
      <c r="I191" s="134">
        <v>13.97</v>
      </c>
      <c r="J191" s="136">
        <v>5.12</v>
      </c>
      <c r="K191" s="136">
        <v>7.71</v>
      </c>
      <c r="L191" s="134">
        <v>2.69</v>
      </c>
      <c r="M191" s="10">
        <v>1.14</v>
      </c>
      <c r="N191" s="136">
        <v>0.92</v>
      </c>
      <c r="O191" s="136">
        <v>11.38</v>
      </c>
      <c r="P191" s="136">
        <v>-0.78</v>
      </c>
      <c r="Q191" s="134">
        <v>1.29</v>
      </c>
      <c r="R191" s="136">
        <v>33.04</v>
      </c>
      <c r="S191" s="134">
        <v>9.09</v>
      </c>
      <c r="T191" s="134">
        <v>15.28</v>
      </c>
      <c r="U191" s="134">
        <v>0.28</v>
      </c>
      <c r="V191" s="134">
        <v>0.72</v>
      </c>
      <c r="W191" s="134">
        <v>0.65</v>
      </c>
      <c r="X191" s="134">
        <v>9.71</v>
      </c>
      <c r="Y191" s="10">
        <v>18.81</v>
      </c>
      <c r="Z191" s="136">
        <v>5934.33</v>
      </c>
      <c r="AA191" s="134">
        <v>7.94</v>
      </c>
      <c r="AB191" s="134">
        <v>2.62</v>
      </c>
      <c r="AC191" s="134">
        <v>0.14</v>
      </c>
      <c r="AD191" s="135">
        <v>2.85083631574E9</v>
      </c>
    </row>
    <row r="192">
      <c r="A192" s="10" t="s">
        <v>602</v>
      </c>
      <c r="B192" s="134">
        <v>0.0</v>
      </c>
      <c r="C192" s="10">
        <v>0.0</v>
      </c>
      <c r="D192" s="136">
        <v>0.0</v>
      </c>
      <c r="E192" s="136">
        <v>0.0</v>
      </c>
      <c r="F192" s="136">
        <v>0.0</v>
      </c>
      <c r="G192" s="134">
        <v>66.96</v>
      </c>
      <c r="H192" s="134">
        <v>45.67</v>
      </c>
      <c r="I192" s="134">
        <v>33.03</v>
      </c>
      <c r="J192" s="136">
        <v>0.0</v>
      </c>
      <c r="K192" s="136">
        <v>-1.51</v>
      </c>
      <c r="L192" s="134">
        <v>-1.51</v>
      </c>
      <c r="M192" s="10">
        <v>-0.36</v>
      </c>
      <c r="N192" s="136">
        <v>0.0</v>
      </c>
      <c r="O192" s="136">
        <v>0.0</v>
      </c>
      <c r="P192" s="136">
        <v>0.0</v>
      </c>
      <c r="Q192" s="134">
        <v>3.28</v>
      </c>
      <c r="R192" s="136">
        <v>17.45</v>
      </c>
      <c r="S192" s="134">
        <v>14.15</v>
      </c>
      <c r="T192" s="134">
        <v>15.0</v>
      </c>
      <c r="U192" s="134">
        <v>0.81</v>
      </c>
      <c r="V192" s="134">
        <v>0.19</v>
      </c>
      <c r="W192" s="134">
        <v>0.43</v>
      </c>
      <c r="X192" s="134">
        <v>31.33</v>
      </c>
      <c r="Y192" s="10">
        <v>140.09</v>
      </c>
      <c r="Z192" s="136">
        <v>0.0</v>
      </c>
      <c r="AA192" s="134">
        <v>2.15</v>
      </c>
      <c r="AB192" s="134">
        <v>0.37</v>
      </c>
      <c r="AC192" s="134">
        <v>0.0</v>
      </c>
      <c r="AD192" s="135">
        <v>0.0</v>
      </c>
    </row>
    <row r="193">
      <c r="A193" s="10" t="s">
        <v>478</v>
      </c>
      <c r="B193" s="134">
        <v>27.1</v>
      </c>
      <c r="C193" s="10">
        <v>0.0</v>
      </c>
      <c r="D193" s="136">
        <v>1.75</v>
      </c>
      <c r="E193" s="134">
        <v>-1.01</v>
      </c>
      <c r="F193" s="134">
        <v>0.3</v>
      </c>
      <c r="G193" s="134">
        <v>42.12</v>
      </c>
      <c r="H193" s="134">
        <v>21.8</v>
      </c>
      <c r="I193" s="134">
        <v>20.41</v>
      </c>
      <c r="J193" s="136">
        <v>1.64</v>
      </c>
      <c r="K193" s="136">
        <v>6.25</v>
      </c>
      <c r="L193" s="134">
        <v>4.78</v>
      </c>
      <c r="M193" s="134">
        <v>0.0</v>
      </c>
      <c r="N193" s="134">
        <v>0.36</v>
      </c>
      <c r="O193" s="134">
        <v>0.95</v>
      </c>
      <c r="P193" s="134">
        <v>-0.93</v>
      </c>
      <c r="Q193" s="134">
        <v>1.87</v>
      </c>
      <c r="R193" s="136">
        <v>-58.08</v>
      </c>
      <c r="S193" s="134">
        <v>17.2</v>
      </c>
      <c r="T193" s="134">
        <v>19.4</v>
      </c>
      <c r="U193" s="134">
        <v>-0.3</v>
      </c>
      <c r="V193" s="134">
        <v>1.3</v>
      </c>
      <c r="W193" s="134">
        <v>0.84</v>
      </c>
      <c r="X193" s="134">
        <v>7.67</v>
      </c>
      <c r="Y193" s="10">
        <v>0.0</v>
      </c>
      <c r="Z193" s="136">
        <v>23155.22</v>
      </c>
      <c r="AA193" s="134">
        <v>-26.73</v>
      </c>
      <c r="AB193" s="134">
        <v>15.52</v>
      </c>
      <c r="AC193" s="134">
        <v>0.02</v>
      </c>
      <c r="AD193" s="135">
        <v>1.511981104E8</v>
      </c>
    </row>
    <row r="194">
      <c r="A194" s="10" t="s">
        <v>408</v>
      </c>
      <c r="B194" s="134">
        <v>22.0</v>
      </c>
      <c r="C194" s="10">
        <v>0.0</v>
      </c>
      <c r="D194" s="136">
        <v>1.42</v>
      </c>
      <c r="E194" s="134">
        <v>-0.82</v>
      </c>
      <c r="F194" s="134">
        <v>0.24</v>
      </c>
      <c r="G194" s="134">
        <v>42.12</v>
      </c>
      <c r="H194" s="134">
        <v>21.8</v>
      </c>
      <c r="I194" s="134">
        <v>20.41</v>
      </c>
      <c r="J194" s="134">
        <v>1.33</v>
      </c>
      <c r="K194" s="136">
        <v>6.25</v>
      </c>
      <c r="L194" s="134">
        <v>4.78</v>
      </c>
      <c r="M194" s="134">
        <v>0.0</v>
      </c>
      <c r="N194" s="134">
        <v>0.29</v>
      </c>
      <c r="O194" s="134">
        <v>0.77</v>
      </c>
      <c r="P194" s="134">
        <v>-0.76</v>
      </c>
      <c r="Q194" s="134">
        <v>1.87</v>
      </c>
      <c r="R194" s="134">
        <v>-58.08</v>
      </c>
      <c r="S194" s="134">
        <v>17.2</v>
      </c>
      <c r="T194" s="134">
        <v>19.4</v>
      </c>
      <c r="U194" s="134">
        <v>-0.3</v>
      </c>
      <c r="V194" s="134">
        <v>1.3</v>
      </c>
      <c r="W194" s="134">
        <v>0.84</v>
      </c>
      <c r="X194" s="134">
        <v>7.67</v>
      </c>
      <c r="Y194" s="10">
        <v>0.0</v>
      </c>
      <c r="Z194" s="136">
        <v>90597.05</v>
      </c>
      <c r="AA194" s="134">
        <v>-26.73</v>
      </c>
      <c r="AB194" s="134">
        <v>15.52</v>
      </c>
      <c r="AC194" s="134">
        <v>0.01</v>
      </c>
      <c r="AD194" s="135">
        <v>1.511981104E8</v>
      </c>
    </row>
    <row r="195">
      <c r="A195" s="10" t="s">
        <v>535</v>
      </c>
      <c r="B195" s="134">
        <v>9.9</v>
      </c>
      <c r="C195" s="10">
        <v>0.0</v>
      </c>
      <c r="D195" s="136">
        <v>-3.33</v>
      </c>
      <c r="E195" s="134">
        <v>0.38</v>
      </c>
      <c r="F195" s="134">
        <v>0.07</v>
      </c>
      <c r="G195" s="134">
        <v>29.95</v>
      </c>
      <c r="H195" s="134">
        <v>8.92</v>
      </c>
      <c r="I195" s="134">
        <v>-3.93</v>
      </c>
      <c r="J195" s="134">
        <v>1.47</v>
      </c>
      <c r="K195" s="134">
        <v>7.04</v>
      </c>
      <c r="L195" s="134">
        <v>5.97</v>
      </c>
      <c r="M195" s="134">
        <v>1.56</v>
      </c>
      <c r="N195" s="134">
        <v>0.13</v>
      </c>
      <c r="O195" s="134">
        <v>2.79</v>
      </c>
      <c r="P195" s="134">
        <v>-0.12</v>
      </c>
      <c r="Q195" s="134">
        <v>1.07</v>
      </c>
      <c r="R195" s="134">
        <v>-11.54</v>
      </c>
      <c r="S195" s="134">
        <v>-2.17</v>
      </c>
      <c r="T195" s="134">
        <v>7.01</v>
      </c>
      <c r="U195" s="134">
        <v>0.19</v>
      </c>
      <c r="V195" s="134">
        <v>0.66</v>
      </c>
      <c r="W195" s="134">
        <v>0.55</v>
      </c>
      <c r="X195" s="134">
        <v>-5.17</v>
      </c>
      <c r="Y195" s="10">
        <v>0.0</v>
      </c>
      <c r="Z195" s="136">
        <v>4219.5</v>
      </c>
      <c r="AA195" s="134">
        <v>25.77</v>
      </c>
      <c r="AB195" s="134">
        <v>-2.97</v>
      </c>
      <c r="AC195" s="134">
        <v>0.05</v>
      </c>
      <c r="AD195" s="135">
        <v>2.2068605872E8</v>
      </c>
    </row>
    <row r="196">
      <c r="A196" s="10" t="s">
        <v>407</v>
      </c>
      <c r="B196" s="134">
        <v>4.96</v>
      </c>
      <c r="C196" s="10">
        <v>0.0</v>
      </c>
      <c r="D196" s="136">
        <v>-1.67</v>
      </c>
      <c r="E196" s="134">
        <v>0.19</v>
      </c>
      <c r="F196" s="134">
        <v>0.04</v>
      </c>
      <c r="G196" s="134">
        <v>29.95</v>
      </c>
      <c r="H196" s="134">
        <v>8.92</v>
      </c>
      <c r="I196" s="134">
        <v>-3.93</v>
      </c>
      <c r="J196" s="134">
        <v>0.73</v>
      </c>
      <c r="K196" s="134">
        <v>7.04</v>
      </c>
      <c r="L196" s="134">
        <v>5.97</v>
      </c>
      <c r="M196" s="134">
        <v>1.56</v>
      </c>
      <c r="N196" s="134">
        <v>0.07</v>
      </c>
      <c r="O196" s="134">
        <v>1.4</v>
      </c>
      <c r="P196" s="134">
        <v>-0.06</v>
      </c>
      <c r="Q196" s="134">
        <v>1.07</v>
      </c>
      <c r="R196" s="134">
        <v>-11.54</v>
      </c>
      <c r="S196" s="134">
        <v>-2.17</v>
      </c>
      <c r="T196" s="134">
        <v>7.01</v>
      </c>
      <c r="U196" s="134">
        <v>0.19</v>
      </c>
      <c r="V196" s="134">
        <v>0.66</v>
      </c>
      <c r="W196" s="134">
        <v>0.55</v>
      </c>
      <c r="X196" s="134">
        <v>-5.17</v>
      </c>
      <c r="Y196" s="10">
        <v>0.0</v>
      </c>
      <c r="Z196" s="136">
        <v>108508.42</v>
      </c>
      <c r="AA196" s="134">
        <v>25.77</v>
      </c>
      <c r="AB196" s="134">
        <v>-2.97</v>
      </c>
      <c r="AC196" s="134">
        <v>0.03</v>
      </c>
      <c r="AD196" s="135">
        <v>2.2068605872E8</v>
      </c>
    </row>
    <row r="197">
      <c r="A197" s="10" t="s">
        <v>427</v>
      </c>
      <c r="B197" s="134">
        <v>2.25</v>
      </c>
      <c r="C197" s="10">
        <v>0.0</v>
      </c>
      <c r="D197" s="136">
        <v>103.87</v>
      </c>
      <c r="E197" s="134">
        <v>0.83</v>
      </c>
      <c r="F197" s="134">
        <v>0.35</v>
      </c>
      <c r="G197" s="134">
        <v>14.24</v>
      </c>
      <c r="H197" s="134">
        <v>8.46</v>
      </c>
      <c r="I197" s="134">
        <v>0.42</v>
      </c>
      <c r="J197" s="136">
        <v>5.18</v>
      </c>
      <c r="K197" s="134">
        <v>9.3</v>
      </c>
      <c r="L197" s="134">
        <v>4.02</v>
      </c>
      <c r="M197" s="134">
        <v>0.65</v>
      </c>
      <c r="N197" s="134">
        <v>0.44</v>
      </c>
      <c r="O197" s="134">
        <v>19.5</v>
      </c>
      <c r="P197" s="134">
        <v>-0.63</v>
      </c>
      <c r="Q197" s="134">
        <v>1.04</v>
      </c>
      <c r="R197" s="134">
        <v>0.8</v>
      </c>
      <c r="S197" s="134">
        <v>0.34</v>
      </c>
      <c r="T197" s="134">
        <v>8.03</v>
      </c>
      <c r="U197" s="134">
        <v>0.42</v>
      </c>
      <c r="V197" s="134">
        <v>0.58</v>
      </c>
      <c r="W197" s="134">
        <v>0.8</v>
      </c>
      <c r="X197" s="134">
        <v>6.86</v>
      </c>
      <c r="Y197" s="10">
        <v>0.0</v>
      </c>
      <c r="Z197" s="138">
        <v>47294.46</v>
      </c>
      <c r="AA197" s="134">
        <v>2.7</v>
      </c>
      <c r="AB197" s="134">
        <v>0.02</v>
      </c>
      <c r="AC197" s="134">
        <v>-31.58</v>
      </c>
      <c r="AD197" s="135">
        <v>2.548750077E8</v>
      </c>
    </row>
    <row r="198">
      <c r="A198" s="10" t="s">
        <v>409</v>
      </c>
      <c r="B198" s="134">
        <v>1.75</v>
      </c>
      <c r="C198" s="134">
        <v>0.0</v>
      </c>
      <c r="D198" s="136">
        <v>80.79</v>
      </c>
      <c r="E198" s="134">
        <v>0.65</v>
      </c>
      <c r="F198" s="134">
        <v>0.27</v>
      </c>
      <c r="G198" s="134">
        <v>14.24</v>
      </c>
      <c r="H198" s="134">
        <v>8.46</v>
      </c>
      <c r="I198" s="134">
        <v>0.42</v>
      </c>
      <c r="J198" s="136">
        <v>4.03</v>
      </c>
      <c r="K198" s="134">
        <v>9.3</v>
      </c>
      <c r="L198" s="134">
        <v>4.02</v>
      </c>
      <c r="M198" s="134">
        <v>0.65</v>
      </c>
      <c r="N198" s="134">
        <v>0.34</v>
      </c>
      <c r="O198" s="134">
        <v>15.16</v>
      </c>
      <c r="P198" s="134">
        <v>-0.49</v>
      </c>
      <c r="Q198" s="134">
        <v>1.04</v>
      </c>
      <c r="R198" s="134">
        <v>0.8</v>
      </c>
      <c r="S198" s="134">
        <v>0.34</v>
      </c>
      <c r="T198" s="134">
        <v>8.03</v>
      </c>
      <c r="U198" s="134">
        <v>0.42</v>
      </c>
      <c r="V198" s="134">
        <v>0.58</v>
      </c>
      <c r="W198" s="134">
        <v>0.8</v>
      </c>
      <c r="X198" s="10">
        <v>6.86</v>
      </c>
      <c r="Y198" s="10">
        <v>0.0</v>
      </c>
      <c r="Z198" s="135">
        <v>86357.38</v>
      </c>
      <c r="AA198" s="134">
        <v>2.7</v>
      </c>
      <c r="AB198" s="134">
        <v>0.02</v>
      </c>
      <c r="AC198" s="134">
        <v>-24.56</v>
      </c>
      <c r="AD198" s="135">
        <v>2.548750077E8</v>
      </c>
    </row>
    <row r="199">
      <c r="A199" s="10" t="s">
        <v>603</v>
      </c>
      <c r="B199" s="134">
        <v>0.0</v>
      </c>
      <c r="C199" s="10">
        <v>0.0</v>
      </c>
      <c r="D199" s="136">
        <v>0.0</v>
      </c>
      <c r="E199" s="134">
        <v>0.0</v>
      </c>
      <c r="F199" s="134">
        <v>0.0</v>
      </c>
      <c r="G199" s="134">
        <v>14.24</v>
      </c>
      <c r="H199" s="134">
        <v>8.46</v>
      </c>
      <c r="I199" s="134">
        <v>0.42</v>
      </c>
      <c r="J199" s="136">
        <v>0.0</v>
      </c>
      <c r="K199" s="136">
        <v>9.3</v>
      </c>
      <c r="L199" s="134">
        <v>4.02</v>
      </c>
      <c r="M199" s="134">
        <v>0.65</v>
      </c>
      <c r="N199" s="134">
        <v>0.0</v>
      </c>
      <c r="O199" s="134">
        <v>0.0</v>
      </c>
      <c r="P199" s="134">
        <v>0.0</v>
      </c>
      <c r="Q199" s="134">
        <v>1.04</v>
      </c>
      <c r="R199" s="134">
        <v>0.8</v>
      </c>
      <c r="S199" s="134">
        <v>0.34</v>
      </c>
      <c r="T199" s="134">
        <v>8.03</v>
      </c>
      <c r="U199" s="134">
        <v>0.42</v>
      </c>
      <c r="V199" s="134">
        <v>0.58</v>
      </c>
      <c r="W199" s="134">
        <v>0.8</v>
      </c>
      <c r="X199" s="134">
        <v>6.86</v>
      </c>
      <c r="Y199" s="10">
        <v>0.0</v>
      </c>
      <c r="Z199" s="135">
        <v>0.0</v>
      </c>
      <c r="AA199" s="134">
        <v>2.7</v>
      </c>
      <c r="AB199" s="134">
        <v>0.02</v>
      </c>
      <c r="AC199" s="134">
        <v>0.0</v>
      </c>
      <c r="AD199" s="135">
        <v>2.548750077E8</v>
      </c>
    </row>
    <row r="200">
      <c r="A200" s="10" t="s">
        <v>265</v>
      </c>
      <c r="B200" s="134">
        <v>7.1</v>
      </c>
      <c r="C200" s="10">
        <v>5.55</v>
      </c>
      <c r="D200" s="136">
        <v>24.3</v>
      </c>
      <c r="E200" s="134">
        <v>3.83</v>
      </c>
      <c r="F200" s="134">
        <v>1.02</v>
      </c>
      <c r="G200" s="10">
        <v>37.23</v>
      </c>
      <c r="H200" s="10">
        <v>25.4</v>
      </c>
      <c r="I200" s="10">
        <v>26.79</v>
      </c>
      <c r="J200" s="136">
        <v>25.63</v>
      </c>
      <c r="K200" s="134">
        <v>23.0</v>
      </c>
      <c r="L200" s="134">
        <v>-2.74</v>
      </c>
      <c r="M200" s="134">
        <v>-0.41</v>
      </c>
      <c r="N200" s="10">
        <v>6.51</v>
      </c>
      <c r="O200" s="134">
        <v>2.79</v>
      </c>
      <c r="P200" s="134">
        <v>-5.77</v>
      </c>
      <c r="Q200" s="134">
        <v>1.8</v>
      </c>
      <c r="R200" s="134">
        <v>15.75</v>
      </c>
      <c r="S200" s="134">
        <v>4.2</v>
      </c>
      <c r="T200" s="134">
        <v>8.12</v>
      </c>
      <c r="U200" s="134">
        <v>0.27</v>
      </c>
      <c r="V200" s="134">
        <v>0.66</v>
      </c>
      <c r="W200" s="134">
        <v>0.16</v>
      </c>
      <c r="X200" s="10">
        <v>0.0</v>
      </c>
      <c r="Y200" s="10">
        <v>0.0</v>
      </c>
      <c r="Z200" s="135">
        <v>8956305.88</v>
      </c>
      <c r="AA200" s="134">
        <v>1.85</v>
      </c>
      <c r="AB200" s="134">
        <v>0.29</v>
      </c>
      <c r="AC200" s="134">
        <v>-0.54</v>
      </c>
      <c r="AD200" s="135">
        <v>2.08106937744E9</v>
      </c>
    </row>
    <row r="201">
      <c r="A201" s="10" t="s">
        <v>90</v>
      </c>
      <c r="B201" s="134">
        <v>20.79</v>
      </c>
      <c r="C201" s="134">
        <v>0.0</v>
      </c>
      <c r="D201" s="136">
        <v>-65.61</v>
      </c>
      <c r="E201" s="134">
        <v>30.31</v>
      </c>
      <c r="F201" s="134">
        <v>0.99</v>
      </c>
      <c r="G201" s="134">
        <v>100.0</v>
      </c>
      <c r="H201" s="134">
        <v>-124.74</v>
      </c>
      <c r="I201" s="134">
        <v>-14.08</v>
      </c>
      <c r="J201" s="136">
        <v>-7.41</v>
      </c>
      <c r="K201" s="136">
        <v>-8.31</v>
      </c>
      <c r="L201" s="134">
        <v>-0.84</v>
      </c>
      <c r="M201" s="134">
        <v>3.44</v>
      </c>
      <c r="N201" s="134">
        <v>9.24</v>
      </c>
      <c r="O201" s="134">
        <v>-15.51</v>
      </c>
      <c r="P201" s="134">
        <v>-2.37</v>
      </c>
      <c r="Q201" s="134">
        <v>0.9</v>
      </c>
      <c r="R201" s="134">
        <v>-46.2</v>
      </c>
      <c r="S201" s="134">
        <v>-1.51</v>
      </c>
      <c r="T201" s="134">
        <v>-98.64</v>
      </c>
      <c r="U201" s="134">
        <v>0.03</v>
      </c>
      <c r="V201" s="134">
        <v>0.97</v>
      </c>
      <c r="W201" s="134">
        <v>0.11</v>
      </c>
      <c r="X201" s="134">
        <v>-6.66</v>
      </c>
      <c r="Y201" s="134">
        <v>0.0</v>
      </c>
      <c r="Z201" s="135">
        <v>1.6550453454E8</v>
      </c>
      <c r="AA201" s="134">
        <v>0.69</v>
      </c>
      <c r="AB201" s="134">
        <v>-0.32</v>
      </c>
      <c r="AC201" s="134">
        <v>0.69</v>
      </c>
      <c r="AD201" s="135">
        <v>4.71688294473E9</v>
      </c>
    </row>
    <row r="202">
      <c r="A202" s="10" t="s">
        <v>197</v>
      </c>
      <c r="B202" s="134">
        <v>8.05</v>
      </c>
      <c r="C202" s="134">
        <v>0.0</v>
      </c>
      <c r="D202" s="136">
        <v>13.27</v>
      </c>
      <c r="E202" s="134">
        <v>2.31</v>
      </c>
      <c r="F202" s="134">
        <v>2.3</v>
      </c>
      <c r="G202" s="134">
        <v>0.0</v>
      </c>
      <c r="H202" s="134">
        <v>0.0</v>
      </c>
      <c r="I202" s="134">
        <v>0.0</v>
      </c>
      <c r="J202" s="136">
        <v>11.55</v>
      </c>
      <c r="K202" s="136">
        <v>11.4</v>
      </c>
      <c r="L202" s="134">
        <v>-0.2</v>
      </c>
      <c r="M202" s="134">
        <v>-0.04</v>
      </c>
      <c r="N202" s="134">
        <v>0.0</v>
      </c>
      <c r="O202" s="134">
        <v>49.52</v>
      </c>
      <c r="P202" s="134">
        <v>-2.43</v>
      </c>
      <c r="Q202" s="134">
        <v>8.55</v>
      </c>
      <c r="R202" s="134">
        <v>17.44</v>
      </c>
      <c r="S202" s="134">
        <v>17.33</v>
      </c>
      <c r="T202" s="134">
        <v>17.32</v>
      </c>
      <c r="U202" s="134">
        <v>0.99</v>
      </c>
      <c r="V202" s="134">
        <v>0.01</v>
      </c>
      <c r="W202" s="134">
        <v>0.0</v>
      </c>
      <c r="X202" s="134">
        <v>0.0</v>
      </c>
      <c r="Y202" s="10">
        <v>0.0</v>
      </c>
      <c r="Z202" s="135">
        <v>2.483387654E7</v>
      </c>
      <c r="AA202" s="134">
        <v>3.48</v>
      </c>
      <c r="AB202" s="134">
        <v>0.61</v>
      </c>
      <c r="AC202" s="134">
        <v>0.09</v>
      </c>
      <c r="AD202" s="135">
        <v>2.427E10</v>
      </c>
    </row>
    <row r="203">
      <c r="A203" s="10" t="s">
        <v>95</v>
      </c>
      <c r="B203" s="134">
        <v>17.82</v>
      </c>
      <c r="C203" s="10">
        <v>14.86</v>
      </c>
      <c r="D203" s="136">
        <v>3.35</v>
      </c>
      <c r="E203" s="134">
        <v>1.19</v>
      </c>
      <c r="F203" s="134">
        <v>0.58</v>
      </c>
      <c r="G203" s="134">
        <v>33.9</v>
      </c>
      <c r="H203" s="134">
        <v>58.05</v>
      </c>
      <c r="I203" s="134">
        <v>48.2</v>
      </c>
      <c r="J203" s="136">
        <v>2.79</v>
      </c>
      <c r="K203" s="136">
        <v>3.29</v>
      </c>
      <c r="L203" s="134">
        <v>0.5</v>
      </c>
      <c r="M203" s="134">
        <v>0.21</v>
      </c>
      <c r="N203" s="134">
        <v>1.62</v>
      </c>
      <c r="O203" s="134">
        <v>1.5</v>
      </c>
      <c r="P203" s="134">
        <v>-1.25</v>
      </c>
      <c r="Q203" s="134">
        <v>3.43</v>
      </c>
      <c r="R203" s="134">
        <v>35.62</v>
      </c>
      <c r="S203" s="134">
        <v>17.16</v>
      </c>
      <c r="T203" s="134">
        <v>21.69</v>
      </c>
      <c r="U203" s="134">
        <v>0.48</v>
      </c>
      <c r="V203" s="134">
        <v>0.49</v>
      </c>
      <c r="W203" s="134">
        <v>0.36</v>
      </c>
      <c r="X203" s="10">
        <v>-2.51</v>
      </c>
      <c r="Y203" s="10">
        <v>36.52</v>
      </c>
      <c r="Z203" s="135">
        <v>1.3674225871E8</v>
      </c>
      <c r="AA203" s="134">
        <v>14.92</v>
      </c>
      <c r="AB203" s="134">
        <v>5.31</v>
      </c>
      <c r="AC203" s="10">
        <v>0.01</v>
      </c>
      <c r="AD203" s="135">
        <v>7.12741410617E9</v>
      </c>
    </row>
    <row r="204">
      <c r="A204" s="10" t="s">
        <v>248</v>
      </c>
      <c r="B204" s="134">
        <v>42.58</v>
      </c>
      <c r="C204" s="134">
        <v>0.67</v>
      </c>
      <c r="D204" s="134">
        <v>-386.29</v>
      </c>
      <c r="E204" s="134">
        <v>3.21</v>
      </c>
      <c r="F204" s="134">
        <v>1.31</v>
      </c>
      <c r="G204" s="134">
        <v>29.93</v>
      </c>
      <c r="H204" s="134">
        <v>1.04</v>
      </c>
      <c r="I204" s="134">
        <v>-0.65</v>
      </c>
      <c r="J204" s="136">
        <v>242.77</v>
      </c>
      <c r="K204" s="136">
        <v>258.58</v>
      </c>
      <c r="L204" s="134">
        <v>14.95</v>
      </c>
      <c r="M204" s="134">
        <v>0.2</v>
      </c>
      <c r="N204" s="134">
        <v>2.51</v>
      </c>
      <c r="O204" s="134">
        <v>8.11</v>
      </c>
      <c r="P204" s="134">
        <v>-2.29</v>
      </c>
      <c r="Q204" s="134">
        <v>1.61</v>
      </c>
      <c r="R204" s="134">
        <v>-0.83</v>
      </c>
      <c r="S204" s="134">
        <v>-0.34</v>
      </c>
      <c r="T204" s="134">
        <v>-0.74</v>
      </c>
      <c r="U204" s="134">
        <v>0.41</v>
      </c>
      <c r="V204" s="134">
        <v>0.59</v>
      </c>
      <c r="W204" s="134">
        <v>0.52</v>
      </c>
      <c r="X204" s="134">
        <v>20.3</v>
      </c>
      <c r="Y204" s="10">
        <v>0.0</v>
      </c>
      <c r="Z204" s="135">
        <v>8366700.96</v>
      </c>
      <c r="AA204" s="134">
        <v>13.26</v>
      </c>
      <c r="AB204" s="134">
        <v>-0.11</v>
      </c>
      <c r="AC204" s="134">
        <v>5.56</v>
      </c>
      <c r="AD204" s="135">
        <v>2.341446702324E10</v>
      </c>
    </row>
    <row r="205">
      <c r="A205" s="10" t="s">
        <v>268</v>
      </c>
      <c r="B205" s="134">
        <v>25.09</v>
      </c>
      <c r="C205" s="134">
        <v>0.0</v>
      </c>
      <c r="D205" s="134">
        <v>373.7</v>
      </c>
      <c r="E205" s="134">
        <v>12.05</v>
      </c>
      <c r="F205" s="134">
        <v>2.74</v>
      </c>
      <c r="G205" s="134">
        <v>62.51</v>
      </c>
      <c r="H205" s="134">
        <v>19.15</v>
      </c>
      <c r="I205" s="134">
        <v>5.21</v>
      </c>
      <c r="J205" s="134">
        <v>101.74</v>
      </c>
      <c r="K205" s="134">
        <v>118.03</v>
      </c>
      <c r="L205" s="134">
        <v>15.56</v>
      </c>
      <c r="M205" s="134">
        <v>1.84</v>
      </c>
      <c r="N205" s="134">
        <v>19.49</v>
      </c>
      <c r="O205" s="134">
        <v>-52.82</v>
      </c>
      <c r="P205" s="134">
        <v>-3.39</v>
      </c>
      <c r="Q205" s="134">
        <v>0.79</v>
      </c>
      <c r="R205" s="134">
        <v>3.23</v>
      </c>
      <c r="S205" s="134">
        <v>0.73</v>
      </c>
      <c r="T205" s="134">
        <v>2.45</v>
      </c>
      <c r="U205" s="134">
        <v>0.23</v>
      </c>
      <c r="V205" s="134">
        <v>0.77</v>
      </c>
      <c r="W205" s="134">
        <v>0.14</v>
      </c>
      <c r="X205" s="134">
        <v>0.0</v>
      </c>
      <c r="Y205" s="10">
        <v>0.0</v>
      </c>
      <c r="Z205" s="135">
        <v>9964715.83</v>
      </c>
      <c r="AA205" s="134">
        <v>2.08</v>
      </c>
      <c r="AB205" s="134">
        <v>0.07</v>
      </c>
      <c r="AC205" s="134">
        <v>0.0</v>
      </c>
      <c r="AD205" s="135">
        <v>2.19769869522E9</v>
      </c>
    </row>
    <row r="206">
      <c r="A206" s="10" t="s">
        <v>259</v>
      </c>
      <c r="B206" s="134">
        <v>11.57</v>
      </c>
      <c r="C206" s="134">
        <v>2.42</v>
      </c>
      <c r="D206" s="134">
        <v>7.22</v>
      </c>
      <c r="E206" s="134">
        <v>2.8</v>
      </c>
      <c r="F206" s="134">
        <v>0.99</v>
      </c>
      <c r="G206" s="134">
        <v>21.42</v>
      </c>
      <c r="H206" s="134">
        <v>17.98</v>
      </c>
      <c r="I206" s="134">
        <v>11.34</v>
      </c>
      <c r="J206" s="136">
        <v>4.55</v>
      </c>
      <c r="K206" s="136">
        <v>5.18</v>
      </c>
      <c r="L206" s="134">
        <v>0.63</v>
      </c>
      <c r="M206" s="134">
        <v>0.39</v>
      </c>
      <c r="N206" s="134">
        <v>0.82</v>
      </c>
      <c r="O206" s="134">
        <v>4.48</v>
      </c>
      <c r="P206" s="134">
        <v>-2.07</v>
      </c>
      <c r="Q206" s="134">
        <v>1.73</v>
      </c>
      <c r="R206" s="134">
        <v>38.83</v>
      </c>
      <c r="S206" s="134">
        <v>13.71</v>
      </c>
      <c r="T206" s="134">
        <v>27.16</v>
      </c>
      <c r="U206" s="134">
        <v>0.35</v>
      </c>
      <c r="V206" s="134">
        <v>0.57</v>
      </c>
      <c r="W206" s="134">
        <v>1.21</v>
      </c>
      <c r="X206" s="134">
        <v>20.13</v>
      </c>
      <c r="Y206" s="134">
        <v>0.0</v>
      </c>
      <c r="Z206" s="135">
        <v>7360114.63</v>
      </c>
      <c r="AA206" s="134">
        <v>4.13</v>
      </c>
      <c r="AB206" s="134">
        <v>1.6</v>
      </c>
      <c r="AC206" s="134">
        <v>0.1</v>
      </c>
      <c r="AD206" s="135">
        <v>1.08758227185E9</v>
      </c>
    </row>
    <row r="207">
      <c r="A207" s="10" t="s">
        <v>375</v>
      </c>
      <c r="B207" s="134">
        <v>9.25</v>
      </c>
      <c r="C207" s="10">
        <v>3.22</v>
      </c>
      <c r="D207" s="134">
        <v>5.77</v>
      </c>
      <c r="E207" s="134">
        <v>2.24</v>
      </c>
      <c r="F207" s="134">
        <v>0.79</v>
      </c>
      <c r="G207" s="134">
        <v>21.42</v>
      </c>
      <c r="H207" s="134">
        <v>17.98</v>
      </c>
      <c r="I207" s="134">
        <v>11.34</v>
      </c>
      <c r="J207" s="136">
        <v>3.64</v>
      </c>
      <c r="K207" s="136">
        <v>5.18</v>
      </c>
      <c r="L207" s="134">
        <v>0.63</v>
      </c>
      <c r="M207" s="10">
        <v>0.39</v>
      </c>
      <c r="N207" s="134">
        <v>0.65</v>
      </c>
      <c r="O207" s="134">
        <v>3.58</v>
      </c>
      <c r="P207" s="134">
        <v>-1.66</v>
      </c>
      <c r="Q207" s="134">
        <v>1.73</v>
      </c>
      <c r="R207" s="134">
        <v>38.83</v>
      </c>
      <c r="S207" s="134">
        <v>13.71</v>
      </c>
      <c r="T207" s="134">
        <v>27.16</v>
      </c>
      <c r="U207" s="134">
        <v>0.35</v>
      </c>
      <c r="V207" s="134">
        <v>0.57</v>
      </c>
      <c r="W207" s="134">
        <v>1.21</v>
      </c>
      <c r="X207" s="134">
        <v>20.13</v>
      </c>
      <c r="Y207" s="10">
        <v>0.0</v>
      </c>
      <c r="Z207" s="135">
        <v>151635.0</v>
      </c>
      <c r="AA207" s="134">
        <v>4.13</v>
      </c>
      <c r="AB207" s="134">
        <v>1.6</v>
      </c>
      <c r="AC207" s="134">
        <v>0.08</v>
      </c>
      <c r="AD207" s="135">
        <v>1.08758227185E9</v>
      </c>
    </row>
    <row r="208">
      <c r="A208" s="10" t="s">
        <v>205</v>
      </c>
      <c r="B208" s="134">
        <v>11.73</v>
      </c>
      <c r="C208" s="10">
        <v>12.79</v>
      </c>
      <c r="D208" s="134">
        <v>12.85</v>
      </c>
      <c r="E208" s="134">
        <v>1.5</v>
      </c>
      <c r="F208" s="134">
        <v>0.32</v>
      </c>
      <c r="G208" s="134">
        <v>36.26</v>
      </c>
      <c r="H208" s="136">
        <v>17.06</v>
      </c>
      <c r="I208" s="136">
        <v>8.36</v>
      </c>
      <c r="J208" s="136">
        <v>6.3</v>
      </c>
      <c r="K208" s="134">
        <v>7.32</v>
      </c>
      <c r="L208" s="134">
        <v>1.01</v>
      </c>
      <c r="M208" s="134">
        <v>0.24</v>
      </c>
      <c r="N208" s="134">
        <v>1.07</v>
      </c>
      <c r="O208" s="136">
        <v>0.8</v>
      </c>
      <c r="P208" s="134">
        <v>-0.64</v>
      </c>
      <c r="Q208" s="134">
        <v>5.35</v>
      </c>
      <c r="R208" s="134">
        <v>11.71</v>
      </c>
      <c r="S208" s="134">
        <v>2.52</v>
      </c>
      <c r="T208" s="134">
        <v>9.71</v>
      </c>
      <c r="U208" s="134">
        <v>0.22</v>
      </c>
      <c r="V208" s="134">
        <v>0.76</v>
      </c>
      <c r="W208" s="134">
        <v>0.3</v>
      </c>
      <c r="X208" s="10">
        <v>-0.89</v>
      </c>
      <c r="Y208" s="10">
        <v>2.06</v>
      </c>
      <c r="Z208" s="135">
        <v>1.6245135E7</v>
      </c>
      <c r="AA208" s="134">
        <v>7.8</v>
      </c>
      <c r="AB208" s="134">
        <v>0.91</v>
      </c>
      <c r="AC208" s="134">
        <v>0.32</v>
      </c>
      <c r="AD208" s="135">
        <v>1.7625E9</v>
      </c>
    </row>
    <row r="209">
      <c r="A209" s="10" t="s">
        <v>303</v>
      </c>
      <c r="B209" s="134">
        <v>0.78</v>
      </c>
      <c r="C209" s="134">
        <v>0.0</v>
      </c>
      <c r="D209" s="134">
        <v>0.61</v>
      </c>
      <c r="E209" s="134">
        <v>-0.38</v>
      </c>
      <c r="F209" s="134">
        <v>1.12</v>
      </c>
      <c r="G209" s="134">
        <v>27.25</v>
      </c>
      <c r="H209" s="134">
        <v>182.55</v>
      </c>
      <c r="I209" s="134">
        <v>194.38</v>
      </c>
      <c r="J209" s="136">
        <v>0.65</v>
      </c>
      <c r="K209" s="134">
        <v>0.57</v>
      </c>
      <c r="L209" s="134">
        <v>-0.08</v>
      </c>
      <c r="M209" s="134">
        <v>0.0</v>
      </c>
      <c r="N209" s="134">
        <v>1.19</v>
      </c>
      <c r="O209" s="136">
        <v>-1.96</v>
      </c>
      <c r="P209" s="134">
        <v>-1.7</v>
      </c>
      <c r="Q209" s="134">
        <v>0.37</v>
      </c>
      <c r="R209" s="134">
        <v>-62.74</v>
      </c>
      <c r="S209" s="134">
        <v>182.78</v>
      </c>
      <c r="T209" s="134">
        <v>-58.94</v>
      </c>
      <c r="U209" s="134">
        <v>-2.91</v>
      </c>
      <c r="V209" s="134">
        <v>3.91</v>
      </c>
      <c r="W209" s="134">
        <v>0.94</v>
      </c>
      <c r="X209" s="134">
        <v>-10.63</v>
      </c>
      <c r="Y209" s="134">
        <v>0.0</v>
      </c>
      <c r="Z209" s="136">
        <v>2860215.58</v>
      </c>
      <c r="AA209" s="134">
        <v>-2.03</v>
      </c>
      <c r="AB209" s="134">
        <v>1.27</v>
      </c>
      <c r="AC209" s="134">
        <v>0.0</v>
      </c>
      <c r="AD209" s="135">
        <v>2.387716639E8</v>
      </c>
    </row>
    <row r="210">
      <c r="A210" s="10" t="s">
        <v>332</v>
      </c>
      <c r="B210" s="134">
        <v>6.55</v>
      </c>
      <c r="C210" s="134">
        <v>0.0</v>
      </c>
      <c r="D210" s="134">
        <v>30.15</v>
      </c>
      <c r="E210" s="134">
        <v>0.4</v>
      </c>
      <c r="F210" s="134">
        <v>0.23</v>
      </c>
      <c r="G210" s="134">
        <v>33.63</v>
      </c>
      <c r="H210" s="134">
        <v>0.9</v>
      </c>
      <c r="I210" s="134">
        <v>1.06</v>
      </c>
      <c r="J210" s="134">
        <v>35.33</v>
      </c>
      <c r="K210" s="134">
        <v>28.91</v>
      </c>
      <c r="L210" s="134">
        <v>-6.52</v>
      </c>
      <c r="M210" s="134">
        <v>-0.07</v>
      </c>
      <c r="N210" s="134">
        <v>0.32</v>
      </c>
      <c r="O210" s="134">
        <v>3.33</v>
      </c>
      <c r="P210" s="134">
        <v>-0.32</v>
      </c>
      <c r="Q210" s="134">
        <v>1.31</v>
      </c>
      <c r="R210" s="134">
        <v>1.33</v>
      </c>
      <c r="S210" s="134">
        <v>0.76</v>
      </c>
      <c r="T210" s="134">
        <v>-0.52</v>
      </c>
      <c r="U210" s="134">
        <v>0.57</v>
      </c>
      <c r="V210" s="134">
        <v>0.43</v>
      </c>
      <c r="W210" s="134">
        <v>0.72</v>
      </c>
      <c r="X210" s="134">
        <v>0.0</v>
      </c>
      <c r="Y210" s="134">
        <v>0.0</v>
      </c>
      <c r="Z210" s="136">
        <v>663515.75</v>
      </c>
      <c r="AA210" s="134">
        <v>16.3</v>
      </c>
      <c r="AB210" s="134">
        <v>0.22</v>
      </c>
      <c r="AC210" s="134">
        <v>-0.12</v>
      </c>
      <c r="AD210" s="135">
        <v>3.3246067194E8</v>
      </c>
    </row>
    <row r="211">
      <c r="A211" s="10" t="s">
        <v>533</v>
      </c>
      <c r="B211" s="134">
        <v>23.49</v>
      </c>
      <c r="C211" s="10">
        <v>2.0</v>
      </c>
      <c r="D211" s="134">
        <v>13.95</v>
      </c>
      <c r="E211" s="134">
        <v>2.61</v>
      </c>
      <c r="F211" s="134">
        <v>2.01</v>
      </c>
      <c r="G211" s="134">
        <v>32.2</v>
      </c>
      <c r="H211" s="134">
        <v>17.98</v>
      </c>
      <c r="I211" s="134">
        <v>19.54</v>
      </c>
      <c r="J211" s="136">
        <v>15.16</v>
      </c>
      <c r="K211" s="134">
        <v>12.1</v>
      </c>
      <c r="L211" s="134">
        <v>0.06</v>
      </c>
      <c r="M211" s="10">
        <v>0.01</v>
      </c>
      <c r="N211" s="134">
        <v>2.73</v>
      </c>
      <c r="O211" s="136">
        <v>4.62</v>
      </c>
      <c r="P211" s="134">
        <v>-4.34</v>
      </c>
      <c r="Q211" s="134">
        <v>5.32</v>
      </c>
      <c r="R211" s="134">
        <v>18.72</v>
      </c>
      <c r="S211" s="134">
        <v>14.43</v>
      </c>
      <c r="T211" s="134">
        <v>12.7</v>
      </c>
      <c r="U211" s="134">
        <v>0.77</v>
      </c>
      <c r="V211" s="134">
        <v>0.23</v>
      </c>
      <c r="W211" s="134">
        <v>0.74</v>
      </c>
      <c r="X211" s="10">
        <v>5.55</v>
      </c>
      <c r="Y211" s="10">
        <v>35.18</v>
      </c>
      <c r="Z211" s="137">
        <v>7047.0</v>
      </c>
      <c r="AA211" s="134">
        <v>8.99</v>
      </c>
      <c r="AB211" s="134">
        <v>1.68</v>
      </c>
      <c r="AC211" s="10">
        <v>0.02</v>
      </c>
      <c r="AD211" s="135">
        <v>1.4103258255E9</v>
      </c>
    </row>
    <row r="212">
      <c r="A212" s="10" t="s">
        <v>421</v>
      </c>
      <c r="B212" s="134">
        <v>6.18</v>
      </c>
      <c r="C212" s="10">
        <v>8.35</v>
      </c>
      <c r="D212" s="134">
        <v>3.67</v>
      </c>
      <c r="E212" s="134">
        <v>0.69</v>
      </c>
      <c r="F212" s="134">
        <v>0.53</v>
      </c>
      <c r="G212" s="134">
        <v>32.2</v>
      </c>
      <c r="H212" s="134">
        <v>17.98</v>
      </c>
      <c r="I212" s="134">
        <v>19.54</v>
      </c>
      <c r="J212" s="136">
        <v>3.99</v>
      </c>
      <c r="K212" s="134">
        <v>12.1</v>
      </c>
      <c r="L212" s="134">
        <v>0.06</v>
      </c>
      <c r="M212" s="134">
        <v>0.01</v>
      </c>
      <c r="N212" s="134">
        <v>0.72</v>
      </c>
      <c r="O212" s="136">
        <v>1.22</v>
      </c>
      <c r="P212" s="134">
        <v>-1.14</v>
      </c>
      <c r="Q212" s="134">
        <v>5.32</v>
      </c>
      <c r="R212" s="134">
        <v>18.72</v>
      </c>
      <c r="S212" s="134">
        <v>14.43</v>
      </c>
      <c r="T212" s="134">
        <v>12.7</v>
      </c>
      <c r="U212" s="134">
        <v>0.77</v>
      </c>
      <c r="V212" s="134">
        <v>0.23</v>
      </c>
      <c r="W212" s="134">
        <v>0.74</v>
      </c>
      <c r="X212" s="134">
        <v>5.55</v>
      </c>
      <c r="Y212" s="10">
        <v>35.18</v>
      </c>
      <c r="Z212" s="136">
        <v>58824.83</v>
      </c>
      <c r="AA212" s="134">
        <v>8.99</v>
      </c>
      <c r="AB212" s="134">
        <v>1.68</v>
      </c>
      <c r="AC212" s="134">
        <v>0.01</v>
      </c>
      <c r="AD212" s="135">
        <v>1.4103258255E9</v>
      </c>
    </row>
    <row r="213">
      <c r="A213" s="10" t="s">
        <v>335</v>
      </c>
      <c r="B213" s="134">
        <v>6.89</v>
      </c>
      <c r="C213" s="10">
        <v>0.0</v>
      </c>
      <c r="D213" s="134">
        <v>-12.96</v>
      </c>
      <c r="E213" s="134">
        <v>-24.28</v>
      </c>
      <c r="F213" s="134">
        <v>2.26</v>
      </c>
      <c r="G213" s="134">
        <v>89.63</v>
      </c>
      <c r="H213" s="134">
        <v>-29.6</v>
      </c>
      <c r="I213" s="134">
        <v>-59.32</v>
      </c>
      <c r="J213" s="134">
        <v>-25.97</v>
      </c>
      <c r="K213" s="134">
        <v>-17.89</v>
      </c>
      <c r="L213" s="134">
        <v>8.0</v>
      </c>
      <c r="M213" s="134">
        <v>0.0</v>
      </c>
      <c r="N213" s="134">
        <v>7.69</v>
      </c>
      <c r="O213" s="136">
        <v>19.36</v>
      </c>
      <c r="P213" s="134">
        <v>-16.39</v>
      </c>
      <c r="Q213" s="134">
        <v>1.16</v>
      </c>
      <c r="R213" s="134">
        <v>-187.36</v>
      </c>
      <c r="S213" s="134">
        <v>-17.45</v>
      </c>
      <c r="T213" s="134">
        <v>737.8</v>
      </c>
      <c r="U213" s="134">
        <v>-0.09</v>
      </c>
      <c r="V213" s="134">
        <v>1.09</v>
      </c>
      <c r="W213" s="134">
        <v>0.29</v>
      </c>
      <c r="X213" s="134">
        <v>0.0</v>
      </c>
      <c r="Y213" s="10">
        <v>0.0</v>
      </c>
      <c r="Z213" s="138">
        <v>970027.96</v>
      </c>
      <c r="AA213" s="134">
        <v>-0.28</v>
      </c>
      <c r="AB213" s="134">
        <v>-0.53</v>
      </c>
      <c r="AC213" s="134">
        <v>0.0</v>
      </c>
      <c r="AD213" s="135">
        <v>9.0730957824E8</v>
      </c>
    </row>
    <row r="214">
      <c r="A214" s="10" t="s">
        <v>484</v>
      </c>
      <c r="B214" s="134">
        <v>8.78</v>
      </c>
      <c r="C214" s="134">
        <v>0.0</v>
      </c>
      <c r="D214" s="134">
        <v>-20.73</v>
      </c>
      <c r="E214" s="134">
        <v>38.55</v>
      </c>
      <c r="F214" s="134">
        <v>4.97</v>
      </c>
      <c r="G214" s="134">
        <v>20.22</v>
      </c>
      <c r="H214" s="134">
        <v>-36.97</v>
      </c>
      <c r="I214" s="134">
        <v>-45.21</v>
      </c>
      <c r="J214" s="134">
        <v>-25.35</v>
      </c>
      <c r="K214" s="134">
        <v>-32.02</v>
      </c>
      <c r="L214" s="134">
        <v>-0.37</v>
      </c>
      <c r="M214" s="134">
        <v>0.57</v>
      </c>
      <c r="N214" s="134">
        <v>9.37</v>
      </c>
      <c r="O214" s="136">
        <v>-37.59</v>
      </c>
      <c r="P214" s="134">
        <v>-7.58</v>
      </c>
      <c r="Q214" s="134">
        <v>0.72</v>
      </c>
      <c r="R214" s="134">
        <v>-185.96</v>
      </c>
      <c r="S214" s="134">
        <v>-23.95</v>
      </c>
      <c r="T214" s="134">
        <v>-84.82</v>
      </c>
      <c r="U214" s="134">
        <v>0.13</v>
      </c>
      <c r="V214" s="134">
        <v>0.87</v>
      </c>
      <c r="W214" s="134">
        <v>0.53</v>
      </c>
      <c r="X214" s="134">
        <v>4.04</v>
      </c>
      <c r="Y214" s="134">
        <v>0.0</v>
      </c>
      <c r="Z214" s="135">
        <v>16752.43</v>
      </c>
      <c r="AA214" s="134">
        <v>0.23</v>
      </c>
      <c r="AB214" s="134">
        <v>-0.42</v>
      </c>
      <c r="AC214" s="134">
        <v>-0.3</v>
      </c>
      <c r="AD214" s="135">
        <v>1.2198558228E8</v>
      </c>
    </row>
    <row r="215">
      <c r="A215" s="10" t="s">
        <v>604</v>
      </c>
      <c r="B215" s="134">
        <v>62.6</v>
      </c>
      <c r="C215" s="134">
        <v>0.0</v>
      </c>
      <c r="D215" s="134">
        <v>-147.82</v>
      </c>
      <c r="E215" s="134">
        <v>274.88</v>
      </c>
      <c r="F215" s="134">
        <v>35.41</v>
      </c>
      <c r="G215" s="134">
        <v>20.22</v>
      </c>
      <c r="H215" s="134">
        <v>-36.97</v>
      </c>
      <c r="I215" s="134">
        <v>-45.21</v>
      </c>
      <c r="J215" s="134">
        <v>-180.75</v>
      </c>
      <c r="K215" s="134">
        <v>-32.02</v>
      </c>
      <c r="L215" s="134">
        <v>-0.37</v>
      </c>
      <c r="M215" s="134">
        <v>0.57</v>
      </c>
      <c r="N215" s="134">
        <v>66.83</v>
      </c>
      <c r="O215" s="136">
        <v>-268.0</v>
      </c>
      <c r="P215" s="134">
        <v>-54.05</v>
      </c>
      <c r="Q215" s="134">
        <v>0.72</v>
      </c>
      <c r="R215" s="134">
        <v>-185.96</v>
      </c>
      <c r="S215" s="134">
        <v>-23.95</v>
      </c>
      <c r="T215" s="134">
        <v>-84.82</v>
      </c>
      <c r="U215" s="134">
        <v>0.13</v>
      </c>
      <c r="V215" s="134">
        <v>0.87</v>
      </c>
      <c r="W215" s="134">
        <v>0.53</v>
      </c>
      <c r="X215" s="134">
        <v>4.04</v>
      </c>
      <c r="Y215" s="134">
        <v>0.0</v>
      </c>
      <c r="Z215" s="136">
        <v>0.0</v>
      </c>
      <c r="AA215" s="134">
        <v>0.23</v>
      </c>
      <c r="AB215" s="134">
        <v>-0.42</v>
      </c>
      <c r="AC215" s="134">
        <v>-2.17</v>
      </c>
      <c r="AD215" s="135">
        <v>1.2198558228E8</v>
      </c>
    </row>
    <row r="216">
      <c r="A216" s="10" t="s">
        <v>146</v>
      </c>
      <c r="B216" s="134">
        <v>17.78</v>
      </c>
      <c r="C216" s="134">
        <v>4.21</v>
      </c>
      <c r="D216" s="134">
        <v>9.36</v>
      </c>
      <c r="E216" s="134">
        <v>2.18</v>
      </c>
      <c r="F216" s="134">
        <v>1.03</v>
      </c>
      <c r="G216" s="134">
        <v>34.02</v>
      </c>
      <c r="H216" s="134">
        <v>23.4</v>
      </c>
      <c r="I216" s="134">
        <v>17.73</v>
      </c>
      <c r="J216" s="134">
        <v>7.09</v>
      </c>
      <c r="K216" s="134">
        <v>8.13</v>
      </c>
      <c r="L216" s="134">
        <v>1.02</v>
      </c>
      <c r="M216" s="134">
        <v>0.31</v>
      </c>
      <c r="N216" s="134">
        <v>1.66</v>
      </c>
      <c r="O216" s="136">
        <v>7.23</v>
      </c>
      <c r="P216" s="134">
        <v>-1.6</v>
      </c>
      <c r="Q216" s="134">
        <v>1.68</v>
      </c>
      <c r="R216" s="134">
        <v>23.25</v>
      </c>
      <c r="S216" s="134">
        <v>11.06</v>
      </c>
      <c r="T216" s="134">
        <v>14.3</v>
      </c>
      <c r="U216" s="134">
        <v>0.48</v>
      </c>
      <c r="V216" s="134">
        <v>0.52</v>
      </c>
      <c r="W216" s="134">
        <v>0.62</v>
      </c>
      <c r="X216" s="134">
        <v>8.21</v>
      </c>
      <c r="Y216" s="134">
        <v>48.26</v>
      </c>
      <c r="Z216" s="135">
        <v>6.877149654E7</v>
      </c>
      <c r="AA216" s="134">
        <v>8.17</v>
      </c>
      <c r="AB216" s="134">
        <v>1.9</v>
      </c>
      <c r="AC216" s="134">
        <v>0.03</v>
      </c>
      <c r="AD216" s="135">
        <v>1.233451765283E10</v>
      </c>
    </row>
    <row r="217">
      <c r="A217" s="10" t="s">
        <v>508</v>
      </c>
      <c r="B217" s="134">
        <v>12.2</v>
      </c>
      <c r="C217" s="10">
        <v>2.28</v>
      </c>
      <c r="D217" s="134">
        <v>9.82</v>
      </c>
      <c r="E217" s="134">
        <v>1.48</v>
      </c>
      <c r="F217" s="134">
        <v>0.63</v>
      </c>
      <c r="G217" s="134">
        <v>23.73</v>
      </c>
      <c r="H217" s="134">
        <v>11.04</v>
      </c>
      <c r="I217" s="136">
        <v>9.89</v>
      </c>
      <c r="J217" s="134">
        <v>8.79</v>
      </c>
      <c r="K217" s="134">
        <v>8.67</v>
      </c>
      <c r="L217" s="134">
        <v>2.35</v>
      </c>
      <c r="M217" s="134">
        <v>0.39</v>
      </c>
      <c r="N217" s="134">
        <v>0.97</v>
      </c>
      <c r="O217" s="136">
        <v>14.07</v>
      </c>
      <c r="P217" s="134">
        <v>-1.06</v>
      </c>
      <c r="Q217" s="134">
        <v>1.12</v>
      </c>
      <c r="R217" s="134">
        <v>15.06</v>
      </c>
      <c r="S217" s="134">
        <v>6.39</v>
      </c>
      <c r="T217" s="134">
        <v>8.56</v>
      </c>
      <c r="U217" s="134">
        <v>0.42</v>
      </c>
      <c r="V217" s="134">
        <v>0.58</v>
      </c>
      <c r="W217" s="134">
        <v>0.65</v>
      </c>
      <c r="X217" s="134">
        <v>11.42</v>
      </c>
      <c r="Y217" s="10">
        <v>196.51</v>
      </c>
      <c r="Z217" s="135">
        <v>6473.71</v>
      </c>
      <c r="AA217" s="134">
        <v>8.25</v>
      </c>
      <c r="AB217" s="134">
        <v>1.24</v>
      </c>
      <c r="AC217" s="134">
        <v>0.11</v>
      </c>
      <c r="AD217" s="135">
        <v>1.973625E8</v>
      </c>
    </row>
    <row r="218">
      <c r="A218" s="10" t="s">
        <v>365</v>
      </c>
      <c r="B218" s="134">
        <v>6.15</v>
      </c>
      <c r="C218" s="10">
        <v>4.98</v>
      </c>
      <c r="D218" s="134">
        <v>4.95</v>
      </c>
      <c r="E218" s="134">
        <v>0.75</v>
      </c>
      <c r="F218" s="134">
        <v>0.32</v>
      </c>
      <c r="G218" s="10">
        <v>23.73</v>
      </c>
      <c r="H218" s="10">
        <v>11.04</v>
      </c>
      <c r="I218" s="138">
        <v>9.89</v>
      </c>
      <c r="J218" s="134">
        <v>4.43</v>
      </c>
      <c r="K218" s="134">
        <v>8.67</v>
      </c>
      <c r="L218" s="134">
        <v>2.35</v>
      </c>
      <c r="M218" s="134">
        <v>0.39</v>
      </c>
      <c r="N218" s="10">
        <v>0.49</v>
      </c>
      <c r="O218" s="136">
        <v>7.09</v>
      </c>
      <c r="P218" s="134">
        <v>-0.53</v>
      </c>
      <c r="Q218" s="134">
        <v>1.12</v>
      </c>
      <c r="R218" s="134">
        <v>15.06</v>
      </c>
      <c r="S218" s="134">
        <v>6.39</v>
      </c>
      <c r="T218" s="134">
        <v>8.56</v>
      </c>
      <c r="U218" s="134">
        <v>0.42</v>
      </c>
      <c r="V218" s="134">
        <v>0.58</v>
      </c>
      <c r="W218" s="134">
        <v>0.65</v>
      </c>
      <c r="X218" s="10">
        <v>11.42</v>
      </c>
      <c r="Y218" s="10">
        <v>196.51</v>
      </c>
      <c r="Z218" s="136">
        <v>253030.17</v>
      </c>
      <c r="AA218" s="134">
        <v>8.25</v>
      </c>
      <c r="AB218" s="134">
        <v>1.24</v>
      </c>
      <c r="AC218" s="134">
        <v>0.06</v>
      </c>
      <c r="AD218" s="135">
        <v>1.973625E8</v>
      </c>
    </row>
    <row r="219">
      <c r="A219" s="10" t="s">
        <v>148</v>
      </c>
      <c r="B219" s="134">
        <v>8.7</v>
      </c>
      <c r="C219" s="10">
        <v>0.0</v>
      </c>
      <c r="D219" s="134">
        <v>-17.62</v>
      </c>
      <c r="E219" s="134">
        <v>3.08</v>
      </c>
      <c r="F219" s="134">
        <v>0.42</v>
      </c>
      <c r="G219" s="10">
        <v>41.38</v>
      </c>
      <c r="H219" s="10">
        <v>24.46</v>
      </c>
      <c r="I219" s="10">
        <v>-8.13</v>
      </c>
      <c r="J219" s="134">
        <v>5.86</v>
      </c>
      <c r="K219" s="134">
        <v>11.67</v>
      </c>
      <c r="L219" s="134">
        <v>5.78</v>
      </c>
      <c r="M219" s="134">
        <v>3.04</v>
      </c>
      <c r="N219" s="10">
        <v>1.43</v>
      </c>
      <c r="O219" s="136">
        <v>179.48</v>
      </c>
      <c r="P219" s="134">
        <v>-0.61</v>
      </c>
      <c r="Q219" s="134">
        <v>1.01</v>
      </c>
      <c r="R219" s="134">
        <v>-17.48</v>
      </c>
      <c r="S219" s="134">
        <v>-2.41</v>
      </c>
      <c r="T219" s="134">
        <v>5.0</v>
      </c>
      <c r="U219" s="134">
        <v>0.14</v>
      </c>
      <c r="V219" s="134">
        <v>0.86</v>
      </c>
      <c r="W219" s="134">
        <v>0.3</v>
      </c>
      <c r="X219" s="10">
        <v>7.89</v>
      </c>
      <c r="Y219" s="10">
        <v>0.0</v>
      </c>
      <c r="Z219" s="136">
        <v>5.466592667E7</v>
      </c>
      <c r="AA219" s="134">
        <v>2.82</v>
      </c>
      <c r="AB219" s="134">
        <v>-0.49</v>
      </c>
      <c r="AC219" s="134">
        <v>-0.24</v>
      </c>
      <c r="AD219" s="135">
        <v>6.08596111776E9</v>
      </c>
    </row>
    <row r="220">
      <c r="A220" s="10" t="s">
        <v>509</v>
      </c>
      <c r="B220" s="134">
        <v>79.89</v>
      </c>
      <c r="C220" s="134">
        <v>0.0</v>
      </c>
      <c r="D220" s="134">
        <v>-23.98</v>
      </c>
      <c r="E220" s="134">
        <v>1.05</v>
      </c>
      <c r="F220" s="134">
        <v>0.56</v>
      </c>
      <c r="G220" s="134">
        <v>0.0</v>
      </c>
      <c r="H220" s="134">
        <v>0.0</v>
      </c>
      <c r="I220" s="136">
        <v>0.0</v>
      </c>
      <c r="J220" s="134">
        <v>-8.01</v>
      </c>
      <c r="K220" s="134">
        <v>-8.27</v>
      </c>
      <c r="L220" s="134">
        <v>0.02</v>
      </c>
      <c r="M220" s="134">
        <v>0.0</v>
      </c>
      <c r="N220" s="134">
        <v>0.0</v>
      </c>
      <c r="O220" s="136">
        <v>-1297.4</v>
      </c>
      <c r="P220" s="134">
        <v>-0.56</v>
      </c>
      <c r="Q220" s="134">
        <v>0.93</v>
      </c>
      <c r="R220" s="134">
        <v>-4.39</v>
      </c>
      <c r="S220" s="134">
        <v>-2.32</v>
      </c>
      <c r="T220" s="134">
        <v>-13.38</v>
      </c>
      <c r="U220" s="134">
        <v>0.53</v>
      </c>
      <c r="V220" s="134">
        <v>0.47</v>
      </c>
      <c r="W220" s="134">
        <v>0.0</v>
      </c>
      <c r="X220" s="134">
        <v>0.0</v>
      </c>
      <c r="Y220" s="134">
        <v>0.0</v>
      </c>
      <c r="Z220" s="136">
        <v>15978.0</v>
      </c>
      <c r="AA220" s="134">
        <v>75.92</v>
      </c>
      <c r="AB220" s="134">
        <v>-3.33</v>
      </c>
      <c r="AC220" s="134">
        <v>0.26</v>
      </c>
      <c r="AD220" s="135">
        <v>1.5696038325E8</v>
      </c>
    </row>
    <row r="221">
      <c r="A221" s="10" t="s">
        <v>439</v>
      </c>
      <c r="B221" s="134">
        <v>85.8</v>
      </c>
      <c r="C221" s="134">
        <v>0.0</v>
      </c>
      <c r="D221" s="134">
        <v>-25.76</v>
      </c>
      <c r="E221" s="134">
        <v>1.13</v>
      </c>
      <c r="F221" s="134">
        <v>0.6</v>
      </c>
      <c r="G221" s="134">
        <v>0.0</v>
      </c>
      <c r="H221" s="134">
        <v>0.0</v>
      </c>
      <c r="I221" s="136">
        <v>0.0</v>
      </c>
      <c r="J221" s="134">
        <v>-8.61</v>
      </c>
      <c r="K221" s="134">
        <v>-8.27</v>
      </c>
      <c r="L221" s="134">
        <v>0.02</v>
      </c>
      <c r="M221" s="134">
        <v>0.0</v>
      </c>
      <c r="N221" s="134">
        <v>0.0</v>
      </c>
      <c r="O221" s="136">
        <v>-1393.38</v>
      </c>
      <c r="P221" s="134">
        <v>-0.6</v>
      </c>
      <c r="Q221" s="134">
        <v>0.93</v>
      </c>
      <c r="R221" s="134">
        <v>-4.39</v>
      </c>
      <c r="S221" s="134">
        <v>-2.32</v>
      </c>
      <c r="T221" s="134">
        <v>-13.38</v>
      </c>
      <c r="U221" s="134">
        <v>0.53</v>
      </c>
      <c r="V221" s="134">
        <v>0.47</v>
      </c>
      <c r="W221" s="134">
        <v>0.0</v>
      </c>
      <c r="X221" s="134">
        <v>0.0</v>
      </c>
      <c r="Y221" s="134">
        <v>0.0</v>
      </c>
      <c r="Z221" s="135">
        <v>43866.67</v>
      </c>
      <c r="AA221" s="134">
        <v>75.92</v>
      </c>
      <c r="AB221" s="134">
        <v>-3.33</v>
      </c>
      <c r="AC221" s="134">
        <v>0.28</v>
      </c>
      <c r="AD221" s="135">
        <v>1.5696038325E8</v>
      </c>
    </row>
    <row r="222">
      <c r="A222" s="10" t="s">
        <v>431</v>
      </c>
      <c r="B222" s="134">
        <v>325.0</v>
      </c>
      <c r="C222" s="134">
        <v>11.65</v>
      </c>
      <c r="D222" s="134">
        <v>5.93</v>
      </c>
      <c r="E222" s="134">
        <v>1.72</v>
      </c>
      <c r="F222" s="134">
        <v>0.7</v>
      </c>
      <c r="G222" s="134">
        <v>50.07</v>
      </c>
      <c r="H222" s="134">
        <v>50.16</v>
      </c>
      <c r="I222" s="136">
        <v>40.22</v>
      </c>
      <c r="J222" s="134">
        <v>4.75</v>
      </c>
      <c r="K222" s="134">
        <v>4.8</v>
      </c>
      <c r="L222" s="134">
        <v>0.04</v>
      </c>
      <c r="M222" s="134">
        <v>0.02</v>
      </c>
      <c r="N222" s="134">
        <v>2.38</v>
      </c>
      <c r="O222" s="134">
        <v>2.99</v>
      </c>
      <c r="P222" s="134">
        <v>-1.07</v>
      </c>
      <c r="Q222" s="134">
        <v>3.25</v>
      </c>
      <c r="R222" s="134">
        <v>28.94</v>
      </c>
      <c r="S222" s="134">
        <v>11.88</v>
      </c>
      <c r="T222" s="134">
        <v>20.13</v>
      </c>
      <c r="U222" s="134">
        <v>0.41</v>
      </c>
      <c r="V222" s="134">
        <v>0.59</v>
      </c>
      <c r="W222" s="134">
        <v>0.3</v>
      </c>
      <c r="X222" s="134">
        <v>14.95</v>
      </c>
      <c r="Y222" s="134">
        <v>44.2</v>
      </c>
      <c r="Z222" s="135">
        <v>58125.0</v>
      </c>
      <c r="AA222" s="134">
        <v>189.48</v>
      </c>
      <c r="AB222" s="134">
        <v>54.83</v>
      </c>
      <c r="AC222" s="134">
        <v>0.08</v>
      </c>
      <c r="AD222" s="135">
        <v>3.142784575E9</v>
      </c>
    </row>
    <row r="223">
      <c r="A223" s="10" t="s">
        <v>392</v>
      </c>
      <c r="B223" s="134">
        <v>350.0</v>
      </c>
      <c r="C223" s="134">
        <v>14.72</v>
      </c>
      <c r="D223" s="134">
        <v>6.38</v>
      </c>
      <c r="E223" s="136">
        <v>1.85</v>
      </c>
      <c r="F223" s="136">
        <v>0.76</v>
      </c>
      <c r="G223" s="134">
        <v>50.07</v>
      </c>
      <c r="H223" s="134">
        <v>50.16</v>
      </c>
      <c r="I223" s="134">
        <v>40.22</v>
      </c>
      <c r="J223" s="134">
        <v>5.12</v>
      </c>
      <c r="K223" s="134">
        <v>4.8</v>
      </c>
      <c r="L223" s="134">
        <v>0.04</v>
      </c>
      <c r="M223" s="134">
        <v>0.02</v>
      </c>
      <c r="N223" s="134">
        <v>2.57</v>
      </c>
      <c r="O223" s="136">
        <v>3.22</v>
      </c>
      <c r="P223" s="136">
        <v>-1.15</v>
      </c>
      <c r="Q223" s="134">
        <v>3.25</v>
      </c>
      <c r="R223" s="136">
        <v>28.94</v>
      </c>
      <c r="S223" s="136">
        <v>11.88</v>
      </c>
      <c r="T223" s="136">
        <v>20.13</v>
      </c>
      <c r="U223" s="134">
        <v>0.41</v>
      </c>
      <c r="V223" s="134">
        <v>0.59</v>
      </c>
      <c r="W223" s="134">
        <v>0.3</v>
      </c>
      <c r="X223" s="134">
        <v>14.95</v>
      </c>
      <c r="Y223" s="134">
        <v>44.2</v>
      </c>
      <c r="Z223" s="136">
        <v>35000.0</v>
      </c>
      <c r="AA223" s="134">
        <v>189.48</v>
      </c>
      <c r="AB223" s="134">
        <v>54.83</v>
      </c>
      <c r="AC223" s="134">
        <v>0.08</v>
      </c>
      <c r="AD223" s="135">
        <v>3.142784575E9</v>
      </c>
    </row>
    <row r="224">
      <c r="A224" s="10" t="s">
        <v>150</v>
      </c>
      <c r="B224" s="134">
        <v>37.2</v>
      </c>
      <c r="C224" s="134">
        <v>7.01</v>
      </c>
      <c r="D224" s="134">
        <v>12.82</v>
      </c>
      <c r="E224" s="134">
        <v>3.72</v>
      </c>
      <c r="F224" s="136">
        <v>0.8</v>
      </c>
      <c r="G224" s="134">
        <v>44.39</v>
      </c>
      <c r="H224" s="136">
        <v>44.26</v>
      </c>
      <c r="I224" s="136">
        <v>17.72</v>
      </c>
      <c r="J224" s="134">
        <v>5.13</v>
      </c>
      <c r="K224" s="134">
        <v>7.38</v>
      </c>
      <c r="L224" s="134">
        <v>2.24</v>
      </c>
      <c r="M224" s="134">
        <v>1.63</v>
      </c>
      <c r="N224" s="136">
        <v>2.27</v>
      </c>
      <c r="O224" s="134">
        <v>10.08</v>
      </c>
      <c r="P224" s="134">
        <v>-1.04</v>
      </c>
      <c r="Q224" s="134">
        <v>1.53</v>
      </c>
      <c r="R224" s="134">
        <v>28.99</v>
      </c>
      <c r="S224" s="136">
        <v>6.26</v>
      </c>
      <c r="T224" s="134">
        <v>19.9</v>
      </c>
      <c r="U224" s="134">
        <v>0.22</v>
      </c>
      <c r="V224" s="134">
        <v>0.78</v>
      </c>
      <c r="W224" s="134">
        <v>0.35</v>
      </c>
      <c r="X224" s="134">
        <v>13.49</v>
      </c>
      <c r="Y224" s="134">
        <v>9.55</v>
      </c>
      <c r="Z224" s="139">
        <v>5.889033846E7</v>
      </c>
      <c r="AA224" s="134">
        <v>10.01</v>
      </c>
      <c r="AB224" s="134">
        <v>2.9</v>
      </c>
      <c r="AC224" s="134">
        <v>-1.25</v>
      </c>
      <c r="AD224" s="135">
        <v>3.0393308315E10</v>
      </c>
    </row>
    <row r="225">
      <c r="A225" s="10" t="s">
        <v>444</v>
      </c>
      <c r="B225" s="134">
        <v>36.96</v>
      </c>
      <c r="C225" s="10">
        <v>8.71</v>
      </c>
      <c r="D225" s="134">
        <v>9.52</v>
      </c>
      <c r="E225" s="136">
        <v>2.64</v>
      </c>
      <c r="F225" s="136">
        <v>0.74</v>
      </c>
      <c r="G225" s="134">
        <v>20.5</v>
      </c>
      <c r="H225" s="134">
        <v>15.37</v>
      </c>
      <c r="I225" s="136">
        <v>9.97</v>
      </c>
      <c r="J225" s="134">
        <v>6.18</v>
      </c>
      <c r="K225" s="134">
        <v>8.18</v>
      </c>
      <c r="L225" s="134">
        <v>2.92</v>
      </c>
      <c r="M225" s="134">
        <v>1.25</v>
      </c>
      <c r="N225" s="136">
        <v>0.95</v>
      </c>
      <c r="O225" s="136">
        <v>24.53</v>
      </c>
      <c r="P225" s="136">
        <v>-1.08</v>
      </c>
      <c r="Q225" s="134">
        <v>1.11</v>
      </c>
      <c r="R225" s="136">
        <v>27.78</v>
      </c>
      <c r="S225" s="136">
        <v>7.79</v>
      </c>
      <c r="T225" s="136">
        <v>13.07</v>
      </c>
      <c r="U225" s="134">
        <v>0.28</v>
      </c>
      <c r="V225" s="134">
        <v>0.72</v>
      </c>
      <c r="W225" s="134">
        <v>0.78</v>
      </c>
      <c r="X225" s="134">
        <v>4.01</v>
      </c>
      <c r="Y225" s="10">
        <v>15.18</v>
      </c>
      <c r="Z225" s="138">
        <v>17269.8</v>
      </c>
      <c r="AA225" s="134">
        <v>13.98</v>
      </c>
      <c r="AB225" s="134">
        <v>3.88</v>
      </c>
      <c r="AC225" s="134">
        <v>0.18</v>
      </c>
      <c r="AD225" s="135">
        <v>6.10588331892E9</v>
      </c>
    </row>
    <row r="226">
      <c r="A226" s="10" t="s">
        <v>457</v>
      </c>
      <c r="B226" s="134">
        <v>26.6</v>
      </c>
      <c r="C226" s="10">
        <v>13.32</v>
      </c>
      <c r="D226" s="134">
        <v>6.85</v>
      </c>
      <c r="E226" s="134">
        <v>1.9</v>
      </c>
      <c r="F226" s="136">
        <v>0.53</v>
      </c>
      <c r="G226" s="134">
        <v>20.5</v>
      </c>
      <c r="H226" s="134">
        <v>15.37</v>
      </c>
      <c r="I226" s="134">
        <v>9.97</v>
      </c>
      <c r="J226" s="134">
        <v>4.45</v>
      </c>
      <c r="K226" s="134">
        <v>8.18</v>
      </c>
      <c r="L226" s="134">
        <v>2.92</v>
      </c>
      <c r="M226" s="134">
        <v>1.25</v>
      </c>
      <c r="N226" s="134">
        <v>0.68</v>
      </c>
      <c r="O226" s="134">
        <v>17.65</v>
      </c>
      <c r="P226" s="134">
        <v>-0.78</v>
      </c>
      <c r="Q226" s="134">
        <v>1.11</v>
      </c>
      <c r="R226" s="134">
        <v>27.78</v>
      </c>
      <c r="S226" s="136">
        <v>7.79</v>
      </c>
      <c r="T226" s="134">
        <v>13.07</v>
      </c>
      <c r="U226" s="134">
        <v>0.28</v>
      </c>
      <c r="V226" s="134">
        <v>0.72</v>
      </c>
      <c r="W226" s="134">
        <v>0.78</v>
      </c>
      <c r="X226" s="134">
        <v>4.01</v>
      </c>
      <c r="Y226" s="10">
        <v>15.18</v>
      </c>
      <c r="Z226" s="138">
        <v>25079.46</v>
      </c>
      <c r="AA226" s="134">
        <v>13.98</v>
      </c>
      <c r="AB226" s="134">
        <v>3.88</v>
      </c>
      <c r="AC226" s="134">
        <v>0.13</v>
      </c>
      <c r="AD226" s="135">
        <v>6.10588331892E9</v>
      </c>
    </row>
    <row r="227">
      <c r="A227" s="10" t="s">
        <v>605</v>
      </c>
      <c r="B227" s="134">
        <v>19.11</v>
      </c>
      <c r="C227" s="134">
        <v>0.0</v>
      </c>
      <c r="D227" s="134">
        <v>24.46</v>
      </c>
      <c r="E227" s="134">
        <v>2.66</v>
      </c>
      <c r="F227" s="134">
        <v>1.07</v>
      </c>
      <c r="G227" s="134">
        <v>11.39</v>
      </c>
      <c r="H227" s="134">
        <v>2.82</v>
      </c>
      <c r="I227" s="134">
        <v>2.53</v>
      </c>
      <c r="J227" s="134">
        <v>21.94</v>
      </c>
      <c r="K227" s="134">
        <v>38.76</v>
      </c>
      <c r="L227" s="134">
        <v>5.75</v>
      </c>
      <c r="M227" s="134">
        <v>0.7</v>
      </c>
      <c r="N227" s="134">
        <v>0.62</v>
      </c>
      <c r="O227" s="134">
        <v>3.75</v>
      </c>
      <c r="P227" s="134">
        <v>-2.6</v>
      </c>
      <c r="Q227" s="134">
        <v>1.94</v>
      </c>
      <c r="R227" s="134">
        <v>10.87</v>
      </c>
      <c r="S227" s="134">
        <v>4.36</v>
      </c>
      <c r="T227" s="134">
        <v>4.38</v>
      </c>
      <c r="U227" s="134">
        <v>0.4</v>
      </c>
      <c r="V227" s="134">
        <v>0.6</v>
      </c>
      <c r="W227" s="134">
        <v>1.72</v>
      </c>
      <c r="X227" s="134">
        <v>1.48</v>
      </c>
      <c r="Y227" s="10">
        <v>0.0</v>
      </c>
      <c r="Z227" s="135">
        <v>0.0</v>
      </c>
      <c r="AA227" s="134">
        <v>7.19</v>
      </c>
      <c r="AB227" s="134">
        <v>0.78</v>
      </c>
      <c r="AC227" s="134">
        <v>-0.35</v>
      </c>
      <c r="AD227" s="135">
        <v>9.050519163E8</v>
      </c>
    </row>
    <row r="228">
      <c r="A228" s="10" t="s">
        <v>606</v>
      </c>
      <c r="B228" s="134">
        <v>36.99</v>
      </c>
      <c r="C228" s="134">
        <v>0.0</v>
      </c>
      <c r="D228" s="134">
        <v>47.34</v>
      </c>
      <c r="E228" s="134">
        <v>5.15</v>
      </c>
      <c r="F228" s="136">
        <v>2.07</v>
      </c>
      <c r="G228" s="134">
        <v>11.39</v>
      </c>
      <c r="H228" s="134">
        <v>2.82</v>
      </c>
      <c r="I228" s="134">
        <v>2.53</v>
      </c>
      <c r="J228" s="134">
        <v>42.48</v>
      </c>
      <c r="K228" s="134">
        <v>38.76</v>
      </c>
      <c r="L228" s="134">
        <v>5.75</v>
      </c>
      <c r="M228" s="134">
        <v>0.7</v>
      </c>
      <c r="N228" s="134">
        <v>1.2</v>
      </c>
      <c r="O228" s="134">
        <v>7.26</v>
      </c>
      <c r="P228" s="134">
        <v>-5.02</v>
      </c>
      <c r="Q228" s="134">
        <v>1.94</v>
      </c>
      <c r="R228" s="134">
        <v>10.87</v>
      </c>
      <c r="S228" s="136">
        <v>4.36</v>
      </c>
      <c r="T228" s="134">
        <v>4.38</v>
      </c>
      <c r="U228" s="134">
        <v>0.4</v>
      </c>
      <c r="V228" s="134">
        <v>0.6</v>
      </c>
      <c r="W228" s="134">
        <v>1.72</v>
      </c>
      <c r="X228" s="134">
        <v>1.48</v>
      </c>
      <c r="Y228" s="10">
        <v>0.0</v>
      </c>
      <c r="Z228" s="136">
        <v>0.0</v>
      </c>
      <c r="AA228" s="134">
        <v>7.19</v>
      </c>
      <c r="AB228" s="134">
        <v>0.78</v>
      </c>
      <c r="AC228" s="134">
        <v>-0.68</v>
      </c>
      <c r="AD228" s="135">
        <v>9.050519163E8</v>
      </c>
    </row>
    <row r="229">
      <c r="A229" s="10" t="s">
        <v>92</v>
      </c>
      <c r="B229" s="134">
        <v>36.66</v>
      </c>
      <c r="C229" s="134">
        <v>6.54</v>
      </c>
      <c r="D229" s="134">
        <v>10.3</v>
      </c>
      <c r="E229" s="134">
        <v>0.76</v>
      </c>
      <c r="F229" s="136">
        <v>0.32</v>
      </c>
      <c r="G229" s="134">
        <v>59.23</v>
      </c>
      <c r="H229" s="134">
        <v>19.11</v>
      </c>
      <c r="I229" s="134">
        <v>20.53</v>
      </c>
      <c r="J229" s="134">
        <v>11.07</v>
      </c>
      <c r="K229" s="134">
        <v>15.6</v>
      </c>
      <c r="L229" s="134">
        <v>4.51</v>
      </c>
      <c r="M229" s="134">
        <v>0.31</v>
      </c>
      <c r="N229" s="134">
        <v>2.12</v>
      </c>
      <c r="O229" s="134">
        <v>2.36</v>
      </c>
      <c r="P229" s="134">
        <v>-0.44</v>
      </c>
      <c r="Q229" s="134">
        <v>1.95</v>
      </c>
      <c r="R229" s="134">
        <v>7.42</v>
      </c>
      <c r="S229" s="136">
        <v>3.08</v>
      </c>
      <c r="T229" s="134">
        <v>3.68</v>
      </c>
      <c r="U229" s="134">
        <v>0.42</v>
      </c>
      <c r="V229" s="134">
        <v>0.58</v>
      </c>
      <c r="W229" s="134">
        <v>0.15</v>
      </c>
      <c r="X229" s="134">
        <v>-2.25</v>
      </c>
      <c r="Y229" s="10">
        <v>0.0</v>
      </c>
      <c r="Z229" s="135">
        <v>1.8003939029E8</v>
      </c>
      <c r="AA229" s="134">
        <v>47.96</v>
      </c>
      <c r="AB229" s="134">
        <v>3.56</v>
      </c>
      <c r="AC229" s="134">
        <v>-0.29</v>
      </c>
      <c r="AD229" s="135">
        <v>5.762453489208E10</v>
      </c>
    </row>
    <row r="230">
      <c r="A230" s="10" t="s">
        <v>497</v>
      </c>
      <c r="B230" s="134">
        <v>65.0</v>
      </c>
      <c r="C230" s="10">
        <v>4.82</v>
      </c>
      <c r="D230" s="134">
        <v>18.26</v>
      </c>
      <c r="E230" s="134">
        <v>1.36</v>
      </c>
      <c r="F230" s="134">
        <v>0.56</v>
      </c>
      <c r="G230" s="134">
        <v>59.23</v>
      </c>
      <c r="H230" s="134">
        <v>19.11</v>
      </c>
      <c r="I230" s="134">
        <v>20.53</v>
      </c>
      <c r="J230" s="134">
        <v>19.63</v>
      </c>
      <c r="K230" s="134">
        <v>15.6</v>
      </c>
      <c r="L230" s="134">
        <v>4.51</v>
      </c>
      <c r="M230" s="134">
        <v>0.31</v>
      </c>
      <c r="N230" s="134">
        <v>3.75</v>
      </c>
      <c r="O230" s="134">
        <v>4.19</v>
      </c>
      <c r="P230" s="134">
        <v>-0.78</v>
      </c>
      <c r="Q230" s="134">
        <v>1.95</v>
      </c>
      <c r="R230" s="134">
        <v>7.42</v>
      </c>
      <c r="S230" s="134">
        <v>3.08</v>
      </c>
      <c r="T230" s="134">
        <v>3.68</v>
      </c>
      <c r="U230" s="134">
        <v>0.42</v>
      </c>
      <c r="V230" s="134">
        <v>0.58</v>
      </c>
      <c r="W230" s="134">
        <v>0.15</v>
      </c>
      <c r="X230" s="10">
        <v>-2.25</v>
      </c>
      <c r="Y230" s="10">
        <v>0.0</v>
      </c>
      <c r="Z230" s="135">
        <v>6522.5</v>
      </c>
      <c r="AA230" s="134">
        <v>47.96</v>
      </c>
      <c r="AB230" s="134">
        <v>3.56</v>
      </c>
      <c r="AC230" s="134">
        <v>-0.52</v>
      </c>
      <c r="AD230" s="135">
        <v>5.762453489208E10</v>
      </c>
    </row>
    <row r="231">
      <c r="A231" s="10" t="s">
        <v>134</v>
      </c>
      <c r="B231" s="134">
        <v>37.39</v>
      </c>
      <c r="C231" s="10">
        <v>7.06</v>
      </c>
      <c r="D231" s="134">
        <v>10.51</v>
      </c>
      <c r="E231" s="134">
        <v>0.78</v>
      </c>
      <c r="F231" s="134">
        <v>0.32</v>
      </c>
      <c r="G231" s="134">
        <v>59.23</v>
      </c>
      <c r="H231" s="134">
        <v>19.11</v>
      </c>
      <c r="I231" s="134">
        <v>20.53</v>
      </c>
      <c r="J231" s="134">
        <v>11.29</v>
      </c>
      <c r="K231" s="134">
        <v>15.6</v>
      </c>
      <c r="L231" s="134">
        <v>4.51</v>
      </c>
      <c r="M231" s="134">
        <v>0.31</v>
      </c>
      <c r="N231" s="134">
        <v>2.16</v>
      </c>
      <c r="O231" s="134">
        <v>2.41</v>
      </c>
      <c r="P231" s="134">
        <v>-0.45</v>
      </c>
      <c r="Q231" s="134">
        <v>1.95</v>
      </c>
      <c r="R231" s="134">
        <v>7.42</v>
      </c>
      <c r="S231" s="134">
        <v>3.08</v>
      </c>
      <c r="T231" s="134">
        <v>3.68</v>
      </c>
      <c r="U231" s="134">
        <v>0.42</v>
      </c>
      <c r="V231" s="134">
        <v>0.58</v>
      </c>
      <c r="W231" s="134">
        <v>0.15</v>
      </c>
      <c r="X231" s="134">
        <v>-2.25</v>
      </c>
      <c r="Y231" s="134">
        <v>0.0</v>
      </c>
      <c r="Z231" s="138">
        <v>9.195329758E7</v>
      </c>
      <c r="AA231" s="134">
        <v>47.96</v>
      </c>
      <c r="AB231" s="134">
        <v>3.56</v>
      </c>
      <c r="AC231" s="134">
        <v>-0.3</v>
      </c>
      <c r="AD231" s="135">
        <v>5.762453489208E10</v>
      </c>
    </row>
    <row r="232">
      <c r="A232" s="10" t="s">
        <v>288</v>
      </c>
      <c r="B232" s="134">
        <v>16.68</v>
      </c>
      <c r="C232" s="134">
        <v>0.0</v>
      </c>
      <c r="D232" s="134">
        <v>-40.99</v>
      </c>
      <c r="E232" s="134">
        <v>3.14</v>
      </c>
      <c r="F232" s="134">
        <v>1.44</v>
      </c>
      <c r="G232" s="134">
        <v>33.38</v>
      </c>
      <c r="H232" s="134">
        <v>-24.1</v>
      </c>
      <c r="I232" s="134">
        <v>-20.53</v>
      </c>
      <c r="J232" s="134">
        <v>-34.91</v>
      </c>
      <c r="K232" s="134">
        <v>-34.74</v>
      </c>
      <c r="L232" s="134">
        <v>0.19</v>
      </c>
      <c r="M232" s="134">
        <v>-0.02</v>
      </c>
      <c r="N232" s="134">
        <v>8.41</v>
      </c>
      <c r="O232" s="134">
        <v>5.06</v>
      </c>
      <c r="P232" s="134">
        <v>-2.72</v>
      </c>
      <c r="Q232" s="134">
        <v>2.55</v>
      </c>
      <c r="R232" s="134">
        <v>-7.66</v>
      </c>
      <c r="S232" s="134">
        <v>-3.52</v>
      </c>
      <c r="T232" s="134">
        <v>-7.31</v>
      </c>
      <c r="U232" s="134">
        <v>0.46</v>
      </c>
      <c r="V232" s="134">
        <v>0.54</v>
      </c>
      <c r="W232" s="134">
        <v>0.17</v>
      </c>
      <c r="X232" s="134">
        <v>0.0</v>
      </c>
      <c r="Y232" s="134">
        <v>0.0</v>
      </c>
      <c r="Z232" s="138">
        <v>2784694.75</v>
      </c>
      <c r="AA232" s="134">
        <v>5.31</v>
      </c>
      <c r="AB232" s="134">
        <v>-0.41</v>
      </c>
      <c r="AC232" s="134">
        <v>-0.16</v>
      </c>
      <c r="AD232" s="135">
        <v>2.32177267076E9</v>
      </c>
    </row>
    <row r="233">
      <c r="A233" s="10" t="s">
        <v>607</v>
      </c>
      <c r="B233" s="134">
        <v>8.31</v>
      </c>
      <c r="C233" s="134">
        <v>0.0</v>
      </c>
      <c r="D233" s="134">
        <v>1.33</v>
      </c>
      <c r="E233" s="134">
        <v>0.53</v>
      </c>
      <c r="F233" s="134">
        <v>0.06</v>
      </c>
      <c r="G233" s="134">
        <v>15.69</v>
      </c>
      <c r="H233" s="134">
        <v>14.73</v>
      </c>
      <c r="I233" s="134">
        <v>7.18</v>
      </c>
      <c r="J233" s="134">
        <v>0.65</v>
      </c>
      <c r="K233" s="134">
        <v>2.6</v>
      </c>
      <c r="L233" s="134">
        <v>1.95</v>
      </c>
      <c r="M233" s="134">
        <v>1.6</v>
      </c>
      <c r="N233" s="134">
        <v>0.1</v>
      </c>
      <c r="O233" s="134">
        <v>-14.59</v>
      </c>
      <c r="P233" s="134">
        <v>-0.08</v>
      </c>
      <c r="Q233" s="134">
        <v>0.99</v>
      </c>
      <c r="R233" s="134">
        <v>39.98</v>
      </c>
      <c r="S233" s="134">
        <v>4.2</v>
      </c>
      <c r="T233" s="134">
        <v>21.92</v>
      </c>
      <c r="U233" s="134">
        <v>0.11</v>
      </c>
      <c r="V233" s="134">
        <v>0.89</v>
      </c>
      <c r="W233" s="134">
        <v>0.59</v>
      </c>
      <c r="X233" s="134">
        <v>2.54</v>
      </c>
      <c r="Y233" s="134">
        <v>64.84</v>
      </c>
      <c r="Z233" s="135">
        <v>0.0</v>
      </c>
      <c r="AA233" s="134">
        <v>15.59</v>
      </c>
      <c r="AB233" s="134">
        <v>6.23</v>
      </c>
      <c r="AC233" s="134">
        <v>0.02</v>
      </c>
      <c r="AD233" s="135">
        <v>1.64094962322E9</v>
      </c>
    </row>
    <row r="234">
      <c r="A234" s="10" t="s">
        <v>608</v>
      </c>
      <c r="B234" s="134">
        <v>25.35</v>
      </c>
      <c r="C234" s="10">
        <v>30.82</v>
      </c>
      <c r="D234" s="134">
        <v>3.64</v>
      </c>
      <c r="E234" s="134">
        <v>1.21</v>
      </c>
      <c r="F234" s="134">
        <v>0.62</v>
      </c>
      <c r="G234" s="134">
        <v>47.99</v>
      </c>
      <c r="H234" s="134">
        <v>36.04</v>
      </c>
      <c r="I234" s="134">
        <v>53.73</v>
      </c>
      <c r="J234" s="134">
        <v>5.43</v>
      </c>
      <c r="K234" s="134">
        <v>10.46</v>
      </c>
      <c r="L234" s="134">
        <v>-1.56</v>
      </c>
      <c r="M234" s="134">
        <v>-0.35</v>
      </c>
      <c r="N234" s="134">
        <v>1.96</v>
      </c>
      <c r="O234" s="134">
        <v>2.39</v>
      </c>
      <c r="P234" s="134">
        <v>-0.93</v>
      </c>
      <c r="Q234" s="134">
        <v>4.26</v>
      </c>
      <c r="R234" s="134">
        <v>33.18</v>
      </c>
      <c r="S234" s="134">
        <v>16.92</v>
      </c>
      <c r="T234" s="134">
        <v>10.79</v>
      </c>
      <c r="U234" s="134">
        <v>0.51</v>
      </c>
      <c r="V234" s="134">
        <v>0.49</v>
      </c>
      <c r="W234" s="134">
        <v>0.31</v>
      </c>
      <c r="X234" s="134">
        <v>17.64</v>
      </c>
      <c r="Y234" s="10">
        <v>33.87</v>
      </c>
      <c r="Z234" s="135">
        <v>0.0</v>
      </c>
      <c r="AA234" s="134">
        <v>20.97</v>
      </c>
      <c r="AB234" s="134">
        <v>6.96</v>
      </c>
      <c r="AC234" s="134">
        <v>0.02</v>
      </c>
      <c r="AD234" s="135">
        <v>2.07271533052E9</v>
      </c>
    </row>
    <row r="235">
      <c r="A235" s="10" t="s">
        <v>377</v>
      </c>
      <c r="B235" s="134">
        <v>76.43</v>
      </c>
      <c r="C235" s="134">
        <v>11.24</v>
      </c>
      <c r="D235" s="134">
        <v>10.98</v>
      </c>
      <c r="E235" s="134">
        <v>3.64</v>
      </c>
      <c r="F235" s="134">
        <v>1.86</v>
      </c>
      <c r="G235" s="134">
        <v>47.99</v>
      </c>
      <c r="H235" s="134">
        <v>36.04</v>
      </c>
      <c r="I235" s="134">
        <v>53.73</v>
      </c>
      <c r="J235" s="134">
        <v>16.38</v>
      </c>
      <c r="K235" s="134">
        <v>10.46</v>
      </c>
      <c r="L235" s="134">
        <v>-1.56</v>
      </c>
      <c r="M235" s="134">
        <v>-0.35</v>
      </c>
      <c r="N235" s="134">
        <v>5.9</v>
      </c>
      <c r="O235" s="134">
        <v>7.19</v>
      </c>
      <c r="P235" s="134">
        <v>-2.81</v>
      </c>
      <c r="Q235" s="134">
        <v>4.26</v>
      </c>
      <c r="R235" s="134">
        <v>33.18</v>
      </c>
      <c r="S235" s="134">
        <v>16.92</v>
      </c>
      <c r="T235" s="134">
        <v>10.79</v>
      </c>
      <c r="U235" s="134">
        <v>0.51</v>
      </c>
      <c r="V235" s="134">
        <v>0.49</v>
      </c>
      <c r="W235" s="134">
        <v>0.31</v>
      </c>
      <c r="X235" s="134">
        <v>17.64</v>
      </c>
      <c r="Y235" s="134">
        <v>33.87</v>
      </c>
      <c r="Z235" s="135">
        <v>178809.75</v>
      </c>
      <c r="AA235" s="134">
        <v>20.97</v>
      </c>
      <c r="AB235" s="134">
        <v>6.96</v>
      </c>
      <c r="AC235" s="134">
        <v>0.06</v>
      </c>
      <c r="AD235" s="135">
        <v>2.07271533052E9</v>
      </c>
    </row>
    <row r="236">
      <c r="A236" s="10" t="s">
        <v>80</v>
      </c>
      <c r="B236" s="134">
        <v>23.15</v>
      </c>
      <c r="C236" s="134">
        <v>0.0</v>
      </c>
      <c r="D236" s="134">
        <v>-24.2</v>
      </c>
      <c r="E236" s="134">
        <v>1.24</v>
      </c>
      <c r="F236" s="134">
        <v>0.33</v>
      </c>
      <c r="G236" s="134">
        <v>13.29</v>
      </c>
      <c r="H236" s="134">
        <v>2.68</v>
      </c>
      <c r="I236" s="134">
        <v>-2.78</v>
      </c>
      <c r="J236" s="134">
        <v>25.1</v>
      </c>
      <c r="K236" s="134">
        <v>39.12</v>
      </c>
      <c r="L236" s="134">
        <v>13.83</v>
      </c>
      <c r="M236" s="134">
        <v>0.68</v>
      </c>
      <c r="N236" s="134">
        <v>0.67</v>
      </c>
      <c r="O236" s="134">
        <v>1.12</v>
      </c>
      <c r="P236" s="134">
        <v>-0.78</v>
      </c>
      <c r="Q236" s="134">
        <v>2.08</v>
      </c>
      <c r="R236" s="134">
        <v>-5.1</v>
      </c>
      <c r="S236" s="134">
        <v>-1.37</v>
      </c>
      <c r="T236" s="134">
        <v>1.27</v>
      </c>
      <c r="U236" s="134">
        <v>0.27</v>
      </c>
      <c r="V236" s="134">
        <v>0.72</v>
      </c>
      <c r="W236" s="134">
        <v>0.49</v>
      </c>
      <c r="X236" s="134">
        <v>-0.66</v>
      </c>
      <c r="Y236" s="134">
        <v>0.0</v>
      </c>
      <c r="Z236" s="135">
        <v>2.5158581604E8</v>
      </c>
      <c r="AA236" s="134">
        <v>18.74</v>
      </c>
      <c r="AB236" s="134">
        <v>-0.96</v>
      </c>
      <c r="AC236" s="134">
        <v>0.29</v>
      </c>
      <c r="AD236" s="135">
        <v>1.726764482608E10</v>
      </c>
    </row>
    <row r="237">
      <c r="A237" s="10" t="s">
        <v>190</v>
      </c>
      <c r="B237" s="134">
        <v>14.96</v>
      </c>
      <c r="C237" s="10">
        <v>1.3</v>
      </c>
      <c r="D237" s="134">
        <v>7.51</v>
      </c>
      <c r="E237" s="134">
        <v>1.2</v>
      </c>
      <c r="F237" s="134">
        <v>0.71</v>
      </c>
      <c r="G237" s="134">
        <v>43.38</v>
      </c>
      <c r="H237" s="134">
        <v>112.0</v>
      </c>
      <c r="I237" s="134">
        <v>56.22</v>
      </c>
      <c r="J237" s="134">
        <v>3.77</v>
      </c>
      <c r="K237" s="134">
        <v>2.84</v>
      </c>
      <c r="L237" s="134">
        <v>-0.99</v>
      </c>
      <c r="M237" s="134">
        <v>-0.31</v>
      </c>
      <c r="N237" s="134">
        <v>4.22</v>
      </c>
      <c r="O237" s="134">
        <v>2.42</v>
      </c>
      <c r="P237" s="134">
        <v>-1.23</v>
      </c>
      <c r="Q237" s="134">
        <v>3.15</v>
      </c>
      <c r="R237" s="134">
        <v>15.91</v>
      </c>
      <c r="S237" s="134">
        <v>9.41</v>
      </c>
      <c r="T237" s="134">
        <v>19.43</v>
      </c>
      <c r="U237" s="134">
        <v>0.59</v>
      </c>
      <c r="V237" s="134">
        <v>0.41</v>
      </c>
      <c r="W237" s="134">
        <v>0.17</v>
      </c>
      <c r="X237" s="134">
        <v>13.76</v>
      </c>
      <c r="Y237" s="134">
        <v>41.41</v>
      </c>
      <c r="Z237" s="135">
        <v>2.913352821E7</v>
      </c>
      <c r="AA237" s="134">
        <v>12.51</v>
      </c>
      <c r="AB237" s="134">
        <v>1.99</v>
      </c>
      <c r="AC237" s="134">
        <v>0.15</v>
      </c>
      <c r="AD237" s="135">
        <v>4.03229074885E9</v>
      </c>
    </row>
    <row r="238">
      <c r="A238" s="10" t="s">
        <v>156</v>
      </c>
      <c r="B238" s="134">
        <v>17.97</v>
      </c>
      <c r="C238" s="134">
        <v>5.56</v>
      </c>
      <c r="D238" s="134">
        <v>5.93</v>
      </c>
      <c r="E238" s="134">
        <v>1.04</v>
      </c>
      <c r="F238" s="134">
        <v>0.34</v>
      </c>
      <c r="G238" s="134">
        <v>25.12</v>
      </c>
      <c r="H238" s="134">
        <v>20.99</v>
      </c>
      <c r="I238" s="134">
        <v>11.25</v>
      </c>
      <c r="J238" s="134">
        <v>3.18</v>
      </c>
      <c r="K238" s="134">
        <v>5.5</v>
      </c>
      <c r="L238" s="134">
        <v>2.33</v>
      </c>
      <c r="M238" s="134">
        <v>0.76</v>
      </c>
      <c r="N238" s="134">
        <v>0.67</v>
      </c>
      <c r="O238" s="134">
        <v>33.58</v>
      </c>
      <c r="P238" s="134">
        <v>-0.45</v>
      </c>
      <c r="Q238" s="134">
        <v>1.04</v>
      </c>
      <c r="R238" s="134">
        <v>17.54</v>
      </c>
      <c r="S238" s="134">
        <v>5.8</v>
      </c>
      <c r="T238" s="134">
        <v>12.48</v>
      </c>
      <c r="U238" s="134">
        <v>0.33</v>
      </c>
      <c r="V238" s="134">
        <v>0.63</v>
      </c>
      <c r="W238" s="134">
        <v>0.52</v>
      </c>
      <c r="X238" s="134">
        <v>7.87</v>
      </c>
      <c r="Y238" s="134">
        <v>7.77</v>
      </c>
      <c r="Z238" s="135">
        <v>5.326731533E7</v>
      </c>
      <c r="AA238" s="134">
        <v>17.28</v>
      </c>
      <c r="AB238" s="134">
        <v>3.03</v>
      </c>
      <c r="AC238" s="134">
        <v>0.17</v>
      </c>
      <c r="AD238" s="135">
        <v>1.088082756442E10</v>
      </c>
    </row>
    <row r="239">
      <c r="A239" s="10" t="s">
        <v>123</v>
      </c>
      <c r="B239" s="134">
        <v>15.48</v>
      </c>
      <c r="C239" s="134">
        <v>0.0</v>
      </c>
      <c r="D239" s="134">
        <v>18.43</v>
      </c>
      <c r="E239" s="134">
        <v>2.39</v>
      </c>
      <c r="F239" s="134">
        <v>1.17</v>
      </c>
      <c r="G239" s="134">
        <v>42.28</v>
      </c>
      <c r="H239" s="134">
        <v>31.18</v>
      </c>
      <c r="I239" s="134">
        <v>28.74</v>
      </c>
      <c r="J239" s="134">
        <v>16.99</v>
      </c>
      <c r="K239" s="134">
        <v>21.94</v>
      </c>
      <c r="L239" s="134">
        <v>4.89</v>
      </c>
      <c r="M239" s="134">
        <v>0.69</v>
      </c>
      <c r="N239" s="134">
        <v>5.3</v>
      </c>
      <c r="O239" s="134">
        <v>11.71</v>
      </c>
      <c r="P239" s="134">
        <v>-1.39</v>
      </c>
      <c r="Q239" s="134">
        <v>2.71</v>
      </c>
      <c r="R239" s="134">
        <v>12.96</v>
      </c>
      <c r="S239" s="134">
        <v>6.34</v>
      </c>
      <c r="T239" s="134">
        <v>6.3</v>
      </c>
      <c r="U239" s="134">
        <v>0.49</v>
      </c>
      <c r="V239" s="134">
        <v>0.51</v>
      </c>
      <c r="W239" s="134">
        <v>0.22</v>
      </c>
      <c r="X239" s="134">
        <v>16.39</v>
      </c>
      <c r="Y239" s="134">
        <v>49.45</v>
      </c>
      <c r="Z239" s="135">
        <v>1.02542476E8</v>
      </c>
      <c r="AA239" s="134">
        <v>6.48</v>
      </c>
      <c r="AB239" s="134">
        <v>0.84</v>
      </c>
      <c r="AC239" s="134">
        <v>0.39</v>
      </c>
      <c r="AD239" s="135">
        <v>1.966157354107E10</v>
      </c>
    </row>
    <row r="240">
      <c r="A240" s="10" t="s">
        <v>139</v>
      </c>
      <c r="B240" s="134">
        <v>43.91</v>
      </c>
      <c r="C240" s="134">
        <v>3.99</v>
      </c>
      <c r="D240" s="134">
        <v>6.37</v>
      </c>
      <c r="E240" s="134">
        <v>1.95</v>
      </c>
      <c r="F240" s="134">
        <v>0.33</v>
      </c>
      <c r="G240" s="134">
        <v>21.12</v>
      </c>
      <c r="H240" s="134">
        <v>16.77</v>
      </c>
      <c r="I240" s="134">
        <v>11.01</v>
      </c>
      <c r="J240" s="134">
        <v>4.18</v>
      </c>
      <c r="K240" s="134">
        <v>8.07</v>
      </c>
      <c r="L240" s="134">
        <v>3.9</v>
      </c>
      <c r="M240" s="134">
        <v>1.82</v>
      </c>
      <c r="N240" s="134">
        <v>0.7</v>
      </c>
      <c r="O240" s="134">
        <v>6.67</v>
      </c>
      <c r="P240" s="134">
        <v>-0.44</v>
      </c>
      <c r="Q240" s="134">
        <v>1.25</v>
      </c>
      <c r="R240" s="134">
        <v>30.52</v>
      </c>
      <c r="S240" s="134">
        <v>5.21</v>
      </c>
      <c r="T240" s="134">
        <v>10.44</v>
      </c>
      <c r="U240" s="134">
        <v>0.17</v>
      </c>
      <c r="V240" s="134">
        <v>0.81</v>
      </c>
      <c r="W240" s="134">
        <v>0.47</v>
      </c>
      <c r="X240" s="134">
        <v>10.79</v>
      </c>
      <c r="Y240" s="134">
        <v>50.4</v>
      </c>
      <c r="Z240" s="135">
        <v>6.857669625E7</v>
      </c>
      <c r="AA240" s="134">
        <v>22.57</v>
      </c>
      <c r="AB240" s="134">
        <v>6.89</v>
      </c>
      <c r="AC240" s="134">
        <v>0.03</v>
      </c>
      <c r="AD240" s="135">
        <v>1.588467496014E10</v>
      </c>
    </row>
    <row r="241">
      <c r="A241" s="10" t="s">
        <v>398</v>
      </c>
      <c r="B241" s="134">
        <v>15.66</v>
      </c>
      <c r="C241" s="10">
        <v>2.24</v>
      </c>
      <c r="D241" s="134">
        <v>11.37</v>
      </c>
      <c r="E241" s="134">
        <v>3.47</v>
      </c>
      <c r="F241" s="134">
        <v>0.59</v>
      </c>
      <c r="G241" s="134">
        <v>21.12</v>
      </c>
      <c r="H241" s="134">
        <v>16.77</v>
      </c>
      <c r="I241" s="134">
        <v>11.01</v>
      </c>
      <c r="J241" s="134">
        <v>7.46</v>
      </c>
      <c r="K241" s="134">
        <v>8.07</v>
      </c>
      <c r="L241" s="134">
        <v>3.9</v>
      </c>
      <c r="M241" s="134">
        <v>1.82</v>
      </c>
      <c r="N241" s="134">
        <v>1.25</v>
      </c>
      <c r="O241" s="134">
        <v>11.9</v>
      </c>
      <c r="P241" s="134">
        <v>-0.79</v>
      </c>
      <c r="Q241" s="134">
        <v>1.25</v>
      </c>
      <c r="R241" s="134">
        <v>30.52</v>
      </c>
      <c r="S241" s="134">
        <v>5.21</v>
      </c>
      <c r="T241" s="134">
        <v>10.44</v>
      </c>
      <c r="U241" s="134">
        <v>0.17</v>
      </c>
      <c r="V241" s="134">
        <v>0.81</v>
      </c>
      <c r="W241" s="134">
        <v>0.47</v>
      </c>
      <c r="X241" s="10">
        <v>10.79</v>
      </c>
      <c r="Y241" s="10">
        <v>50.4</v>
      </c>
      <c r="Z241" s="135">
        <v>129734.88</v>
      </c>
      <c r="AA241" s="134">
        <v>4.51</v>
      </c>
      <c r="AB241" s="134">
        <v>1.38</v>
      </c>
      <c r="AC241" s="134">
        <v>0.06</v>
      </c>
      <c r="AD241" s="135">
        <v>1.588467496014E10</v>
      </c>
    </row>
    <row r="242">
      <c r="A242" s="10" t="s">
        <v>390</v>
      </c>
      <c r="B242" s="134">
        <v>7.03</v>
      </c>
      <c r="C242" s="134">
        <v>4.98</v>
      </c>
      <c r="D242" s="134">
        <v>5.1</v>
      </c>
      <c r="E242" s="134">
        <v>1.56</v>
      </c>
      <c r="F242" s="134">
        <v>0.27</v>
      </c>
      <c r="G242" s="134">
        <v>21.12</v>
      </c>
      <c r="H242" s="134">
        <v>16.77</v>
      </c>
      <c r="I242" s="134">
        <v>11.01</v>
      </c>
      <c r="J242" s="134">
        <v>3.35</v>
      </c>
      <c r="K242" s="10">
        <v>8.07</v>
      </c>
      <c r="L242" s="134">
        <v>3.9</v>
      </c>
      <c r="M242" s="134">
        <v>1.82</v>
      </c>
      <c r="N242" s="134">
        <v>0.56</v>
      </c>
      <c r="O242" s="134">
        <v>5.34</v>
      </c>
      <c r="P242" s="134">
        <v>-0.35</v>
      </c>
      <c r="Q242" s="134">
        <v>1.25</v>
      </c>
      <c r="R242" s="134">
        <v>30.52</v>
      </c>
      <c r="S242" s="134">
        <v>5.21</v>
      </c>
      <c r="T242" s="134">
        <v>10.44</v>
      </c>
      <c r="U242" s="134">
        <v>0.17</v>
      </c>
      <c r="V242" s="134">
        <v>0.81</v>
      </c>
      <c r="W242" s="134">
        <v>0.47</v>
      </c>
      <c r="X242" s="134">
        <v>10.79</v>
      </c>
      <c r="Y242" s="134">
        <v>50.4</v>
      </c>
      <c r="Z242" s="138">
        <v>140938.0</v>
      </c>
      <c r="AA242" s="134">
        <v>4.51</v>
      </c>
      <c r="AB242" s="134">
        <v>1.38</v>
      </c>
      <c r="AC242" s="134">
        <v>0.03</v>
      </c>
      <c r="AD242" s="138">
        <v>1.588467496014E10</v>
      </c>
    </row>
    <row r="243">
      <c r="A243" s="10" t="s">
        <v>231</v>
      </c>
      <c r="B243" s="134">
        <v>4.58</v>
      </c>
      <c r="C243" s="134">
        <v>0.0</v>
      </c>
      <c r="D243" s="134">
        <v>-10.2</v>
      </c>
      <c r="E243" s="134">
        <v>1.94</v>
      </c>
      <c r="F243" s="134">
        <v>1.81</v>
      </c>
      <c r="G243" s="134">
        <v>29.59</v>
      </c>
      <c r="H243" s="134">
        <v>-92.62</v>
      </c>
      <c r="I243" s="134">
        <v>-87.34</v>
      </c>
      <c r="J243" s="134">
        <v>-9.62</v>
      </c>
      <c r="K243" s="10">
        <v>-4.96</v>
      </c>
      <c r="L243" s="134">
        <v>4.76</v>
      </c>
      <c r="M243" s="134">
        <v>-0.96</v>
      </c>
      <c r="N243" s="134">
        <v>8.91</v>
      </c>
      <c r="O243" s="134">
        <v>2.08</v>
      </c>
      <c r="P243" s="134">
        <v>-26.64</v>
      </c>
      <c r="Q243" s="134">
        <v>14.57</v>
      </c>
      <c r="R243" s="134">
        <v>-19.05</v>
      </c>
      <c r="S243" s="134">
        <v>-17.69</v>
      </c>
      <c r="T243" s="134">
        <v>-20.2</v>
      </c>
      <c r="U243" s="134">
        <v>0.93</v>
      </c>
      <c r="V243" s="134">
        <v>0.07</v>
      </c>
      <c r="W243" s="134">
        <v>0.2</v>
      </c>
      <c r="X243" s="134">
        <v>0.0</v>
      </c>
      <c r="Y243" s="134">
        <v>0.0</v>
      </c>
      <c r="Z243" s="138">
        <v>1.042947996E7</v>
      </c>
      <c r="AA243" s="134">
        <v>2.36</v>
      </c>
      <c r="AB243" s="134">
        <v>-0.45</v>
      </c>
      <c r="AC243" s="134">
        <v>-0.03</v>
      </c>
      <c r="AD243" s="138">
        <v>9.1607227529E8</v>
      </c>
    </row>
    <row r="244">
      <c r="A244" s="10" t="s">
        <v>609</v>
      </c>
      <c r="B244" s="134">
        <v>50.49</v>
      </c>
      <c r="C244" s="134">
        <v>6.67</v>
      </c>
      <c r="D244" s="134">
        <v>10.08</v>
      </c>
      <c r="E244" s="134">
        <v>2.56</v>
      </c>
      <c r="F244" s="134">
        <v>1.12</v>
      </c>
      <c r="G244" s="134">
        <v>33.77</v>
      </c>
      <c r="H244" s="134">
        <v>24.19</v>
      </c>
      <c r="I244" s="134">
        <v>18.41</v>
      </c>
      <c r="J244" s="134">
        <v>7.67</v>
      </c>
      <c r="K244" s="134">
        <v>0.0</v>
      </c>
      <c r="L244" s="134">
        <v>0.74</v>
      </c>
      <c r="M244" s="134">
        <v>0.25</v>
      </c>
      <c r="N244" s="134">
        <v>1.86</v>
      </c>
      <c r="O244" s="134">
        <v>5.26</v>
      </c>
      <c r="P244" s="134">
        <v>-1.81</v>
      </c>
      <c r="Q244" s="134">
        <v>2.27</v>
      </c>
      <c r="R244" s="134">
        <v>25.37</v>
      </c>
      <c r="S244" s="134">
        <v>11.14</v>
      </c>
      <c r="T244" s="134">
        <v>17.0</v>
      </c>
      <c r="U244" s="134">
        <v>0.44</v>
      </c>
      <c r="V244" s="134">
        <v>0.56</v>
      </c>
      <c r="W244" s="134">
        <v>0.6</v>
      </c>
      <c r="X244" s="134">
        <v>8.44</v>
      </c>
      <c r="Y244" s="134">
        <v>19.24</v>
      </c>
      <c r="Z244" s="135">
        <v>0.0</v>
      </c>
      <c r="AA244" s="134">
        <v>19.74</v>
      </c>
      <c r="AB244" s="134">
        <v>5.01</v>
      </c>
      <c r="AC244" s="134">
        <v>0.31</v>
      </c>
      <c r="AD244" s="135">
        <v>0.0</v>
      </c>
    </row>
    <row r="245">
      <c r="A245" s="10" t="s">
        <v>610</v>
      </c>
      <c r="B245" s="134">
        <v>83.99</v>
      </c>
      <c r="C245" s="134">
        <v>4.01</v>
      </c>
      <c r="D245" s="134">
        <v>16.77</v>
      </c>
      <c r="E245" s="134">
        <v>4.25</v>
      </c>
      <c r="F245" s="134">
        <v>1.87</v>
      </c>
      <c r="G245" s="134">
        <v>33.77</v>
      </c>
      <c r="H245" s="134">
        <v>24.19</v>
      </c>
      <c r="I245" s="134">
        <v>18.41</v>
      </c>
      <c r="J245" s="134">
        <v>12.76</v>
      </c>
      <c r="K245" s="134">
        <v>0.0</v>
      </c>
      <c r="L245" s="134">
        <v>0.74</v>
      </c>
      <c r="M245" s="134">
        <v>0.25</v>
      </c>
      <c r="N245" s="134">
        <v>3.09</v>
      </c>
      <c r="O245" s="134">
        <v>8.75</v>
      </c>
      <c r="P245" s="134">
        <v>-3.02</v>
      </c>
      <c r="Q245" s="134">
        <v>2.27</v>
      </c>
      <c r="R245" s="134">
        <v>25.37</v>
      </c>
      <c r="S245" s="134">
        <v>11.14</v>
      </c>
      <c r="T245" s="134">
        <v>17.0</v>
      </c>
      <c r="U245" s="134">
        <v>0.44</v>
      </c>
      <c r="V245" s="134">
        <v>0.56</v>
      </c>
      <c r="W245" s="134">
        <v>0.6</v>
      </c>
      <c r="X245" s="134">
        <v>8.44</v>
      </c>
      <c r="Y245" s="134">
        <v>19.24</v>
      </c>
      <c r="Z245" s="136">
        <v>0.0</v>
      </c>
      <c r="AA245" s="134">
        <v>19.74</v>
      </c>
      <c r="AB245" s="134">
        <v>5.01</v>
      </c>
      <c r="AC245" s="134">
        <v>0.51</v>
      </c>
      <c r="AD245" s="135">
        <v>0.0</v>
      </c>
    </row>
    <row r="246">
      <c r="A246" s="10" t="s">
        <v>394</v>
      </c>
      <c r="B246" s="134">
        <v>78.0</v>
      </c>
      <c r="C246" s="10">
        <v>5.92</v>
      </c>
      <c r="D246" s="134">
        <v>14.36</v>
      </c>
      <c r="E246" s="134">
        <v>5.68</v>
      </c>
      <c r="F246" s="134">
        <v>1.65</v>
      </c>
      <c r="G246" s="134">
        <v>28.21</v>
      </c>
      <c r="H246" s="134">
        <v>24.77</v>
      </c>
      <c r="I246" s="134">
        <v>19.86</v>
      </c>
      <c r="J246" s="134">
        <v>11.51</v>
      </c>
      <c r="K246" s="134">
        <v>13.7</v>
      </c>
      <c r="L246" s="134">
        <v>2.02</v>
      </c>
      <c r="M246" s="134">
        <v>1.0</v>
      </c>
      <c r="N246" s="134">
        <v>2.85</v>
      </c>
      <c r="O246" s="134">
        <v>26.6</v>
      </c>
      <c r="P246" s="134">
        <v>-2.25</v>
      </c>
      <c r="Q246" s="134">
        <v>1.3</v>
      </c>
      <c r="R246" s="134">
        <v>39.53</v>
      </c>
      <c r="S246" s="134">
        <v>11.48</v>
      </c>
      <c r="T246" s="134">
        <v>18.13</v>
      </c>
      <c r="U246" s="134">
        <v>0.29</v>
      </c>
      <c r="V246" s="134">
        <v>0.71</v>
      </c>
      <c r="W246" s="134">
        <v>0.58</v>
      </c>
      <c r="X246" s="134">
        <v>7.41</v>
      </c>
      <c r="Y246" s="134">
        <v>92.28</v>
      </c>
      <c r="Z246" s="139">
        <v>142842.77</v>
      </c>
      <c r="AA246" s="134">
        <v>13.74</v>
      </c>
      <c r="AB246" s="134">
        <v>5.43</v>
      </c>
      <c r="AC246" s="134">
        <v>0.09</v>
      </c>
      <c r="AD246" s="135">
        <v>1.732360389964E10</v>
      </c>
    </row>
    <row r="247">
      <c r="A247" s="10" t="s">
        <v>419</v>
      </c>
      <c r="B247" s="134">
        <v>79.0</v>
      </c>
      <c r="C247" s="134">
        <v>5.84</v>
      </c>
      <c r="D247" s="134">
        <v>14.55</v>
      </c>
      <c r="E247" s="134">
        <v>5.75</v>
      </c>
      <c r="F247" s="134">
        <v>1.67</v>
      </c>
      <c r="G247" s="134">
        <v>28.21</v>
      </c>
      <c r="H247" s="134">
        <v>24.77</v>
      </c>
      <c r="I247" s="134">
        <v>19.86</v>
      </c>
      <c r="J247" s="134">
        <v>11.66</v>
      </c>
      <c r="K247" s="134">
        <v>13.7</v>
      </c>
      <c r="L247" s="134">
        <v>2.02</v>
      </c>
      <c r="M247" s="134">
        <v>1.0</v>
      </c>
      <c r="N247" s="134">
        <v>2.89</v>
      </c>
      <c r="O247" s="134">
        <v>26.94</v>
      </c>
      <c r="P247" s="134">
        <v>-2.27</v>
      </c>
      <c r="Q247" s="134">
        <v>1.3</v>
      </c>
      <c r="R247" s="134">
        <v>39.53</v>
      </c>
      <c r="S247" s="134">
        <v>11.48</v>
      </c>
      <c r="T247" s="134">
        <v>18.13</v>
      </c>
      <c r="U247" s="134">
        <v>0.29</v>
      </c>
      <c r="V247" s="134">
        <v>0.71</v>
      </c>
      <c r="W247" s="134">
        <v>0.58</v>
      </c>
      <c r="X247" s="134">
        <v>7.41</v>
      </c>
      <c r="Y247" s="134">
        <v>92.28</v>
      </c>
      <c r="Z247" s="139">
        <v>114327.78</v>
      </c>
      <c r="AA247" s="134">
        <v>13.74</v>
      </c>
      <c r="AB247" s="134">
        <v>5.43</v>
      </c>
      <c r="AC247" s="134">
        <v>0.09</v>
      </c>
      <c r="AD247" s="135">
        <v>1.732360389964E10</v>
      </c>
    </row>
    <row r="248">
      <c r="A248" s="10" t="s">
        <v>414</v>
      </c>
      <c r="B248" s="134">
        <v>12.69</v>
      </c>
      <c r="C248" s="134">
        <v>0.0</v>
      </c>
      <c r="D248" s="134">
        <v>4.74</v>
      </c>
      <c r="E248" s="134">
        <v>3.47</v>
      </c>
      <c r="F248" s="134">
        <v>0.91</v>
      </c>
      <c r="G248" s="134">
        <v>16.22</v>
      </c>
      <c r="H248" s="134">
        <v>8.54</v>
      </c>
      <c r="I248" s="134">
        <v>5.83</v>
      </c>
      <c r="J248" s="134">
        <v>3.24</v>
      </c>
      <c r="K248" s="134">
        <v>3.26</v>
      </c>
      <c r="L248" s="134">
        <v>0.04</v>
      </c>
      <c r="M248" s="134">
        <v>0.04</v>
      </c>
      <c r="N248" s="134">
        <v>0.28</v>
      </c>
      <c r="O248" s="134">
        <v>5.67</v>
      </c>
      <c r="P248" s="134">
        <v>-2.27</v>
      </c>
      <c r="Q248" s="134">
        <v>1.37</v>
      </c>
      <c r="R248" s="134">
        <v>73.21</v>
      </c>
      <c r="S248" s="134">
        <v>19.23</v>
      </c>
      <c r="T248" s="134">
        <v>52.01</v>
      </c>
      <c r="U248" s="134">
        <v>0.26</v>
      </c>
      <c r="V248" s="134">
        <v>0.74</v>
      </c>
      <c r="W248" s="134">
        <v>3.3</v>
      </c>
      <c r="X248" s="134">
        <v>5.92</v>
      </c>
      <c r="Y248" s="134">
        <v>-9.14</v>
      </c>
      <c r="Z248" s="136">
        <v>75798.88</v>
      </c>
      <c r="AA248" s="134">
        <v>3.65</v>
      </c>
      <c r="AB248" s="134">
        <v>2.68</v>
      </c>
      <c r="AC248" s="134">
        <v>0.02</v>
      </c>
      <c r="AD248" s="135">
        <v>1.8783757952E8</v>
      </c>
    </row>
    <row r="249">
      <c r="A249" s="10" t="s">
        <v>413</v>
      </c>
      <c r="B249" s="134">
        <v>5.01</v>
      </c>
      <c r="C249" s="134">
        <v>8.98</v>
      </c>
      <c r="D249" s="134">
        <v>13.12</v>
      </c>
      <c r="E249" s="134">
        <v>3.11</v>
      </c>
      <c r="F249" s="134">
        <v>0.89</v>
      </c>
      <c r="G249" s="134">
        <v>29.78</v>
      </c>
      <c r="H249" s="134">
        <v>20.7</v>
      </c>
      <c r="I249" s="134">
        <v>12.93</v>
      </c>
      <c r="J249" s="134">
        <v>8.19</v>
      </c>
      <c r="K249" s="134">
        <v>9.22</v>
      </c>
      <c r="L249" s="134">
        <v>1.01</v>
      </c>
      <c r="M249" s="134">
        <v>0.38</v>
      </c>
      <c r="N249" s="134">
        <v>1.7</v>
      </c>
      <c r="O249" s="134">
        <v>3.87</v>
      </c>
      <c r="P249" s="134">
        <v>-1.61</v>
      </c>
      <c r="Q249" s="134">
        <v>2.04</v>
      </c>
      <c r="R249" s="134">
        <v>23.69</v>
      </c>
      <c r="S249" s="134">
        <v>6.76</v>
      </c>
      <c r="T249" s="134">
        <v>14.32</v>
      </c>
      <c r="U249" s="134">
        <v>0.29</v>
      </c>
      <c r="V249" s="134">
        <v>0.71</v>
      </c>
      <c r="W249" s="134">
        <v>0.52</v>
      </c>
      <c r="X249" s="134">
        <v>7.01</v>
      </c>
      <c r="Y249" s="134">
        <v>10.16</v>
      </c>
      <c r="Z249" s="138">
        <v>45287.92</v>
      </c>
      <c r="AA249" s="134">
        <v>1.61</v>
      </c>
      <c r="AB249" s="134">
        <v>0.38</v>
      </c>
      <c r="AC249" s="134">
        <v>0.29</v>
      </c>
      <c r="AD249" s="135">
        <v>1.109182108093E10</v>
      </c>
    </row>
    <row r="250">
      <c r="A250" s="10" t="s">
        <v>458</v>
      </c>
      <c r="B250" s="134">
        <v>7.2</v>
      </c>
      <c r="C250" s="134">
        <v>6.25</v>
      </c>
      <c r="D250" s="134">
        <v>18.85</v>
      </c>
      <c r="E250" s="134">
        <v>4.46</v>
      </c>
      <c r="F250" s="134">
        <v>1.28</v>
      </c>
      <c r="G250" s="134">
        <v>29.78</v>
      </c>
      <c r="H250" s="134">
        <v>20.7</v>
      </c>
      <c r="I250" s="134">
        <v>12.93</v>
      </c>
      <c r="J250" s="134">
        <v>11.78</v>
      </c>
      <c r="K250" s="134">
        <v>9.22</v>
      </c>
      <c r="L250" s="134">
        <v>1.01</v>
      </c>
      <c r="M250" s="134">
        <v>0.38</v>
      </c>
      <c r="N250" s="134">
        <v>2.44</v>
      </c>
      <c r="O250" s="134">
        <v>5.57</v>
      </c>
      <c r="P250" s="134">
        <v>-2.31</v>
      </c>
      <c r="Q250" s="134">
        <v>2.04</v>
      </c>
      <c r="R250" s="134">
        <v>23.69</v>
      </c>
      <c r="S250" s="134">
        <v>6.76</v>
      </c>
      <c r="T250" s="134">
        <v>14.32</v>
      </c>
      <c r="U250" s="134">
        <v>0.29</v>
      </c>
      <c r="V250" s="134">
        <v>0.71</v>
      </c>
      <c r="W250" s="134">
        <v>0.52</v>
      </c>
      <c r="X250" s="134">
        <v>7.01</v>
      </c>
      <c r="Y250" s="134">
        <v>10.16</v>
      </c>
      <c r="Z250" s="136">
        <v>720.0</v>
      </c>
      <c r="AA250" s="134">
        <v>1.61</v>
      </c>
      <c r="AB250" s="134">
        <v>0.38</v>
      </c>
      <c r="AC250" s="134">
        <v>0.41</v>
      </c>
      <c r="AD250" s="135">
        <v>1.109182108093E10</v>
      </c>
    </row>
    <row r="251">
      <c r="A251" s="10" t="s">
        <v>547</v>
      </c>
      <c r="B251" s="134">
        <v>10.48</v>
      </c>
      <c r="C251" s="134">
        <v>4.29</v>
      </c>
      <c r="D251" s="134">
        <v>27.43</v>
      </c>
      <c r="E251" s="134">
        <v>6.5</v>
      </c>
      <c r="F251" s="134">
        <v>1.86</v>
      </c>
      <c r="G251" s="134">
        <v>29.78</v>
      </c>
      <c r="H251" s="134">
        <v>20.7</v>
      </c>
      <c r="I251" s="134">
        <v>12.93</v>
      </c>
      <c r="J251" s="134">
        <v>17.14</v>
      </c>
      <c r="K251" s="134">
        <v>9.22</v>
      </c>
      <c r="L251" s="134">
        <v>1.01</v>
      </c>
      <c r="M251" s="134">
        <v>0.38</v>
      </c>
      <c r="N251" s="134">
        <v>3.55</v>
      </c>
      <c r="O251" s="134">
        <v>8.1</v>
      </c>
      <c r="P251" s="134">
        <v>-3.36</v>
      </c>
      <c r="Q251" s="134">
        <v>2.04</v>
      </c>
      <c r="R251" s="134">
        <v>23.69</v>
      </c>
      <c r="S251" s="134">
        <v>6.76</v>
      </c>
      <c r="T251" s="134">
        <v>14.32</v>
      </c>
      <c r="U251" s="134">
        <v>0.29</v>
      </c>
      <c r="V251" s="134">
        <v>0.71</v>
      </c>
      <c r="W251" s="134">
        <v>0.52</v>
      </c>
      <c r="X251" s="134">
        <v>7.01</v>
      </c>
      <c r="Y251" s="134">
        <v>10.16</v>
      </c>
      <c r="Z251" s="135">
        <v>0.0</v>
      </c>
      <c r="AA251" s="134">
        <v>1.61</v>
      </c>
      <c r="AB251" s="134">
        <v>0.38</v>
      </c>
      <c r="AC251" s="134">
        <v>0.6</v>
      </c>
      <c r="AD251" s="135">
        <v>1.109182108093E10</v>
      </c>
    </row>
    <row r="252">
      <c r="A252" s="10" t="s">
        <v>420</v>
      </c>
      <c r="B252" s="134">
        <v>7.4</v>
      </c>
      <c r="C252" s="134">
        <v>6.08</v>
      </c>
      <c r="D252" s="134">
        <v>19.37</v>
      </c>
      <c r="E252" s="134">
        <v>4.59</v>
      </c>
      <c r="F252" s="134">
        <v>1.31</v>
      </c>
      <c r="G252" s="134">
        <v>29.78</v>
      </c>
      <c r="H252" s="134">
        <v>20.7</v>
      </c>
      <c r="I252" s="134">
        <v>12.93</v>
      </c>
      <c r="J252" s="134">
        <v>12.1</v>
      </c>
      <c r="K252" s="134">
        <v>9.22</v>
      </c>
      <c r="L252" s="134">
        <v>1.01</v>
      </c>
      <c r="M252" s="134">
        <v>0.38</v>
      </c>
      <c r="N252" s="134">
        <v>2.5</v>
      </c>
      <c r="O252" s="134">
        <v>5.72</v>
      </c>
      <c r="P252" s="134">
        <v>-2.38</v>
      </c>
      <c r="Q252" s="134">
        <v>2.04</v>
      </c>
      <c r="R252" s="134">
        <v>23.69</v>
      </c>
      <c r="S252" s="134">
        <v>6.76</v>
      </c>
      <c r="T252" s="134">
        <v>14.32</v>
      </c>
      <c r="U252" s="134">
        <v>0.29</v>
      </c>
      <c r="V252" s="134">
        <v>0.71</v>
      </c>
      <c r="W252" s="134">
        <v>0.52</v>
      </c>
      <c r="X252" s="10">
        <v>7.01</v>
      </c>
      <c r="Y252" s="10">
        <v>10.16</v>
      </c>
      <c r="Z252" s="135">
        <v>5265.13</v>
      </c>
      <c r="AA252" s="134">
        <v>1.61</v>
      </c>
      <c r="AB252" s="134">
        <v>0.38</v>
      </c>
      <c r="AC252" s="134">
        <v>0.42</v>
      </c>
      <c r="AD252" s="135">
        <v>1.109182108093E10</v>
      </c>
    </row>
    <row r="253">
      <c r="A253" s="10" t="s">
        <v>87</v>
      </c>
      <c r="B253" s="134">
        <v>24.39</v>
      </c>
      <c r="C253" s="10">
        <v>2.95</v>
      </c>
      <c r="D253" s="134">
        <v>8.24</v>
      </c>
      <c r="E253" s="134">
        <v>2.33</v>
      </c>
      <c r="F253" s="134">
        <v>0.57</v>
      </c>
      <c r="G253" s="134">
        <v>33.21</v>
      </c>
      <c r="H253" s="134">
        <v>26.64</v>
      </c>
      <c r="I253" s="134">
        <v>15.84</v>
      </c>
      <c r="J253" s="134">
        <v>4.9</v>
      </c>
      <c r="K253" s="134">
        <v>6.86</v>
      </c>
      <c r="L253" s="134">
        <v>1.92</v>
      </c>
      <c r="M253" s="10">
        <v>0.91</v>
      </c>
      <c r="N253" s="134">
        <v>1.3</v>
      </c>
      <c r="O253" s="134">
        <v>3.17</v>
      </c>
      <c r="P253" s="134">
        <v>-0.89</v>
      </c>
      <c r="Q253" s="134">
        <v>1.97</v>
      </c>
      <c r="R253" s="134">
        <v>28.31</v>
      </c>
      <c r="S253" s="134">
        <v>6.88</v>
      </c>
      <c r="T253" s="134">
        <v>14.16</v>
      </c>
      <c r="U253" s="134">
        <v>0.24</v>
      </c>
      <c r="V253" s="134">
        <v>0.71</v>
      </c>
      <c r="W253" s="134">
        <v>0.43</v>
      </c>
      <c r="X253" s="134">
        <v>19.79</v>
      </c>
      <c r="Y253" s="10">
        <v>29.92</v>
      </c>
      <c r="Z253" s="138">
        <v>1.653500845E8</v>
      </c>
      <c r="AA253" s="134">
        <v>10.46</v>
      </c>
      <c r="AB253" s="134">
        <v>2.96</v>
      </c>
      <c r="AC253" s="134">
        <v>0.78</v>
      </c>
      <c r="AD253" s="135">
        <v>2.48794845827E10</v>
      </c>
    </row>
    <row r="254">
      <c r="A254" s="10" t="s">
        <v>184</v>
      </c>
      <c r="B254" s="134">
        <v>13.81</v>
      </c>
      <c r="C254" s="10">
        <v>1.03</v>
      </c>
      <c r="D254" s="136">
        <v>12.86</v>
      </c>
      <c r="E254" s="134">
        <v>4.81</v>
      </c>
      <c r="F254" s="134">
        <v>1.74</v>
      </c>
      <c r="G254" s="134">
        <v>55.09</v>
      </c>
      <c r="H254" s="134">
        <v>35.02</v>
      </c>
      <c r="I254" s="134">
        <v>34.35</v>
      </c>
      <c r="J254" s="134">
        <v>12.61</v>
      </c>
      <c r="K254" s="134">
        <v>14.5</v>
      </c>
      <c r="L254" s="134">
        <v>1.74</v>
      </c>
      <c r="M254" s="10">
        <v>0.66</v>
      </c>
      <c r="N254" s="134">
        <v>4.42</v>
      </c>
      <c r="O254" s="134">
        <v>78.62</v>
      </c>
      <c r="P254" s="134">
        <v>-2.87</v>
      </c>
      <c r="Q254" s="134">
        <v>1.06</v>
      </c>
      <c r="R254" s="134">
        <v>37.39</v>
      </c>
      <c r="S254" s="134">
        <v>13.51</v>
      </c>
      <c r="T254" s="134">
        <v>14.07</v>
      </c>
      <c r="U254" s="134">
        <v>0.36</v>
      </c>
      <c r="V254" s="134">
        <v>0.64</v>
      </c>
      <c r="W254" s="134">
        <v>0.39</v>
      </c>
      <c r="X254" s="134">
        <v>0.0</v>
      </c>
      <c r="Y254" s="10">
        <v>0.0</v>
      </c>
      <c r="Z254" s="136">
        <v>2.4511374E7</v>
      </c>
      <c r="AA254" s="134">
        <v>2.87</v>
      </c>
      <c r="AB254" s="134">
        <v>1.07</v>
      </c>
      <c r="AC254" s="134">
        <v>-0.01</v>
      </c>
      <c r="AD254" s="135">
        <v>3.41441321268E9</v>
      </c>
    </row>
    <row r="255">
      <c r="A255" s="10" t="s">
        <v>546</v>
      </c>
      <c r="B255" s="134">
        <v>17.8</v>
      </c>
      <c r="C255" s="10">
        <v>0.0</v>
      </c>
      <c r="D255" s="134">
        <v>-0.76</v>
      </c>
      <c r="E255" s="134">
        <v>-0.03</v>
      </c>
      <c r="F255" s="134">
        <v>0.06</v>
      </c>
      <c r="G255" s="134">
        <v>49.54</v>
      </c>
      <c r="H255" s="134">
        <v>9.67</v>
      </c>
      <c r="I255" s="134">
        <v>-12.1</v>
      </c>
      <c r="J255" s="134">
        <v>0.95</v>
      </c>
      <c r="K255" s="134">
        <v>7.16</v>
      </c>
      <c r="L255" s="134">
        <v>4.32</v>
      </c>
      <c r="M255" s="134">
        <v>0.0</v>
      </c>
      <c r="N255" s="134">
        <v>0.09</v>
      </c>
      <c r="O255" s="134">
        <v>-0.03</v>
      </c>
      <c r="P255" s="134">
        <v>-0.12</v>
      </c>
      <c r="Q255" s="134">
        <v>0.21</v>
      </c>
      <c r="R255" s="134">
        <v>-3.72</v>
      </c>
      <c r="S255" s="134">
        <v>-7.76</v>
      </c>
      <c r="T255" s="134">
        <v>-3.47</v>
      </c>
      <c r="U255" s="134">
        <v>-2.09</v>
      </c>
      <c r="V255" s="134">
        <v>3.09</v>
      </c>
      <c r="W255" s="134">
        <v>0.64</v>
      </c>
      <c r="X255" s="134">
        <v>-3.9</v>
      </c>
      <c r="Y255" s="134">
        <v>0.0</v>
      </c>
      <c r="Z255" s="135">
        <v>0.0</v>
      </c>
      <c r="AA255" s="134">
        <v>-631.47</v>
      </c>
      <c r="AB255" s="134">
        <v>-23.49</v>
      </c>
      <c r="AC255" s="134">
        <v>0.02</v>
      </c>
      <c r="AD255" s="135">
        <v>4.305811E7</v>
      </c>
    </row>
    <row r="256">
      <c r="A256" s="10" t="s">
        <v>461</v>
      </c>
      <c r="B256" s="134">
        <v>71.0</v>
      </c>
      <c r="C256" s="134">
        <v>0.0</v>
      </c>
      <c r="D256" s="136">
        <v>-3.02</v>
      </c>
      <c r="E256" s="134">
        <v>-0.11</v>
      </c>
      <c r="F256" s="134">
        <v>0.23</v>
      </c>
      <c r="G256" s="134">
        <v>49.54</v>
      </c>
      <c r="H256" s="134">
        <v>9.67</v>
      </c>
      <c r="I256" s="134">
        <v>-12.1</v>
      </c>
      <c r="J256" s="134">
        <v>3.78</v>
      </c>
      <c r="K256" s="134">
        <v>7.16</v>
      </c>
      <c r="L256" s="134">
        <v>4.32</v>
      </c>
      <c r="M256" s="134">
        <v>0.0</v>
      </c>
      <c r="N256" s="134">
        <v>0.37</v>
      </c>
      <c r="O256" s="134">
        <v>-0.12</v>
      </c>
      <c r="P256" s="134">
        <v>-0.49</v>
      </c>
      <c r="Q256" s="134">
        <v>0.21</v>
      </c>
      <c r="R256" s="134">
        <v>-3.72</v>
      </c>
      <c r="S256" s="134">
        <v>-7.76</v>
      </c>
      <c r="T256" s="134">
        <v>-3.47</v>
      </c>
      <c r="U256" s="134">
        <v>-2.09</v>
      </c>
      <c r="V256" s="134">
        <v>3.09</v>
      </c>
      <c r="W256" s="134">
        <v>0.64</v>
      </c>
      <c r="X256" s="134">
        <v>-3.9</v>
      </c>
      <c r="Y256" s="134">
        <v>0.0</v>
      </c>
      <c r="Z256" s="135">
        <v>26595.8</v>
      </c>
      <c r="AA256" s="134">
        <v>-631.47</v>
      </c>
      <c r="AB256" s="134">
        <v>-23.49</v>
      </c>
      <c r="AC256" s="134">
        <v>0.09</v>
      </c>
      <c r="AD256" s="135">
        <v>4.305811E7</v>
      </c>
    </row>
    <row r="257">
      <c r="A257" s="10" t="s">
        <v>163</v>
      </c>
      <c r="B257" s="134">
        <v>15.44</v>
      </c>
      <c r="C257" s="134">
        <v>0.0</v>
      </c>
      <c r="D257" s="134">
        <v>3.42</v>
      </c>
      <c r="E257" s="134">
        <v>2.15</v>
      </c>
      <c r="F257" s="134">
        <v>1.07</v>
      </c>
      <c r="G257" s="134">
        <v>43.76</v>
      </c>
      <c r="H257" s="134">
        <v>34.19</v>
      </c>
      <c r="I257" s="134">
        <v>28.24</v>
      </c>
      <c r="J257" s="134">
        <v>2.82</v>
      </c>
      <c r="K257" s="134">
        <v>2.39</v>
      </c>
      <c r="L257" s="134">
        <v>-0.45</v>
      </c>
      <c r="M257" s="134">
        <v>-0.34</v>
      </c>
      <c r="N257" s="134">
        <v>0.97</v>
      </c>
      <c r="O257" s="134">
        <v>2.13</v>
      </c>
      <c r="P257" s="134">
        <v>-3.5</v>
      </c>
      <c r="Q257" s="134">
        <v>3.57</v>
      </c>
      <c r="R257" s="136">
        <v>62.99</v>
      </c>
      <c r="S257" s="134">
        <v>31.21</v>
      </c>
      <c r="T257" s="134">
        <v>55.36</v>
      </c>
      <c r="U257" s="134">
        <v>0.5</v>
      </c>
      <c r="V257" s="134">
        <v>0.5</v>
      </c>
      <c r="W257" s="134">
        <v>1.11</v>
      </c>
      <c r="X257" s="134">
        <v>-6.86</v>
      </c>
      <c r="Y257" s="134">
        <v>56.82</v>
      </c>
      <c r="Z257" s="137">
        <v>2.808420033E7</v>
      </c>
      <c r="AA257" s="134">
        <v>7.17</v>
      </c>
      <c r="AB257" s="134">
        <v>4.52</v>
      </c>
      <c r="AC257" s="134">
        <v>0.01</v>
      </c>
      <c r="AD257" s="135">
        <v>9.600079755E8</v>
      </c>
    </row>
    <row r="258">
      <c r="A258" s="10" t="s">
        <v>397</v>
      </c>
      <c r="B258" s="134">
        <v>14.0</v>
      </c>
      <c r="C258" s="134">
        <v>2.66</v>
      </c>
      <c r="D258" s="134">
        <v>4.41</v>
      </c>
      <c r="E258" s="134">
        <v>0.76</v>
      </c>
      <c r="F258" s="134">
        <v>0.43</v>
      </c>
      <c r="G258" s="134">
        <v>34.04</v>
      </c>
      <c r="H258" s="134">
        <v>18.13</v>
      </c>
      <c r="I258" s="134">
        <v>13.71</v>
      </c>
      <c r="J258" s="134">
        <v>3.33</v>
      </c>
      <c r="K258" s="134">
        <v>3.48</v>
      </c>
      <c r="L258" s="134">
        <v>0.94</v>
      </c>
      <c r="M258" s="134">
        <v>0.21</v>
      </c>
      <c r="N258" s="134">
        <v>0.6</v>
      </c>
      <c r="O258" s="134">
        <v>4.61</v>
      </c>
      <c r="P258" s="134">
        <v>-0.67</v>
      </c>
      <c r="Q258" s="134">
        <v>1.36</v>
      </c>
      <c r="R258" s="136">
        <v>17.23</v>
      </c>
      <c r="S258" s="134">
        <v>9.79</v>
      </c>
      <c r="T258" s="134">
        <v>11.96</v>
      </c>
      <c r="U258" s="134">
        <v>0.57</v>
      </c>
      <c r="V258" s="134">
        <v>0.43</v>
      </c>
      <c r="W258" s="134">
        <v>0.71</v>
      </c>
      <c r="X258" s="134">
        <v>9.47</v>
      </c>
      <c r="Y258" s="134">
        <v>94.72</v>
      </c>
      <c r="Z258" s="135">
        <v>136100.75</v>
      </c>
      <c r="AA258" s="134">
        <v>18.44</v>
      </c>
      <c r="AB258" s="134">
        <v>3.18</v>
      </c>
      <c r="AC258" s="134">
        <v>0.01</v>
      </c>
      <c r="AD258" s="135">
        <v>9.8863457288E8</v>
      </c>
    </row>
    <row r="259">
      <c r="A259" s="10" t="s">
        <v>326</v>
      </c>
      <c r="B259" s="134">
        <v>8.92</v>
      </c>
      <c r="C259" s="134">
        <v>4.59</v>
      </c>
      <c r="D259" s="134">
        <v>2.81</v>
      </c>
      <c r="E259" s="134">
        <v>0.48</v>
      </c>
      <c r="F259" s="134">
        <v>0.28</v>
      </c>
      <c r="G259" s="134">
        <v>34.04</v>
      </c>
      <c r="H259" s="134">
        <v>18.13</v>
      </c>
      <c r="I259" s="134">
        <v>13.71</v>
      </c>
      <c r="J259" s="134">
        <v>2.12</v>
      </c>
      <c r="K259" s="134">
        <v>3.48</v>
      </c>
      <c r="L259" s="134">
        <v>0.94</v>
      </c>
      <c r="M259" s="134">
        <v>0.21</v>
      </c>
      <c r="N259" s="134">
        <v>0.39</v>
      </c>
      <c r="O259" s="134">
        <v>2.94</v>
      </c>
      <c r="P259" s="134">
        <v>-0.43</v>
      </c>
      <c r="Q259" s="134">
        <v>1.36</v>
      </c>
      <c r="R259" s="136">
        <v>17.23</v>
      </c>
      <c r="S259" s="134">
        <v>9.79</v>
      </c>
      <c r="T259" s="134">
        <v>11.96</v>
      </c>
      <c r="U259" s="134">
        <v>0.57</v>
      </c>
      <c r="V259" s="134">
        <v>0.43</v>
      </c>
      <c r="W259" s="134">
        <v>0.71</v>
      </c>
      <c r="X259" s="134">
        <v>9.47</v>
      </c>
      <c r="Y259" s="134">
        <v>94.72</v>
      </c>
      <c r="Z259" s="137">
        <v>1369854.5</v>
      </c>
      <c r="AA259" s="134">
        <v>18.44</v>
      </c>
      <c r="AB259" s="134">
        <v>3.18</v>
      </c>
      <c r="AC259" s="134">
        <v>0.01</v>
      </c>
      <c r="AD259" s="135">
        <v>9.8863457288E8</v>
      </c>
    </row>
    <row r="260">
      <c r="A260" s="10" t="s">
        <v>224</v>
      </c>
      <c r="B260" s="134">
        <v>7.58</v>
      </c>
      <c r="C260" s="10">
        <v>9.99</v>
      </c>
      <c r="D260" s="134">
        <v>17.98</v>
      </c>
      <c r="E260" s="134">
        <v>0.91</v>
      </c>
      <c r="F260" s="134">
        <v>0.29</v>
      </c>
      <c r="G260" s="134">
        <v>28.94</v>
      </c>
      <c r="H260" s="134">
        <v>16.62</v>
      </c>
      <c r="I260" s="134">
        <v>4.26</v>
      </c>
      <c r="J260" s="134">
        <v>4.62</v>
      </c>
      <c r="K260" s="134">
        <v>2.12</v>
      </c>
      <c r="L260" s="134">
        <v>-2.51</v>
      </c>
      <c r="M260" s="10">
        <v>-0.5</v>
      </c>
      <c r="N260" s="134">
        <v>0.77</v>
      </c>
      <c r="O260" s="134">
        <v>0.67</v>
      </c>
      <c r="P260" s="134">
        <v>-1.31</v>
      </c>
      <c r="Q260" s="134">
        <v>2.23</v>
      </c>
      <c r="R260" s="136">
        <v>5.08</v>
      </c>
      <c r="S260" s="134">
        <v>1.59</v>
      </c>
      <c r="T260" s="134">
        <v>10.42</v>
      </c>
      <c r="U260" s="134">
        <v>0.31</v>
      </c>
      <c r="V260" s="134">
        <v>0.55</v>
      </c>
      <c r="W260" s="134">
        <v>0.37</v>
      </c>
      <c r="X260" s="134">
        <v>-5.4</v>
      </c>
      <c r="Y260" s="10">
        <v>-2.49</v>
      </c>
      <c r="Z260" s="138">
        <v>1.295140946E7</v>
      </c>
      <c r="AA260" s="134">
        <v>8.3</v>
      </c>
      <c r="AB260" s="134">
        <v>0.42</v>
      </c>
      <c r="AC260" s="134">
        <v>-0.95</v>
      </c>
      <c r="AD260" s="135">
        <v>1.61332E9</v>
      </c>
    </row>
    <row r="261">
      <c r="A261" s="10" t="s">
        <v>152</v>
      </c>
      <c r="B261" s="134">
        <v>23.15</v>
      </c>
      <c r="C261" s="10">
        <v>1.83</v>
      </c>
      <c r="D261" s="134">
        <v>11.14</v>
      </c>
      <c r="E261" s="134">
        <v>1.23</v>
      </c>
      <c r="F261" s="134">
        <v>1.08</v>
      </c>
      <c r="G261" s="134">
        <v>43.02</v>
      </c>
      <c r="H261" s="134">
        <v>30.48</v>
      </c>
      <c r="I261" s="134">
        <v>46.37</v>
      </c>
      <c r="J261" s="134">
        <v>16.94</v>
      </c>
      <c r="K261" s="134">
        <v>13.61</v>
      </c>
      <c r="L261" s="134">
        <v>-3.38</v>
      </c>
      <c r="M261" s="10">
        <v>-0.24</v>
      </c>
      <c r="N261" s="134">
        <v>5.16</v>
      </c>
      <c r="O261" s="134">
        <v>2.61</v>
      </c>
      <c r="P261" s="134">
        <v>-2.05</v>
      </c>
      <c r="Q261" s="134">
        <v>7.38</v>
      </c>
      <c r="R261" s="134">
        <v>11.02</v>
      </c>
      <c r="S261" s="134">
        <v>9.65</v>
      </c>
      <c r="T261" s="134">
        <v>6.57</v>
      </c>
      <c r="U261" s="134">
        <v>0.88</v>
      </c>
      <c r="V261" s="134">
        <v>0.11</v>
      </c>
      <c r="W261" s="134">
        <v>0.21</v>
      </c>
      <c r="X261" s="134">
        <v>2.84</v>
      </c>
      <c r="Y261" s="10">
        <v>1.22</v>
      </c>
      <c r="Z261" s="138">
        <v>5.471651675E7</v>
      </c>
      <c r="AA261" s="134">
        <v>18.87</v>
      </c>
      <c r="AB261" s="134">
        <v>2.08</v>
      </c>
      <c r="AC261" s="134">
        <v>0.22</v>
      </c>
      <c r="AD261" s="135">
        <v>5.27094E9</v>
      </c>
    </row>
    <row r="262">
      <c r="A262" s="10" t="s">
        <v>611</v>
      </c>
      <c r="B262" s="134">
        <v>0.0</v>
      </c>
      <c r="C262" s="136">
        <v>0.0</v>
      </c>
      <c r="D262" s="134">
        <v>0.0</v>
      </c>
      <c r="E262" s="134">
        <v>0.0</v>
      </c>
      <c r="F262" s="134">
        <v>0.0</v>
      </c>
      <c r="G262" s="134">
        <v>-60.76</v>
      </c>
      <c r="H262" s="134">
        <v>-92.67</v>
      </c>
      <c r="I262" s="134">
        <v>-101.97</v>
      </c>
      <c r="J262" s="134">
        <v>0.0</v>
      </c>
      <c r="K262" s="134">
        <v>-0.74</v>
      </c>
      <c r="L262" s="134">
        <v>-0.67</v>
      </c>
      <c r="M262" s="134">
        <v>0.0</v>
      </c>
      <c r="N262" s="134">
        <v>0.0</v>
      </c>
      <c r="O262" s="134">
        <v>0.0</v>
      </c>
      <c r="P262" s="134">
        <v>0.0</v>
      </c>
      <c r="Q262" s="134">
        <v>0.31</v>
      </c>
      <c r="R262" s="136">
        <v>-24.19</v>
      </c>
      <c r="S262" s="134">
        <v>-36.57</v>
      </c>
      <c r="T262" s="134">
        <v>25.82</v>
      </c>
      <c r="U262" s="134">
        <v>-1.51</v>
      </c>
      <c r="V262" s="134">
        <v>2.51</v>
      </c>
      <c r="W262" s="134">
        <v>0.36</v>
      </c>
      <c r="X262" s="134">
        <v>-18.14</v>
      </c>
      <c r="Y262" s="134">
        <v>0.0</v>
      </c>
      <c r="Z262" s="139">
        <v>0.0</v>
      </c>
      <c r="AA262" s="134">
        <v>-87.48</v>
      </c>
      <c r="AB262" s="134">
        <v>-21.16</v>
      </c>
      <c r="AC262" s="134">
        <v>0.0</v>
      </c>
      <c r="AD262" s="135">
        <v>904253.84</v>
      </c>
    </row>
    <row r="263">
      <c r="A263" s="10" t="s">
        <v>612</v>
      </c>
      <c r="B263" s="134">
        <v>1.96</v>
      </c>
      <c r="C263" s="134">
        <v>0.0</v>
      </c>
      <c r="D263" s="134">
        <v>-0.09</v>
      </c>
      <c r="E263" s="134">
        <v>-0.02</v>
      </c>
      <c r="F263" s="134">
        <v>0.03</v>
      </c>
      <c r="G263" s="134">
        <v>-60.76</v>
      </c>
      <c r="H263" s="134">
        <v>-92.67</v>
      </c>
      <c r="I263" s="134">
        <v>-101.97</v>
      </c>
      <c r="J263" s="134">
        <v>-0.1</v>
      </c>
      <c r="K263" s="134">
        <v>-0.74</v>
      </c>
      <c r="L263" s="134">
        <v>-0.67</v>
      </c>
      <c r="M263" s="134">
        <v>0.0</v>
      </c>
      <c r="N263" s="134">
        <v>0.09</v>
      </c>
      <c r="O263" s="134">
        <v>-0.04</v>
      </c>
      <c r="P263" s="134">
        <v>-0.05</v>
      </c>
      <c r="Q263" s="134">
        <v>0.31</v>
      </c>
      <c r="R263" s="136">
        <v>-24.19</v>
      </c>
      <c r="S263" s="134">
        <v>-36.57</v>
      </c>
      <c r="T263" s="134">
        <v>25.82</v>
      </c>
      <c r="U263" s="134">
        <v>-1.51</v>
      </c>
      <c r="V263" s="134">
        <v>2.51</v>
      </c>
      <c r="W263" s="134">
        <v>0.36</v>
      </c>
      <c r="X263" s="134">
        <v>-18.14</v>
      </c>
      <c r="Y263" s="134">
        <v>0.0</v>
      </c>
      <c r="Z263" s="135">
        <v>0.0</v>
      </c>
      <c r="AA263" s="134">
        <v>-87.48</v>
      </c>
      <c r="AB263" s="134">
        <v>-21.16</v>
      </c>
      <c r="AC263" s="134">
        <v>0.0</v>
      </c>
      <c r="AD263" s="135">
        <v>904253.84</v>
      </c>
    </row>
    <row r="264">
      <c r="A264" s="10" t="s">
        <v>449</v>
      </c>
      <c r="B264" s="134">
        <v>52.11</v>
      </c>
      <c r="C264" s="10">
        <v>2.36</v>
      </c>
      <c r="D264" s="134">
        <v>20.7</v>
      </c>
      <c r="E264" s="134">
        <v>2.34</v>
      </c>
      <c r="F264" s="134">
        <v>1.58</v>
      </c>
      <c r="G264" s="134">
        <v>33.29</v>
      </c>
      <c r="H264" s="134">
        <v>23.8</v>
      </c>
      <c r="I264" s="134">
        <v>11.84</v>
      </c>
      <c r="J264" s="134">
        <v>10.3</v>
      </c>
      <c r="K264" s="134">
        <v>10.42</v>
      </c>
      <c r="L264" s="134">
        <v>0.15</v>
      </c>
      <c r="M264" s="10">
        <v>0.03</v>
      </c>
      <c r="N264" s="134">
        <v>2.45</v>
      </c>
      <c r="O264" s="136">
        <v>6.56</v>
      </c>
      <c r="P264" s="136">
        <v>-2.45</v>
      </c>
      <c r="Q264" s="134">
        <v>3.16</v>
      </c>
      <c r="R264" s="136">
        <v>11.32</v>
      </c>
      <c r="S264" s="134">
        <v>7.65</v>
      </c>
      <c r="T264" s="134">
        <v>17.63</v>
      </c>
      <c r="U264" s="134">
        <v>0.68</v>
      </c>
      <c r="V264" s="134">
        <v>0.32</v>
      </c>
      <c r="W264" s="134">
        <v>0.65</v>
      </c>
      <c r="X264" s="134">
        <v>11.62</v>
      </c>
      <c r="Y264" s="10">
        <v>5.12</v>
      </c>
      <c r="Z264" s="135">
        <v>35902.42</v>
      </c>
      <c r="AA264" s="134">
        <v>22.24</v>
      </c>
      <c r="AB264" s="134">
        <v>2.52</v>
      </c>
      <c r="AC264" s="134">
        <v>0.59</v>
      </c>
      <c r="AD264" s="135">
        <v>4.5905792E9</v>
      </c>
    </row>
    <row r="265">
      <c r="A265" s="10" t="s">
        <v>171</v>
      </c>
      <c r="B265" s="134">
        <v>51.41</v>
      </c>
      <c r="C265" s="10">
        <v>2.63</v>
      </c>
      <c r="D265" s="134">
        <v>20.42</v>
      </c>
      <c r="E265" s="134">
        <v>2.31</v>
      </c>
      <c r="F265" s="134">
        <v>1.56</v>
      </c>
      <c r="G265" s="134">
        <v>33.29</v>
      </c>
      <c r="H265" s="134">
        <v>23.8</v>
      </c>
      <c r="I265" s="134">
        <v>11.84</v>
      </c>
      <c r="J265" s="134">
        <v>10.16</v>
      </c>
      <c r="K265" s="134">
        <v>10.42</v>
      </c>
      <c r="L265" s="134">
        <v>0.15</v>
      </c>
      <c r="M265" s="134">
        <v>0.03</v>
      </c>
      <c r="N265" s="134">
        <v>2.42</v>
      </c>
      <c r="O265" s="134">
        <v>6.47</v>
      </c>
      <c r="P265" s="134">
        <v>-2.42</v>
      </c>
      <c r="Q265" s="134">
        <v>3.16</v>
      </c>
      <c r="R265" s="136">
        <v>11.32</v>
      </c>
      <c r="S265" s="134">
        <v>7.65</v>
      </c>
      <c r="T265" s="134">
        <v>17.63</v>
      </c>
      <c r="U265" s="134">
        <v>0.68</v>
      </c>
      <c r="V265" s="134">
        <v>0.32</v>
      </c>
      <c r="W265" s="134">
        <v>0.65</v>
      </c>
      <c r="X265" s="10">
        <v>11.62</v>
      </c>
      <c r="Y265" s="134">
        <v>5.12</v>
      </c>
      <c r="Z265" s="138">
        <v>4.134986263E7</v>
      </c>
      <c r="AA265" s="134">
        <v>22.24</v>
      </c>
      <c r="AB265" s="134">
        <v>2.52</v>
      </c>
      <c r="AC265" s="134">
        <v>0.58</v>
      </c>
      <c r="AD265" s="136">
        <v>4.5905792E9</v>
      </c>
    </row>
    <row r="266">
      <c r="A266" s="10" t="s">
        <v>132</v>
      </c>
      <c r="B266" s="134">
        <v>27.19</v>
      </c>
      <c r="C266" s="10">
        <v>0.0</v>
      </c>
      <c r="D266" s="134">
        <v>7.7</v>
      </c>
      <c r="E266" s="134">
        <v>-135.0</v>
      </c>
      <c r="F266" s="134">
        <v>0.75</v>
      </c>
      <c r="G266" s="134">
        <v>17.49</v>
      </c>
      <c r="H266" s="134">
        <v>12.13</v>
      </c>
      <c r="I266" s="134">
        <v>6.69</v>
      </c>
      <c r="J266" s="134">
        <v>4.25</v>
      </c>
      <c r="K266" s="134">
        <v>4.81</v>
      </c>
      <c r="L266" s="134">
        <v>0.52</v>
      </c>
      <c r="M266" s="134">
        <v>0.0</v>
      </c>
      <c r="N266" s="134">
        <v>0.52</v>
      </c>
      <c r="O266" s="134">
        <v>3.85</v>
      </c>
      <c r="P266" s="134">
        <v>-1.65</v>
      </c>
      <c r="Q266" s="134">
        <v>1.56</v>
      </c>
      <c r="R266" s="136">
        <v>-1753.34</v>
      </c>
      <c r="S266" s="134">
        <v>9.76</v>
      </c>
      <c r="T266" s="134">
        <v>143.07</v>
      </c>
      <c r="U266" s="134">
        <v>-0.01</v>
      </c>
      <c r="V266" s="134">
        <v>1.01</v>
      </c>
      <c r="W266" s="134">
        <v>1.46</v>
      </c>
      <c r="X266" s="10">
        <v>-18.89</v>
      </c>
      <c r="Y266" s="134">
        <v>0.0</v>
      </c>
      <c r="Z266" s="140">
        <v>9.0573863E7</v>
      </c>
      <c r="AA266" s="134">
        <v>-0.2</v>
      </c>
      <c r="AB266" s="134">
        <v>3.53</v>
      </c>
      <c r="AC266" s="134">
        <v>-0.12</v>
      </c>
      <c r="AD266" s="136">
        <v>1.47784387296E9</v>
      </c>
    </row>
    <row r="267">
      <c r="A267" s="10" t="s">
        <v>613</v>
      </c>
      <c r="B267" s="134">
        <v>0.0</v>
      </c>
      <c r="C267" s="10">
        <v>0.0</v>
      </c>
      <c r="D267" s="134">
        <v>0.0</v>
      </c>
      <c r="E267" s="134">
        <v>0.0</v>
      </c>
      <c r="F267" s="134">
        <v>0.0</v>
      </c>
      <c r="G267" s="134">
        <v>100.0</v>
      </c>
      <c r="H267" s="134">
        <v>86.82</v>
      </c>
      <c r="I267" s="134">
        <v>58.85</v>
      </c>
      <c r="J267" s="134">
        <v>0.0</v>
      </c>
      <c r="K267" s="134">
        <v>-0.05</v>
      </c>
      <c r="L267" s="134">
        <v>-0.05</v>
      </c>
      <c r="M267" s="134">
        <v>0.0</v>
      </c>
      <c r="N267" s="134">
        <v>0.0</v>
      </c>
      <c r="O267" s="134">
        <v>0.0</v>
      </c>
      <c r="P267" s="134">
        <v>0.0</v>
      </c>
      <c r="Q267" s="134">
        <v>28.23</v>
      </c>
      <c r="R267" s="134">
        <v>1.25</v>
      </c>
      <c r="S267" s="134">
        <v>1.25</v>
      </c>
      <c r="T267" s="134">
        <v>1.22</v>
      </c>
      <c r="U267" s="134">
        <v>1.0</v>
      </c>
      <c r="V267" s="134">
        <v>0.0</v>
      </c>
      <c r="W267" s="134">
        <v>0.02</v>
      </c>
      <c r="X267" s="10">
        <v>0.0</v>
      </c>
      <c r="Y267" s="10">
        <v>-27.2</v>
      </c>
      <c r="Z267" s="135">
        <v>0.0</v>
      </c>
      <c r="AA267" s="134">
        <v>98.44</v>
      </c>
      <c r="AB267" s="134">
        <v>1.23</v>
      </c>
      <c r="AC267" s="10">
        <v>0.0</v>
      </c>
      <c r="AD267" s="135">
        <v>0.0</v>
      </c>
    </row>
    <row r="268">
      <c r="A268" s="10" t="s">
        <v>614</v>
      </c>
      <c r="B268" s="134">
        <v>0.0</v>
      </c>
      <c r="C268" s="10">
        <v>0.0</v>
      </c>
      <c r="D268" s="134">
        <v>0.0</v>
      </c>
      <c r="E268" s="134">
        <v>0.0</v>
      </c>
      <c r="F268" s="134">
        <v>0.0</v>
      </c>
      <c r="G268" s="134">
        <v>100.0</v>
      </c>
      <c r="H268" s="134">
        <v>86.82</v>
      </c>
      <c r="I268" s="134">
        <v>58.85</v>
      </c>
      <c r="J268" s="134">
        <v>0.0</v>
      </c>
      <c r="K268" s="134">
        <v>-0.05</v>
      </c>
      <c r="L268" s="134">
        <v>-0.05</v>
      </c>
      <c r="M268" s="134">
        <v>0.0</v>
      </c>
      <c r="N268" s="134">
        <v>0.0</v>
      </c>
      <c r="O268" s="134">
        <v>0.0</v>
      </c>
      <c r="P268" s="134">
        <v>0.0</v>
      </c>
      <c r="Q268" s="134">
        <v>28.23</v>
      </c>
      <c r="R268" s="134">
        <v>1.25</v>
      </c>
      <c r="S268" s="134">
        <v>1.25</v>
      </c>
      <c r="T268" s="134">
        <v>1.22</v>
      </c>
      <c r="U268" s="134">
        <v>1.0</v>
      </c>
      <c r="V268" s="134">
        <v>0.0</v>
      </c>
      <c r="W268" s="134">
        <v>0.02</v>
      </c>
      <c r="X268" s="134">
        <v>0.0</v>
      </c>
      <c r="Y268" s="10">
        <v>-27.2</v>
      </c>
      <c r="Z268" s="140">
        <v>0.0</v>
      </c>
      <c r="AA268" s="134">
        <v>98.44</v>
      </c>
      <c r="AB268" s="134">
        <v>1.23</v>
      </c>
      <c r="AC268" s="134">
        <v>0.0</v>
      </c>
      <c r="AD268" s="136">
        <v>0.0</v>
      </c>
    </row>
    <row r="269">
      <c r="A269" s="10" t="s">
        <v>275</v>
      </c>
      <c r="B269" s="134">
        <v>7.08</v>
      </c>
      <c r="C269" s="134">
        <v>0.0</v>
      </c>
      <c r="D269" s="134">
        <v>93.26</v>
      </c>
      <c r="E269" s="134">
        <v>20.64</v>
      </c>
      <c r="F269" s="134">
        <v>3.9</v>
      </c>
      <c r="G269" s="134">
        <v>50.39</v>
      </c>
      <c r="H269" s="134">
        <v>30.83</v>
      </c>
      <c r="I269" s="134">
        <v>15.88</v>
      </c>
      <c r="J269" s="134">
        <v>48.06</v>
      </c>
      <c r="K269" s="134">
        <v>52.34</v>
      </c>
      <c r="L269" s="134">
        <v>4.14</v>
      </c>
      <c r="M269" s="134">
        <v>1.78</v>
      </c>
      <c r="N269" s="134">
        <v>14.81</v>
      </c>
      <c r="O269" s="134">
        <v>-112.93</v>
      </c>
      <c r="P269" s="134">
        <v>-5.2</v>
      </c>
      <c r="Q269" s="134">
        <v>0.88</v>
      </c>
      <c r="R269" s="134">
        <v>22.13</v>
      </c>
      <c r="S269" s="134">
        <v>4.19</v>
      </c>
      <c r="T269" s="134">
        <v>9.01</v>
      </c>
      <c r="U269" s="134">
        <v>0.19</v>
      </c>
      <c r="V269" s="134">
        <v>0.81</v>
      </c>
      <c r="W269" s="134">
        <v>0.26</v>
      </c>
      <c r="X269" s="134">
        <v>0.0</v>
      </c>
      <c r="Y269" s="134">
        <v>0.0</v>
      </c>
      <c r="Z269" s="135">
        <v>5410776.25</v>
      </c>
      <c r="AA269" s="134">
        <v>0.34</v>
      </c>
      <c r="AB269" s="134">
        <v>0.08</v>
      </c>
      <c r="AC269" s="134">
        <v>0.0</v>
      </c>
      <c r="AD269" s="135">
        <v>2.5705522239E9</v>
      </c>
    </row>
    <row r="270">
      <c r="A270" s="10" t="s">
        <v>615</v>
      </c>
      <c r="B270" s="134">
        <v>0.0</v>
      </c>
      <c r="C270" s="10">
        <v>0.0</v>
      </c>
      <c r="D270" s="134">
        <v>0.0</v>
      </c>
      <c r="E270" s="134">
        <v>0.0</v>
      </c>
      <c r="F270" s="134">
        <v>0.0</v>
      </c>
      <c r="G270" s="134">
        <v>31.27</v>
      </c>
      <c r="H270" s="134">
        <v>3.1</v>
      </c>
      <c r="I270" s="134">
        <v>-3.79</v>
      </c>
      <c r="J270" s="134">
        <v>0.0</v>
      </c>
      <c r="K270" s="134">
        <v>8.37</v>
      </c>
      <c r="L270" s="10">
        <v>8.37</v>
      </c>
      <c r="M270" s="10">
        <v>8.35</v>
      </c>
      <c r="N270" s="134">
        <v>0.0</v>
      </c>
      <c r="O270" s="134">
        <v>0.0</v>
      </c>
      <c r="P270" s="134">
        <v>0.0</v>
      </c>
      <c r="Q270" s="10">
        <v>0.9</v>
      </c>
      <c r="R270" s="134">
        <v>-121.88</v>
      </c>
      <c r="S270" s="134">
        <v>-4.64</v>
      </c>
      <c r="T270" s="10">
        <v>7.56</v>
      </c>
      <c r="U270" s="134">
        <v>0.04</v>
      </c>
      <c r="V270" s="134">
        <v>0.96</v>
      </c>
      <c r="W270" s="134">
        <v>1.22</v>
      </c>
      <c r="X270" s="134">
        <v>9.15</v>
      </c>
      <c r="Y270" s="10">
        <v>0.0</v>
      </c>
      <c r="Z270" s="136">
        <v>0.0</v>
      </c>
      <c r="AA270" s="134">
        <v>5.07</v>
      </c>
      <c r="AB270" s="134">
        <v>-6.18</v>
      </c>
      <c r="AC270" s="134">
        <v>0.0</v>
      </c>
      <c r="AD270" s="135">
        <v>0.0</v>
      </c>
    </row>
    <row r="271">
      <c r="A271" s="10" t="s">
        <v>159</v>
      </c>
      <c r="B271" s="134">
        <v>20.95</v>
      </c>
      <c r="C271" s="134">
        <v>4.12</v>
      </c>
      <c r="D271" s="134">
        <v>14.62</v>
      </c>
      <c r="E271" s="134">
        <v>3.79</v>
      </c>
      <c r="F271" s="134">
        <v>1.25</v>
      </c>
      <c r="G271" s="134">
        <v>32.11</v>
      </c>
      <c r="H271" s="134">
        <v>21.04</v>
      </c>
      <c r="I271" s="134">
        <v>12.56</v>
      </c>
      <c r="J271" s="134">
        <v>8.73</v>
      </c>
      <c r="K271" s="134">
        <v>11.08</v>
      </c>
      <c r="L271" s="134">
        <v>2.33</v>
      </c>
      <c r="M271" s="134">
        <v>1.01</v>
      </c>
      <c r="N271" s="134">
        <v>1.84</v>
      </c>
      <c r="O271" s="134">
        <v>-580.73</v>
      </c>
      <c r="P271" s="134">
        <v>-1.73</v>
      </c>
      <c r="Q271" s="134">
        <v>0.99</v>
      </c>
      <c r="R271" s="134">
        <v>25.94</v>
      </c>
      <c r="S271" s="134">
        <v>8.57</v>
      </c>
      <c r="T271" s="134">
        <v>14.36</v>
      </c>
      <c r="U271" s="134">
        <v>0.33</v>
      </c>
      <c r="V271" s="134">
        <v>0.67</v>
      </c>
      <c r="W271" s="134">
        <v>0.68</v>
      </c>
      <c r="X271" s="134">
        <v>9.42</v>
      </c>
      <c r="Y271" s="134">
        <v>33.53</v>
      </c>
      <c r="Z271" s="135">
        <v>3.815540983E7</v>
      </c>
      <c r="AA271" s="134">
        <v>5.53</v>
      </c>
      <c r="AB271" s="134">
        <v>1.43</v>
      </c>
      <c r="AC271" s="134">
        <v>0.06</v>
      </c>
      <c r="AD271" s="135">
        <v>6.68000335596E9</v>
      </c>
    </row>
    <row r="272">
      <c r="A272" s="10" t="s">
        <v>542</v>
      </c>
      <c r="B272" s="134">
        <v>15.16</v>
      </c>
      <c r="C272" s="10">
        <v>0.0</v>
      </c>
      <c r="D272" s="134">
        <v>-7.73</v>
      </c>
      <c r="E272" s="134">
        <v>1.35</v>
      </c>
      <c r="F272" s="134">
        <v>1.24</v>
      </c>
      <c r="G272" s="134">
        <v>100.0</v>
      </c>
      <c r="H272" s="134">
        <v>-192.58</v>
      </c>
      <c r="I272" s="134">
        <v>-192.58</v>
      </c>
      <c r="J272" s="134">
        <v>-7.73</v>
      </c>
      <c r="K272" s="134">
        <v>-7.73</v>
      </c>
      <c r="L272" s="134">
        <v>0.0</v>
      </c>
      <c r="M272" s="10">
        <v>0.0</v>
      </c>
      <c r="N272" s="134">
        <v>14.9</v>
      </c>
      <c r="O272" s="134">
        <v>2.28</v>
      </c>
      <c r="P272" s="134">
        <v>-2.72</v>
      </c>
      <c r="Q272" s="134">
        <v>0.0</v>
      </c>
      <c r="R272" s="134">
        <v>-17.39</v>
      </c>
      <c r="S272" s="134">
        <v>-16.04</v>
      </c>
      <c r="T272" s="134">
        <v>0.0</v>
      </c>
      <c r="U272" s="134">
        <v>0.92</v>
      </c>
      <c r="V272" s="134">
        <v>0.08</v>
      </c>
      <c r="W272" s="134">
        <v>0.08</v>
      </c>
      <c r="X272" s="134">
        <v>-37.65</v>
      </c>
      <c r="Y272" s="10">
        <v>0.0</v>
      </c>
      <c r="Z272" s="139">
        <v>1894.75</v>
      </c>
      <c r="AA272" s="134">
        <v>11.27</v>
      </c>
      <c r="AB272" s="134">
        <v>-1.96</v>
      </c>
      <c r="AC272" s="134">
        <v>19.87</v>
      </c>
      <c r="AD272" s="135">
        <v>1.385287448E7</v>
      </c>
    </row>
    <row r="273">
      <c r="A273" s="10" t="s">
        <v>304</v>
      </c>
      <c r="B273" s="134">
        <v>13.82</v>
      </c>
      <c r="C273" s="10">
        <v>2.66</v>
      </c>
      <c r="D273" s="134">
        <v>10.89</v>
      </c>
      <c r="E273" s="134">
        <v>2.95</v>
      </c>
      <c r="F273" s="134">
        <v>1.08</v>
      </c>
      <c r="G273" s="134">
        <v>30.12</v>
      </c>
      <c r="H273" s="134">
        <v>16.24</v>
      </c>
      <c r="I273" s="134">
        <v>12.06</v>
      </c>
      <c r="J273" s="134">
        <v>8.09</v>
      </c>
      <c r="K273" s="134">
        <v>9.57</v>
      </c>
      <c r="L273" s="134">
        <v>1.46</v>
      </c>
      <c r="M273" s="10">
        <v>0.53</v>
      </c>
      <c r="N273" s="134">
        <v>1.31</v>
      </c>
      <c r="O273" s="134">
        <v>4.42</v>
      </c>
      <c r="P273" s="134">
        <v>-2.11</v>
      </c>
      <c r="Q273" s="134">
        <v>2.0</v>
      </c>
      <c r="R273" s="134">
        <v>27.09</v>
      </c>
      <c r="S273" s="134">
        <v>9.93</v>
      </c>
      <c r="T273" s="134">
        <v>14.52</v>
      </c>
      <c r="U273" s="134">
        <v>0.37</v>
      </c>
      <c r="V273" s="134">
        <v>0.63</v>
      </c>
      <c r="W273" s="134">
        <v>0.82</v>
      </c>
      <c r="X273" s="134">
        <v>13.81</v>
      </c>
      <c r="Y273" s="10">
        <v>39.56</v>
      </c>
      <c r="Z273" s="139">
        <v>2377381.83</v>
      </c>
      <c r="AA273" s="134">
        <v>4.69</v>
      </c>
      <c r="AB273" s="134">
        <v>1.27</v>
      </c>
      <c r="AC273" s="134">
        <v>0.01</v>
      </c>
      <c r="AD273" s="135">
        <v>3.01111818712E9</v>
      </c>
    </row>
    <row r="274">
      <c r="A274" s="10" t="s">
        <v>494</v>
      </c>
      <c r="B274" s="134">
        <v>66.65</v>
      </c>
      <c r="C274" s="10">
        <v>0.0</v>
      </c>
      <c r="D274" s="134">
        <v>-15.04</v>
      </c>
      <c r="E274" s="134">
        <v>-2.92</v>
      </c>
      <c r="F274" s="134">
        <v>0.15</v>
      </c>
      <c r="G274" s="10">
        <v>16.15</v>
      </c>
      <c r="H274" s="138">
        <v>5.75</v>
      </c>
      <c r="I274" s="138">
        <v>-1.01</v>
      </c>
      <c r="J274" s="134">
        <v>2.64</v>
      </c>
      <c r="K274" s="134">
        <v>10.0</v>
      </c>
      <c r="L274" s="134">
        <v>7.36</v>
      </c>
      <c r="M274" s="134">
        <v>0.0</v>
      </c>
      <c r="N274" s="10">
        <v>0.15</v>
      </c>
      <c r="O274" s="134">
        <v>12.5</v>
      </c>
      <c r="P274" s="134">
        <v>-0.54</v>
      </c>
      <c r="Q274" s="134">
        <v>1.02</v>
      </c>
      <c r="R274" s="134">
        <v>-19.4</v>
      </c>
      <c r="S274" s="134">
        <v>-0.98</v>
      </c>
      <c r="T274" s="134">
        <v>6.92</v>
      </c>
      <c r="U274" s="134">
        <v>-0.05</v>
      </c>
      <c r="V274" s="134">
        <v>1.01</v>
      </c>
      <c r="W274" s="134">
        <v>0.97</v>
      </c>
      <c r="X274" s="10">
        <v>7.27</v>
      </c>
      <c r="Y274" s="10">
        <v>0.0</v>
      </c>
      <c r="Z274" s="138">
        <v>12341.67</v>
      </c>
      <c r="AA274" s="134">
        <v>-22.84</v>
      </c>
      <c r="AB274" s="134">
        <v>-4.43</v>
      </c>
      <c r="AC274" s="134">
        <v>0.18</v>
      </c>
      <c r="AD274" s="136">
        <v>2.737151541E8</v>
      </c>
    </row>
    <row r="275">
      <c r="A275" s="10" t="s">
        <v>418</v>
      </c>
      <c r="B275" s="134">
        <v>5.63</v>
      </c>
      <c r="C275" s="10">
        <v>0.0</v>
      </c>
      <c r="D275" s="134">
        <v>-19.46</v>
      </c>
      <c r="E275" s="134">
        <v>-0.18</v>
      </c>
      <c r="F275" s="134">
        <v>0.33</v>
      </c>
      <c r="G275" s="134">
        <v>32.92</v>
      </c>
      <c r="H275" s="136">
        <v>9.48</v>
      </c>
      <c r="I275" s="136">
        <v>-3.58</v>
      </c>
      <c r="J275" s="134">
        <v>7.35</v>
      </c>
      <c r="K275" s="134">
        <v>47.48</v>
      </c>
      <c r="L275" s="134">
        <v>39.98</v>
      </c>
      <c r="M275" s="134">
        <v>0.0</v>
      </c>
      <c r="N275" s="134">
        <v>0.7</v>
      </c>
      <c r="O275" s="134">
        <v>-0.15</v>
      </c>
      <c r="P275" s="134">
        <v>-0.4</v>
      </c>
      <c r="Q275" s="134">
        <v>0.07</v>
      </c>
      <c r="R275" s="134">
        <v>-0.9</v>
      </c>
      <c r="S275" s="134">
        <v>-1.71</v>
      </c>
      <c r="T275" s="134">
        <v>-35.08</v>
      </c>
      <c r="U275" s="134">
        <v>-1.89</v>
      </c>
      <c r="V275" s="134">
        <v>2.89</v>
      </c>
      <c r="W275" s="134">
        <v>0.48</v>
      </c>
      <c r="X275" s="10">
        <v>-19.35</v>
      </c>
      <c r="Y275" s="10">
        <v>0.0</v>
      </c>
      <c r="Z275" s="135">
        <v>83552.29</v>
      </c>
      <c r="AA275" s="134">
        <v>-32.0</v>
      </c>
      <c r="AB275" s="134">
        <v>-0.29</v>
      </c>
      <c r="AC275" s="10">
        <v>0.13</v>
      </c>
      <c r="AD275" s="135">
        <v>1.178769844E7</v>
      </c>
    </row>
    <row r="276">
      <c r="A276" s="10" t="s">
        <v>616</v>
      </c>
      <c r="B276" s="134">
        <v>0.0</v>
      </c>
      <c r="C276" s="10">
        <v>0.0</v>
      </c>
      <c r="D276" s="134">
        <v>0.0</v>
      </c>
      <c r="E276" s="134">
        <v>0.0</v>
      </c>
      <c r="F276" s="134">
        <v>0.0</v>
      </c>
      <c r="G276" s="134">
        <v>0.0</v>
      </c>
      <c r="H276" s="134">
        <v>0.0</v>
      </c>
      <c r="I276" s="134">
        <v>0.0</v>
      </c>
      <c r="J276" s="134">
        <v>0.0</v>
      </c>
      <c r="K276" s="134">
        <v>0.0</v>
      </c>
      <c r="L276" s="134">
        <v>0.0</v>
      </c>
      <c r="M276" s="134">
        <v>0.0</v>
      </c>
      <c r="N276" s="134">
        <v>0.0</v>
      </c>
      <c r="O276" s="134">
        <v>0.0</v>
      </c>
      <c r="P276" s="134">
        <v>0.0</v>
      </c>
      <c r="Q276" s="134">
        <v>0.0</v>
      </c>
      <c r="R276" s="134">
        <v>-0.95</v>
      </c>
      <c r="S276" s="134">
        <v>-0.9</v>
      </c>
      <c r="T276" s="134">
        <v>-2.42</v>
      </c>
      <c r="U276" s="134">
        <v>0.95</v>
      </c>
      <c r="V276" s="134">
        <v>0.05</v>
      </c>
      <c r="W276" s="134">
        <v>0.0</v>
      </c>
      <c r="X276" s="134">
        <v>0.0</v>
      </c>
      <c r="Y276" s="10">
        <v>0.0</v>
      </c>
      <c r="Z276" s="138">
        <v>0.0</v>
      </c>
      <c r="AA276" s="134">
        <v>0.01</v>
      </c>
      <c r="AB276" s="134">
        <v>0.0</v>
      </c>
      <c r="AC276" s="134">
        <v>0.0</v>
      </c>
      <c r="AD276" s="135">
        <v>0.0</v>
      </c>
    </row>
    <row r="277">
      <c r="A277" s="10" t="s">
        <v>319</v>
      </c>
      <c r="B277" s="134">
        <v>6.96</v>
      </c>
      <c r="C277" s="134">
        <v>0.0</v>
      </c>
      <c r="D277" s="134">
        <v>22.7</v>
      </c>
      <c r="E277" s="134">
        <v>1.11</v>
      </c>
      <c r="F277" s="134">
        <v>0.95</v>
      </c>
      <c r="G277" s="134">
        <v>100.0</v>
      </c>
      <c r="H277" s="136">
        <v>96.43</v>
      </c>
      <c r="I277" s="136">
        <v>90.86</v>
      </c>
      <c r="J277" s="134">
        <v>21.39</v>
      </c>
      <c r="K277" s="134">
        <v>18.45</v>
      </c>
      <c r="L277" s="134">
        <v>-2.91</v>
      </c>
      <c r="M277" s="134">
        <v>-0.15</v>
      </c>
      <c r="N277" s="136">
        <v>20.63</v>
      </c>
      <c r="O277" s="134">
        <v>7.66</v>
      </c>
      <c r="P277" s="134">
        <v>-1.3</v>
      </c>
      <c r="Q277" s="134">
        <v>1.87</v>
      </c>
      <c r="R277" s="134">
        <v>4.9</v>
      </c>
      <c r="S277" s="134">
        <v>4.2</v>
      </c>
      <c r="T277" s="134">
        <v>4.48</v>
      </c>
      <c r="U277" s="134">
        <v>0.86</v>
      </c>
      <c r="V277" s="134">
        <v>0.14</v>
      </c>
      <c r="W277" s="134">
        <v>0.05</v>
      </c>
      <c r="X277" s="134">
        <v>0.0</v>
      </c>
      <c r="Y277" s="134">
        <v>0.0</v>
      </c>
      <c r="Z277" s="136">
        <v>1167131.75</v>
      </c>
      <c r="AA277" s="134">
        <v>6.25</v>
      </c>
      <c r="AB277" s="134">
        <v>0.31</v>
      </c>
      <c r="AC277" s="134">
        <v>0.0</v>
      </c>
      <c r="AD277" s="135">
        <v>7.112503232E8</v>
      </c>
    </row>
    <row r="278">
      <c r="A278" s="10" t="s">
        <v>617</v>
      </c>
      <c r="B278" s="134">
        <v>10.4</v>
      </c>
      <c r="C278" s="134">
        <v>0.0</v>
      </c>
      <c r="D278" s="134">
        <v>-14.97</v>
      </c>
      <c r="E278" s="134">
        <v>1.32</v>
      </c>
      <c r="F278" s="134">
        <v>0.79</v>
      </c>
      <c r="G278" s="134">
        <v>43.48</v>
      </c>
      <c r="H278" s="136">
        <v>3.79</v>
      </c>
      <c r="I278" s="136">
        <v>-10.14</v>
      </c>
      <c r="J278" s="134">
        <v>40.09</v>
      </c>
      <c r="K278" s="134">
        <v>47.57</v>
      </c>
      <c r="L278" s="134">
        <v>7.48</v>
      </c>
      <c r="M278" s="134">
        <v>0.25</v>
      </c>
      <c r="N278" s="136">
        <v>1.52</v>
      </c>
      <c r="O278" s="134">
        <v>7.57</v>
      </c>
      <c r="P278" s="134">
        <v>-1.43</v>
      </c>
      <c r="Q278" s="134">
        <v>1.31</v>
      </c>
      <c r="R278" s="134">
        <v>-8.83</v>
      </c>
      <c r="S278" s="134">
        <v>-5.29</v>
      </c>
      <c r="T278" s="134">
        <v>-0.1</v>
      </c>
      <c r="U278" s="134">
        <v>0.6</v>
      </c>
      <c r="V278" s="134">
        <v>0.4</v>
      </c>
      <c r="W278" s="134">
        <v>0.52</v>
      </c>
      <c r="X278" s="134">
        <v>12.83</v>
      </c>
      <c r="Y278" s="134">
        <v>0.0</v>
      </c>
      <c r="Z278" s="136">
        <v>0.0</v>
      </c>
      <c r="AA278" s="134">
        <v>7.86</v>
      </c>
      <c r="AB278" s="134">
        <v>-0.69</v>
      </c>
      <c r="AC278" s="134">
        <v>0.06</v>
      </c>
      <c r="AD278" s="135">
        <v>1.1088719824E9</v>
      </c>
    </row>
    <row r="279">
      <c r="A279" s="10" t="s">
        <v>483</v>
      </c>
      <c r="B279" s="134">
        <v>35.0</v>
      </c>
      <c r="C279" s="10">
        <v>10.0</v>
      </c>
      <c r="D279" s="134">
        <v>6.49</v>
      </c>
      <c r="E279" s="134">
        <v>1.72</v>
      </c>
      <c r="F279" s="134">
        <v>0.81</v>
      </c>
      <c r="G279" s="134">
        <v>94.85</v>
      </c>
      <c r="H279" s="134">
        <v>93.49</v>
      </c>
      <c r="I279" s="134">
        <v>39.52</v>
      </c>
      <c r="J279" s="134">
        <v>2.75</v>
      </c>
      <c r="K279" s="134">
        <v>3.62</v>
      </c>
      <c r="L279" s="134">
        <v>0.98</v>
      </c>
      <c r="M279" s="134">
        <v>0.61</v>
      </c>
      <c r="N279" s="134">
        <v>2.57</v>
      </c>
      <c r="O279" s="134">
        <v>-8.53</v>
      </c>
      <c r="P279" s="134">
        <v>-0.92</v>
      </c>
      <c r="Q279" s="134">
        <v>0.55</v>
      </c>
      <c r="R279" s="134">
        <v>26.47</v>
      </c>
      <c r="S279" s="134">
        <v>12.47</v>
      </c>
      <c r="T279" s="134">
        <v>29.14</v>
      </c>
      <c r="U279" s="134">
        <v>0.47</v>
      </c>
      <c r="V279" s="134">
        <v>0.53</v>
      </c>
      <c r="W279" s="134">
        <v>0.32</v>
      </c>
      <c r="X279" s="134">
        <v>3.6</v>
      </c>
      <c r="Y279" s="10">
        <v>22.74</v>
      </c>
      <c r="Z279" s="135">
        <v>16173.07</v>
      </c>
      <c r="AA279" s="134">
        <v>20.36</v>
      </c>
      <c r="AB279" s="134">
        <v>5.39</v>
      </c>
      <c r="AC279" s="134">
        <v>0.08</v>
      </c>
      <c r="AD279" s="135">
        <v>3.179253861E9</v>
      </c>
    </row>
    <row r="280">
      <c r="A280" s="10" t="s">
        <v>487</v>
      </c>
      <c r="B280" s="134">
        <v>33.0</v>
      </c>
      <c r="C280" s="134">
        <v>10.61</v>
      </c>
      <c r="D280" s="134">
        <v>6.12</v>
      </c>
      <c r="E280" s="134">
        <v>1.62</v>
      </c>
      <c r="F280" s="134">
        <v>0.76</v>
      </c>
      <c r="G280" s="134">
        <v>94.85</v>
      </c>
      <c r="H280" s="134">
        <v>93.49</v>
      </c>
      <c r="I280" s="134">
        <v>39.52</v>
      </c>
      <c r="J280" s="134">
        <v>2.59</v>
      </c>
      <c r="K280" s="134">
        <v>3.62</v>
      </c>
      <c r="L280" s="134">
        <v>0.98</v>
      </c>
      <c r="M280" s="134">
        <v>0.61</v>
      </c>
      <c r="N280" s="134">
        <v>2.42</v>
      </c>
      <c r="O280" s="134">
        <v>-8.05</v>
      </c>
      <c r="P280" s="134">
        <v>-0.87</v>
      </c>
      <c r="Q280" s="134">
        <v>0.55</v>
      </c>
      <c r="R280" s="134">
        <v>26.47</v>
      </c>
      <c r="S280" s="134">
        <v>12.47</v>
      </c>
      <c r="T280" s="134">
        <v>29.14</v>
      </c>
      <c r="U280" s="134">
        <v>0.47</v>
      </c>
      <c r="V280" s="134">
        <v>0.53</v>
      </c>
      <c r="W280" s="134">
        <v>0.32</v>
      </c>
      <c r="X280" s="134">
        <v>3.6</v>
      </c>
      <c r="Y280" s="10">
        <v>22.74</v>
      </c>
      <c r="Z280" s="135">
        <v>12760.55</v>
      </c>
      <c r="AA280" s="134">
        <v>20.36</v>
      </c>
      <c r="AB280" s="134">
        <v>5.39</v>
      </c>
      <c r="AC280" s="134">
        <v>0.08</v>
      </c>
      <c r="AD280" s="135">
        <v>3.179253861E9</v>
      </c>
    </row>
    <row r="281">
      <c r="A281" s="10" t="s">
        <v>216</v>
      </c>
      <c r="B281" s="134">
        <v>2.63</v>
      </c>
      <c r="C281" s="134">
        <v>0.0</v>
      </c>
      <c r="D281" s="134">
        <v>-616.74</v>
      </c>
      <c r="E281" s="134">
        <v>0.54</v>
      </c>
      <c r="F281" s="134">
        <v>0.22</v>
      </c>
      <c r="G281" s="134">
        <v>21.84</v>
      </c>
      <c r="H281" s="134">
        <v>7.38</v>
      </c>
      <c r="I281" s="134">
        <v>-0.12</v>
      </c>
      <c r="J281" s="134">
        <v>10.38</v>
      </c>
      <c r="K281" s="134">
        <v>19.39</v>
      </c>
      <c r="L281" s="134">
        <v>8.89</v>
      </c>
      <c r="M281" s="134">
        <v>0.47</v>
      </c>
      <c r="N281" s="134">
        <v>0.77</v>
      </c>
      <c r="O281" s="134">
        <v>0.74</v>
      </c>
      <c r="P281" s="134">
        <v>-0.69</v>
      </c>
      <c r="Q281" s="134">
        <v>1.75</v>
      </c>
      <c r="R281" s="134">
        <v>-0.09</v>
      </c>
      <c r="S281" s="134">
        <v>-0.04</v>
      </c>
      <c r="T281" s="134">
        <v>2.45</v>
      </c>
      <c r="U281" s="134">
        <v>0.4</v>
      </c>
      <c r="V281" s="134">
        <v>0.6</v>
      </c>
      <c r="W281" s="134">
        <v>0.29</v>
      </c>
      <c r="X281" s="134">
        <v>-9.34</v>
      </c>
      <c r="Y281" s="10">
        <v>0.0</v>
      </c>
      <c r="Z281" s="135">
        <v>1.580224308E7</v>
      </c>
      <c r="AA281" s="134">
        <v>4.83</v>
      </c>
      <c r="AB281" s="134">
        <v>0.0</v>
      </c>
      <c r="AC281" s="134">
        <v>10.14</v>
      </c>
      <c r="AD281" s="135">
        <v>8.9760563382E8</v>
      </c>
    </row>
    <row r="282">
      <c r="A282" s="10" t="s">
        <v>310</v>
      </c>
      <c r="B282" s="134">
        <v>22.16</v>
      </c>
      <c r="C282" s="10">
        <v>7.85</v>
      </c>
      <c r="D282" s="134">
        <v>4.65</v>
      </c>
      <c r="E282" s="134">
        <v>1.06</v>
      </c>
      <c r="F282" s="134">
        <v>0.57</v>
      </c>
      <c r="G282" s="134">
        <v>22.13</v>
      </c>
      <c r="H282" s="134">
        <v>21.31</v>
      </c>
      <c r="I282" s="134">
        <v>13.38</v>
      </c>
      <c r="J282" s="134">
        <v>2.92</v>
      </c>
      <c r="K282" s="134">
        <v>4.15</v>
      </c>
      <c r="L282" s="134">
        <v>0.78</v>
      </c>
      <c r="M282" s="134">
        <v>0.28</v>
      </c>
      <c r="N282" s="134">
        <v>0.62</v>
      </c>
      <c r="O282" s="134">
        <v>2.2</v>
      </c>
      <c r="P282" s="134">
        <v>-0.99</v>
      </c>
      <c r="Q282" s="134">
        <v>2.58</v>
      </c>
      <c r="R282" s="134">
        <v>22.84</v>
      </c>
      <c r="S282" s="134">
        <v>12.26</v>
      </c>
      <c r="T282" s="134">
        <v>18.49</v>
      </c>
      <c r="U282" s="134">
        <v>0.54</v>
      </c>
      <c r="V282" s="134">
        <v>0.46</v>
      </c>
      <c r="W282" s="134">
        <v>0.92</v>
      </c>
      <c r="X282" s="10">
        <v>0.11</v>
      </c>
      <c r="Y282" s="10">
        <v>0.0</v>
      </c>
      <c r="Z282" s="135">
        <v>2887612.33</v>
      </c>
      <c r="AA282" s="134">
        <v>20.88</v>
      </c>
      <c r="AB282" s="134">
        <v>4.77</v>
      </c>
      <c r="AC282" s="10">
        <v>0.01</v>
      </c>
      <c r="AD282" s="135">
        <v>4.408996946022E10</v>
      </c>
    </row>
    <row r="283">
      <c r="A283" s="10" t="s">
        <v>64</v>
      </c>
      <c r="B283" s="134">
        <v>27.21</v>
      </c>
      <c r="C283" s="10">
        <v>6.39</v>
      </c>
      <c r="D283" s="134">
        <v>5.71</v>
      </c>
      <c r="E283" s="134">
        <v>1.3</v>
      </c>
      <c r="F283" s="134">
        <v>0.7</v>
      </c>
      <c r="G283" s="134">
        <v>22.13</v>
      </c>
      <c r="H283" s="134">
        <v>21.31</v>
      </c>
      <c r="I283" s="134">
        <v>13.38</v>
      </c>
      <c r="J283" s="134">
        <v>3.58</v>
      </c>
      <c r="K283" s="134">
        <v>4.15</v>
      </c>
      <c r="L283" s="134">
        <v>0.78</v>
      </c>
      <c r="M283" s="134">
        <v>0.28</v>
      </c>
      <c r="N283" s="134">
        <v>0.76</v>
      </c>
      <c r="O283" s="134">
        <v>2.7</v>
      </c>
      <c r="P283" s="134">
        <v>-1.21</v>
      </c>
      <c r="Q283" s="134">
        <v>2.58</v>
      </c>
      <c r="R283" s="134">
        <v>22.84</v>
      </c>
      <c r="S283" s="134">
        <v>12.26</v>
      </c>
      <c r="T283" s="134">
        <v>18.49</v>
      </c>
      <c r="U283" s="134">
        <v>0.54</v>
      </c>
      <c r="V283" s="134">
        <v>0.46</v>
      </c>
      <c r="W283" s="134">
        <v>0.92</v>
      </c>
      <c r="X283" s="10">
        <v>0.11</v>
      </c>
      <c r="Y283" s="10">
        <v>0.0</v>
      </c>
      <c r="Z283" s="137">
        <v>4.3265924021E8</v>
      </c>
      <c r="AA283" s="134">
        <v>20.88</v>
      </c>
      <c r="AB283" s="134">
        <v>4.77</v>
      </c>
      <c r="AC283" s="134">
        <v>0.01</v>
      </c>
      <c r="AD283" s="135">
        <v>4.408996946022E10</v>
      </c>
    </row>
    <row r="284">
      <c r="A284" s="10" t="s">
        <v>202</v>
      </c>
      <c r="B284" s="134">
        <v>16.69</v>
      </c>
      <c r="C284" s="134">
        <v>0.0</v>
      </c>
      <c r="D284" s="134">
        <v>95.66</v>
      </c>
      <c r="E284" s="134">
        <v>5.55</v>
      </c>
      <c r="F284" s="134">
        <v>2.16</v>
      </c>
      <c r="G284" s="134">
        <v>16.73</v>
      </c>
      <c r="H284" s="134">
        <v>8.28</v>
      </c>
      <c r="I284" s="134">
        <v>2.17</v>
      </c>
      <c r="J284" s="134">
        <v>25.13</v>
      </c>
      <c r="K284" s="134">
        <v>24.92</v>
      </c>
      <c r="L284" s="134">
        <v>-0.18</v>
      </c>
      <c r="M284" s="134">
        <v>-0.04</v>
      </c>
      <c r="N284" s="134">
        <v>2.08</v>
      </c>
      <c r="O284" s="134">
        <v>6.73</v>
      </c>
      <c r="P284" s="134">
        <v>-4.78</v>
      </c>
      <c r="Q284" s="134">
        <v>2.4</v>
      </c>
      <c r="R284" s="134">
        <v>5.8</v>
      </c>
      <c r="S284" s="134">
        <v>2.25</v>
      </c>
      <c r="T284" s="134">
        <v>10.1</v>
      </c>
      <c r="U284" s="134">
        <v>0.39</v>
      </c>
      <c r="V284" s="134">
        <v>0.61</v>
      </c>
      <c r="W284" s="134">
        <v>1.04</v>
      </c>
      <c r="X284" s="134">
        <v>0.0</v>
      </c>
      <c r="Y284" s="134">
        <v>0.0</v>
      </c>
      <c r="Z284" s="135">
        <v>2.062364825E7</v>
      </c>
      <c r="AA284" s="134">
        <v>3.01</v>
      </c>
      <c r="AB284" s="134">
        <v>0.17</v>
      </c>
      <c r="AC284" s="134">
        <v>0.0</v>
      </c>
      <c r="AD284" s="135">
        <v>1.11270714693E10</v>
      </c>
    </row>
    <row r="285">
      <c r="A285" s="10" t="s">
        <v>172</v>
      </c>
      <c r="B285" s="134">
        <v>7.62</v>
      </c>
      <c r="C285" s="134">
        <v>0.0</v>
      </c>
      <c r="D285" s="134">
        <v>21.73</v>
      </c>
      <c r="E285" s="134">
        <v>2.81</v>
      </c>
      <c r="F285" s="134">
        <v>1.92</v>
      </c>
      <c r="G285" s="134">
        <v>23.36</v>
      </c>
      <c r="H285" s="136">
        <v>6.17</v>
      </c>
      <c r="I285" s="136">
        <v>5.39</v>
      </c>
      <c r="J285" s="134">
        <v>18.97</v>
      </c>
      <c r="K285" s="134">
        <v>18.46</v>
      </c>
      <c r="L285" s="134">
        <v>-0.49</v>
      </c>
      <c r="M285" s="134">
        <v>-0.07</v>
      </c>
      <c r="N285" s="134">
        <v>1.17</v>
      </c>
      <c r="O285" s="134">
        <v>3.68</v>
      </c>
      <c r="P285" s="134">
        <v>-6.36</v>
      </c>
      <c r="Q285" s="134">
        <v>3.99</v>
      </c>
      <c r="R285" s="134">
        <v>12.94</v>
      </c>
      <c r="S285" s="136">
        <v>8.85</v>
      </c>
      <c r="T285" s="134">
        <v>12.11</v>
      </c>
      <c r="U285" s="134">
        <v>0.68</v>
      </c>
      <c r="V285" s="134">
        <v>0.31</v>
      </c>
      <c r="W285" s="134">
        <v>1.64</v>
      </c>
      <c r="X285" s="134">
        <v>0.0</v>
      </c>
      <c r="Y285" s="10">
        <v>0.0</v>
      </c>
      <c r="Z285" s="135">
        <v>4.210574346E7</v>
      </c>
      <c r="AA285" s="136">
        <v>2.71</v>
      </c>
      <c r="AB285" s="134">
        <v>0.35</v>
      </c>
      <c r="AC285" s="134">
        <v>0.33</v>
      </c>
      <c r="AD285" s="135">
        <v>1.681312366119E10</v>
      </c>
    </row>
    <row r="286">
      <c r="A286" s="10" t="s">
        <v>79</v>
      </c>
      <c r="B286" s="134">
        <v>72.43</v>
      </c>
      <c r="C286" s="134">
        <v>0.39</v>
      </c>
      <c r="D286" s="134">
        <v>161.29</v>
      </c>
      <c r="E286" s="134">
        <v>6.19</v>
      </c>
      <c r="F286" s="134">
        <v>2.55</v>
      </c>
      <c r="G286" s="134">
        <v>21.77</v>
      </c>
      <c r="H286" s="136">
        <v>6.24</v>
      </c>
      <c r="I286" s="136">
        <v>2.38</v>
      </c>
      <c r="J286" s="134">
        <v>61.55</v>
      </c>
      <c r="K286" s="134">
        <v>63.65</v>
      </c>
      <c r="L286" s="134">
        <v>2.08</v>
      </c>
      <c r="M286" s="134">
        <v>0.21</v>
      </c>
      <c r="N286" s="134">
        <v>3.84</v>
      </c>
      <c r="O286" s="134">
        <v>58.25</v>
      </c>
      <c r="P286" s="134">
        <v>-3.33</v>
      </c>
      <c r="Q286" s="134">
        <v>1.23</v>
      </c>
      <c r="R286" s="134">
        <v>3.84</v>
      </c>
      <c r="S286" s="136">
        <v>1.58</v>
      </c>
      <c r="T286" s="134">
        <v>4.3</v>
      </c>
      <c r="U286" s="134">
        <v>0.41</v>
      </c>
      <c r="V286" s="134">
        <v>0.59</v>
      </c>
      <c r="W286" s="134">
        <v>0.66</v>
      </c>
      <c r="X286" s="134">
        <v>29.03</v>
      </c>
      <c r="Y286" s="10">
        <v>36.49</v>
      </c>
      <c r="Z286" s="135">
        <v>2.4319188679E8</v>
      </c>
      <c r="AA286" s="136">
        <v>11.7</v>
      </c>
      <c r="AB286" s="134">
        <v>0.45</v>
      </c>
      <c r="AC286" s="134">
        <v>-2.93</v>
      </c>
      <c r="AD286" s="135">
        <v>4.457429210115E10</v>
      </c>
    </row>
    <row r="287">
      <c r="A287" s="10" t="s">
        <v>352</v>
      </c>
      <c r="B287" s="134">
        <v>11.3</v>
      </c>
      <c r="C287" s="10">
        <v>8.23</v>
      </c>
      <c r="D287" s="134">
        <v>4.75</v>
      </c>
      <c r="E287" s="134">
        <v>0.92</v>
      </c>
      <c r="F287" s="134">
        <v>0.18</v>
      </c>
      <c r="G287" s="134">
        <v>22.13</v>
      </c>
      <c r="H287" s="136">
        <v>21.28</v>
      </c>
      <c r="I287" s="136">
        <v>4.22</v>
      </c>
      <c r="J287" s="134">
        <v>0.94</v>
      </c>
      <c r="K287" s="134">
        <v>1.67</v>
      </c>
      <c r="L287" s="134">
        <v>0.66</v>
      </c>
      <c r="M287" s="10">
        <v>0.65</v>
      </c>
      <c r="N287" s="134">
        <v>0.2</v>
      </c>
      <c r="O287" s="134">
        <v>0.65</v>
      </c>
      <c r="P287" s="134">
        <v>-0.32</v>
      </c>
      <c r="Q287" s="134">
        <v>2.72</v>
      </c>
      <c r="R287" s="136">
        <v>19.37</v>
      </c>
      <c r="S287" s="136">
        <v>3.77</v>
      </c>
      <c r="T287" s="136">
        <v>17.91</v>
      </c>
      <c r="U287" s="134">
        <v>0.19</v>
      </c>
      <c r="V287" s="134">
        <v>0.45</v>
      </c>
      <c r="W287" s="134">
        <v>0.9</v>
      </c>
      <c r="X287" s="134">
        <v>0.11</v>
      </c>
      <c r="Y287" s="10">
        <v>0.0</v>
      </c>
      <c r="Z287" s="137">
        <v>447219.63</v>
      </c>
      <c r="AA287" s="136">
        <v>12.27</v>
      </c>
      <c r="AB287" s="134">
        <v>2.38</v>
      </c>
      <c r="AC287" s="134">
        <v>0.01</v>
      </c>
      <c r="AD287" s="135">
        <v>1.317739806494E10</v>
      </c>
    </row>
    <row r="288">
      <c r="A288" s="10" t="s">
        <v>108</v>
      </c>
      <c r="B288" s="134">
        <v>12.54</v>
      </c>
      <c r="C288" s="134">
        <v>7.42</v>
      </c>
      <c r="D288" s="134">
        <v>5.28</v>
      </c>
      <c r="E288" s="134">
        <v>1.02</v>
      </c>
      <c r="F288" s="134">
        <v>0.2</v>
      </c>
      <c r="G288" s="134">
        <v>22.13</v>
      </c>
      <c r="H288" s="136">
        <v>21.28</v>
      </c>
      <c r="I288" s="136">
        <v>4.22</v>
      </c>
      <c r="J288" s="134">
        <v>1.04</v>
      </c>
      <c r="K288" s="134">
        <v>1.67</v>
      </c>
      <c r="L288" s="134">
        <v>0.66</v>
      </c>
      <c r="M288" s="134">
        <v>0.65</v>
      </c>
      <c r="N288" s="134">
        <v>0.22</v>
      </c>
      <c r="O288" s="134">
        <v>0.72</v>
      </c>
      <c r="P288" s="134">
        <v>-0.35</v>
      </c>
      <c r="Q288" s="134">
        <v>2.72</v>
      </c>
      <c r="R288" s="136">
        <v>19.37</v>
      </c>
      <c r="S288" s="136">
        <v>3.77</v>
      </c>
      <c r="T288" s="136">
        <v>17.91</v>
      </c>
      <c r="U288" s="134">
        <v>0.19</v>
      </c>
      <c r="V288" s="134">
        <v>0.45</v>
      </c>
      <c r="W288" s="134">
        <v>0.9</v>
      </c>
      <c r="X288" s="134">
        <v>0.11</v>
      </c>
      <c r="Y288" s="10">
        <v>0.0</v>
      </c>
      <c r="Z288" s="139">
        <v>1.3761220571E8</v>
      </c>
      <c r="AA288" s="136">
        <v>12.27</v>
      </c>
      <c r="AB288" s="134">
        <v>2.38</v>
      </c>
      <c r="AC288" s="134">
        <v>0.01</v>
      </c>
      <c r="AD288" s="135">
        <v>1.317739806494E10</v>
      </c>
    </row>
    <row r="289">
      <c r="A289" s="10" t="s">
        <v>111</v>
      </c>
      <c r="B289" s="134">
        <v>20.31</v>
      </c>
      <c r="C289" s="10">
        <v>0.0</v>
      </c>
      <c r="D289" s="134">
        <v>-17.99</v>
      </c>
      <c r="E289" s="134">
        <v>-4.1</v>
      </c>
      <c r="F289" s="134">
        <v>5.58</v>
      </c>
      <c r="G289" s="134">
        <v>0.21</v>
      </c>
      <c r="H289" s="136">
        <v>-44.17</v>
      </c>
      <c r="I289" s="136">
        <v>-65.7</v>
      </c>
      <c r="J289" s="134">
        <v>-26.76</v>
      </c>
      <c r="K289" s="134">
        <v>-7.31</v>
      </c>
      <c r="L289" s="134">
        <v>-3.94</v>
      </c>
      <c r="M289" s="134">
        <v>0.0</v>
      </c>
      <c r="N289" s="134">
        <v>11.82</v>
      </c>
      <c r="O289" s="134">
        <v>-8.12</v>
      </c>
      <c r="P289" s="134">
        <v>-7.17</v>
      </c>
      <c r="Q289" s="134">
        <v>0.24</v>
      </c>
      <c r="R289" s="136">
        <v>-22.79</v>
      </c>
      <c r="S289" s="136">
        <v>-31.02</v>
      </c>
      <c r="T289" s="136">
        <v>45.42</v>
      </c>
      <c r="U289" s="134">
        <v>-1.36</v>
      </c>
      <c r="V289" s="134">
        <v>2.36</v>
      </c>
      <c r="W289" s="134">
        <v>0.47</v>
      </c>
      <c r="X289" s="10">
        <v>-8.21</v>
      </c>
      <c r="Y289" s="10">
        <v>0.0</v>
      </c>
      <c r="Z289" s="135">
        <v>1.1135153354E8</v>
      </c>
      <c r="AA289" s="136">
        <v>-4.95</v>
      </c>
      <c r="AB289" s="134">
        <v>-1.13</v>
      </c>
      <c r="AC289" s="134">
        <v>1.28</v>
      </c>
      <c r="AD289" s="135">
        <v>8.11770482091E9</v>
      </c>
    </row>
    <row r="290">
      <c r="A290" s="10" t="s">
        <v>531</v>
      </c>
      <c r="B290" s="134">
        <v>42.48</v>
      </c>
      <c r="C290" s="10">
        <v>1.19</v>
      </c>
      <c r="D290" s="134">
        <v>21.17</v>
      </c>
      <c r="E290" s="134">
        <v>2.15</v>
      </c>
      <c r="F290" s="134">
        <v>1.56</v>
      </c>
      <c r="G290" s="134">
        <v>80.51</v>
      </c>
      <c r="H290" s="136">
        <v>114.03</v>
      </c>
      <c r="I290" s="136">
        <v>65.01</v>
      </c>
      <c r="J290" s="134">
        <v>12.07</v>
      </c>
      <c r="K290" s="134">
        <v>11.69</v>
      </c>
      <c r="L290" s="134">
        <v>-0.38</v>
      </c>
      <c r="M290" s="134">
        <v>-0.07</v>
      </c>
      <c r="N290" s="134">
        <v>13.76</v>
      </c>
      <c r="O290" s="134">
        <v>4.81</v>
      </c>
      <c r="P290" s="134">
        <v>-2.51</v>
      </c>
      <c r="Q290" s="134">
        <v>6.92</v>
      </c>
      <c r="R290" s="136">
        <v>10.18</v>
      </c>
      <c r="S290" s="136">
        <v>7.37</v>
      </c>
      <c r="T290" s="136">
        <v>11.2</v>
      </c>
      <c r="U290" s="134">
        <v>0.72</v>
      </c>
      <c r="V290" s="134">
        <v>0.28</v>
      </c>
      <c r="W290" s="134">
        <v>0.11</v>
      </c>
      <c r="X290" s="10">
        <v>40.68</v>
      </c>
      <c r="Y290" s="10">
        <v>0.0</v>
      </c>
      <c r="Z290" s="138">
        <v>4248.0</v>
      </c>
      <c r="AA290" s="136">
        <v>19.72</v>
      </c>
      <c r="AB290" s="134">
        <v>2.01</v>
      </c>
      <c r="AC290" s="10">
        <v>0.38</v>
      </c>
      <c r="AD290" s="136">
        <v>3.31039979136E9</v>
      </c>
    </row>
    <row r="291">
      <c r="A291" s="10" t="s">
        <v>297</v>
      </c>
      <c r="B291" s="134">
        <v>6.46</v>
      </c>
      <c r="C291" s="134">
        <v>0.0</v>
      </c>
      <c r="D291" s="134">
        <v>1.64</v>
      </c>
      <c r="E291" s="134">
        <v>0.22</v>
      </c>
      <c r="F291" s="134">
        <v>0.1</v>
      </c>
      <c r="G291" s="134">
        <v>100.0</v>
      </c>
      <c r="H291" s="136">
        <v>78.94</v>
      </c>
      <c r="I291" s="136">
        <v>36.2</v>
      </c>
      <c r="J291" s="134">
        <v>0.75</v>
      </c>
      <c r="K291" s="134">
        <v>-1.34</v>
      </c>
      <c r="L291" s="134">
        <v>-2.08</v>
      </c>
      <c r="M291" s="134">
        <v>-0.61</v>
      </c>
      <c r="N291" s="134">
        <v>0.59</v>
      </c>
      <c r="O291" s="134">
        <v>0.35</v>
      </c>
      <c r="P291" s="134">
        <v>-0.14</v>
      </c>
      <c r="Q291" s="134">
        <v>7.82</v>
      </c>
      <c r="R291" s="136">
        <v>13.44</v>
      </c>
      <c r="S291" s="136">
        <v>5.89</v>
      </c>
      <c r="T291" s="136">
        <v>15.3</v>
      </c>
      <c r="U291" s="134">
        <v>0.44</v>
      </c>
      <c r="V291" s="134">
        <v>0.19</v>
      </c>
      <c r="W291" s="134">
        <v>0.16</v>
      </c>
      <c r="X291" s="134">
        <v>0.0</v>
      </c>
      <c r="Y291" s="134">
        <v>0.0</v>
      </c>
      <c r="Z291" s="135">
        <v>5481450.79</v>
      </c>
      <c r="AA291" s="136">
        <v>29.35</v>
      </c>
      <c r="AB291" s="134">
        <v>3.94</v>
      </c>
      <c r="AC291" s="134">
        <v>-0.01</v>
      </c>
      <c r="AD291" s="135">
        <v>3.4708817076E8</v>
      </c>
    </row>
    <row r="292">
      <c r="A292" s="10" t="s">
        <v>618</v>
      </c>
      <c r="B292" s="134">
        <v>0.0</v>
      </c>
      <c r="C292" s="10">
        <v>0.0</v>
      </c>
      <c r="D292" s="134">
        <v>0.0</v>
      </c>
      <c r="E292" s="134">
        <v>0.0</v>
      </c>
      <c r="F292" s="134">
        <v>0.0</v>
      </c>
      <c r="G292" s="134">
        <v>3.99</v>
      </c>
      <c r="H292" s="136">
        <v>2.89</v>
      </c>
      <c r="I292" s="136">
        <v>1.78</v>
      </c>
      <c r="J292" s="134">
        <v>0.0</v>
      </c>
      <c r="K292" s="134">
        <v>4.28</v>
      </c>
      <c r="L292" s="134">
        <v>4.28</v>
      </c>
      <c r="M292" s="10">
        <v>6.08</v>
      </c>
      <c r="N292" s="136">
        <v>0.0</v>
      </c>
      <c r="O292" s="134">
        <v>0.0</v>
      </c>
      <c r="P292" s="134">
        <v>0.0</v>
      </c>
      <c r="Q292" s="134">
        <v>1.04</v>
      </c>
      <c r="R292" s="134">
        <v>87.48</v>
      </c>
      <c r="S292" s="136">
        <v>4.1</v>
      </c>
      <c r="T292" s="134">
        <v>10.1</v>
      </c>
      <c r="U292" s="134">
        <v>0.05</v>
      </c>
      <c r="V292" s="134">
        <v>0.95</v>
      </c>
      <c r="W292" s="134">
        <v>2.3</v>
      </c>
      <c r="X292" s="134">
        <v>0.0</v>
      </c>
      <c r="Y292" s="10">
        <v>0.0</v>
      </c>
      <c r="Z292" s="136">
        <v>0.0</v>
      </c>
      <c r="AA292" s="136">
        <v>0.3</v>
      </c>
      <c r="AB292" s="134">
        <v>0.27</v>
      </c>
      <c r="AC292" s="134">
        <v>0.0</v>
      </c>
      <c r="AD292" s="135">
        <v>0.0</v>
      </c>
    </row>
    <row r="293">
      <c r="A293" s="10" t="s">
        <v>181</v>
      </c>
      <c r="B293" s="134">
        <v>8.52</v>
      </c>
      <c r="C293" s="134">
        <v>7.75</v>
      </c>
      <c r="D293" s="134">
        <v>13.2</v>
      </c>
      <c r="E293" s="134">
        <v>1.97</v>
      </c>
      <c r="F293" s="134">
        <v>1.82</v>
      </c>
      <c r="G293" s="134">
        <v>45.16</v>
      </c>
      <c r="H293" s="136">
        <v>19.15</v>
      </c>
      <c r="I293" s="136">
        <v>24.78</v>
      </c>
      <c r="J293" s="134">
        <v>17.08</v>
      </c>
      <c r="K293" s="134">
        <v>14.2</v>
      </c>
      <c r="L293" s="134">
        <v>-3.04</v>
      </c>
      <c r="M293" s="134">
        <v>-0.35</v>
      </c>
      <c r="N293" s="136">
        <v>3.27</v>
      </c>
      <c r="O293" s="134">
        <v>3.05</v>
      </c>
      <c r="P293" s="134">
        <v>-5.24</v>
      </c>
      <c r="Q293" s="134">
        <v>11.61</v>
      </c>
      <c r="R293" s="134">
        <v>14.91</v>
      </c>
      <c r="S293" s="136">
        <v>13.78</v>
      </c>
      <c r="T293" s="134">
        <v>9.77</v>
      </c>
      <c r="U293" s="134">
        <v>0.92</v>
      </c>
      <c r="V293" s="134">
        <v>0.08</v>
      </c>
      <c r="W293" s="134">
        <v>0.56</v>
      </c>
      <c r="X293" s="134">
        <v>-2.95</v>
      </c>
      <c r="Y293" s="134">
        <v>1.1</v>
      </c>
      <c r="Z293" s="135">
        <v>2.334248538E7</v>
      </c>
      <c r="AA293" s="136">
        <v>4.33</v>
      </c>
      <c r="AB293" s="134">
        <v>0.65</v>
      </c>
      <c r="AC293" s="134">
        <v>0.22</v>
      </c>
      <c r="AD293" s="135">
        <v>7.758576E9</v>
      </c>
    </row>
    <row r="294">
      <c r="A294" s="10" t="s">
        <v>452</v>
      </c>
      <c r="B294" s="134">
        <v>39.98</v>
      </c>
      <c r="C294" s="10">
        <v>0.0</v>
      </c>
      <c r="D294" s="134">
        <v>-4.71</v>
      </c>
      <c r="E294" s="134">
        <v>-0.16</v>
      </c>
      <c r="F294" s="134">
        <v>0.05</v>
      </c>
      <c r="G294" s="134">
        <v>68.01</v>
      </c>
      <c r="H294" s="136">
        <v>50.73</v>
      </c>
      <c r="I294" s="136">
        <v>-15.9</v>
      </c>
      <c r="J294" s="134">
        <v>1.48</v>
      </c>
      <c r="K294" s="134">
        <v>33.02</v>
      </c>
      <c r="L294" s="134">
        <v>31.55</v>
      </c>
      <c r="M294" s="10">
        <v>0.0</v>
      </c>
      <c r="N294" s="136">
        <v>0.75</v>
      </c>
      <c r="O294" s="134">
        <v>-0.6</v>
      </c>
      <c r="P294" s="134">
        <v>-0.05</v>
      </c>
      <c r="Q294" s="134">
        <v>0.55</v>
      </c>
      <c r="R294" s="136">
        <v>-3.29</v>
      </c>
      <c r="S294" s="136">
        <v>-1.0</v>
      </c>
      <c r="T294" s="136">
        <v>3.19</v>
      </c>
      <c r="U294" s="134">
        <v>-0.3</v>
      </c>
      <c r="V294" s="134">
        <v>1.3</v>
      </c>
      <c r="W294" s="134">
        <v>0.06</v>
      </c>
      <c r="X294" s="134">
        <v>-18.98</v>
      </c>
      <c r="Y294" s="134">
        <v>0.0</v>
      </c>
      <c r="Z294" s="136">
        <v>31928.95</v>
      </c>
      <c r="AA294" s="136">
        <v>-257.94</v>
      </c>
      <c r="AB294" s="134">
        <v>-8.48</v>
      </c>
      <c r="AC294" s="134">
        <v>0.05</v>
      </c>
      <c r="AD294" s="135">
        <v>7.711218462E7</v>
      </c>
    </row>
    <row r="295">
      <c r="A295" s="10" t="s">
        <v>247</v>
      </c>
      <c r="B295" s="134">
        <v>13.74</v>
      </c>
      <c r="C295" s="10">
        <v>3.39</v>
      </c>
      <c r="D295" s="134">
        <v>26.61</v>
      </c>
      <c r="E295" s="134">
        <v>1.38</v>
      </c>
      <c r="F295" s="134">
        <v>0.53</v>
      </c>
      <c r="G295" s="134">
        <v>47.08</v>
      </c>
      <c r="H295" s="136">
        <v>5.82</v>
      </c>
      <c r="I295" s="136">
        <v>3.88</v>
      </c>
      <c r="J295" s="134">
        <v>17.73</v>
      </c>
      <c r="K295" s="134">
        <v>21.73</v>
      </c>
      <c r="L295" s="134">
        <v>3.92</v>
      </c>
      <c r="M295" s="10">
        <v>0.31</v>
      </c>
      <c r="N295" s="136">
        <v>1.03</v>
      </c>
      <c r="O295" s="134">
        <v>2.06</v>
      </c>
      <c r="P295" s="134">
        <v>-1.31</v>
      </c>
      <c r="Q295" s="134">
        <v>1.76</v>
      </c>
      <c r="R295" s="136">
        <v>5.19</v>
      </c>
      <c r="S295" s="136">
        <v>1.99</v>
      </c>
      <c r="T295" s="136">
        <v>3.99</v>
      </c>
      <c r="U295" s="134">
        <v>0.38</v>
      </c>
      <c r="V295" s="134">
        <v>0.62</v>
      </c>
      <c r="W295" s="134">
        <v>0.51</v>
      </c>
      <c r="X295" s="134">
        <v>2.55</v>
      </c>
      <c r="Y295" s="134">
        <v>-5.94</v>
      </c>
      <c r="Z295" s="135">
        <v>9579874.0</v>
      </c>
      <c r="AA295" s="136">
        <v>9.94</v>
      </c>
      <c r="AB295" s="134">
        <v>0.52</v>
      </c>
      <c r="AC295" s="134">
        <v>0.47</v>
      </c>
      <c r="AD295" s="135">
        <v>6.88896E9</v>
      </c>
    </row>
    <row r="296">
      <c r="A296" s="10" t="s">
        <v>424</v>
      </c>
      <c r="B296" s="134">
        <v>3.41</v>
      </c>
      <c r="C296" s="134">
        <v>0.0</v>
      </c>
      <c r="D296" s="134">
        <v>4.15</v>
      </c>
      <c r="E296" s="134">
        <v>-0.6</v>
      </c>
      <c r="F296" s="134">
        <v>0.65</v>
      </c>
      <c r="G296" s="134">
        <v>31.58</v>
      </c>
      <c r="H296" s="136">
        <v>26.28</v>
      </c>
      <c r="I296" s="136">
        <v>22.42</v>
      </c>
      <c r="J296" s="134">
        <v>3.54</v>
      </c>
      <c r="K296" s="134">
        <v>2.67</v>
      </c>
      <c r="L296" s="134">
        <v>-0.19</v>
      </c>
      <c r="M296" s="134">
        <v>0.0</v>
      </c>
      <c r="N296" s="136">
        <v>0.93</v>
      </c>
      <c r="O296" s="134">
        <v>1.71</v>
      </c>
      <c r="P296" s="134">
        <v>-3.81</v>
      </c>
      <c r="Q296" s="134">
        <v>1.85</v>
      </c>
      <c r="R296" s="134">
        <v>-14.48</v>
      </c>
      <c r="S296" s="136">
        <v>15.64</v>
      </c>
      <c r="T296" s="134">
        <v>-29.65</v>
      </c>
      <c r="U296" s="134">
        <v>-1.08</v>
      </c>
      <c r="V296" s="134">
        <v>2.08</v>
      </c>
      <c r="W296" s="134">
        <v>0.7</v>
      </c>
      <c r="X296" s="134">
        <v>0.12</v>
      </c>
      <c r="Y296" s="134">
        <v>25.47</v>
      </c>
      <c r="Z296" s="135">
        <v>43283.58</v>
      </c>
      <c r="AA296" s="136">
        <v>-5.68</v>
      </c>
      <c r="AB296" s="134">
        <v>0.82</v>
      </c>
      <c r="AC296" s="134">
        <v>0.02</v>
      </c>
      <c r="AD296" s="135">
        <v>3.288366701E7</v>
      </c>
    </row>
    <row r="297">
      <c r="A297" s="10" t="s">
        <v>382</v>
      </c>
      <c r="B297" s="134">
        <v>2.34</v>
      </c>
      <c r="C297" s="134">
        <v>0.0</v>
      </c>
      <c r="D297" s="134">
        <v>2.85</v>
      </c>
      <c r="E297" s="134">
        <v>-0.41</v>
      </c>
      <c r="F297" s="134">
        <v>0.45</v>
      </c>
      <c r="G297" s="134">
        <v>31.58</v>
      </c>
      <c r="H297" s="136">
        <v>26.28</v>
      </c>
      <c r="I297" s="136">
        <v>22.42</v>
      </c>
      <c r="J297" s="134">
        <v>2.43</v>
      </c>
      <c r="K297" s="134">
        <v>2.67</v>
      </c>
      <c r="L297" s="134">
        <v>-0.19</v>
      </c>
      <c r="M297" s="134">
        <v>0.0</v>
      </c>
      <c r="N297" s="134">
        <v>0.64</v>
      </c>
      <c r="O297" s="134">
        <v>1.17</v>
      </c>
      <c r="P297" s="134">
        <v>-2.61</v>
      </c>
      <c r="Q297" s="134">
        <v>1.85</v>
      </c>
      <c r="R297" s="134">
        <v>-14.48</v>
      </c>
      <c r="S297" s="136">
        <v>15.64</v>
      </c>
      <c r="T297" s="134">
        <v>-29.65</v>
      </c>
      <c r="U297" s="134">
        <v>-1.08</v>
      </c>
      <c r="V297" s="134">
        <v>2.08</v>
      </c>
      <c r="W297" s="134">
        <v>0.7</v>
      </c>
      <c r="X297" s="134">
        <v>0.12</v>
      </c>
      <c r="Y297" s="134">
        <v>25.47</v>
      </c>
      <c r="Z297" s="135">
        <v>157721.96</v>
      </c>
      <c r="AA297" s="136">
        <v>-5.68</v>
      </c>
      <c r="AB297" s="134">
        <v>0.82</v>
      </c>
      <c r="AC297" s="134">
        <v>0.02</v>
      </c>
      <c r="AD297" s="135">
        <v>3.288366701E7</v>
      </c>
    </row>
    <row r="298">
      <c r="A298" s="10" t="s">
        <v>85</v>
      </c>
      <c r="B298" s="134">
        <v>12.99</v>
      </c>
      <c r="C298" s="10">
        <v>0.44</v>
      </c>
      <c r="D298" s="134">
        <v>84.96</v>
      </c>
      <c r="E298" s="134">
        <v>4.74</v>
      </c>
      <c r="F298" s="134">
        <v>2.92</v>
      </c>
      <c r="G298" s="134">
        <v>34.06</v>
      </c>
      <c r="H298" s="136">
        <v>9.19</v>
      </c>
      <c r="I298" s="136">
        <v>6.52</v>
      </c>
      <c r="J298" s="134">
        <v>60.26</v>
      </c>
      <c r="K298" s="134">
        <v>59.87</v>
      </c>
      <c r="L298" s="134">
        <v>-0.48</v>
      </c>
      <c r="M298" s="134">
        <v>-0.04</v>
      </c>
      <c r="N298" s="136">
        <v>5.54</v>
      </c>
      <c r="O298" s="134">
        <v>46.15</v>
      </c>
      <c r="P298" s="134">
        <v>-3.73</v>
      </c>
      <c r="Q298" s="134">
        <v>1.41</v>
      </c>
      <c r="R298" s="134">
        <v>5.58</v>
      </c>
      <c r="S298" s="136">
        <v>3.44</v>
      </c>
      <c r="T298" s="134">
        <v>5.36</v>
      </c>
      <c r="U298" s="134">
        <v>0.62</v>
      </c>
      <c r="V298" s="134">
        <v>0.38</v>
      </c>
      <c r="W298" s="134">
        <v>0.53</v>
      </c>
      <c r="X298" s="10">
        <v>28.32</v>
      </c>
      <c r="Y298" s="10">
        <v>14.58</v>
      </c>
      <c r="Z298" s="135">
        <v>1.957397425E8</v>
      </c>
      <c r="AA298" s="136">
        <v>2.74</v>
      </c>
      <c r="AB298" s="134">
        <v>0.15</v>
      </c>
      <c r="AC298" s="134">
        <v>-2.72</v>
      </c>
      <c r="AD298" s="135">
        <v>5.06293224475E10</v>
      </c>
    </row>
    <row r="299">
      <c r="A299" s="10" t="s">
        <v>269</v>
      </c>
      <c r="B299" s="134">
        <v>5.78</v>
      </c>
      <c r="C299" s="10">
        <v>0.82</v>
      </c>
      <c r="D299" s="136">
        <v>7.8</v>
      </c>
      <c r="E299" s="134">
        <v>0.59</v>
      </c>
      <c r="F299" s="134">
        <v>0.18</v>
      </c>
      <c r="G299" s="134">
        <v>23.33</v>
      </c>
      <c r="H299" s="136">
        <v>13.25</v>
      </c>
      <c r="I299" s="136">
        <v>9.51</v>
      </c>
      <c r="J299" s="134">
        <v>5.6</v>
      </c>
      <c r="K299" s="134">
        <v>12.16</v>
      </c>
      <c r="L299" s="134">
        <v>6.48</v>
      </c>
      <c r="M299" s="134">
        <v>0.68</v>
      </c>
      <c r="N299" s="134">
        <v>0.74</v>
      </c>
      <c r="O299" s="134">
        <v>0.38</v>
      </c>
      <c r="P299" s="134">
        <v>-0.6</v>
      </c>
      <c r="Q299" s="134">
        <v>3.09</v>
      </c>
      <c r="R299" s="134">
        <v>7.52</v>
      </c>
      <c r="S299" s="136">
        <v>2.33</v>
      </c>
      <c r="T299" s="134">
        <v>3.65</v>
      </c>
      <c r="U299" s="134">
        <v>0.31</v>
      </c>
      <c r="V299" s="134">
        <v>0.58</v>
      </c>
      <c r="W299" s="134">
        <v>0.24</v>
      </c>
      <c r="X299" s="134">
        <v>-5.72</v>
      </c>
      <c r="Y299" s="10">
        <v>7.57</v>
      </c>
      <c r="Z299" s="135">
        <v>7548934.25</v>
      </c>
      <c r="AA299" s="136">
        <v>9.85</v>
      </c>
      <c r="AB299" s="134">
        <v>0.74</v>
      </c>
      <c r="AC299" s="134">
        <v>-0.03</v>
      </c>
      <c r="AD299" s="135">
        <v>7.8570579264E8</v>
      </c>
    </row>
    <row r="300">
      <c r="A300" s="10" t="s">
        <v>346</v>
      </c>
      <c r="B300" s="134">
        <v>13.44</v>
      </c>
      <c r="C300" s="134">
        <v>0.0</v>
      </c>
      <c r="D300" s="136">
        <v>-30.53</v>
      </c>
      <c r="E300" s="136">
        <v>0.78</v>
      </c>
      <c r="F300" s="134">
        <v>0.41</v>
      </c>
      <c r="G300" s="134">
        <v>83.39</v>
      </c>
      <c r="H300" s="136">
        <v>97.01</v>
      </c>
      <c r="I300" s="136">
        <v>-59.66</v>
      </c>
      <c r="J300" s="136">
        <v>18.78</v>
      </c>
      <c r="K300" s="136">
        <v>23.99</v>
      </c>
      <c r="L300" s="134">
        <v>5.22</v>
      </c>
      <c r="M300" s="134">
        <v>0.22</v>
      </c>
      <c r="N300" s="134">
        <v>18.21</v>
      </c>
      <c r="O300" s="136">
        <v>3.94</v>
      </c>
      <c r="P300" s="136">
        <v>-0.5</v>
      </c>
      <c r="Q300" s="134">
        <v>2.25</v>
      </c>
      <c r="R300" s="136">
        <v>-2.56</v>
      </c>
      <c r="S300" s="136">
        <v>-1.34</v>
      </c>
      <c r="T300" s="136">
        <v>1.26</v>
      </c>
      <c r="U300" s="134">
        <v>0.52</v>
      </c>
      <c r="V300" s="134">
        <v>0.39</v>
      </c>
      <c r="W300" s="134">
        <v>0.02</v>
      </c>
      <c r="X300" s="134">
        <v>0.0</v>
      </c>
      <c r="Y300" s="134">
        <v>0.0</v>
      </c>
      <c r="Z300" s="136">
        <v>290982.58</v>
      </c>
      <c r="AA300" s="136">
        <v>17.18</v>
      </c>
      <c r="AB300" s="134">
        <v>-0.44</v>
      </c>
      <c r="AC300" s="134">
        <v>0.24</v>
      </c>
      <c r="AD300" s="135">
        <v>1.38685990464E9</v>
      </c>
    </row>
    <row r="301">
      <c r="A301" s="10" t="s">
        <v>209</v>
      </c>
      <c r="B301" s="134">
        <v>3.94</v>
      </c>
      <c r="C301" s="10">
        <v>0.0</v>
      </c>
      <c r="D301" s="136">
        <v>-52.91</v>
      </c>
      <c r="E301" s="136">
        <v>2.02</v>
      </c>
      <c r="F301" s="134">
        <v>0.51</v>
      </c>
      <c r="G301" s="134">
        <v>36.39</v>
      </c>
      <c r="H301" s="136">
        <v>22.2</v>
      </c>
      <c r="I301" s="136">
        <v>-3.8</v>
      </c>
      <c r="J301" s="136">
        <v>9.06</v>
      </c>
      <c r="K301" s="136">
        <v>20.03</v>
      </c>
      <c r="L301" s="134">
        <v>10.97</v>
      </c>
      <c r="M301" s="10">
        <v>2.44</v>
      </c>
      <c r="N301" s="136">
        <v>2.01</v>
      </c>
      <c r="O301" s="136">
        <v>5.78</v>
      </c>
      <c r="P301" s="136">
        <v>-0.61</v>
      </c>
      <c r="Q301" s="134">
        <v>2.02</v>
      </c>
      <c r="R301" s="136">
        <v>-3.81</v>
      </c>
      <c r="S301" s="136">
        <v>-0.96</v>
      </c>
      <c r="T301" s="136">
        <v>4.81</v>
      </c>
      <c r="U301" s="134">
        <v>0.25</v>
      </c>
      <c r="V301" s="134">
        <v>0.75</v>
      </c>
      <c r="W301" s="134">
        <v>0.25</v>
      </c>
      <c r="X301" s="134">
        <v>49.43</v>
      </c>
      <c r="Y301" s="10">
        <v>0.0</v>
      </c>
      <c r="Z301" s="139">
        <v>1.604159492E7</v>
      </c>
      <c r="AA301" s="136">
        <v>1.95</v>
      </c>
      <c r="AB301" s="134">
        <v>-0.07</v>
      </c>
      <c r="AC301" s="134">
        <v>0.97</v>
      </c>
      <c r="AD301" s="135">
        <v>2.99590761342E9</v>
      </c>
    </row>
    <row r="302">
      <c r="A302" s="10" t="s">
        <v>447</v>
      </c>
      <c r="B302" s="134">
        <v>56.99</v>
      </c>
      <c r="C302" s="10">
        <v>0.28</v>
      </c>
      <c r="D302" s="136">
        <v>5.75</v>
      </c>
      <c r="E302" s="136">
        <v>1.36</v>
      </c>
      <c r="F302" s="134">
        <v>0.38</v>
      </c>
      <c r="G302" s="134">
        <v>62.09</v>
      </c>
      <c r="H302" s="136">
        <v>45.06</v>
      </c>
      <c r="I302" s="136">
        <v>39.08</v>
      </c>
      <c r="J302" s="136">
        <v>4.98</v>
      </c>
      <c r="K302" s="136">
        <v>4.99</v>
      </c>
      <c r="L302" s="134">
        <v>0.01</v>
      </c>
      <c r="M302" s="10">
        <v>0.0</v>
      </c>
      <c r="N302" s="136">
        <v>2.25</v>
      </c>
      <c r="O302" s="136">
        <v>-2.81</v>
      </c>
      <c r="P302" s="136">
        <v>-0.44</v>
      </c>
      <c r="Q302" s="134">
        <v>0.51</v>
      </c>
      <c r="R302" s="136">
        <v>23.72</v>
      </c>
      <c r="S302" s="136">
        <v>6.56</v>
      </c>
      <c r="T302" s="136">
        <v>21.5</v>
      </c>
      <c r="U302" s="134">
        <v>0.28</v>
      </c>
      <c r="V302" s="134">
        <v>0.72</v>
      </c>
      <c r="W302" s="134">
        <v>0.17</v>
      </c>
      <c r="X302" s="134">
        <v>7.42</v>
      </c>
      <c r="Y302" s="10">
        <v>71.82</v>
      </c>
      <c r="Z302" s="136">
        <v>11258.13</v>
      </c>
      <c r="AA302" s="136">
        <v>41.81</v>
      </c>
      <c r="AB302" s="134">
        <v>9.92</v>
      </c>
      <c r="AC302" s="134">
        <v>-0.02</v>
      </c>
      <c r="AD302" s="135">
        <v>5.2052882213E8</v>
      </c>
    </row>
    <row r="303">
      <c r="A303" s="10" t="s">
        <v>440</v>
      </c>
      <c r="B303" s="134">
        <v>96.0</v>
      </c>
      <c r="C303" s="134">
        <v>0.0</v>
      </c>
      <c r="D303" s="134">
        <v>-0.28</v>
      </c>
      <c r="E303" s="136">
        <v>-0.09</v>
      </c>
      <c r="F303" s="134">
        <v>4.44</v>
      </c>
      <c r="G303" s="134">
        <v>100.0</v>
      </c>
      <c r="H303" s="136">
        <v>-8738.8</v>
      </c>
      <c r="I303" s="136">
        <v>-8859.01</v>
      </c>
      <c r="J303" s="134">
        <v>-0.29</v>
      </c>
      <c r="K303" s="134">
        <v>-2.01</v>
      </c>
      <c r="L303" s="134">
        <v>-1.89</v>
      </c>
      <c r="M303" s="134">
        <v>0.0</v>
      </c>
      <c r="N303" s="136">
        <v>24.93</v>
      </c>
      <c r="O303" s="136">
        <v>-0.71</v>
      </c>
      <c r="P303" s="136">
        <v>-4.52</v>
      </c>
      <c r="Q303" s="134">
        <v>0.0</v>
      </c>
      <c r="R303" s="136">
        <v>-31.24</v>
      </c>
      <c r="S303" s="136">
        <v>-1578.44</v>
      </c>
      <c r="T303" s="136">
        <v>73.88</v>
      </c>
      <c r="U303" s="134">
        <v>-50.52</v>
      </c>
      <c r="V303" s="134">
        <v>51.52</v>
      </c>
      <c r="W303" s="134">
        <v>0.18</v>
      </c>
      <c r="X303" s="134">
        <v>-2.24</v>
      </c>
      <c r="Y303" s="134">
        <v>0.0</v>
      </c>
      <c r="Z303" s="135">
        <v>42600.0</v>
      </c>
      <c r="AA303" s="136">
        <v>-1091.97</v>
      </c>
      <c r="AB303" s="134">
        <v>-341.16</v>
      </c>
      <c r="AC303" s="134">
        <v>0.0</v>
      </c>
      <c r="AD303" s="135">
        <v>2.09749414E7</v>
      </c>
    </row>
    <row r="304">
      <c r="A304" s="10" t="s">
        <v>472</v>
      </c>
      <c r="B304" s="134">
        <v>13.4</v>
      </c>
      <c r="C304" s="10">
        <v>0.0</v>
      </c>
      <c r="D304" s="136">
        <v>-0.04</v>
      </c>
      <c r="E304" s="136">
        <v>-0.01</v>
      </c>
      <c r="F304" s="134">
        <v>0.62</v>
      </c>
      <c r="G304" s="134">
        <v>100.0</v>
      </c>
      <c r="H304" s="136">
        <v>-8738.8</v>
      </c>
      <c r="I304" s="136">
        <v>-8859.01</v>
      </c>
      <c r="J304" s="134">
        <v>-0.04</v>
      </c>
      <c r="K304" s="134">
        <v>-2.01</v>
      </c>
      <c r="L304" s="134">
        <v>-1.89</v>
      </c>
      <c r="M304" s="10">
        <v>0.0</v>
      </c>
      <c r="N304" s="136">
        <v>3.48</v>
      </c>
      <c r="O304" s="136">
        <v>-0.1</v>
      </c>
      <c r="P304" s="136">
        <v>-0.63</v>
      </c>
      <c r="Q304" s="134">
        <v>0.0</v>
      </c>
      <c r="R304" s="136">
        <v>-31.24</v>
      </c>
      <c r="S304" s="136">
        <v>-1578.44</v>
      </c>
      <c r="T304" s="136">
        <v>73.88</v>
      </c>
      <c r="U304" s="134">
        <v>-50.52</v>
      </c>
      <c r="V304" s="134">
        <v>51.52</v>
      </c>
      <c r="W304" s="134">
        <v>0.18</v>
      </c>
      <c r="X304" s="134">
        <v>-2.24</v>
      </c>
      <c r="Y304" s="10">
        <v>0.0</v>
      </c>
      <c r="Z304" s="138">
        <v>20281.0</v>
      </c>
      <c r="AA304" s="136">
        <v>-1091.97</v>
      </c>
      <c r="AB304" s="134">
        <v>-341.16</v>
      </c>
      <c r="AC304" s="134">
        <v>0.0</v>
      </c>
      <c r="AD304" s="135">
        <v>2.09749414E7</v>
      </c>
    </row>
    <row r="305">
      <c r="A305" s="10" t="s">
        <v>619</v>
      </c>
      <c r="B305" s="134">
        <v>37.5</v>
      </c>
      <c r="C305" s="10">
        <v>0.87</v>
      </c>
      <c r="D305" s="134">
        <v>25.62</v>
      </c>
      <c r="E305" s="134">
        <v>3.83</v>
      </c>
      <c r="F305" s="134">
        <v>2.7</v>
      </c>
      <c r="G305" s="134">
        <v>41.23</v>
      </c>
      <c r="H305" s="136">
        <v>2.63</v>
      </c>
      <c r="I305" s="136">
        <v>18.01</v>
      </c>
      <c r="J305" s="134">
        <v>175.71</v>
      </c>
      <c r="K305" s="134">
        <v>175.47</v>
      </c>
      <c r="L305" s="134">
        <v>-0.24</v>
      </c>
      <c r="M305" s="10">
        <v>-0.01</v>
      </c>
      <c r="N305" s="136">
        <v>4.61</v>
      </c>
      <c r="O305" s="134">
        <v>7.46</v>
      </c>
      <c r="P305" s="134">
        <v>-6.31</v>
      </c>
      <c r="Q305" s="134">
        <v>2.73</v>
      </c>
      <c r="R305" s="134">
        <v>14.96</v>
      </c>
      <c r="S305" s="134">
        <v>10.55</v>
      </c>
      <c r="T305" s="134">
        <v>-4.64</v>
      </c>
      <c r="U305" s="134">
        <v>0.7</v>
      </c>
      <c r="V305" s="134">
        <v>0.3</v>
      </c>
      <c r="W305" s="134">
        <v>0.59</v>
      </c>
      <c r="X305" s="134">
        <v>-7.54</v>
      </c>
      <c r="Y305" s="10">
        <v>-3.29</v>
      </c>
      <c r="Z305" s="135">
        <v>1.0950360567E8</v>
      </c>
      <c r="AA305" s="134">
        <v>9.78</v>
      </c>
      <c r="AB305" s="134">
        <v>1.46</v>
      </c>
      <c r="AC305" s="134">
        <v>-3.12</v>
      </c>
      <c r="AD305" s="135">
        <v>6.0950226375E9</v>
      </c>
    </row>
    <row r="306">
      <c r="A306" s="10" t="s">
        <v>620</v>
      </c>
      <c r="B306" s="134">
        <v>0.0</v>
      </c>
      <c r="C306" s="134">
        <v>0.0</v>
      </c>
      <c r="D306" s="136">
        <v>0.0</v>
      </c>
      <c r="E306" s="134">
        <v>0.0</v>
      </c>
      <c r="F306" s="134">
        <v>0.0</v>
      </c>
      <c r="G306" s="134">
        <v>61.3</v>
      </c>
      <c r="H306" s="136">
        <v>-137.86</v>
      </c>
      <c r="I306" s="136">
        <v>-174.4</v>
      </c>
      <c r="J306" s="134">
        <v>0.0</v>
      </c>
      <c r="K306" s="134">
        <v>-0.77</v>
      </c>
      <c r="L306" s="134">
        <v>0.05</v>
      </c>
      <c r="M306" s="134">
        <v>0.0</v>
      </c>
      <c r="N306" s="136">
        <v>0.0</v>
      </c>
      <c r="O306" s="134">
        <v>0.0</v>
      </c>
      <c r="P306" s="134">
        <v>0.0</v>
      </c>
      <c r="Q306" s="134">
        <v>0.04</v>
      </c>
      <c r="R306" s="134">
        <v>-9.99</v>
      </c>
      <c r="S306" s="134">
        <v>-10.12</v>
      </c>
      <c r="T306" s="134">
        <v>7.89</v>
      </c>
      <c r="U306" s="134">
        <v>-1.01</v>
      </c>
      <c r="V306" s="134">
        <v>2.07</v>
      </c>
      <c r="W306" s="134">
        <v>0.06</v>
      </c>
      <c r="X306" s="134">
        <v>-24.22</v>
      </c>
      <c r="Y306" s="134">
        <v>0.0</v>
      </c>
      <c r="Z306" s="137">
        <v>0.0</v>
      </c>
      <c r="AA306" s="134">
        <v>-25.46</v>
      </c>
      <c r="AB306" s="134">
        <v>-2.54</v>
      </c>
      <c r="AC306" s="134">
        <v>0.0</v>
      </c>
      <c r="AD306" s="135">
        <v>2.99990772E7</v>
      </c>
    </row>
    <row r="307">
      <c r="A307" s="10" t="s">
        <v>371</v>
      </c>
      <c r="B307" s="134">
        <v>4.38</v>
      </c>
      <c r="C307" s="10">
        <v>0.0</v>
      </c>
      <c r="D307" s="136">
        <v>-1.72</v>
      </c>
      <c r="E307" s="134">
        <v>-0.17</v>
      </c>
      <c r="F307" s="134">
        <v>0.17</v>
      </c>
      <c r="G307" s="134">
        <v>61.3</v>
      </c>
      <c r="H307" s="136">
        <v>-137.86</v>
      </c>
      <c r="I307" s="136">
        <v>-174.4</v>
      </c>
      <c r="J307" s="134">
        <v>-2.18</v>
      </c>
      <c r="K307" s="134">
        <v>-0.77</v>
      </c>
      <c r="L307" s="10">
        <v>0.05</v>
      </c>
      <c r="M307" s="10">
        <v>0.0</v>
      </c>
      <c r="N307" s="136">
        <v>3.0</v>
      </c>
      <c r="O307" s="134">
        <v>-0.13</v>
      </c>
      <c r="P307" s="134">
        <v>-0.18</v>
      </c>
      <c r="Q307" s="134">
        <v>0.04</v>
      </c>
      <c r="R307" s="134">
        <v>-9.99</v>
      </c>
      <c r="S307" s="134">
        <v>-10.12</v>
      </c>
      <c r="T307" s="10">
        <v>7.89</v>
      </c>
      <c r="U307" s="134">
        <v>-1.01</v>
      </c>
      <c r="V307" s="134">
        <v>2.07</v>
      </c>
      <c r="W307" s="134">
        <v>0.06</v>
      </c>
      <c r="X307" s="134">
        <v>-24.22</v>
      </c>
      <c r="Y307" s="10">
        <v>0.0</v>
      </c>
      <c r="Z307" s="135">
        <v>550707.63</v>
      </c>
      <c r="AA307" s="134">
        <v>-25.46</v>
      </c>
      <c r="AB307" s="134">
        <v>-2.54</v>
      </c>
      <c r="AC307" s="134">
        <v>0.02</v>
      </c>
      <c r="AD307" s="135">
        <v>2.99990772E7</v>
      </c>
    </row>
    <row r="308">
      <c r="A308" s="10" t="s">
        <v>116</v>
      </c>
      <c r="B308" s="134">
        <v>30.61</v>
      </c>
      <c r="C308" s="10">
        <v>4.94</v>
      </c>
      <c r="D308" s="134">
        <v>13.5</v>
      </c>
      <c r="E308" s="134">
        <v>2.02</v>
      </c>
      <c r="F308" s="134">
        <v>1.04</v>
      </c>
      <c r="G308" s="134">
        <v>63.99</v>
      </c>
      <c r="H308" s="136">
        <v>32.08</v>
      </c>
      <c r="I308" s="136">
        <v>29.31</v>
      </c>
      <c r="J308" s="134">
        <v>12.33</v>
      </c>
      <c r="K308" s="134">
        <v>15.15</v>
      </c>
      <c r="L308" s="10">
        <v>2.89</v>
      </c>
      <c r="M308" s="10">
        <v>0.47</v>
      </c>
      <c r="N308" s="136">
        <v>3.96</v>
      </c>
      <c r="O308" s="134">
        <v>7.15</v>
      </c>
      <c r="P308" s="134">
        <v>-1.5</v>
      </c>
      <c r="Q308" s="134">
        <v>1.93</v>
      </c>
      <c r="R308" s="134">
        <v>14.98</v>
      </c>
      <c r="S308" s="134">
        <v>7.74</v>
      </c>
      <c r="T308" s="10">
        <v>9.26</v>
      </c>
      <c r="U308" s="134">
        <v>0.52</v>
      </c>
      <c r="V308" s="134">
        <v>0.48</v>
      </c>
      <c r="W308" s="134">
        <v>0.26</v>
      </c>
      <c r="X308" s="134">
        <v>6.7</v>
      </c>
      <c r="Y308" s="10">
        <v>20.74</v>
      </c>
      <c r="Z308" s="136">
        <v>9.535125638E7</v>
      </c>
      <c r="AA308" s="134">
        <v>15.14</v>
      </c>
      <c r="AB308" s="134">
        <v>2.27</v>
      </c>
      <c r="AC308" s="134">
        <v>0.52</v>
      </c>
      <c r="AD308" s="135">
        <v>1.929399826858E10</v>
      </c>
    </row>
    <row r="309">
      <c r="A309" s="10" t="s">
        <v>621</v>
      </c>
      <c r="B309" s="134">
        <v>2.16</v>
      </c>
      <c r="C309" s="10">
        <v>0.0</v>
      </c>
      <c r="D309" s="134">
        <v>-0.99</v>
      </c>
      <c r="E309" s="134">
        <v>0.93</v>
      </c>
      <c r="F309" s="134">
        <v>0.06</v>
      </c>
      <c r="G309" s="134">
        <v>-18.91</v>
      </c>
      <c r="H309" s="136">
        <v>-40.19</v>
      </c>
      <c r="I309" s="136">
        <v>-154.6</v>
      </c>
      <c r="J309" s="134">
        <v>-3.81</v>
      </c>
      <c r="K309" s="134">
        <v>-3.84</v>
      </c>
      <c r="L309" s="134">
        <v>0.0</v>
      </c>
      <c r="M309" s="134">
        <v>0.0</v>
      </c>
      <c r="N309" s="136">
        <v>1.53</v>
      </c>
      <c r="O309" s="134">
        <v>0.48</v>
      </c>
      <c r="P309" s="134">
        <v>-0.13</v>
      </c>
      <c r="Q309" s="134">
        <v>1.26</v>
      </c>
      <c r="R309" s="134">
        <v>-94.38</v>
      </c>
      <c r="S309" s="134">
        <v>-5.67</v>
      </c>
      <c r="T309" s="134">
        <v>0.0</v>
      </c>
      <c r="U309" s="134">
        <v>0.06</v>
      </c>
      <c r="V309" s="134">
        <v>0.94</v>
      </c>
      <c r="W309" s="134">
        <v>0.04</v>
      </c>
      <c r="X309" s="10">
        <v>-32.17</v>
      </c>
      <c r="Y309" s="10">
        <v>0.0</v>
      </c>
      <c r="Z309" s="137">
        <v>289164.47</v>
      </c>
      <c r="AA309" s="134">
        <v>2.31</v>
      </c>
      <c r="AB309" s="134">
        <v>-2.18</v>
      </c>
      <c r="AC309" s="10">
        <v>0.0</v>
      </c>
      <c r="AD309" s="135">
        <v>2.2400757438E8</v>
      </c>
    </row>
    <row r="310">
      <c r="A310" s="10" t="s">
        <v>622</v>
      </c>
      <c r="B310" s="134">
        <v>2.67</v>
      </c>
      <c r="C310" s="10">
        <v>0.0</v>
      </c>
      <c r="D310" s="134">
        <v>-1.22</v>
      </c>
      <c r="E310" s="134">
        <v>1.16</v>
      </c>
      <c r="F310" s="134">
        <v>0.07</v>
      </c>
      <c r="G310" s="134">
        <v>-18.91</v>
      </c>
      <c r="H310" s="136">
        <v>-40.19</v>
      </c>
      <c r="I310" s="136">
        <v>-154.6</v>
      </c>
      <c r="J310" s="134">
        <v>-4.71</v>
      </c>
      <c r="K310" s="134">
        <v>-3.84</v>
      </c>
      <c r="L310" s="134">
        <v>0.0</v>
      </c>
      <c r="M310" s="10">
        <v>0.0</v>
      </c>
      <c r="N310" s="136">
        <v>1.89</v>
      </c>
      <c r="O310" s="134">
        <v>0.59</v>
      </c>
      <c r="P310" s="134">
        <v>-0.16</v>
      </c>
      <c r="Q310" s="134">
        <v>1.26</v>
      </c>
      <c r="R310" s="134">
        <v>-94.38</v>
      </c>
      <c r="S310" s="134">
        <v>-5.67</v>
      </c>
      <c r="T310" s="134">
        <v>0.0</v>
      </c>
      <c r="U310" s="134">
        <v>0.06</v>
      </c>
      <c r="V310" s="134">
        <v>0.94</v>
      </c>
      <c r="W310" s="134">
        <v>0.04</v>
      </c>
      <c r="X310" s="134">
        <v>-32.17</v>
      </c>
      <c r="Y310" s="10">
        <v>0.0</v>
      </c>
      <c r="Z310" s="135">
        <v>89696.16</v>
      </c>
      <c r="AA310" s="134">
        <v>2.31</v>
      </c>
      <c r="AB310" s="134">
        <v>-2.18</v>
      </c>
      <c r="AC310" s="134">
        <v>0.0</v>
      </c>
      <c r="AD310" s="135">
        <v>2.2400757438E8</v>
      </c>
    </row>
    <row r="311">
      <c r="A311" s="10" t="s">
        <v>217</v>
      </c>
      <c r="B311" s="134">
        <v>16.35</v>
      </c>
      <c r="C311" s="10">
        <v>0.0</v>
      </c>
      <c r="D311" s="134">
        <v>-182.59</v>
      </c>
      <c r="E311" s="134">
        <v>4.33</v>
      </c>
      <c r="F311" s="134">
        <v>2.94</v>
      </c>
      <c r="G311" s="134">
        <v>47.25</v>
      </c>
      <c r="H311" s="136">
        <v>-2.63</v>
      </c>
      <c r="I311" s="136">
        <v>-8.37</v>
      </c>
      <c r="J311" s="134">
        <v>-581.45</v>
      </c>
      <c r="K311" s="134">
        <v>-489.28</v>
      </c>
      <c r="L311" s="134">
        <v>96.44</v>
      </c>
      <c r="M311" s="134">
        <v>-0.72</v>
      </c>
      <c r="N311" s="136">
        <v>15.28</v>
      </c>
      <c r="O311" s="134">
        <v>5.71</v>
      </c>
      <c r="P311" s="134">
        <v>-10.21</v>
      </c>
      <c r="Q311" s="134">
        <v>3.61</v>
      </c>
      <c r="R311" s="134">
        <v>-2.37</v>
      </c>
      <c r="S311" s="134">
        <v>-1.61</v>
      </c>
      <c r="T311" s="134">
        <v>-0.68</v>
      </c>
      <c r="U311" s="134">
        <v>0.68</v>
      </c>
      <c r="V311" s="134">
        <v>0.32</v>
      </c>
      <c r="W311" s="134">
        <v>0.19</v>
      </c>
      <c r="X311" s="134">
        <v>0.0</v>
      </c>
      <c r="Y311" s="10">
        <v>0.0</v>
      </c>
      <c r="Z311" s="138">
        <v>2.108813754E7</v>
      </c>
      <c r="AA311" s="134">
        <v>3.78</v>
      </c>
      <c r="AB311" s="134">
        <v>-0.09</v>
      </c>
      <c r="AC311" s="134">
        <v>0.0</v>
      </c>
      <c r="AD311" s="136">
        <v>4.01799947607E9</v>
      </c>
    </row>
    <row r="312">
      <c r="A312" s="10" t="s">
        <v>350</v>
      </c>
      <c r="B312" s="134">
        <v>4.83</v>
      </c>
      <c r="C312" s="134">
        <v>0.0</v>
      </c>
      <c r="D312" s="134">
        <v>-0.58</v>
      </c>
      <c r="E312" s="134">
        <v>-0.06</v>
      </c>
      <c r="F312" s="134">
        <v>0.42</v>
      </c>
      <c r="G312" s="134">
        <v>93.96</v>
      </c>
      <c r="H312" s="136">
        <v>-1452.23</v>
      </c>
      <c r="I312" s="136">
        <v>-2165.07</v>
      </c>
      <c r="J312" s="134">
        <v>-0.86</v>
      </c>
      <c r="K312" s="134">
        <v>-8.34</v>
      </c>
      <c r="L312" s="134">
        <v>-7.46</v>
      </c>
      <c r="M312" s="134">
        <v>0.0</v>
      </c>
      <c r="N312" s="134">
        <v>12.54</v>
      </c>
      <c r="O312" s="134">
        <v>-0.15</v>
      </c>
      <c r="P312" s="134">
        <v>-0.47</v>
      </c>
      <c r="Q312" s="134">
        <v>0.04</v>
      </c>
      <c r="R312" s="134">
        <v>-10.25</v>
      </c>
      <c r="S312" s="134">
        <v>-72.17</v>
      </c>
      <c r="T312" s="134">
        <v>14.41</v>
      </c>
      <c r="U312" s="134">
        <v>-7.04</v>
      </c>
      <c r="V312" s="134">
        <v>8.04</v>
      </c>
      <c r="W312" s="134">
        <v>0.03</v>
      </c>
      <c r="X312" s="134">
        <v>-9.35</v>
      </c>
      <c r="Y312" s="134">
        <v>0.0</v>
      </c>
      <c r="Z312" s="135">
        <v>568615.88</v>
      </c>
      <c r="AA312" s="134">
        <v>-81.31</v>
      </c>
      <c r="AB312" s="134">
        <v>-8.34</v>
      </c>
      <c r="AC312" s="134">
        <v>-0.01</v>
      </c>
      <c r="AD312" s="135">
        <v>6.177453204E7</v>
      </c>
    </row>
    <row r="313">
      <c r="A313" s="10" t="s">
        <v>623</v>
      </c>
      <c r="B313" s="134">
        <v>0.0</v>
      </c>
      <c r="C313" s="10">
        <v>0.0</v>
      </c>
      <c r="D313" s="134">
        <v>0.0</v>
      </c>
      <c r="E313" s="134">
        <v>0.0</v>
      </c>
      <c r="F313" s="134">
        <v>0.0</v>
      </c>
      <c r="G313" s="134">
        <v>37.56</v>
      </c>
      <c r="H313" s="136">
        <v>16.87</v>
      </c>
      <c r="I313" s="136">
        <v>1.15</v>
      </c>
      <c r="J313" s="134">
        <v>0.0</v>
      </c>
      <c r="K313" s="134">
        <v>5.97</v>
      </c>
      <c r="L313" s="134">
        <v>5.97</v>
      </c>
      <c r="M313" s="10">
        <v>0.6</v>
      </c>
      <c r="N313" s="136">
        <v>0.0</v>
      </c>
      <c r="O313" s="134">
        <v>0.0</v>
      </c>
      <c r="P313" s="134">
        <v>0.0</v>
      </c>
      <c r="Q313" s="134">
        <v>3.86</v>
      </c>
      <c r="R313" s="134">
        <v>0.68</v>
      </c>
      <c r="S313" s="134">
        <v>0.27</v>
      </c>
      <c r="T313" s="134">
        <v>4.15</v>
      </c>
      <c r="U313" s="134">
        <v>0.39</v>
      </c>
      <c r="V313" s="134">
        <v>0.6</v>
      </c>
      <c r="W313" s="134">
        <v>0.24</v>
      </c>
      <c r="X313" s="134">
        <v>10.03</v>
      </c>
      <c r="Y313" s="10">
        <v>0.0</v>
      </c>
      <c r="Z313" s="135">
        <v>0.0</v>
      </c>
      <c r="AA313" s="134">
        <v>3.27</v>
      </c>
      <c r="AB313" s="134">
        <v>0.02</v>
      </c>
      <c r="AC313" s="134">
        <v>0.0</v>
      </c>
      <c r="AD313" s="135">
        <v>0.0</v>
      </c>
    </row>
    <row r="314">
      <c r="A314" s="10" t="s">
        <v>140</v>
      </c>
      <c r="B314" s="134">
        <v>31.2</v>
      </c>
      <c r="C314" s="10">
        <v>0.91</v>
      </c>
      <c r="D314" s="134">
        <v>11.92</v>
      </c>
      <c r="E314" s="134">
        <v>1.59</v>
      </c>
      <c r="F314" s="134">
        <v>0.78</v>
      </c>
      <c r="G314" s="134">
        <v>54.56</v>
      </c>
      <c r="H314" s="136">
        <v>50.32</v>
      </c>
      <c r="I314" s="136">
        <v>66.37</v>
      </c>
      <c r="J314" s="134">
        <v>15.72</v>
      </c>
      <c r="K314" s="134">
        <v>21.1</v>
      </c>
      <c r="L314" s="134">
        <v>5.34</v>
      </c>
      <c r="M314" s="10">
        <v>0.54</v>
      </c>
      <c r="N314" s="134">
        <v>7.91</v>
      </c>
      <c r="O314" s="134">
        <v>5.31</v>
      </c>
      <c r="P314" s="134">
        <v>-1.01</v>
      </c>
      <c r="Q314" s="134">
        <v>2.87</v>
      </c>
      <c r="R314" s="134">
        <v>13.38</v>
      </c>
      <c r="S314" s="134">
        <v>6.58</v>
      </c>
      <c r="T314" s="134">
        <v>2.23</v>
      </c>
      <c r="U314" s="134">
        <v>0.49</v>
      </c>
      <c r="V314" s="134">
        <v>0.51</v>
      </c>
      <c r="W314" s="134">
        <v>0.1</v>
      </c>
      <c r="X314" s="134">
        <v>1.21</v>
      </c>
      <c r="Y314" s="10">
        <v>19.33</v>
      </c>
      <c r="Z314" s="135">
        <v>5.929579329E7</v>
      </c>
      <c r="AA314" s="134">
        <v>19.56</v>
      </c>
      <c r="AB314" s="134">
        <v>2.62</v>
      </c>
      <c r="AC314" s="134">
        <v>0.15</v>
      </c>
      <c r="AD314" s="135">
        <v>5.52617627562E9</v>
      </c>
    </row>
    <row r="315">
      <c r="A315" s="10" t="s">
        <v>305</v>
      </c>
      <c r="B315" s="134">
        <v>1.65</v>
      </c>
      <c r="C315" s="10">
        <v>0.0</v>
      </c>
      <c r="D315" s="134">
        <v>-0.86</v>
      </c>
      <c r="E315" s="134">
        <v>-0.11</v>
      </c>
      <c r="F315" s="134">
        <v>0.19</v>
      </c>
      <c r="G315" s="134">
        <v>-50.7</v>
      </c>
      <c r="H315" s="136">
        <v>-3490.56</v>
      </c>
      <c r="I315" s="136">
        <v>-8412.24</v>
      </c>
      <c r="J315" s="134">
        <v>-2.07</v>
      </c>
      <c r="K315" s="134">
        <v>-8.33</v>
      </c>
      <c r="L315" s="134">
        <v>-6.26</v>
      </c>
      <c r="M315" s="134">
        <v>0.0</v>
      </c>
      <c r="N315" s="136">
        <v>72.29</v>
      </c>
      <c r="O315" s="134">
        <v>-0.12</v>
      </c>
      <c r="P315" s="134">
        <v>-0.2</v>
      </c>
      <c r="Q315" s="134">
        <v>0.02</v>
      </c>
      <c r="R315" s="134">
        <v>-12.38</v>
      </c>
      <c r="S315" s="134">
        <v>-21.87</v>
      </c>
      <c r="T315" s="134">
        <v>9.26</v>
      </c>
      <c r="U315" s="134">
        <v>-1.77</v>
      </c>
      <c r="V315" s="134">
        <v>2.77</v>
      </c>
      <c r="W315" s="134">
        <v>0.0</v>
      </c>
      <c r="X315" s="134">
        <v>-55.72</v>
      </c>
      <c r="Y315" s="10">
        <v>0.0</v>
      </c>
      <c r="Z315" s="138">
        <v>2629636.79</v>
      </c>
      <c r="AA315" s="134">
        <v>-15.51</v>
      </c>
      <c r="AB315" s="134">
        <v>-1.92</v>
      </c>
      <c r="AC315" s="134">
        <v>0.02</v>
      </c>
      <c r="AD315" s="136">
        <v>2.714840588E8</v>
      </c>
    </row>
    <row r="316">
      <c r="A316" s="10" t="s">
        <v>300</v>
      </c>
      <c r="B316" s="134">
        <v>1.62</v>
      </c>
      <c r="C316" s="134">
        <v>0.0</v>
      </c>
      <c r="D316" s="134">
        <v>-0.84</v>
      </c>
      <c r="E316" s="134">
        <v>-0.1</v>
      </c>
      <c r="F316" s="134">
        <v>0.18</v>
      </c>
      <c r="G316" s="134">
        <v>-50.7</v>
      </c>
      <c r="H316" s="136">
        <v>-3490.56</v>
      </c>
      <c r="I316" s="136">
        <v>-8412.24</v>
      </c>
      <c r="J316" s="134">
        <v>-2.03</v>
      </c>
      <c r="K316" s="134">
        <v>-8.33</v>
      </c>
      <c r="L316" s="134">
        <v>-6.26</v>
      </c>
      <c r="M316" s="134">
        <v>0.0</v>
      </c>
      <c r="N316" s="136">
        <v>70.97</v>
      </c>
      <c r="O316" s="134">
        <v>-0.12</v>
      </c>
      <c r="P316" s="134">
        <v>-0.19</v>
      </c>
      <c r="Q316" s="134">
        <v>0.02</v>
      </c>
      <c r="R316" s="134">
        <v>-12.38</v>
      </c>
      <c r="S316" s="134">
        <v>-21.87</v>
      </c>
      <c r="T316" s="134">
        <v>9.26</v>
      </c>
      <c r="U316" s="134">
        <v>-1.77</v>
      </c>
      <c r="V316" s="134">
        <v>2.77</v>
      </c>
      <c r="W316" s="134">
        <v>0.0</v>
      </c>
      <c r="X316" s="10">
        <v>-55.72</v>
      </c>
      <c r="Y316" s="10">
        <v>0.0</v>
      </c>
      <c r="Z316" s="135">
        <v>2983329.17</v>
      </c>
      <c r="AA316" s="134">
        <v>-15.51</v>
      </c>
      <c r="AB316" s="134">
        <v>-1.92</v>
      </c>
      <c r="AC316" s="134">
        <v>0.02</v>
      </c>
      <c r="AD316" s="135">
        <v>2.714840588E8</v>
      </c>
    </row>
    <row r="317">
      <c r="A317" s="10" t="s">
        <v>624</v>
      </c>
      <c r="B317" s="134">
        <v>0.0</v>
      </c>
      <c r="C317" s="10">
        <v>0.0</v>
      </c>
      <c r="D317" s="134">
        <v>0.0</v>
      </c>
      <c r="E317" s="134">
        <v>0.0</v>
      </c>
      <c r="F317" s="134">
        <v>0.0</v>
      </c>
      <c r="G317" s="134">
        <v>19.98</v>
      </c>
      <c r="H317" s="136">
        <v>0.14</v>
      </c>
      <c r="I317" s="136">
        <v>-6.12</v>
      </c>
      <c r="J317" s="134">
        <v>0.0</v>
      </c>
      <c r="K317" s="134">
        <v>340.86</v>
      </c>
      <c r="L317" s="10">
        <v>340.86</v>
      </c>
      <c r="M317" s="10">
        <v>3.1</v>
      </c>
      <c r="N317" s="136">
        <v>0.0</v>
      </c>
      <c r="O317" s="134">
        <v>0.0</v>
      </c>
      <c r="P317" s="134">
        <v>0.0</v>
      </c>
      <c r="Q317" s="134">
        <v>1.37</v>
      </c>
      <c r="R317" s="134">
        <v>-39.07</v>
      </c>
      <c r="S317" s="134">
        <v>-2.55</v>
      </c>
      <c r="T317" s="10">
        <v>-2.34</v>
      </c>
      <c r="U317" s="134">
        <v>0.07</v>
      </c>
      <c r="V317" s="134">
        <v>0.93</v>
      </c>
      <c r="W317" s="134">
        <v>0.42</v>
      </c>
      <c r="X317" s="134">
        <v>37.5</v>
      </c>
      <c r="Y317" s="10">
        <v>0.0</v>
      </c>
      <c r="Z317" s="135">
        <v>0.0</v>
      </c>
      <c r="AA317" s="134">
        <v>0.62</v>
      </c>
      <c r="AB317" s="134">
        <v>-0.24</v>
      </c>
      <c r="AC317" s="134">
        <v>0.0</v>
      </c>
      <c r="AD317" s="135">
        <v>0.0</v>
      </c>
    </row>
    <row r="318">
      <c r="A318" s="10" t="s">
        <v>143</v>
      </c>
      <c r="B318" s="134">
        <v>28.09</v>
      </c>
      <c r="C318" s="10">
        <v>0.59</v>
      </c>
      <c r="D318" s="136">
        <v>19.33</v>
      </c>
      <c r="E318" s="134">
        <v>5.07</v>
      </c>
      <c r="F318" s="134">
        <v>3.12</v>
      </c>
      <c r="G318" s="134">
        <v>30.04</v>
      </c>
      <c r="H318" s="135">
        <v>16.18</v>
      </c>
      <c r="I318" s="136">
        <v>17.44</v>
      </c>
      <c r="J318" s="134">
        <v>20.83</v>
      </c>
      <c r="K318" s="134">
        <v>20.15</v>
      </c>
      <c r="L318" s="134">
        <v>-1.14</v>
      </c>
      <c r="M318" s="134">
        <v>-0.28</v>
      </c>
      <c r="N318" s="136">
        <v>3.37</v>
      </c>
      <c r="O318" s="134">
        <v>5.66</v>
      </c>
      <c r="P318" s="134">
        <v>-17.13</v>
      </c>
      <c r="Q318" s="134">
        <v>3.08</v>
      </c>
      <c r="R318" s="134">
        <v>26.23</v>
      </c>
      <c r="S318" s="134">
        <v>16.15</v>
      </c>
      <c r="T318" s="134">
        <v>18.43</v>
      </c>
      <c r="U318" s="134">
        <v>0.62</v>
      </c>
      <c r="V318" s="134">
        <v>0.38</v>
      </c>
      <c r="W318" s="134">
        <v>0.93</v>
      </c>
      <c r="X318" s="134">
        <v>0.0</v>
      </c>
      <c r="Y318" s="10">
        <v>0.0</v>
      </c>
      <c r="Z318" s="138">
        <v>6.637129125E7</v>
      </c>
      <c r="AA318" s="134">
        <v>5.54</v>
      </c>
      <c r="AB318" s="134">
        <v>1.45</v>
      </c>
      <c r="AC318" s="134">
        <v>0.08</v>
      </c>
      <c r="AD318" s="135">
        <v>9.4089910792E9</v>
      </c>
    </row>
    <row r="319">
      <c r="A319" s="10" t="s">
        <v>128</v>
      </c>
      <c r="B319" s="134">
        <v>4.9</v>
      </c>
      <c r="C319" s="134">
        <v>0.0</v>
      </c>
      <c r="D319" s="136">
        <v>-6.17</v>
      </c>
      <c r="E319" s="134">
        <v>1.48</v>
      </c>
      <c r="F319" s="134">
        <v>0.28</v>
      </c>
      <c r="G319" s="134">
        <v>-10.12</v>
      </c>
      <c r="H319" s="136">
        <v>-15.34</v>
      </c>
      <c r="I319" s="136">
        <v>-11.83</v>
      </c>
      <c r="J319" s="134">
        <v>-4.76</v>
      </c>
      <c r="K319" s="134">
        <v>-4.79</v>
      </c>
      <c r="L319" s="134">
        <v>0.0</v>
      </c>
      <c r="M319" s="134">
        <v>0.0</v>
      </c>
      <c r="N319" s="136">
        <v>0.73</v>
      </c>
      <c r="O319" s="134">
        <v>-3.45</v>
      </c>
      <c r="P319" s="134">
        <v>-0.81</v>
      </c>
      <c r="Q319" s="134">
        <v>0.89</v>
      </c>
      <c r="R319" s="134">
        <v>-23.89</v>
      </c>
      <c r="S319" s="134">
        <v>-4.54</v>
      </c>
      <c r="T319" s="134">
        <v>0.0</v>
      </c>
      <c r="U319" s="134">
        <v>0.19</v>
      </c>
      <c r="V319" s="134">
        <v>0.81</v>
      </c>
      <c r="W319" s="134">
        <v>0.38</v>
      </c>
      <c r="X319" s="134">
        <v>17.75</v>
      </c>
      <c r="Y319" s="134">
        <v>0.0</v>
      </c>
      <c r="Z319" s="135">
        <v>6.230761358E7</v>
      </c>
      <c r="AA319" s="134">
        <v>3.32</v>
      </c>
      <c r="AB319" s="134">
        <v>-0.79</v>
      </c>
      <c r="AC319" s="134">
        <v>0.0</v>
      </c>
      <c r="AD319" s="135">
        <v>6.25069933676E9</v>
      </c>
    </row>
    <row r="320">
      <c r="A320" s="10" t="s">
        <v>625</v>
      </c>
      <c r="B320" s="134">
        <v>40.1</v>
      </c>
      <c r="C320" s="134">
        <v>0.0</v>
      </c>
      <c r="D320" s="136">
        <v>-35.12</v>
      </c>
      <c r="E320" s="134">
        <v>22.04</v>
      </c>
      <c r="F320" s="134">
        <v>9.22</v>
      </c>
      <c r="G320" s="134">
        <v>-121.18</v>
      </c>
      <c r="H320" s="136">
        <v>-18852.94</v>
      </c>
      <c r="I320" s="136">
        <v>-7435.88</v>
      </c>
      <c r="J320" s="134">
        <v>-13.85</v>
      </c>
      <c r="K320" s="134">
        <v>-13.21</v>
      </c>
      <c r="L320" s="134">
        <v>0.64</v>
      </c>
      <c r="M320" s="134">
        <v>-1.02</v>
      </c>
      <c r="N320" s="136">
        <v>2611.73</v>
      </c>
      <c r="O320" s="134">
        <v>25.42</v>
      </c>
      <c r="P320" s="134">
        <v>-16.7</v>
      </c>
      <c r="Q320" s="134">
        <v>5.23</v>
      </c>
      <c r="R320" s="134">
        <v>-62.76</v>
      </c>
      <c r="S320" s="134">
        <v>-26.24</v>
      </c>
      <c r="T320" s="134">
        <v>-174.07</v>
      </c>
      <c r="U320" s="134">
        <v>0.42</v>
      </c>
      <c r="V320" s="134">
        <v>0.58</v>
      </c>
      <c r="W320" s="134">
        <v>0.0</v>
      </c>
      <c r="X320" s="134">
        <v>-75.29</v>
      </c>
      <c r="Y320" s="134">
        <v>0.0</v>
      </c>
      <c r="Z320" s="135">
        <v>0.0</v>
      </c>
      <c r="AA320" s="134">
        <v>1.82</v>
      </c>
      <c r="AB320" s="134">
        <v>-1.14</v>
      </c>
      <c r="AC320" s="134">
        <v>1.36</v>
      </c>
      <c r="AD320" s="135">
        <v>4.439946586E8</v>
      </c>
    </row>
    <row r="321">
      <c r="A321" s="10" t="s">
        <v>315</v>
      </c>
      <c r="B321" s="134">
        <v>11.37</v>
      </c>
      <c r="C321" s="134">
        <v>2.76</v>
      </c>
      <c r="D321" s="136">
        <v>8.56</v>
      </c>
      <c r="E321" s="134">
        <v>1.56</v>
      </c>
      <c r="F321" s="134">
        <v>1.21</v>
      </c>
      <c r="G321" s="134">
        <v>34.02</v>
      </c>
      <c r="H321" s="134">
        <v>167.26</v>
      </c>
      <c r="I321" s="134">
        <v>150.62</v>
      </c>
      <c r="J321" s="134">
        <v>7.71</v>
      </c>
      <c r="K321" s="134">
        <v>7.84</v>
      </c>
      <c r="L321" s="10">
        <v>0.13</v>
      </c>
      <c r="M321" s="10">
        <v>0.03</v>
      </c>
      <c r="N321" s="134">
        <v>12.9</v>
      </c>
      <c r="O321" s="10">
        <v>17.05</v>
      </c>
      <c r="P321" s="134">
        <v>-1.39</v>
      </c>
      <c r="Q321" s="10">
        <v>2.16</v>
      </c>
      <c r="R321" s="134">
        <v>18.27</v>
      </c>
      <c r="S321" s="134">
        <v>14.09</v>
      </c>
      <c r="T321" s="10">
        <v>16.23</v>
      </c>
      <c r="U321" s="134">
        <v>0.77</v>
      </c>
      <c r="V321" s="134">
        <v>0.18</v>
      </c>
      <c r="W321" s="134">
        <v>0.09</v>
      </c>
      <c r="X321" s="134">
        <v>3.78</v>
      </c>
      <c r="Y321" s="134">
        <v>4.72</v>
      </c>
      <c r="Z321" s="135">
        <v>2601895.29</v>
      </c>
      <c r="AA321" s="134">
        <v>7.27</v>
      </c>
      <c r="AB321" s="134">
        <v>1.33</v>
      </c>
      <c r="AC321" s="134">
        <v>0.14</v>
      </c>
      <c r="AD321" s="135">
        <v>9.56335527379E10</v>
      </c>
    </row>
    <row r="322">
      <c r="A322" s="10" t="s">
        <v>68</v>
      </c>
      <c r="B322" s="134">
        <v>11.34</v>
      </c>
      <c r="C322" s="134">
        <v>2.77</v>
      </c>
      <c r="D322" s="136">
        <v>8.54</v>
      </c>
      <c r="E322" s="134">
        <v>1.56</v>
      </c>
      <c r="F322" s="134">
        <v>1.2</v>
      </c>
      <c r="G322" s="134">
        <v>34.02</v>
      </c>
      <c r="H322" s="134">
        <v>167.26</v>
      </c>
      <c r="I322" s="134">
        <v>150.62</v>
      </c>
      <c r="J322" s="134">
        <v>7.69</v>
      </c>
      <c r="K322" s="134">
        <v>7.84</v>
      </c>
      <c r="L322" s="10">
        <v>0.13</v>
      </c>
      <c r="M322" s="10">
        <v>0.03</v>
      </c>
      <c r="N322" s="134">
        <v>12.86</v>
      </c>
      <c r="O322" s="10">
        <v>17.0</v>
      </c>
      <c r="P322" s="134">
        <v>-1.39</v>
      </c>
      <c r="Q322" s="10">
        <v>2.16</v>
      </c>
      <c r="R322" s="134">
        <v>18.27</v>
      </c>
      <c r="S322" s="134">
        <v>14.09</v>
      </c>
      <c r="T322" s="10">
        <v>16.23</v>
      </c>
      <c r="U322" s="134">
        <v>0.77</v>
      </c>
      <c r="V322" s="134">
        <v>0.18</v>
      </c>
      <c r="W322" s="134">
        <v>0.09</v>
      </c>
      <c r="X322" s="134">
        <v>3.78</v>
      </c>
      <c r="Y322" s="134">
        <v>4.72</v>
      </c>
      <c r="Z322" s="135">
        <v>4.683116935E8</v>
      </c>
      <c r="AA322" s="134">
        <v>7.27</v>
      </c>
      <c r="AB322" s="134">
        <v>1.33</v>
      </c>
      <c r="AC322" s="134">
        <v>0.14</v>
      </c>
      <c r="AD322" s="135">
        <v>9.56335527379E10</v>
      </c>
    </row>
    <row r="323">
      <c r="A323" s="10" t="s">
        <v>158</v>
      </c>
      <c r="B323" s="134">
        <v>22.39</v>
      </c>
      <c r="C323" s="134">
        <v>3.13</v>
      </c>
      <c r="D323" s="134">
        <v>7.9</v>
      </c>
      <c r="E323" s="134">
        <v>1.53</v>
      </c>
      <c r="F323" s="134">
        <v>0.11</v>
      </c>
      <c r="G323" s="134">
        <v>69.9</v>
      </c>
      <c r="H323" s="134">
        <v>22.63</v>
      </c>
      <c r="I323" s="134">
        <v>15.24</v>
      </c>
      <c r="J323" s="134">
        <v>5.32</v>
      </c>
      <c r="K323" s="134">
        <v>5.64</v>
      </c>
      <c r="L323" s="134">
        <v>0.0</v>
      </c>
      <c r="M323" s="134">
        <v>0.0</v>
      </c>
      <c r="N323" s="134">
        <v>1.2</v>
      </c>
      <c r="O323" s="134">
        <v>0.0</v>
      </c>
      <c r="P323" s="134">
        <v>-0.11</v>
      </c>
      <c r="Q323" s="134">
        <v>0.0</v>
      </c>
      <c r="R323" s="134">
        <v>19.39</v>
      </c>
      <c r="S323" s="134">
        <v>1.42</v>
      </c>
      <c r="T323" s="134">
        <v>0.0</v>
      </c>
      <c r="U323" s="134">
        <v>0.07</v>
      </c>
      <c r="V323" s="134">
        <v>0.92</v>
      </c>
      <c r="W323" s="134">
        <v>0.09</v>
      </c>
      <c r="X323" s="10">
        <v>6.04</v>
      </c>
      <c r="Y323" s="10">
        <v>1.55</v>
      </c>
      <c r="Z323" s="135">
        <v>6.274570604E7</v>
      </c>
      <c r="AA323" s="134">
        <v>14.62</v>
      </c>
      <c r="AB323" s="134">
        <v>2.84</v>
      </c>
      <c r="AC323" s="134">
        <v>0.17</v>
      </c>
      <c r="AD323" s="135">
        <v>2.3274487171539E11</v>
      </c>
    </row>
    <row r="324">
      <c r="A324" s="10" t="s">
        <v>55</v>
      </c>
      <c r="B324" s="134">
        <v>25.05</v>
      </c>
      <c r="C324" s="10">
        <v>2.8</v>
      </c>
      <c r="D324" s="134">
        <v>8.83</v>
      </c>
      <c r="E324" s="134">
        <v>1.71</v>
      </c>
      <c r="F324" s="134">
        <v>0.13</v>
      </c>
      <c r="G324" s="10">
        <v>69.9</v>
      </c>
      <c r="H324" s="10">
        <v>22.63</v>
      </c>
      <c r="I324" s="10">
        <v>15.24</v>
      </c>
      <c r="J324" s="134">
        <v>5.95</v>
      </c>
      <c r="K324" s="134">
        <v>5.64</v>
      </c>
      <c r="L324" s="134">
        <v>0.0</v>
      </c>
      <c r="M324" s="134">
        <v>0.0</v>
      </c>
      <c r="N324" s="10">
        <v>1.35</v>
      </c>
      <c r="O324" s="134">
        <v>0.0</v>
      </c>
      <c r="P324" s="134">
        <v>-0.13</v>
      </c>
      <c r="Q324" s="134">
        <v>0.0</v>
      </c>
      <c r="R324" s="134">
        <v>19.39</v>
      </c>
      <c r="S324" s="134">
        <v>1.42</v>
      </c>
      <c r="T324" s="134">
        <v>0.0</v>
      </c>
      <c r="U324" s="134">
        <v>0.07</v>
      </c>
      <c r="V324" s="134">
        <v>0.92</v>
      </c>
      <c r="W324" s="134">
        <v>0.09</v>
      </c>
      <c r="X324" s="10">
        <v>6.04</v>
      </c>
      <c r="Y324" s="10">
        <v>1.55</v>
      </c>
      <c r="Z324" s="135">
        <v>1.18978444146E9</v>
      </c>
      <c r="AA324" s="134">
        <v>14.62</v>
      </c>
      <c r="AB324" s="134">
        <v>2.84</v>
      </c>
      <c r="AC324" s="134">
        <v>0.19</v>
      </c>
      <c r="AD324" s="135">
        <v>2.3274487171539E11</v>
      </c>
    </row>
    <row r="325">
      <c r="A325" s="10" t="s">
        <v>276</v>
      </c>
      <c r="B325" s="134">
        <v>9.78</v>
      </c>
      <c r="C325" s="10">
        <v>1.42</v>
      </c>
      <c r="D325" s="136">
        <v>8.7</v>
      </c>
      <c r="E325" s="134">
        <v>2.54</v>
      </c>
      <c r="F325" s="134">
        <v>0.83</v>
      </c>
      <c r="G325" s="10">
        <v>56.3</v>
      </c>
      <c r="H325" s="10">
        <v>48.52</v>
      </c>
      <c r="I325" s="10">
        <v>19.36</v>
      </c>
      <c r="J325" s="134">
        <v>3.47</v>
      </c>
      <c r="K325" s="134">
        <v>4.34</v>
      </c>
      <c r="L325" s="134">
        <v>0.85</v>
      </c>
      <c r="M325" s="134">
        <v>0.62</v>
      </c>
      <c r="N325" s="10">
        <v>1.69</v>
      </c>
      <c r="O325" s="134">
        <v>2.66</v>
      </c>
      <c r="P325" s="134">
        <v>-1.7</v>
      </c>
      <c r="Q325" s="134">
        <v>2.58</v>
      </c>
      <c r="R325" s="134">
        <v>29.15</v>
      </c>
      <c r="S325" s="134">
        <v>9.57</v>
      </c>
      <c r="T325" s="134">
        <v>22.85</v>
      </c>
      <c r="U325" s="134">
        <v>0.33</v>
      </c>
      <c r="V325" s="134">
        <v>0.67</v>
      </c>
      <c r="W325" s="134">
        <v>0.49</v>
      </c>
      <c r="X325" s="10">
        <v>0.0</v>
      </c>
      <c r="Y325" s="10">
        <v>0.0</v>
      </c>
      <c r="Z325" s="137">
        <v>6093710.08</v>
      </c>
      <c r="AA325" s="134">
        <v>3.85</v>
      </c>
      <c r="AB325" s="134">
        <v>1.12</v>
      </c>
      <c r="AC325" s="134">
        <v>0.03</v>
      </c>
      <c r="AD325" s="135">
        <v>2.89687240453E9</v>
      </c>
    </row>
    <row r="326">
      <c r="A326" s="10" t="s">
        <v>62</v>
      </c>
      <c r="B326" s="134">
        <v>37.88</v>
      </c>
      <c r="C326" s="134">
        <v>5.33</v>
      </c>
      <c r="D326" s="134">
        <v>7.0</v>
      </c>
      <c r="E326" s="136">
        <v>2.27</v>
      </c>
      <c r="F326" s="134">
        <v>0.55</v>
      </c>
      <c r="G326" s="134">
        <v>16.61</v>
      </c>
      <c r="H326" s="136">
        <v>7.1</v>
      </c>
      <c r="I326" s="136">
        <v>4.42</v>
      </c>
      <c r="J326" s="134">
        <v>4.36</v>
      </c>
      <c r="K326" s="134">
        <v>6.8</v>
      </c>
      <c r="L326" s="134">
        <v>2.43</v>
      </c>
      <c r="M326" s="134">
        <v>1.26</v>
      </c>
      <c r="N326" s="134">
        <v>0.31</v>
      </c>
      <c r="O326" s="136">
        <v>4.29</v>
      </c>
      <c r="P326" s="136">
        <v>-0.91</v>
      </c>
      <c r="Q326" s="134">
        <v>1.48</v>
      </c>
      <c r="R326" s="136">
        <v>32.41</v>
      </c>
      <c r="S326" s="136">
        <v>7.88</v>
      </c>
      <c r="T326" s="136">
        <v>13.59</v>
      </c>
      <c r="U326" s="134">
        <v>0.24</v>
      </c>
      <c r="V326" s="134">
        <v>0.74</v>
      </c>
      <c r="W326" s="134">
        <v>1.78</v>
      </c>
      <c r="X326" s="134">
        <v>10.65</v>
      </c>
      <c r="Y326" s="134">
        <v>23.96</v>
      </c>
      <c r="Z326" s="135">
        <v>4.3428004592E8</v>
      </c>
      <c r="AA326" s="134">
        <v>16.69</v>
      </c>
      <c r="AB326" s="134">
        <v>5.41</v>
      </c>
      <c r="AC326" s="134">
        <v>0.0</v>
      </c>
      <c r="AD326" s="135">
        <v>9.53980479023E10</v>
      </c>
    </row>
    <row r="327">
      <c r="A327" s="10" t="s">
        <v>309</v>
      </c>
      <c r="B327" s="134">
        <v>1.83</v>
      </c>
      <c r="C327" s="10">
        <v>0.0</v>
      </c>
      <c r="D327" s="134">
        <v>-1.29</v>
      </c>
      <c r="E327" s="134">
        <v>-0.47</v>
      </c>
      <c r="F327" s="136">
        <v>0.15</v>
      </c>
      <c r="G327" s="134">
        <v>268.81</v>
      </c>
      <c r="H327" s="136">
        <v>6496.46</v>
      </c>
      <c r="I327" s="136">
        <v>5724.19</v>
      </c>
      <c r="J327" s="134">
        <v>-1.14</v>
      </c>
      <c r="K327" s="134">
        <v>-4.54</v>
      </c>
      <c r="L327" s="134">
        <v>-3.37</v>
      </c>
      <c r="M327" s="10">
        <v>0.0</v>
      </c>
      <c r="N327" s="10">
        <v>0.0</v>
      </c>
      <c r="O327" s="134">
        <v>-1.65</v>
      </c>
      <c r="P327" s="134">
        <v>-0.98</v>
      </c>
      <c r="Q327" s="134">
        <v>0.9</v>
      </c>
      <c r="R327" s="134">
        <v>-36.44</v>
      </c>
      <c r="S327" s="136">
        <v>-11.74</v>
      </c>
      <c r="T327" s="134">
        <v>-280.83</v>
      </c>
      <c r="U327" s="134">
        <v>-0.32</v>
      </c>
      <c r="V327" s="134">
        <v>1.41</v>
      </c>
      <c r="W327" s="134">
        <v>0.0</v>
      </c>
      <c r="X327" s="134">
        <v>-44.72</v>
      </c>
      <c r="Y327" s="10">
        <v>0.0</v>
      </c>
      <c r="Z327" s="135">
        <v>1157941.04</v>
      </c>
      <c r="AA327" s="134">
        <v>-3.88</v>
      </c>
      <c r="AB327" s="134">
        <v>-1.41</v>
      </c>
      <c r="AC327" s="134">
        <v>0.02</v>
      </c>
      <c r="AD327" s="135">
        <v>1.9673113405E8</v>
      </c>
    </row>
    <row r="328">
      <c r="A328" s="10" t="s">
        <v>186</v>
      </c>
      <c r="B328" s="134">
        <v>5.9</v>
      </c>
      <c r="C328" s="134">
        <v>4.7</v>
      </c>
      <c r="D328" s="136">
        <v>4.57</v>
      </c>
      <c r="E328" s="134">
        <v>0.95</v>
      </c>
      <c r="F328" s="136">
        <v>0.5</v>
      </c>
      <c r="G328" s="134">
        <v>73.03</v>
      </c>
      <c r="H328" s="136">
        <v>57.67</v>
      </c>
      <c r="I328" s="136">
        <v>49.22</v>
      </c>
      <c r="J328" s="134">
        <v>3.9</v>
      </c>
      <c r="K328" s="134">
        <v>4.5</v>
      </c>
      <c r="L328" s="134">
        <v>0.6</v>
      </c>
      <c r="M328" s="134">
        <v>0.15</v>
      </c>
      <c r="N328" s="134">
        <v>2.25</v>
      </c>
      <c r="O328" s="134">
        <v>2.35</v>
      </c>
      <c r="P328" s="134">
        <v>-0.74</v>
      </c>
      <c r="Q328" s="134">
        <v>3.14</v>
      </c>
      <c r="R328" s="134">
        <v>20.76</v>
      </c>
      <c r="S328" s="136">
        <v>11.02</v>
      </c>
      <c r="T328" s="134">
        <v>15.84</v>
      </c>
      <c r="U328" s="134">
        <v>0.53</v>
      </c>
      <c r="V328" s="134">
        <v>0.46</v>
      </c>
      <c r="W328" s="134">
        <v>0.22</v>
      </c>
      <c r="X328" s="134">
        <v>13.16</v>
      </c>
      <c r="Y328" s="134">
        <v>52.2</v>
      </c>
      <c r="Z328" s="135">
        <v>2.231782042E7</v>
      </c>
      <c r="AA328" s="134">
        <v>6.21</v>
      </c>
      <c r="AB328" s="134">
        <v>1.29</v>
      </c>
      <c r="AC328" s="134">
        <v>0.09</v>
      </c>
      <c r="AD328" s="135">
        <v>4.0487236827E9</v>
      </c>
    </row>
    <row r="329">
      <c r="A329" s="10" t="s">
        <v>474</v>
      </c>
      <c r="B329" s="134">
        <v>30.0</v>
      </c>
      <c r="C329" s="134">
        <v>2.85</v>
      </c>
      <c r="D329" s="136">
        <v>12.85</v>
      </c>
      <c r="E329" s="134">
        <v>0.59</v>
      </c>
      <c r="F329" s="136">
        <v>0.15</v>
      </c>
      <c r="G329" s="134">
        <v>22.91</v>
      </c>
      <c r="H329" s="134">
        <v>5.22</v>
      </c>
      <c r="I329" s="136">
        <v>1.4</v>
      </c>
      <c r="J329" s="134">
        <v>3.45</v>
      </c>
      <c r="K329" s="134">
        <v>8.01</v>
      </c>
      <c r="L329" s="134">
        <v>4.55</v>
      </c>
      <c r="M329" s="134">
        <v>0.78</v>
      </c>
      <c r="N329" s="134">
        <v>0.18</v>
      </c>
      <c r="O329" s="134">
        <v>0.44</v>
      </c>
      <c r="P329" s="134">
        <v>-0.47</v>
      </c>
      <c r="Q329" s="134">
        <v>2.05</v>
      </c>
      <c r="R329" s="134">
        <v>4.62</v>
      </c>
      <c r="S329" s="136">
        <v>1.19</v>
      </c>
      <c r="T329" s="134">
        <v>3.04</v>
      </c>
      <c r="U329" s="134">
        <v>0.26</v>
      </c>
      <c r="V329" s="134">
        <v>0.66</v>
      </c>
      <c r="W329" s="134">
        <v>0.85</v>
      </c>
      <c r="X329" s="134">
        <v>8.16</v>
      </c>
      <c r="Y329" s="134">
        <v>0.43</v>
      </c>
      <c r="Z329" s="136">
        <v>28429.33</v>
      </c>
      <c r="AA329" s="134">
        <v>50.48</v>
      </c>
      <c r="AB329" s="134">
        <v>2.33</v>
      </c>
      <c r="AC329" s="134">
        <v>-1.43</v>
      </c>
      <c r="AD329" s="135">
        <v>3.1839171968E8</v>
      </c>
    </row>
    <row r="330">
      <c r="A330" s="10" t="s">
        <v>453</v>
      </c>
      <c r="B330" s="134">
        <v>37.01</v>
      </c>
      <c r="C330" s="134">
        <v>2.54</v>
      </c>
      <c r="D330" s="136">
        <v>15.86</v>
      </c>
      <c r="E330" s="134">
        <v>0.73</v>
      </c>
      <c r="F330" s="136">
        <v>0.19</v>
      </c>
      <c r="G330" s="134">
        <v>22.91</v>
      </c>
      <c r="H330" s="134">
        <v>5.22</v>
      </c>
      <c r="I330" s="136">
        <v>1.4</v>
      </c>
      <c r="J330" s="134">
        <v>4.26</v>
      </c>
      <c r="K330" s="134">
        <v>8.01</v>
      </c>
      <c r="L330" s="134">
        <v>4.55</v>
      </c>
      <c r="M330" s="134">
        <v>0.78</v>
      </c>
      <c r="N330" s="134">
        <v>0.22</v>
      </c>
      <c r="O330" s="134">
        <v>0.55</v>
      </c>
      <c r="P330" s="134">
        <v>-0.58</v>
      </c>
      <c r="Q330" s="134">
        <v>2.05</v>
      </c>
      <c r="R330" s="134">
        <v>4.62</v>
      </c>
      <c r="S330" s="136">
        <v>1.19</v>
      </c>
      <c r="T330" s="134">
        <v>3.04</v>
      </c>
      <c r="U330" s="134">
        <v>0.26</v>
      </c>
      <c r="V330" s="134">
        <v>0.66</v>
      </c>
      <c r="W330" s="134">
        <v>0.85</v>
      </c>
      <c r="X330" s="134">
        <v>8.16</v>
      </c>
      <c r="Y330" s="134">
        <v>0.43</v>
      </c>
      <c r="Z330" s="136">
        <v>10717.0</v>
      </c>
      <c r="AA330" s="134">
        <v>50.48</v>
      </c>
      <c r="AB330" s="134">
        <v>2.33</v>
      </c>
      <c r="AC330" s="134">
        <v>-1.77</v>
      </c>
      <c r="AD330" s="135">
        <v>3.1839171968E8</v>
      </c>
    </row>
    <row r="331">
      <c r="A331" s="10" t="s">
        <v>263</v>
      </c>
      <c r="B331" s="134">
        <v>26.69</v>
      </c>
      <c r="C331" s="134">
        <v>0.43</v>
      </c>
      <c r="D331" s="134">
        <v>8.96</v>
      </c>
      <c r="E331" s="134">
        <v>1.29</v>
      </c>
      <c r="F331" s="136">
        <v>0.32</v>
      </c>
      <c r="G331" s="134">
        <v>54.63</v>
      </c>
      <c r="H331" s="134">
        <v>47.4</v>
      </c>
      <c r="I331" s="136">
        <v>37.51</v>
      </c>
      <c r="J331" s="134">
        <v>7.09</v>
      </c>
      <c r="K331" s="134">
        <v>13.06</v>
      </c>
      <c r="L331" s="134">
        <v>5.94</v>
      </c>
      <c r="M331" s="134">
        <v>1.08</v>
      </c>
      <c r="N331" s="134">
        <v>3.36</v>
      </c>
      <c r="O331" s="136">
        <v>2.24</v>
      </c>
      <c r="P331" s="134">
        <v>-0.42</v>
      </c>
      <c r="Q331" s="134">
        <v>2.82</v>
      </c>
      <c r="R331" s="134">
        <v>14.41</v>
      </c>
      <c r="S331" s="136">
        <v>3.61</v>
      </c>
      <c r="T331" s="134">
        <v>1.47</v>
      </c>
      <c r="U331" s="134">
        <v>0.25</v>
      </c>
      <c r="V331" s="134">
        <v>0.51</v>
      </c>
      <c r="W331" s="134">
        <v>0.1</v>
      </c>
      <c r="X331" s="134">
        <v>1.23</v>
      </c>
      <c r="Y331" s="10">
        <v>0.0</v>
      </c>
      <c r="Z331" s="135">
        <v>8650153.63</v>
      </c>
      <c r="AA331" s="134">
        <v>20.67</v>
      </c>
      <c r="AB331" s="134">
        <v>2.98</v>
      </c>
      <c r="AC331" s="134">
        <v>0.06</v>
      </c>
      <c r="AD331" s="135">
        <v>2.35455097146E9</v>
      </c>
    </row>
    <row r="332">
      <c r="A332" s="10" t="s">
        <v>279</v>
      </c>
      <c r="B332" s="134">
        <v>9.02</v>
      </c>
      <c r="C332" s="134">
        <v>1.49</v>
      </c>
      <c r="D332" s="134">
        <v>13.05</v>
      </c>
      <c r="E332" s="134">
        <v>2.01</v>
      </c>
      <c r="F332" s="136">
        <v>0.44</v>
      </c>
      <c r="G332" s="134">
        <v>-551.67</v>
      </c>
      <c r="H332" s="134">
        <v>309.99</v>
      </c>
      <c r="I332" s="134">
        <v>306.17</v>
      </c>
      <c r="J332" s="134">
        <v>12.89</v>
      </c>
      <c r="K332" s="134">
        <v>24.56</v>
      </c>
      <c r="L332" s="134">
        <v>11.59</v>
      </c>
      <c r="M332" s="134">
        <v>1.8</v>
      </c>
      <c r="N332" s="134">
        <v>39.95</v>
      </c>
      <c r="O332" s="136">
        <v>2.22</v>
      </c>
      <c r="P332" s="134">
        <v>-0.68</v>
      </c>
      <c r="Q332" s="134">
        <v>2.29</v>
      </c>
      <c r="R332" s="134">
        <v>15.37</v>
      </c>
      <c r="S332" s="136">
        <v>3.38</v>
      </c>
      <c r="T332" s="134">
        <v>2.6</v>
      </c>
      <c r="U332" s="134">
        <v>0.22</v>
      </c>
      <c r="V332" s="134">
        <v>0.78</v>
      </c>
      <c r="W332" s="134">
        <v>0.01</v>
      </c>
      <c r="X332" s="134">
        <v>-13.95</v>
      </c>
      <c r="Y332" s="134">
        <v>32.86</v>
      </c>
      <c r="Z332" s="135">
        <v>5455403.75</v>
      </c>
      <c r="AA332" s="134">
        <v>4.5</v>
      </c>
      <c r="AB332" s="134">
        <v>0.69</v>
      </c>
      <c r="AC332" s="134">
        <v>-0.67</v>
      </c>
      <c r="AD332" s="135">
        <v>2.54231898824E9</v>
      </c>
    </row>
    <row r="333">
      <c r="A333" s="10" t="s">
        <v>253</v>
      </c>
      <c r="B333" s="134">
        <v>45.05</v>
      </c>
      <c r="C333" s="134">
        <v>4.39</v>
      </c>
      <c r="D333" s="134">
        <v>18.8</v>
      </c>
      <c r="E333" s="134">
        <v>2.1</v>
      </c>
      <c r="F333" s="136">
        <v>1.2</v>
      </c>
      <c r="G333" s="134">
        <v>22.36</v>
      </c>
      <c r="H333" s="134">
        <v>10.16</v>
      </c>
      <c r="I333" s="134">
        <v>7.83</v>
      </c>
      <c r="J333" s="134">
        <v>14.5</v>
      </c>
      <c r="K333" s="134">
        <v>10.5</v>
      </c>
      <c r="L333" s="134">
        <v>-4.06</v>
      </c>
      <c r="M333" s="134">
        <v>-0.59</v>
      </c>
      <c r="N333" s="134">
        <v>1.47</v>
      </c>
      <c r="O333" s="136">
        <v>4.81</v>
      </c>
      <c r="P333" s="134">
        <v>-3.44</v>
      </c>
      <c r="Q333" s="134">
        <v>1.62</v>
      </c>
      <c r="R333" s="134">
        <v>11.19</v>
      </c>
      <c r="S333" s="136">
        <v>6.36</v>
      </c>
      <c r="T333" s="134">
        <v>11.17</v>
      </c>
      <c r="U333" s="134">
        <v>0.57</v>
      </c>
      <c r="V333" s="134">
        <v>0.43</v>
      </c>
      <c r="W333" s="134">
        <v>0.81</v>
      </c>
      <c r="X333" s="134">
        <v>-1.0</v>
      </c>
      <c r="Y333" s="134">
        <v>63.44</v>
      </c>
      <c r="Z333" s="135">
        <v>1.037561292E7</v>
      </c>
      <c r="AA333" s="134">
        <v>21.41</v>
      </c>
      <c r="AB333" s="134">
        <v>2.4</v>
      </c>
      <c r="AC333" s="134">
        <v>0.97</v>
      </c>
      <c r="AD333" s="135">
        <v>1.37338071375E9</v>
      </c>
    </row>
    <row r="334">
      <c r="A334" s="10" t="s">
        <v>89</v>
      </c>
      <c r="B334" s="136">
        <v>23.45</v>
      </c>
      <c r="C334" s="10">
        <v>0.0</v>
      </c>
      <c r="D334" s="136">
        <v>12.25</v>
      </c>
      <c r="E334" s="134">
        <v>4.94</v>
      </c>
      <c r="F334" s="134">
        <v>0.69</v>
      </c>
      <c r="G334" s="134">
        <v>39.63</v>
      </c>
      <c r="H334" s="134">
        <v>27.42</v>
      </c>
      <c r="I334" s="136">
        <v>15.46</v>
      </c>
      <c r="J334" s="136">
        <v>6.91</v>
      </c>
      <c r="K334" s="136">
        <v>11.85</v>
      </c>
      <c r="L334" s="134">
        <v>4.92</v>
      </c>
      <c r="M334" s="134">
        <v>3.52</v>
      </c>
      <c r="N334" s="134">
        <v>1.89</v>
      </c>
      <c r="O334" s="136">
        <v>3.17</v>
      </c>
      <c r="P334" s="136">
        <v>-1.04</v>
      </c>
      <c r="Q334" s="134">
        <v>2.79</v>
      </c>
      <c r="R334" s="134">
        <v>40.32</v>
      </c>
      <c r="S334" s="134">
        <v>5.62</v>
      </c>
      <c r="T334" s="134">
        <v>8.48</v>
      </c>
      <c r="U334" s="134">
        <v>0.14</v>
      </c>
      <c r="V334" s="134">
        <v>0.83</v>
      </c>
      <c r="W334" s="134">
        <v>0.36</v>
      </c>
      <c r="X334" s="134">
        <v>16.01</v>
      </c>
      <c r="Y334" s="10">
        <v>0.0</v>
      </c>
      <c r="Z334" s="137">
        <v>1.6107266696E8</v>
      </c>
      <c r="AA334" s="134">
        <v>4.75</v>
      </c>
      <c r="AB334" s="134">
        <v>1.91</v>
      </c>
      <c r="AC334" s="134">
        <v>-0.07</v>
      </c>
      <c r="AD334" s="135">
        <v>2.643780330974E10</v>
      </c>
    </row>
    <row r="335">
      <c r="A335" s="10" t="s">
        <v>330</v>
      </c>
      <c r="B335" s="134">
        <v>5.88</v>
      </c>
      <c r="C335" s="10">
        <v>0.0</v>
      </c>
      <c r="D335" s="136">
        <v>15.36</v>
      </c>
      <c r="E335" s="134">
        <v>6.19</v>
      </c>
      <c r="F335" s="134">
        <v>0.86</v>
      </c>
      <c r="G335" s="134">
        <v>39.63</v>
      </c>
      <c r="H335" s="134">
        <v>27.42</v>
      </c>
      <c r="I335" s="134">
        <v>15.46</v>
      </c>
      <c r="J335" s="136">
        <v>8.66</v>
      </c>
      <c r="K335" s="136">
        <v>11.85</v>
      </c>
      <c r="L335" s="134">
        <v>4.92</v>
      </c>
      <c r="M335" s="134">
        <v>3.52</v>
      </c>
      <c r="N335" s="134">
        <v>2.37</v>
      </c>
      <c r="O335" s="136">
        <v>3.97</v>
      </c>
      <c r="P335" s="136">
        <v>-1.31</v>
      </c>
      <c r="Q335" s="134">
        <v>2.79</v>
      </c>
      <c r="R335" s="136">
        <v>40.32</v>
      </c>
      <c r="S335" s="136">
        <v>5.62</v>
      </c>
      <c r="T335" s="134">
        <v>8.48</v>
      </c>
      <c r="U335" s="134">
        <v>0.14</v>
      </c>
      <c r="V335" s="134">
        <v>0.83</v>
      </c>
      <c r="W335" s="134">
        <v>0.36</v>
      </c>
      <c r="X335" s="134">
        <v>16.01</v>
      </c>
      <c r="Y335" s="10">
        <v>0.0</v>
      </c>
      <c r="Z335" s="135">
        <v>771603.04</v>
      </c>
      <c r="AA335" s="134">
        <v>0.95</v>
      </c>
      <c r="AB335" s="134">
        <v>0.38</v>
      </c>
      <c r="AC335" s="134">
        <v>-0.09</v>
      </c>
      <c r="AD335" s="135">
        <v>2.643780330974E10</v>
      </c>
    </row>
    <row r="336">
      <c r="A336" s="10" t="s">
        <v>293</v>
      </c>
      <c r="B336" s="134">
        <v>4.4</v>
      </c>
      <c r="C336" s="10">
        <v>0.0</v>
      </c>
      <c r="D336" s="134">
        <v>11.49</v>
      </c>
      <c r="E336" s="134">
        <v>4.63</v>
      </c>
      <c r="F336" s="134">
        <v>0.65</v>
      </c>
      <c r="G336" s="134">
        <v>39.63</v>
      </c>
      <c r="H336" s="134">
        <v>27.42</v>
      </c>
      <c r="I336" s="134">
        <v>15.46</v>
      </c>
      <c r="J336" s="134">
        <v>6.48</v>
      </c>
      <c r="K336" s="134">
        <v>11.85</v>
      </c>
      <c r="L336" s="134">
        <v>4.92</v>
      </c>
      <c r="M336" s="134">
        <v>3.52</v>
      </c>
      <c r="N336" s="134">
        <v>1.78</v>
      </c>
      <c r="O336" s="136">
        <v>2.97</v>
      </c>
      <c r="P336" s="134">
        <v>-0.98</v>
      </c>
      <c r="Q336" s="134">
        <v>2.79</v>
      </c>
      <c r="R336" s="134">
        <v>40.32</v>
      </c>
      <c r="S336" s="134">
        <v>5.62</v>
      </c>
      <c r="T336" s="134">
        <v>8.48</v>
      </c>
      <c r="U336" s="134">
        <v>0.14</v>
      </c>
      <c r="V336" s="134">
        <v>0.83</v>
      </c>
      <c r="W336" s="134">
        <v>0.36</v>
      </c>
      <c r="X336" s="134">
        <v>16.01</v>
      </c>
      <c r="Y336" s="10">
        <v>0.0</v>
      </c>
      <c r="Z336" s="135">
        <v>3522547.67</v>
      </c>
      <c r="AA336" s="134">
        <v>0.95</v>
      </c>
      <c r="AB336" s="134">
        <v>0.38</v>
      </c>
      <c r="AC336" s="134">
        <v>-0.07</v>
      </c>
      <c r="AD336" s="135">
        <v>2.643780330974E10</v>
      </c>
    </row>
    <row r="337">
      <c r="A337" s="10" t="s">
        <v>311</v>
      </c>
      <c r="B337" s="134">
        <v>6.83</v>
      </c>
      <c r="C337" s="10">
        <v>0.0</v>
      </c>
      <c r="D337" s="136">
        <v>220.26</v>
      </c>
      <c r="E337" s="134">
        <v>12.54</v>
      </c>
      <c r="F337" s="134">
        <v>1.81</v>
      </c>
      <c r="G337" s="134">
        <v>28.61</v>
      </c>
      <c r="H337" s="134">
        <v>17.79</v>
      </c>
      <c r="I337" s="136">
        <v>5.36</v>
      </c>
      <c r="J337" s="134">
        <v>66.34</v>
      </c>
      <c r="K337" s="134">
        <v>82.68</v>
      </c>
      <c r="L337" s="134">
        <v>16.34</v>
      </c>
      <c r="M337" s="134">
        <v>3.09</v>
      </c>
      <c r="N337" s="134">
        <v>11.8</v>
      </c>
      <c r="O337" s="134">
        <v>11.06</v>
      </c>
      <c r="P337" s="134">
        <v>-2.78</v>
      </c>
      <c r="Q337" s="134">
        <v>1.89</v>
      </c>
      <c r="R337" s="134">
        <v>5.69</v>
      </c>
      <c r="S337" s="134">
        <v>0.82</v>
      </c>
      <c r="T337" s="134">
        <v>3.46</v>
      </c>
      <c r="U337" s="134">
        <v>0.14</v>
      </c>
      <c r="V337" s="134">
        <v>0.85</v>
      </c>
      <c r="W337" s="134">
        <v>0.15</v>
      </c>
      <c r="X337" s="10">
        <v>0.0</v>
      </c>
      <c r="Y337" s="10">
        <v>0.0</v>
      </c>
      <c r="Z337" s="135">
        <v>1836110.96</v>
      </c>
      <c r="AA337" s="134">
        <v>0.54</v>
      </c>
      <c r="AB337" s="134">
        <v>0.03</v>
      </c>
      <c r="AC337" s="10">
        <v>0.0</v>
      </c>
      <c r="AD337" s="135">
        <v>5.22669284525E9</v>
      </c>
    </row>
    <row r="338">
      <c r="A338" s="10" t="s">
        <v>187</v>
      </c>
      <c r="B338" s="134">
        <v>4.48</v>
      </c>
      <c r="C338" s="134">
        <v>4.8</v>
      </c>
      <c r="D338" s="134">
        <v>15.58</v>
      </c>
      <c r="E338" s="134">
        <v>1.29</v>
      </c>
      <c r="F338" s="134">
        <v>0.19</v>
      </c>
      <c r="G338" s="134">
        <v>33.36</v>
      </c>
      <c r="H338" s="134">
        <v>4.66</v>
      </c>
      <c r="I338" s="136">
        <v>2.19</v>
      </c>
      <c r="J338" s="134">
        <v>7.33</v>
      </c>
      <c r="K338" s="134">
        <v>11.62</v>
      </c>
      <c r="L338" s="134">
        <v>3.91</v>
      </c>
      <c r="M338" s="134">
        <v>0.69</v>
      </c>
      <c r="N338" s="134">
        <v>0.34</v>
      </c>
      <c r="O338" s="136">
        <v>0.63</v>
      </c>
      <c r="P338" s="134">
        <v>-0.49</v>
      </c>
      <c r="Q338" s="134">
        <v>2.05</v>
      </c>
      <c r="R338" s="134">
        <v>8.31</v>
      </c>
      <c r="S338" s="134">
        <v>1.25</v>
      </c>
      <c r="T338" s="134">
        <v>3.19</v>
      </c>
      <c r="U338" s="134">
        <v>0.15</v>
      </c>
      <c r="V338" s="134">
        <v>0.63</v>
      </c>
      <c r="W338" s="134">
        <v>0.57</v>
      </c>
      <c r="X338" s="134">
        <v>3.5</v>
      </c>
      <c r="Y338" s="134">
        <v>16.72</v>
      </c>
      <c r="Z338" s="135">
        <v>2.649116504E7</v>
      </c>
      <c r="AA338" s="134">
        <v>3.46</v>
      </c>
      <c r="AB338" s="134">
        <v>0.29</v>
      </c>
      <c r="AC338" s="134">
        <v>-1.97</v>
      </c>
      <c r="AD338" s="135">
        <v>8.88372312711E9</v>
      </c>
    </row>
    <row r="339">
      <c r="A339" s="10" t="s">
        <v>96</v>
      </c>
      <c r="B339" s="134">
        <v>4.8</v>
      </c>
      <c r="C339" s="134">
        <v>4.48</v>
      </c>
      <c r="D339" s="134">
        <v>16.7</v>
      </c>
      <c r="E339" s="134">
        <v>1.39</v>
      </c>
      <c r="F339" s="134">
        <v>0.21</v>
      </c>
      <c r="G339" s="134">
        <v>33.36</v>
      </c>
      <c r="H339" s="134">
        <v>4.66</v>
      </c>
      <c r="I339" s="134">
        <v>2.19</v>
      </c>
      <c r="J339" s="134">
        <v>7.85</v>
      </c>
      <c r="K339" s="134">
        <v>11.62</v>
      </c>
      <c r="L339" s="134">
        <v>3.91</v>
      </c>
      <c r="M339" s="134">
        <v>0.69</v>
      </c>
      <c r="N339" s="134">
        <v>0.37</v>
      </c>
      <c r="O339" s="136">
        <v>0.68</v>
      </c>
      <c r="P339" s="134">
        <v>-0.52</v>
      </c>
      <c r="Q339" s="134">
        <v>2.05</v>
      </c>
      <c r="R339" s="134">
        <v>8.31</v>
      </c>
      <c r="S339" s="134">
        <v>1.25</v>
      </c>
      <c r="T339" s="134">
        <v>3.19</v>
      </c>
      <c r="U339" s="134">
        <v>0.15</v>
      </c>
      <c r="V339" s="134">
        <v>0.63</v>
      </c>
      <c r="W339" s="134">
        <v>0.57</v>
      </c>
      <c r="X339" s="134">
        <v>3.5</v>
      </c>
      <c r="Y339" s="134">
        <v>16.72</v>
      </c>
      <c r="Z339" s="135">
        <v>1.4274579192E8</v>
      </c>
      <c r="AA339" s="134">
        <v>3.46</v>
      </c>
      <c r="AB339" s="134">
        <v>0.29</v>
      </c>
      <c r="AC339" s="134">
        <v>-2.11</v>
      </c>
      <c r="AD339" s="135">
        <v>8.88372312711E9</v>
      </c>
    </row>
    <row r="340">
      <c r="A340" s="10" t="s">
        <v>329</v>
      </c>
      <c r="B340" s="134">
        <v>17.0</v>
      </c>
      <c r="C340" s="10">
        <v>0.0</v>
      </c>
      <c r="D340" s="136">
        <v>-213.09</v>
      </c>
      <c r="E340" s="134">
        <v>2.43</v>
      </c>
      <c r="F340" s="134">
        <v>1.77</v>
      </c>
      <c r="G340" s="134">
        <v>-21.52</v>
      </c>
      <c r="H340" s="134">
        <v>-231.16</v>
      </c>
      <c r="I340" s="134">
        <v>-157.61</v>
      </c>
      <c r="J340" s="136">
        <v>-145.28</v>
      </c>
      <c r="K340" s="136">
        <v>-154.06</v>
      </c>
      <c r="L340" s="134">
        <v>-7.75</v>
      </c>
      <c r="M340" s="134">
        <v>0.13</v>
      </c>
      <c r="N340" s="134">
        <v>335.84</v>
      </c>
      <c r="O340" s="134">
        <v>-23.05</v>
      </c>
      <c r="P340" s="134">
        <v>-1.83</v>
      </c>
      <c r="Q340" s="134">
        <v>0.31</v>
      </c>
      <c r="R340" s="134">
        <v>-1.14</v>
      </c>
      <c r="S340" s="134">
        <v>-0.83</v>
      </c>
      <c r="T340" s="134">
        <v>-1.7</v>
      </c>
      <c r="U340" s="134">
        <v>0.73</v>
      </c>
      <c r="V340" s="134">
        <v>0.27</v>
      </c>
      <c r="W340" s="134">
        <v>0.01</v>
      </c>
      <c r="X340" s="10">
        <v>0.0</v>
      </c>
      <c r="Y340" s="10">
        <v>0.0</v>
      </c>
      <c r="Z340" s="135">
        <v>1128778.46</v>
      </c>
      <c r="AA340" s="134">
        <v>7.01</v>
      </c>
      <c r="AB340" s="134">
        <v>-0.08</v>
      </c>
      <c r="AC340" s="10">
        <v>0.0</v>
      </c>
      <c r="AD340" s="135">
        <v>1.64740558944E9</v>
      </c>
    </row>
    <row r="341">
      <c r="A341" s="10" t="s">
        <v>264</v>
      </c>
      <c r="B341" s="134">
        <v>5.89</v>
      </c>
      <c r="C341" s="134">
        <v>1.76</v>
      </c>
      <c r="D341" s="134">
        <v>7.08</v>
      </c>
      <c r="E341" s="134">
        <v>0.95</v>
      </c>
      <c r="F341" s="134">
        <v>0.67</v>
      </c>
      <c r="G341" s="134">
        <v>41.76</v>
      </c>
      <c r="H341" s="134">
        <v>32.2</v>
      </c>
      <c r="I341" s="134">
        <v>28.98</v>
      </c>
      <c r="J341" s="134">
        <v>6.37</v>
      </c>
      <c r="K341" s="134">
        <v>2.64</v>
      </c>
      <c r="L341" s="134">
        <v>-3.78</v>
      </c>
      <c r="M341" s="134">
        <v>-0.57</v>
      </c>
      <c r="N341" s="134">
        <v>2.05</v>
      </c>
      <c r="O341" s="136">
        <v>1.1</v>
      </c>
      <c r="P341" s="134">
        <v>-2.72</v>
      </c>
      <c r="Q341" s="134">
        <v>5.24</v>
      </c>
      <c r="R341" s="134">
        <v>13.49</v>
      </c>
      <c r="S341" s="134">
        <v>9.48</v>
      </c>
      <c r="T341" s="134">
        <v>12.57</v>
      </c>
      <c r="U341" s="134">
        <v>0.7</v>
      </c>
      <c r="V341" s="134">
        <v>0.25</v>
      </c>
      <c r="W341" s="134">
        <v>0.33</v>
      </c>
      <c r="X341" s="10">
        <v>0.0</v>
      </c>
      <c r="Y341" s="10">
        <v>0.0</v>
      </c>
      <c r="Z341" s="137">
        <v>1.035184283E7</v>
      </c>
      <c r="AA341" s="134">
        <v>6.17</v>
      </c>
      <c r="AB341" s="134">
        <v>0.83</v>
      </c>
      <c r="AC341" s="134">
        <v>0.03</v>
      </c>
      <c r="AD341" s="135">
        <v>1.27489419288E9</v>
      </c>
    </row>
    <row r="342">
      <c r="A342" s="10" t="s">
        <v>125</v>
      </c>
      <c r="B342" s="134">
        <v>23.79</v>
      </c>
      <c r="C342" s="134">
        <v>1.59</v>
      </c>
      <c r="D342" s="134">
        <v>21.6</v>
      </c>
      <c r="E342" s="134">
        <v>2.65</v>
      </c>
      <c r="F342" s="134">
        <v>0.87</v>
      </c>
      <c r="G342" s="134">
        <v>29.45</v>
      </c>
      <c r="H342" s="134">
        <v>19.65</v>
      </c>
      <c r="I342" s="134">
        <v>11.05</v>
      </c>
      <c r="J342" s="134">
        <v>12.15</v>
      </c>
      <c r="K342" s="134">
        <v>17.19</v>
      </c>
      <c r="L342" s="134">
        <v>5.03</v>
      </c>
      <c r="M342" s="134">
        <v>1.1</v>
      </c>
      <c r="N342" s="134">
        <v>2.39</v>
      </c>
      <c r="O342" s="136">
        <v>160.23</v>
      </c>
      <c r="P342" s="134">
        <v>-1.08</v>
      </c>
      <c r="Q342" s="134">
        <v>1.03</v>
      </c>
      <c r="R342" s="134">
        <v>12.28</v>
      </c>
      <c r="S342" s="134">
        <v>4.01</v>
      </c>
      <c r="T342" s="134">
        <v>6.89</v>
      </c>
      <c r="U342" s="134">
        <v>0.33</v>
      </c>
      <c r="V342" s="134">
        <v>0.67</v>
      </c>
      <c r="W342" s="134">
        <v>0.36</v>
      </c>
      <c r="X342" s="134">
        <v>51.17</v>
      </c>
      <c r="Y342" s="134">
        <v>97.68</v>
      </c>
      <c r="Z342" s="135">
        <v>7.155781725E7</v>
      </c>
      <c r="AA342" s="134">
        <v>8.97</v>
      </c>
      <c r="AB342" s="134">
        <v>1.1</v>
      </c>
      <c r="AC342" s="134">
        <v>0.17</v>
      </c>
      <c r="AD342" s="135">
        <v>1.21077599818E10</v>
      </c>
    </row>
    <row r="343">
      <c r="A343" s="10" t="s">
        <v>191</v>
      </c>
      <c r="B343" s="134">
        <v>37.56</v>
      </c>
      <c r="C343" s="134">
        <v>2.47</v>
      </c>
      <c r="D343" s="134">
        <v>10.98</v>
      </c>
      <c r="E343" s="134">
        <v>3.07</v>
      </c>
      <c r="F343" s="134">
        <v>1.78</v>
      </c>
      <c r="G343" s="134">
        <v>29.41</v>
      </c>
      <c r="H343" s="134">
        <v>18.17</v>
      </c>
      <c r="I343" s="134">
        <v>13.75</v>
      </c>
      <c r="J343" s="136">
        <v>8.31</v>
      </c>
      <c r="K343" s="136">
        <v>8.25</v>
      </c>
      <c r="L343" s="134">
        <v>-0.05</v>
      </c>
      <c r="M343" s="134">
        <v>-0.02</v>
      </c>
      <c r="N343" s="134">
        <v>1.51</v>
      </c>
      <c r="O343" s="136">
        <v>6.34</v>
      </c>
      <c r="P343" s="134">
        <v>-3.94</v>
      </c>
      <c r="Q343" s="134">
        <v>2.05</v>
      </c>
      <c r="R343" s="134">
        <v>27.95</v>
      </c>
      <c r="S343" s="134">
        <v>16.18</v>
      </c>
      <c r="T343" s="134">
        <v>27.06</v>
      </c>
      <c r="U343" s="134">
        <v>0.58</v>
      </c>
      <c r="V343" s="134">
        <v>0.42</v>
      </c>
      <c r="W343" s="134">
        <v>1.18</v>
      </c>
      <c r="X343" s="134">
        <v>-0.25</v>
      </c>
      <c r="Y343" s="134">
        <v>16.89</v>
      </c>
      <c r="Z343" s="135">
        <v>2.635602546E7</v>
      </c>
      <c r="AA343" s="136">
        <v>12.24</v>
      </c>
      <c r="AB343" s="134">
        <v>3.42</v>
      </c>
      <c r="AC343" s="134">
        <v>0.04</v>
      </c>
      <c r="AD343" s="135">
        <v>4.81156875E9</v>
      </c>
    </row>
    <row r="344">
      <c r="A344" s="10" t="s">
        <v>626</v>
      </c>
      <c r="B344" s="134">
        <v>0.0</v>
      </c>
      <c r="C344" s="10">
        <v>0.0</v>
      </c>
      <c r="D344" s="134">
        <v>0.0</v>
      </c>
      <c r="E344" s="134">
        <v>0.0</v>
      </c>
      <c r="F344" s="134">
        <v>0.0</v>
      </c>
      <c r="G344" s="134">
        <v>63.41</v>
      </c>
      <c r="H344" s="134">
        <v>22.35</v>
      </c>
      <c r="I344" s="134">
        <v>10.99</v>
      </c>
      <c r="J344" s="136">
        <v>0.0</v>
      </c>
      <c r="K344" s="136">
        <v>-3.77</v>
      </c>
      <c r="L344" s="134">
        <v>-3.77</v>
      </c>
      <c r="M344" s="134">
        <v>-0.15</v>
      </c>
      <c r="N344" s="134">
        <v>0.0</v>
      </c>
      <c r="O344" s="136">
        <v>0.0</v>
      </c>
      <c r="P344" s="134">
        <v>0.0</v>
      </c>
      <c r="Q344" s="134">
        <v>6.36</v>
      </c>
      <c r="R344" s="134">
        <v>1.95</v>
      </c>
      <c r="S344" s="134">
        <v>0.67</v>
      </c>
      <c r="T344" s="134">
        <v>3.94</v>
      </c>
      <c r="U344" s="134">
        <v>0.34</v>
      </c>
      <c r="V344" s="134">
        <v>0.66</v>
      </c>
      <c r="W344" s="134">
        <v>0.06</v>
      </c>
      <c r="X344" s="134">
        <v>4.31</v>
      </c>
      <c r="Y344" s="134">
        <v>-51.59</v>
      </c>
      <c r="Z344" s="138">
        <v>0.0</v>
      </c>
      <c r="AA344" s="136">
        <v>141.54</v>
      </c>
      <c r="AB344" s="134">
        <v>2.76</v>
      </c>
      <c r="AC344" s="134">
        <v>0.0</v>
      </c>
      <c r="AD344" s="136">
        <v>0.0</v>
      </c>
    </row>
    <row r="345">
      <c r="A345" s="10" t="s">
        <v>627</v>
      </c>
      <c r="B345" s="134">
        <v>0.0</v>
      </c>
      <c r="C345" s="10">
        <v>0.0</v>
      </c>
      <c r="D345" s="134">
        <v>0.0</v>
      </c>
      <c r="E345" s="134">
        <v>0.0</v>
      </c>
      <c r="F345" s="134">
        <v>0.0</v>
      </c>
      <c r="G345" s="134">
        <v>63.41</v>
      </c>
      <c r="H345" s="136">
        <v>22.35</v>
      </c>
      <c r="I345" s="136">
        <v>10.99</v>
      </c>
      <c r="J345" s="136">
        <v>0.0</v>
      </c>
      <c r="K345" s="136">
        <v>-3.77</v>
      </c>
      <c r="L345" s="134">
        <v>-3.77</v>
      </c>
      <c r="M345" s="134">
        <v>-0.15</v>
      </c>
      <c r="N345" s="134">
        <v>0.0</v>
      </c>
      <c r="O345" s="136">
        <v>0.0</v>
      </c>
      <c r="P345" s="134">
        <v>0.0</v>
      </c>
      <c r="Q345" s="134">
        <v>6.36</v>
      </c>
      <c r="R345" s="134">
        <v>1.95</v>
      </c>
      <c r="S345" s="134">
        <v>0.67</v>
      </c>
      <c r="T345" s="134">
        <v>3.94</v>
      </c>
      <c r="U345" s="134">
        <v>0.34</v>
      </c>
      <c r="V345" s="134">
        <v>0.66</v>
      </c>
      <c r="W345" s="134">
        <v>0.06</v>
      </c>
      <c r="X345" s="134">
        <v>4.31</v>
      </c>
      <c r="Y345" s="134">
        <v>-51.59</v>
      </c>
      <c r="Z345" s="140">
        <v>0.0</v>
      </c>
      <c r="AA345" s="136">
        <v>141.54</v>
      </c>
      <c r="AB345" s="134">
        <v>2.76</v>
      </c>
      <c r="AC345" s="134">
        <v>0.0</v>
      </c>
      <c r="AD345" s="136">
        <v>0.0</v>
      </c>
    </row>
    <row r="346">
      <c r="A346" s="10" t="s">
        <v>175</v>
      </c>
      <c r="B346" s="134">
        <v>13.02</v>
      </c>
      <c r="C346" s="134">
        <v>3.39</v>
      </c>
      <c r="D346" s="136">
        <v>9.13</v>
      </c>
      <c r="E346" s="134">
        <v>0.58</v>
      </c>
      <c r="F346" s="134">
        <v>0.17</v>
      </c>
      <c r="G346" s="134">
        <v>22.67</v>
      </c>
      <c r="H346" s="136">
        <v>13.83</v>
      </c>
      <c r="I346" s="136">
        <v>3.69</v>
      </c>
      <c r="J346" s="134">
        <v>2.44</v>
      </c>
      <c r="K346" s="134">
        <v>5.59</v>
      </c>
      <c r="L346" s="134">
        <v>3.17</v>
      </c>
      <c r="M346" s="134">
        <v>0.75</v>
      </c>
      <c r="N346" s="134">
        <v>0.34</v>
      </c>
      <c r="O346" s="136">
        <v>0.82</v>
      </c>
      <c r="P346" s="134">
        <v>-0.27</v>
      </c>
      <c r="Q346" s="134">
        <v>2.23</v>
      </c>
      <c r="R346" s="134">
        <v>6.34</v>
      </c>
      <c r="S346" s="134">
        <v>1.87</v>
      </c>
      <c r="T346" s="134">
        <v>8.2</v>
      </c>
      <c r="U346" s="134">
        <v>0.29</v>
      </c>
      <c r="V346" s="134">
        <v>0.71</v>
      </c>
      <c r="W346" s="134">
        <v>0.51</v>
      </c>
      <c r="X346" s="134">
        <v>3.68</v>
      </c>
      <c r="Y346" s="134">
        <v>69.63</v>
      </c>
      <c r="Z346" s="137">
        <v>3.661521442E7</v>
      </c>
      <c r="AA346" s="136">
        <v>22.5</v>
      </c>
      <c r="AB346" s="134">
        <v>1.43</v>
      </c>
      <c r="AC346" s="134">
        <v>-0.16</v>
      </c>
      <c r="AD346" s="135">
        <v>4.8245914458E9</v>
      </c>
    </row>
    <row r="347">
      <c r="A347" s="10" t="s">
        <v>628</v>
      </c>
      <c r="B347" s="134">
        <v>37.4</v>
      </c>
      <c r="C347" s="134">
        <v>1.51</v>
      </c>
      <c r="D347" s="136">
        <v>-90.95</v>
      </c>
      <c r="E347" s="134">
        <v>4.38</v>
      </c>
      <c r="F347" s="134">
        <v>2.74</v>
      </c>
      <c r="G347" s="134">
        <v>68.7</v>
      </c>
      <c r="H347" s="136">
        <v>-4.79</v>
      </c>
      <c r="I347" s="136">
        <v>-8.67</v>
      </c>
      <c r="J347" s="134">
        <v>-164.48</v>
      </c>
      <c r="K347" s="134">
        <v>-159.3</v>
      </c>
      <c r="L347" s="134">
        <v>5.18</v>
      </c>
      <c r="M347" s="134">
        <v>-0.14</v>
      </c>
      <c r="N347" s="134">
        <v>7.88</v>
      </c>
      <c r="O347" s="136">
        <v>11.96</v>
      </c>
      <c r="P347" s="134">
        <v>-4.82</v>
      </c>
      <c r="Q347" s="134">
        <v>2.14</v>
      </c>
      <c r="R347" s="134">
        <v>-4.81</v>
      </c>
      <c r="S347" s="134">
        <v>-3.02</v>
      </c>
      <c r="T347" s="134">
        <v>-2.23</v>
      </c>
      <c r="U347" s="134">
        <v>0.63</v>
      </c>
      <c r="V347" s="134">
        <v>0.37</v>
      </c>
      <c r="W347" s="134">
        <v>0.35</v>
      </c>
      <c r="X347" s="134">
        <v>14.3</v>
      </c>
      <c r="Y347" s="10">
        <v>0.0</v>
      </c>
      <c r="Z347" s="135">
        <v>1.0525265044E8</v>
      </c>
      <c r="AA347" s="136">
        <v>8.55</v>
      </c>
      <c r="AB347" s="134">
        <v>-0.41</v>
      </c>
      <c r="AC347" s="134">
        <v>0.13</v>
      </c>
      <c r="AD347" s="135">
        <v>7.083895104E9</v>
      </c>
    </row>
    <row r="348">
      <c r="A348" s="10" t="s">
        <v>451</v>
      </c>
      <c r="B348" s="134">
        <v>69.0</v>
      </c>
      <c r="C348" s="134">
        <v>2.93</v>
      </c>
      <c r="D348" s="136">
        <v>31.45</v>
      </c>
      <c r="E348" s="134">
        <v>3.96</v>
      </c>
      <c r="F348" s="134">
        <v>3.44</v>
      </c>
      <c r="G348" s="10">
        <v>0.0</v>
      </c>
      <c r="H348" s="138">
        <v>0.0</v>
      </c>
      <c r="I348" s="138">
        <v>0.0</v>
      </c>
      <c r="J348" s="134">
        <v>34.6</v>
      </c>
      <c r="K348" s="134">
        <v>30.9</v>
      </c>
      <c r="L348" s="134">
        <v>-3.7</v>
      </c>
      <c r="M348" s="134">
        <v>-0.42</v>
      </c>
      <c r="N348" s="138">
        <v>0.0</v>
      </c>
      <c r="O348" s="134">
        <v>11.98</v>
      </c>
      <c r="P348" s="134">
        <v>-5.61</v>
      </c>
      <c r="Q348" s="134">
        <v>3.85</v>
      </c>
      <c r="R348" s="134">
        <v>12.61</v>
      </c>
      <c r="S348" s="134">
        <v>10.92</v>
      </c>
      <c r="T348" s="134">
        <v>10.88</v>
      </c>
      <c r="U348" s="134">
        <v>0.87</v>
      </c>
      <c r="V348" s="134">
        <v>0.13</v>
      </c>
      <c r="W348" s="134">
        <v>0.0</v>
      </c>
      <c r="X348" s="10">
        <v>0.0</v>
      </c>
      <c r="Y348" s="134">
        <v>37.2</v>
      </c>
      <c r="Z348" s="136">
        <v>23300.0</v>
      </c>
      <c r="AA348" s="136">
        <v>17.4</v>
      </c>
      <c r="AB348" s="134">
        <v>2.19</v>
      </c>
      <c r="AC348" s="134">
        <v>-1.59</v>
      </c>
      <c r="AD348" s="135">
        <v>8.11777341E8</v>
      </c>
    </row>
    <row r="349">
      <c r="A349" s="10" t="s">
        <v>167</v>
      </c>
      <c r="B349" s="134">
        <v>16.25</v>
      </c>
      <c r="C349" s="134">
        <v>0.53</v>
      </c>
      <c r="D349" s="136">
        <v>32.88</v>
      </c>
      <c r="E349" s="134">
        <v>5.94</v>
      </c>
      <c r="F349" s="134">
        <v>1.25</v>
      </c>
      <c r="G349" s="134">
        <v>41.09</v>
      </c>
      <c r="H349" s="136">
        <v>10.18</v>
      </c>
      <c r="I349" s="136">
        <v>4.9</v>
      </c>
      <c r="J349" s="134">
        <v>15.83</v>
      </c>
      <c r="K349" s="134">
        <v>14.93</v>
      </c>
      <c r="L349" s="134">
        <v>-1.11</v>
      </c>
      <c r="M349" s="134">
        <v>-0.42</v>
      </c>
      <c r="N349" s="136">
        <v>1.61</v>
      </c>
      <c r="O349" s="136">
        <v>3.59</v>
      </c>
      <c r="P349" s="134">
        <v>-4.3</v>
      </c>
      <c r="Q349" s="134">
        <v>1.96</v>
      </c>
      <c r="R349" s="136">
        <v>18.06</v>
      </c>
      <c r="S349" s="134">
        <v>3.8</v>
      </c>
      <c r="T349" s="134">
        <v>17.27</v>
      </c>
      <c r="U349" s="134">
        <v>0.21</v>
      </c>
      <c r="V349" s="134">
        <v>0.79</v>
      </c>
      <c r="W349" s="134">
        <v>0.78</v>
      </c>
      <c r="X349" s="10">
        <v>0.0</v>
      </c>
      <c r="Y349" s="10">
        <v>0.0</v>
      </c>
      <c r="Z349" s="135">
        <v>2.984805938E7</v>
      </c>
      <c r="AA349" s="134">
        <v>2.74</v>
      </c>
      <c r="AB349" s="134">
        <v>0.49</v>
      </c>
      <c r="AC349" s="134">
        <v>0.18</v>
      </c>
      <c r="AD349" s="135">
        <v>3.08279782774E9</v>
      </c>
    </row>
    <row r="350">
      <c r="A350" s="10" t="s">
        <v>313</v>
      </c>
      <c r="B350" s="134">
        <v>2.19</v>
      </c>
      <c r="C350" s="10">
        <v>0.0</v>
      </c>
      <c r="D350" s="136">
        <v>-0.08</v>
      </c>
      <c r="E350" s="134">
        <v>0.82</v>
      </c>
      <c r="F350" s="134">
        <v>0.07</v>
      </c>
      <c r="G350" s="134">
        <v>46.63</v>
      </c>
      <c r="H350" s="134">
        <v>-67.48</v>
      </c>
      <c r="I350" s="134">
        <v>-270.22</v>
      </c>
      <c r="J350" s="134">
        <v>-0.32</v>
      </c>
      <c r="K350" s="134">
        <v>-3.7</v>
      </c>
      <c r="L350" s="134">
        <v>-3.39</v>
      </c>
      <c r="M350" s="134">
        <v>8.85</v>
      </c>
      <c r="N350" s="134">
        <v>0.21</v>
      </c>
      <c r="O350" s="136">
        <v>1.06</v>
      </c>
      <c r="P350" s="134">
        <v>-0.09</v>
      </c>
      <c r="Q350" s="134">
        <v>1.38</v>
      </c>
      <c r="R350" s="136">
        <v>-1046.39</v>
      </c>
      <c r="S350" s="134">
        <v>-89.5</v>
      </c>
      <c r="T350" s="134">
        <v>-28.12</v>
      </c>
      <c r="U350" s="134">
        <v>0.09</v>
      </c>
      <c r="V350" s="134">
        <v>0.91</v>
      </c>
      <c r="W350" s="134">
        <v>0.33</v>
      </c>
      <c r="X350" s="134">
        <v>-12.82</v>
      </c>
      <c r="Y350" s="10">
        <v>0.0</v>
      </c>
      <c r="Z350" s="135">
        <v>1403751.13</v>
      </c>
      <c r="AA350" s="134">
        <v>2.66</v>
      </c>
      <c r="AB350" s="134">
        <v>-27.8</v>
      </c>
      <c r="AC350" s="134">
        <v>0.0</v>
      </c>
      <c r="AD350" s="135">
        <v>1.514718238E8</v>
      </c>
    </row>
    <row r="351">
      <c r="A351" s="10" t="s">
        <v>235</v>
      </c>
      <c r="B351" s="134">
        <v>25.57</v>
      </c>
      <c r="C351" s="134">
        <v>1.27</v>
      </c>
      <c r="D351" s="134">
        <v>9.08</v>
      </c>
      <c r="E351" s="134">
        <v>0.8</v>
      </c>
      <c r="F351" s="134">
        <v>0.56</v>
      </c>
      <c r="G351" s="134">
        <v>98.73</v>
      </c>
      <c r="H351" s="134">
        <v>285.54</v>
      </c>
      <c r="I351" s="134">
        <v>196.79</v>
      </c>
      <c r="J351" s="134">
        <v>6.26</v>
      </c>
      <c r="K351" s="134">
        <v>7.64</v>
      </c>
      <c r="L351" s="134">
        <v>1.36</v>
      </c>
      <c r="M351" s="134">
        <v>0.18</v>
      </c>
      <c r="N351" s="134">
        <v>17.87</v>
      </c>
      <c r="O351" s="136">
        <v>4.81</v>
      </c>
      <c r="P351" s="134">
        <v>-0.69</v>
      </c>
      <c r="Q351" s="134">
        <v>2.47</v>
      </c>
      <c r="R351" s="136">
        <v>8.86</v>
      </c>
      <c r="S351" s="134">
        <v>6.16</v>
      </c>
      <c r="T351" s="134">
        <v>7.25</v>
      </c>
      <c r="U351" s="134">
        <v>0.69</v>
      </c>
      <c r="V351" s="134">
        <v>0.3</v>
      </c>
      <c r="W351" s="134">
        <v>0.03</v>
      </c>
      <c r="X351" s="134">
        <v>8.78</v>
      </c>
      <c r="Y351" s="134">
        <v>75.67</v>
      </c>
      <c r="Z351" s="135">
        <v>1.266065338E7</v>
      </c>
      <c r="AA351" s="136">
        <v>31.79</v>
      </c>
      <c r="AB351" s="134">
        <v>2.82</v>
      </c>
      <c r="AC351" s="134">
        <v>0.05</v>
      </c>
      <c r="AD351" s="135">
        <v>2.62140389164E9</v>
      </c>
    </row>
    <row r="352">
      <c r="A352" s="10" t="s">
        <v>222</v>
      </c>
      <c r="B352" s="134">
        <v>22.38</v>
      </c>
      <c r="C352" s="10">
        <v>0.0</v>
      </c>
      <c r="D352" s="134">
        <v>14.93</v>
      </c>
      <c r="E352" s="134">
        <v>5.94</v>
      </c>
      <c r="F352" s="134">
        <v>1.09</v>
      </c>
      <c r="G352" s="134">
        <v>21.5</v>
      </c>
      <c r="H352" s="134">
        <v>18.59</v>
      </c>
      <c r="I352" s="134">
        <v>12.49</v>
      </c>
      <c r="J352" s="134">
        <v>10.03</v>
      </c>
      <c r="K352" s="134">
        <v>13.44</v>
      </c>
      <c r="L352" s="134">
        <v>3.36</v>
      </c>
      <c r="M352" s="134">
        <v>1.99</v>
      </c>
      <c r="N352" s="134">
        <v>1.87</v>
      </c>
      <c r="O352" s="136">
        <v>4.56</v>
      </c>
      <c r="P352" s="134">
        <v>-1.88</v>
      </c>
      <c r="Q352" s="134">
        <v>2.33</v>
      </c>
      <c r="R352" s="134">
        <v>39.8</v>
      </c>
      <c r="S352" s="134">
        <v>7.31</v>
      </c>
      <c r="T352" s="134">
        <v>11.5</v>
      </c>
      <c r="U352" s="134">
        <v>0.18</v>
      </c>
      <c r="V352" s="134">
        <v>0.82</v>
      </c>
      <c r="W352" s="134">
        <v>0.59</v>
      </c>
      <c r="X352" s="134">
        <v>4.71</v>
      </c>
      <c r="Y352" s="10">
        <v>0.0</v>
      </c>
      <c r="Z352" s="135">
        <v>2.467952042E7</v>
      </c>
      <c r="AA352" s="136">
        <v>3.77</v>
      </c>
      <c r="AB352" s="134">
        <v>1.5</v>
      </c>
      <c r="AC352" s="134">
        <v>-0.07</v>
      </c>
      <c r="AD352" s="135">
        <v>2.37930909696E9</v>
      </c>
    </row>
    <row r="353">
      <c r="A353" s="10" t="s">
        <v>298</v>
      </c>
      <c r="B353" s="134">
        <v>2.77</v>
      </c>
      <c r="C353" s="10">
        <v>0.0</v>
      </c>
      <c r="D353" s="136">
        <v>21.29</v>
      </c>
      <c r="E353" s="134">
        <v>2.22</v>
      </c>
      <c r="F353" s="134">
        <v>1.03</v>
      </c>
      <c r="G353" s="134">
        <v>85.36</v>
      </c>
      <c r="H353" s="136">
        <v>30.82</v>
      </c>
      <c r="I353" s="136">
        <v>9.0</v>
      </c>
      <c r="J353" s="134">
        <v>6.22</v>
      </c>
      <c r="K353" s="134">
        <v>4.26</v>
      </c>
      <c r="L353" s="134">
        <v>-2.0</v>
      </c>
      <c r="M353" s="134">
        <v>-0.71</v>
      </c>
      <c r="N353" s="134">
        <v>1.92</v>
      </c>
      <c r="O353" s="136">
        <v>4.01</v>
      </c>
      <c r="P353" s="134">
        <v>-1.84</v>
      </c>
      <c r="Q353" s="134">
        <v>2.4</v>
      </c>
      <c r="R353" s="134">
        <v>10.41</v>
      </c>
      <c r="S353" s="134">
        <v>4.84</v>
      </c>
      <c r="T353" s="134">
        <v>29.88</v>
      </c>
      <c r="U353" s="134">
        <v>0.47</v>
      </c>
      <c r="V353" s="134">
        <v>0.55</v>
      </c>
      <c r="W353" s="134">
        <v>0.54</v>
      </c>
      <c r="X353" s="134">
        <v>-3.97</v>
      </c>
      <c r="Y353" s="10">
        <v>0.0</v>
      </c>
      <c r="Z353" s="135">
        <v>3540864.79</v>
      </c>
      <c r="AA353" s="134">
        <v>1.25</v>
      </c>
      <c r="AB353" s="134">
        <v>0.13</v>
      </c>
      <c r="AC353" s="134">
        <v>-0.1</v>
      </c>
      <c r="AD353" s="135">
        <v>4.1167742049E8</v>
      </c>
    </row>
    <row r="354">
      <c r="A354" s="10" t="s">
        <v>75</v>
      </c>
      <c r="B354" s="134">
        <v>34.63</v>
      </c>
      <c r="C354" s="134">
        <v>1.2</v>
      </c>
      <c r="D354" s="134">
        <v>99.36</v>
      </c>
      <c r="E354" s="134">
        <v>3.33</v>
      </c>
      <c r="F354" s="134">
        <v>1.66</v>
      </c>
      <c r="G354" s="134">
        <v>56.35</v>
      </c>
      <c r="H354" s="134">
        <v>5.6</v>
      </c>
      <c r="I354" s="136">
        <v>3.51</v>
      </c>
      <c r="J354" s="134">
        <v>62.18</v>
      </c>
      <c r="K354" s="134">
        <v>58.16</v>
      </c>
      <c r="L354" s="134">
        <v>-4.45</v>
      </c>
      <c r="M354" s="134">
        <v>-0.24</v>
      </c>
      <c r="N354" s="134">
        <v>3.48</v>
      </c>
      <c r="O354" s="134">
        <v>4.08</v>
      </c>
      <c r="P354" s="134">
        <v>-4.62</v>
      </c>
      <c r="Q354" s="134">
        <v>2.74</v>
      </c>
      <c r="R354" s="134">
        <v>3.35</v>
      </c>
      <c r="S354" s="134">
        <v>1.67</v>
      </c>
      <c r="T354" s="134">
        <v>3.49</v>
      </c>
      <c r="U354" s="134">
        <v>0.5</v>
      </c>
      <c r="V354" s="134">
        <v>0.5</v>
      </c>
      <c r="W354" s="134">
        <v>0.48</v>
      </c>
      <c r="X354" s="134">
        <v>4.17</v>
      </c>
      <c r="Y354" s="134">
        <v>-11.56</v>
      </c>
      <c r="Z354" s="135">
        <v>2.9528566317E8</v>
      </c>
      <c r="AA354" s="136">
        <v>10.4</v>
      </c>
      <c r="AB354" s="134">
        <v>0.35</v>
      </c>
      <c r="AC354" s="134">
        <v>-1.25</v>
      </c>
      <c r="AD354" s="135">
        <v>3.133362484714E10</v>
      </c>
    </row>
    <row r="355">
      <c r="A355" s="10" t="s">
        <v>629</v>
      </c>
      <c r="B355" s="134">
        <v>86.61</v>
      </c>
      <c r="C355" s="134">
        <v>2.02</v>
      </c>
      <c r="D355" s="136">
        <v>13.82</v>
      </c>
      <c r="E355" s="134">
        <v>5.8</v>
      </c>
      <c r="F355" s="134">
        <v>5.51</v>
      </c>
      <c r="G355" s="10">
        <v>0.0</v>
      </c>
      <c r="H355" s="10">
        <v>0.0</v>
      </c>
      <c r="I355" s="10">
        <v>0.0</v>
      </c>
      <c r="J355" s="134">
        <v>13.75</v>
      </c>
      <c r="K355" s="134">
        <v>13.62</v>
      </c>
      <c r="L355" s="134">
        <v>-0.13</v>
      </c>
      <c r="M355" s="134">
        <v>-0.05</v>
      </c>
      <c r="N355" s="10">
        <v>0.0</v>
      </c>
      <c r="O355" s="134">
        <v>672.26</v>
      </c>
      <c r="P355" s="134">
        <v>-5.85</v>
      </c>
      <c r="Q355" s="134">
        <v>1.16</v>
      </c>
      <c r="R355" s="134">
        <v>41.95</v>
      </c>
      <c r="S355" s="134">
        <v>39.87</v>
      </c>
      <c r="T355" s="134">
        <v>42.02</v>
      </c>
      <c r="U355" s="134">
        <v>0.95</v>
      </c>
      <c r="V355" s="134">
        <v>0.05</v>
      </c>
      <c r="W355" s="134">
        <v>0.0</v>
      </c>
      <c r="X355" s="10">
        <v>0.0</v>
      </c>
      <c r="Y355" s="10">
        <v>0.0</v>
      </c>
      <c r="Z355" s="138">
        <v>0.0</v>
      </c>
      <c r="AA355" s="136">
        <v>14.94</v>
      </c>
      <c r="AB355" s="134">
        <v>6.27</v>
      </c>
      <c r="AC355" s="134">
        <v>-0.53</v>
      </c>
      <c r="AD355" s="135">
        <v>1.866405685383E10</v>
      </c>
    </row>
    <row r="356">
      <c r="A356" s="10" t="s">
        <v>244</v>
      </c>
      <c r="B356" s="134">
        <v>5.75</v>
      </c>
      <c r="C356" s="10">
        <v>0.0</v>
      </c>
      <c r="D356" s="134">
        <v>2.2</v>
      </c>
      <c r="E356" s="134">
        <v>1.39</v>
      </c>
      <c r="F356" s="134">
        <v>0.34</v>
      </c>
      <c r="G356" s="134">
        <v>24.49</v>
      </c>
      <c r="H356" s="136">
        <v>3.88</v>
      </c>
      <c r="I356" s="136">
        <v>102.37</v>
      </c>
      <c r="J356" s="134">
        <v>58.17</v>
      </c>
      <c r="K356" s="134">
        <v>97.26</v>
      </c>
      <c r="L356" s="134">
        <v>39.29</v>
      </c>
      <c r="M356" s="134">
        <v>0.94</v>
      </c>
      <c r="N356" s="134">
        <v>2.26</v>
      </c>
      <c r="O356" s="134">
        <v>1.46</v>
      </c>
      <c r="P356" s="134">
        <v>-0.56</v>
      </c>
      <c r="Q356" s="134">
        <v>2.4</v>
      </c>
      <c r="R356" s="134">
        <v>62.83</v>
      </c>
      <c r="S356" s="134">
        <v>15.31</v>
      </c>
      <c r="T356" s="134">
        <v>-0.16</v>
      </c>
      <c r="U356" s="134">
        <v>0.24</v>
      </c>
      <c r="V356" s="134">
        <v>0.76</v>
      </c>
      <c r="W356" s="134">
        <v>0.15</v>
      </c>
      <c r="X356" s="134">
        <v>-27.27</v>
      </c>
      <c r="Y356" s="10">
        <v>0.0</v>
      </c>
      <c r="Z356" s="135">
        <v>1.237754175E7</v>
      </c>
      <c r="AA356" s="136">
        <v>4.15</v>
      </c>
      <c r="AB356" s="134">
        <v>2.61</v>
      </c>
      <c r="AC356" s="134">
        <v>-0.01</v>
      </c>
      <c r="AD356" s="135">
        <v>1.6317722673E8</v>
      </c>
    </row>
    <row r="357">
      <c r="A357" s="10" t="s">
        <v>630</v>
      </c>
      <c r="B357" s="134">
        <v>0.0</v>
      </c>
      <c r="C357" s="10">
        <v>0.0</v>
      </c>
      <c r="D357" s="136">
        <v>0.0</v>
      </c>
      <c r="E357" s="134">
        <v>0.0</v>
      </c>
      <c r="F357" s="134">
        <v>0.0</v>
      </c>
      <c r="G357" s="134">
        <v>27.28</v>
      </c>
      <c r="H357" s="136">
        <v>15.78</v>
      </c>
      <c r="I357" s="136">
        <v>10.44</v>
      </c>
      <c r="J357" s="134">
        <v>0.0</v>
      </c>
      <c r="K357" s="134">
        <v>13.2</v>
      </c>
      <c r="L357" s="134">
        <v>-0.06</v>
      </c>
      <c r="M357" s="134">
        <v>-0.01</v>
      </c>
      <c r="N357" s="134">
        <v>0.0</v>
      </c>
      <c r="O357" s="136">
        <v>0.0</v>
      </c>
      <c r="P357" s="134">
        <v>0.0</v>
      </c>
      <c r="Q357" s="134">
        <v>1.81</v>
      </c>
      <c r="R357" s="134">
        <v>12.16</v>
      </c>
      <c r="S357" s="134">
        <v>7.73</v>
      </c>
      <c r="T357" s="134">
        <v>11.45</v>
      </c>
      <c r="U357" s="134">
        <v>0.64</v>
      </c>
      <c r="V357" s="134">
        <v>0.36</v>
      </c>
      <c r="W357" s="134">
        <v>0.74</v>
      </c>
      <c r="X357" s="134">
        <v>7.04</v>
      </c>
      <c r="Y357" s="134">
        <v>6.73</v>
      </c>
      <c r="Z357" s="138">
        <v>0.0</v>
      </c>
      <c r="AA357" s="136">
        <v>18.54</v>
      </c>
      <c r="AB357" s="134">
        <v>2.25</v>
      </c>
      <c r="AC357" s="134">
        <v>0.0</v>
      </c>
      <c r="AD357" s="135">
        <v>2.3465106E8</v>
      </c>
    </row>
    <row r="358">
      <c r="A358" s="10" t="s">
        <v>425</v>
      </c>
      <c r="B358" s="134">
        <v>80.97</v>
      </c>
      <c r="C358" s="134">
        <v>1.98</v>
      </c>
      <c r="D358" s="136">
        <v>35.93</v>
      </c>
      <c r="E358" s="134">
        <v>4.37</v>
      </c>
      <c r="F358" s="134">
        <v>2.78</v>
      </c>
      <c r="G358" s="134">
        <v>27.28</v>
      </c>
      <c r="H358" s="134">
        <v>15.78</v>
      </c>
      <c r="I358" s="136">
        <v>10.44</v>
      </c>
      <c r="J358" s="134">
        <v>23.77</v>
      </c>
      <c r="K358" s="134">
        <v>13.2</v>
      </c>
      <c r="L358" s="134">
        <v>-0.06</v>
      </c>
      <c r="M358" s="134">
        <v>-0.01</v>
      </c>
      <c r="N358" s="134">
        <v>3.75</v>
      </c>
      <c r="O358" s="134">
        <v>25.28</v>
      </c>
      <c r="P358" s="134">
        <v>-3.68</v>
      </c>
      <c r="Q358" s="134">
        <v>1.81</v>
      </c>
      <c r="R358" s="134">
        <v>12.16</v>
      </c>
      <c r="S358" s="134">
        <v>7.73</v>
      </c>
      <c r="T358" s="134">
        <v>11.45</v>
      </c>
      <c r="U358" s="134">
        <v>0.64</v>
      </c>
      <c r="V358" s="134">
        <v>0.36</v>
      </c>
      <c r="W358" s="134">
        <v>0.74</v>
      </c>
      <c r="X358" s="134">
        <v>7.04</v>
      </c>
      <c r="Y358" s="134">
        <v>6.73</v>
      </c>
      <c r="Z358" s="136">
        <v>67459.21</v>
      </c>
      <c r="AA358" s="134">
        <v>18.54</v>
      </c>
      <c r="AB358" s="134">
        <v>2.25</v>
      </c>
      <c r="AC358" s="134">
        <v>-1.94</v>
      </c>
      <c r="AD358" s="135">
        <v>2.3465106E8</v>
      </c>
    </row>
    <row r="359">
      <c r="A359" s="10" t="s">
        <v>258</v>
      </c>
      <c r="B359" s="134">
        <v>19.26</v>
      </c>
      <c r="C359" s="10">
        <v>0.0</v>
      </c>
      <c r="D359" s="136">
        <v>22.63</v>
      </c>
      <c r="E359" s="134">
        <v>7.47</v>
      </c>
      <c r="F359" s="134">
        <v>1.14</v>
      </c>
      <c r="G359" s="134">
        <v>29.74</v>
      </c>
      <c r="H359" s="134">
        <v>13.95</v>
      </c>
      <c r="I359" s="136">
        <v>6.75</v>
      </c>
      <c r="J359" s="134">
        <v>10.95</v>
      </c>
      <c r="K359" s="134">
        <v>16.79</v>
      </c>
      <c r="L359" s="134">
        <v>5.73</v>
      </c>
      <c r="M359" s="134">
        <v>3.91</v>
      </c>
      <c r="N359" s="134">
        <v>1.53</v>
      </c>
      <c r="O359" s="136">
        <v>190.82</v>
      </c>
      <c r="P359" s="134">
        <v>-2.29</v>
      </c>
      <c r="Q359" s="134">
        <v>1.01</v>
      </c>
      <c r="R359" s="134">
        <v>33.0</v>
      </c>
      <c r="S359" s="134">
        <v>5.04</v>
      </c>
      <c r="T359" s="134">
        <v>11.59</v>
      </c>
      <c r="U359" s="134">
        <v>0.15</v>
      </c>
      <c r="V359" s="134">
        <v>0.85</v>
      </c>
      <c r="W359" s="134">
        <v>0.75</v>
      </c>
      <c r="X359" s="10">
        <v>0.0</v>
      </c>
      <c r="Y359" s="10">
        <v>0.0</v>
      </c>
      <c r="Z359" s="135">
        <v>9048190.21</v>
      </c>
      <c r="AA359" s="134">
        <v>2.58</v>
      </c>
      <c r="AB359" s="134">
        <v>0.85</v>
      </c>
      <c r="AC359" s="10">
        <v>0.0</v>
      </c>
      <c r="AD359" s="135">
        <v>1.25120023645E9</v>
      </c>
    </row>
    <row r="360">
      <c r="A360" s="10" t="s">
        <v>99</v>
      </c>
      <c r="B360" s="134">
        <v>22.35</v>
      </c>
      <c r="C360" s="134">
        <v>0.14</v>
      </c>
      <c r="D360" s="136">
        <v>1101.03</v>
      </c>
      <c r="E360" s="134">
        <v>4.46</v>
      </c>
      <c r="F360" s="134">
        <v>3.27</v>
      </c>
      <c r="G360" s="134">
        <v>44.31</v>
      </c>
      <c r="H360" s="134">
        <v>6.57</v>
      </c>
      <c r="I360" s="136">
        <v>1.96</v>
      </c>
      <c r="J360" s="134">
        <v>328.12</v>
      </c>
      <c r="K360" s="134">
        <v>285.57</v>
      </c>
      <c r="L360" s="134">
        <v>-44.02</v>
      </c>
      <c r="M360" s="134">
        <v>-0.6</v>
      </c>
      <c r="N360" s="134">
        <v>21.55</v>
      </c>
      <c r="O360" s="136">
        <v>7.18</v>
      </c>
      <c r="P360" s="134">
        <v>-7.84</v>
      </c>
      <c r="Q360" s="134">
        <v>4.54</v>
      </c>
      <c r="R360" s="134">
        <v>0.4</v>
      </c>
      <c r="S360" s="134">
        <v>0.3</v>
      </c>
      <c r="T360" s="134">
        <v>0.83</v>
      </c>
      <c r="U360" s="134">
        <v>0.73</v>
      </c>
      <c r="V360" s="134">
        <v>0.27</v>
      </c>
      <c r="W360" s="134">
        <v>0.15</v>
      </c>
      <c r="X360" s="10">
        <v>0.0</v>
      </c>
      <c r="Y360" s="10">
        <v>0.0</v>
      </c>
      <c r="Z360" s="135">
        <v>1.3207672683E8</v>
      </c>
      <c r="AA360" s="134">
        <v>5.02</v>
      </c>
      <c r="AB360" s="134">
        <v>0.02</v>
      </c>
      <c r="AC360" s="134">
        <v>-44.62</v>
      </c>
      <c r="AD360" s="135">
        <v>1.32361062914E10</v>
      </c>
    </row>
    <row r="361">
      <c r="A361" s="10" t="s">
        <v>486</v>
      </c>
      <c r="B361" s="134">
        <v>37.0</v>
      </c>
      <c r="C361" s="10">
        <v>0.0</v>
      </c>
      <c r="D361" s="136">
        <v>-220.77</v>
      </c>
      <c r="E361" s="134">
        <v>-5.79</v>
      </c>
      <c r="F361" s="134">
        <v>43.98</v>
      </c>
      <c r="G361" s="10">
        <v>0.0</v>
      </c>
      <c r="H361" s="10">
        <v>0.0</v>
      </c>
      <c r="I361" s="10">
        <v>0.0</v>
      </c>
      <c r="J361" s="134">
        <v>-222.22</v>
      </c>
      <c r="K361" s="134">
        <v>-225.1</v>
      </c>
      <c r="L361" s="134">
        <v>0.0</v>
      </c>
      <c r="M361" s="10">
        <v>0.0</v>
      </c>
      <c r="N361" s="10">
        <v>0.0</v>
      </c>
      <c r="O361" s="136">
        <v>-3090.83</v>
      </c>
      <c r="P361" s="134">
        <v>-43.98</v>
      </c>
      <c r="Q361" s="134">
        <v>0.0</v>
      </c>
      <c r="R361" s="134">
        <v>-2.62</v>
      </c>
      <c r="S361" s="134">
        <v>-19.92</v>
      </c>
      <c r="T361" s="134">
        <v>2.6</v>
      </c>
      <c r="U361" s="134">
        <v>-7.6</v>
      </c>
      <c r="V361" s="134">
        <v>8.6</v>
      </c>
      <c r="W361" s="134">
        <v>0.0</v>
      </c>
      <c r="X361" s="10">
        <v>0.0</v>
      </c>
      <c r="Y361" s="10">
        <v>0.0</v>
      </c>
      <c r="Z361" s="136">
        <v>14800.0</v>
      </c>
      <c r="AA361" s="134">
        <v>-6.39</v>
      </c>
      <c r="AB361" s="134">
        <v>-0.17</v>
      </c>
      <c r="AC361" s="134">
        <v>13.54</v>
      </c>
      <c r="AD361" s="135">
        <v>3.4440333E7</v>
      </c>
    </row>
    <row r="362">
      <c r="A362" s="10" t="s">
        <v>511</v>
      </c>
      <c r="B362" s="134">
        <v>37.95</v>
      </c>
      <c r="C362" s="10">
        <v>0.0</v>
      </c>
      <c r="D362" s="134">
        <v>-226.44</v>
      </c>
      <c r="E362" s="134">
        <v>-5.93</v>
      </c>
      <c r="F362" s="134">
        <v>45.11</v>
      </c>
      <c r="G362" s="10">
        <v>0.0</v>
      </c>
      <c r="H362" s="10">
        <v>0.0</v>
      </c>
      <c r="I362" s="10">
        <v>0.0</v>
      </c>
      <c r="J362" s="134">
        <v>-227.92</v>
      </c>
      <c r="K362" s="134">
        <v>-225.1</v>
      </c>
      <c r="L362" s="134">
        <v>0.0</v>
      </c>
      <c r="M362" s="10">
        <v>0.0</v>
      </c>
      <c r="N362" s="10">
        <v>0.0</v>
      </c>
      <c r="O362" s="136">
        <v>-3170.19</v>
      </c>
      <c r="P362" s="134">
        <v>-45.11</v>
      </c>
      <c r="Q362" s="134">
        <v>0.0</v>
      </c>
      <c r="R362" s="134">
        <v>-2.62</v>
      </c>
      <c r="S362" s="134">
        <v>-19.92</v>
      </c>
      <c r="T362" s="134">
        <v>2.6</v>
      </c>
      <c r="U362" s="134">
        <v>-7.6</v>
      </c>
      <c r="V362" s="134">
        <v>8.6</v>
      </c>
      <c r="W362" s="134">
        <v>0.0</v>
      </c>
      <c r="X362" s="10">
        <v>0.0</v>
      </c>
      <c r="Y362" s="10">
        <v>0.0</v>
      </c>
      <c r="Z362" s="136">
        <v>7545.0</v>
      </c>
      <c r="AA362" s="134">
        <v>-6.39</v>
      </c>
      <c r="AB362" s="134">
        <v>-0.17</v>
      </c>
      <c r="AC362" s="134">
        <v>13.89</v>
      </c>
      <c r="AD362" s="135">
        <v>3.4440333E7</v>
      </c>
    </row>
    <row r="363">
      <c r="A363" s="10" t="s">
        <v>256</v>
      </c>
      <c r="B363" s="134">
        <v>17.08</v>
      </c>
      <c r="C363" s="10">
        <v>0.0</v>
      </c>
      <c r="D363" s="134">
        <v>59.72</v>
      </c>
      <c r="E363" s="134">
        <v>4.08</v>
      </c>
      <c r="F363" s="134">
        <v>2.48</v>
      </c>
      <c r="G363" s="134">
        <v>37.96</v>
      </c>
      <c r="H363" s="136">
        <v>22.05</v>
      </c>
      <c r="I363" s="136">
        <v>12.54</v>
      </c>
      <c r="J363" s="134">
        <v>33.96</v>
      </c>
      <c r="K363" s="134">
        <v>27.62</v>
      </c>
      <c r="L363" s="134">
        <v>-6.18</v>
      </c>
      <c r="M363" s="134">
        <v>-0.74</v>
      </c>
      <c r="N363" s="136">
        <v>7.49</v>
      </c>
      <c r="O363" s="136">
        <v>3.99</v>
      </c>
      <c r="P363" s="134">
        <v>-8.95</v>
      </c>
      <c r="Q363" s="134">
        <v>7.08</v>
      </c>
      <c r="R363" s="134">
        <v>6.84</v>
      </c>
      <c r="S363" s="134">
        <v>4.15</v>
      </c>
      <c r="T363" s="134">
        <v>7.22</v>
      </c>
      <c r="U363" s="134">
        <v>0.61</v>
      </c>
      <c r="V363" s="134">
        <v>0.39</v>
      </c>
      <c r="W363" s="134">
        <v>0.33</v>
      </c>
      <c r="X363" s="10">
        <v>0.0</v>
      </c>
      <c r="Y363" s="10">
        <v>0.0</v>
      </c>
      <c r="Z363" s="135">
        <v>9909248.58</v>
      </c>
      <c r="AA363" s="134">
        <v>4.18</v>
      </c>
      <c r="AB363" s="134">
        <v>0.29</v>
      </c>
      <c r="AC363" s="10">
        <v>0.0</v>
      </c>
      <c r="AD363" s="135">
        <v>6.035970581E9</v>
      </c>
    </row>
    <row r="364">
      <c r="A364" s="10" t="s">
        <v>323</v>
      </c>
      <c r="B364" s="134">
        <v>6.8</v>
      </c>
      <c r="C364" s="10">
        <v>0.0</v>
      </c>
      <c r="D364" s="134">
        <v>-11.26</v>
      </c>
      <c r="E364" s="134">
        <v>1.06</v>
      </c>
      <c r="F364" s="134">
        <v>0.79</v>
      </c>
      <c r="G364" s="134">
        <v>39.76</v>
      </c>
      <c r="H364" s="136">
        <v>-6.95</v>
      </c>
      <c r="I364" s="136">
        <v>-9.09</v>
      </c>
      <c r="J364" s="134">
        <v>-14.73</v>
      </c>
      <c r="K364" s="134">
        <v>-7.71</v>
      </c>
      <c r="L364" s="134">
        <v>7.2</v>
      </c>
      <c r="M364" s="134">
        <v>-0.52</v>
      </c>
      <c r="N364" s="136">
        <v>1.02</v>
      </c>
      <c r="O364" s="134">
        <v>1.23</v>
      </c>
      <c r="P364" s="134">
        <v>-4.46</v>
      </c>
      <c r="Q364" s="134">
        <v>4.62</v>
      </c>
      <c r="R364" s="134">
        <v>-9.44</v>
      </c>
      <c r="S364" s="134">
        <v>-7.02</v>
      </c>
      <c r="T364" s="134">
        <v>-6.47</v>
      </c>
      <c r="U364" s="134">
        <v>0.74</v>
      </c>
      <c r="V364" s="134">
        <v>0.26</v>
      </c>
      <c r="W364" s="134">
        <v>0.77</v>
      </c>
      <c r="X364" s="10">
        <v>0.0</v>
      </c>
      <c r="Y364" s="10">
        <v>0.0</v>
      </c>
      <c r="Z364" s="135">
        <v>1718821.21</v>
      </c>
      <c r="AA364" s="134">
        <v>6.39</v>
      </c>
      <c r="AB364" s="134">
        <v>-0.6</v>
      </c>
      <c r="AC364" s="134">
        <v>-0.14</v>
      </c>
      <c r="AD364" s="135">
        <v>7.3265053952E8</v>
      </c>
    </row>
    <row r="365">
      <c r="A365" s="10" t="s">
        <v>178</v>
      </c>
      <c r="B365" s="134">
        <v>31.34</v>
      </c>
      <c r="C365" s="134">
        <v>1.94</v>
      </c>
      <c r="D365" s="134">
        <v>16.82</v>
      </c>
      <c r="E365" s="134">
        <v>1.6</v>
      </c>
      <c r="F365" s="134">
        <v>1.03</v>
      </c>
      <c r="G365" s="134">
        <v>28.97</v>
      </c>
      <c r="H365" s="136">
        <v>6.38</v>
      </c>
      <c r="I365" s="136">
        <v>8.77</v>
      </c>
      <c r="J365" s="134">
        <v>23.11</v>
      </c>
      <c r="K365" s="134">
        <v>23.98</v>
      </c>
      <c r="L365" s="134">
        <v>0.59</v>
      </c>
      <c r="M365" s="134">
        <v>0.04</v>
      </c>
      <c r="N365" s="136">
        <v>1.48</v>
      </c>
      <c r="O365" s="134">
        <v>3.74</v>
      </c>
      <c r="P365" s="134">
        <v>-1.77</v>
      </c>
      <c r="Q365" s="134">
        <v>2.97</v>
      </c>
      <c r="R365" s="134">
        <v>9.54</v>
      </c>
      <c r="S365" s="134">
        <v>6.13</v>
      </c>
      <c r="T365" s="134">
        <v>4.44</v>
      </c>
      <c r="U365" s="134">
        <v>0.64</v>
      </c>
      <c r="V365" s="134">
        <v>0.36</v>
      </c>
      <c r="W365" s="134">
        <v>0.7</v>
      </c>
      <c r="X365" s="134">
        <v>9.43</v>
      </c>
      <c r="Y365" s="134">
        <v>0.9</v>
      </c>
      <c r="Z365" s="135">
        <v>2.688968779E7</v>
      </c>
      <c r="AA365" s="134">
        <v>19.53</v>
      </c>
      <c r="AB365" s="134">
        <v>1.86</v>
      </c>
      <c r="AC365" s="134">
        <v>-2.03</v>
      </c>
      <c r="AD365" s="135">
        <v>1.075308E10</v>
      </c>
    </row>
    <row r="366">
      <c r="A366" s="10" t="s">
        <v>307</v>
      </c>
      <c r="B366" s="134">
        <v>7.0</v>
      </c>
      <c r="C366" s="10">
        <v>0.0</v>
      </c>
      <c r="D366" s="136">
        <v>9.35</v>
      </c>
      <c r="E366" s="134">
        <v>0.57</v>
      </c>
      <c r="F366" s="134">
        <v>0.26</v>
      </c>
      <c r="G366" s="134">
        <v>30.82</v>
      </c>
      <c r="H366" s="136">
        <v>9.15</v>
      </c>
      <c r="I366" s="136">
        <v>9.01</v>
      </c>
      <c r="J366" s="134">
        <v>9.21</v>
      </c>
      <c r="K366" s="134">
        <v>9.19</v>
      </c>
      <c r="L366" s="134">
        <v>-0.04</v>
      </c>
      <c r="M366" s="134">
        <v>0.0</v>
      </c>
      <c r="N366" s="136">
        <v>0.84</v>
      </c>
      <c r="O366" s="134">
        <v>1.1</v>
      </c>
      <c r="P366" s="134">
        <v>-0.45</v>
      </c>
      <c r="Q366" s="134">
        <v>2.2</v>
      </c>
      <c r="R366" s="134">
        <v>6.08</v>
      </c>
      <c r="S366" s="134">
        <v>2.73</v>
      </c>
      <c r="T366" s="134">
        <v>4.39</v>
      </c>
      <c r="U366" s="134">
        <v>0.45</v>
      </c>
      <c r="V366" s="134">
        <v>0.55</v>
      </c>
      <c r="W366" s="134">
        <v>0.3</v>
      </c>
      <c r="X366" s="134">
        <v>-8.09</v>
      </c>
      <c r="Y366" s="134">
        <v>11.74</v>
      </c>
      <c r="Z366" s="135">
        <v>2499167.17</v>
      </c>
      <c r="AA366" s="134">
        <v>12.31</v>
      </c>
      <c r="AB366" s="134">
        <v>0.75</v>
      </c>
      <c r="AC366" s="136">
        <v>-0.07</v>
      </c>
      <c r="AD366" s="135">
        <v>5.960638125E8</v>
      </c>
    </row>
    <row r="367">
      <c r="A367" s="10" t="s">
        <v>238</v>
      </c>
      <c r="B367" s="134">
        <v>3.26</v>
      </c>
      <c r="C367" s="10">
        <v>0.0</v>
      </c>
      <c r="D367" s="136">
        <v>-11.83</v>
      </c>
      <c r="E367" s="134">
        <v>0.8</v>
      </c>
      <c r="F367" s="134">
        <v>0.34</v>
      </c>
      <c r="G367" s="134">
        <v>29.25</v>
      </c>
      <c r="H367" s="134">
        <v>-4.11</v>
      </c>
      <c r="I367" s="136">
        <v>-5.62</v>
      </c>
      <c r="J367" s="136">
        <v>-16.19</v>
      </c>
      <c r="K367" s="136">
        <v>-19.11</v>
      </c>
      <c r="L367" s="134">
        <v>-2.67</v>
      </c>
      <c r="M367" s="134">
        <v>0.13</v>
      </c>
      <c r="N367" s="134">
        <v>0.67</v>
      </c>
      <c r="O367" s="136">
        <v>2.86</v>
      </c>
      <c r="P367" s="134">
        <v>-0.47</v>
      </c>
      <c r="Q367" s="134">
        <v>1.82</v>
      </c>
      <c r="R367" s="134">
        <v>-6.79</v>
      </c>
      <c r="S367" s="134">
        <v>-2.9</v>
      </c>
      <c r="T367" s="134">
        <v>-4.18</v>
      </c>
      <c r="U367" s="134">
        <v>0.43</v>
      </c>
      <c r="V367" s="134">
        <v>0.57</v>
      </c>
      <c r="W367" s="134">
        <v>0.52</v>
      </c>
      <c r="X367" s="134">
        <v>-6.51</v>
      </c>
      <c r="Y367" s="10">
        <v>0.0</v>
      </c>
      <c r="Z367" s="135">
        <v>1.111698504E7</v>
      </c>
      <c r="AA367" s="134">
        <v>4.06</v>
      </c>
      <c r="AB367" s="134">
        <v>-0.28</v>
      </c>
      <c r="AC367" s="136">
        <v>0.14</v>
      </c>
      <c r="AD367" s="135">
        <v>9.478831443E8</v>
      </c>
    </row>
    <row r="368">
      <c r="A368" s="10" t="s">
        <v>299</v>
      </c>
      <c r="B368" s="134">
        <v>4.16</v>
      </c>
      <c r="C368" s="134">
        <v>0.15</v>
      </c>
      <c r="D368" s="134">
        <v>19.64</v>
      </c>
      <c r="E368" s="134">
        <v>0.74</v>
      </c>
      <c r="F368" s="134">
        <v>0.47</v>
      </c>
      <c r="G368" s="134">
        <v>22.74</v>
      </c>
      <c r="H368" s="134">
        <v>7.5</v>
      </c>
      <c r="I368" s="136">
        <v>7.24</v>
      </c>
      <c r="J368" s="134">
        <v>18.95</v>
      </c>
      <c r="K368" s="134">
        <v>6.55</v>
      </c>
      <c r="L368" s="134">
        <v>-12.45</v>
      </c>
      <c r="M368" s="134">
        <v>-0.49</v>
      </c>
      <c r="N368" s="134">
        <v>1.42</v>
      </c>
      <c r="O368" s="134">
        <v>0.78</v>
      </c>
      <c r="P368" s="134">
        <v>-4.11</v>
      </c>
      <c r="Q368" s="134">
        <v>3.08</v>
      </c>
      <c r="R368" s="134">
        <v>3.79</v>
      </c>
      <c r="S368" s="134">
        <v>2.39</v>
      </c>
      <c r="T368" s="134">
        <v>2.62</v>
      </c>
      <c r="U368" s="134">
        <v>0.63</v>
      </c>
      <c r="V368" s="134">
        <v>0.34</v>
      </c>
      <c r="W368" s="134">
        <v>0.33</v>
      </c>
      <c r="X368" s="10">
        <v>0.0</v>
      </c>
      <c r="Y368" s="10">
        <v>0.0</v>
      </c>
      <c r="Z368" s="137">
        <v>3581052.13</v>
      </c>
      <c r="AA368" s="134">
        <v>5.59</v>
      </c>
      <c r="AB368" s="134">
        <v>0.21</v>
      </c>
      <c r="AC368" s="134">
        <v>-1.29</v>
      </c>
      <c r="AD368" s="135">
        <v>8.6723215197E8</v>
      </c>
    </row>
    <row r="369">
      <c r="A369" s="10" t="s">
        <v>496</v>
      </c>
      <c r="B369" s="134">
        <v>27.0</v>
      </c>
      <c r="C369" s="10">
        <v>0.0</v>
      </c>
      <c r="D369" s="136">
        <v>93.57</v>
      </c>
      <c r="E369" s="134">
        <v>1.96</v>
      </c>
      <c r="F369" s="134">
        <v>1.51</v>
      </c>
      <c r="G369" s="134">
        <v>80.04</v>
      </c>
      <c r="H369" s="134">
        <v>12.6</v>
      </c>
      <c r="I369" s="134">
        <v>10.17</v>
      </c>
      <c r="J369" s="136">
        <v>75.52</v>
      </c>
      <c r="K369" s="136">
        <v>55.64</v>
      </c>
      <c r="L369" s="10">
        <v>0.0</v>
      </c>
      <c r="M369" s="10">
        <v>0.0</v>
      </c>
      <c r="N369" s="134">
        <v>9.51</v>
      </c>
      <c r="O369" s="136">
        <v>5.5</v>
      </c>
      <c r="P369" s="134">
        <v>-2.63</v>
      </c>
      <c r="Q369" s="134">
        <v>2.8</v>
      </c>
      <c r="R369" s="134">
        <v>2.09</v>
      </c>
      <c r="S369" s="134">
        <v>1.61</v>
      </c>
      <c r="T369" s="10">
        <v>0.0</v>
      </c>
      <c r="U369" s="134">
        <v>0.77</v>
      </c>
      <c r="V369" s="134">
        <v>0.23</v>
      </c>
      <c r="W369" s="134">
        <v>0.16</v>
      </c>
      <c r="X369" s="134">
        <v>-30.32</v>
      </c>
      <c r="Y369" s="10">
        <v>0.0</v>
      </c>
      <c r="Z369" s="136">
        <v>15051.0</v>
      </c>
      <c r="AA369" s="134">
        <v>13.78</v>
      </c>
      <c r="AB369" s="134">
        <v>0.29</v>
      </c>
      <c r="AC369" s="136">
        <v>-1.79</v>
      </c>
      <c r="AD369" s="135">
        <v>3.5824238775E8</v>
      </c>
    </row>
    <row r="370">
      <c r="A370" s="10" t="s">
        <v>477</v>
      </c>
      <c r="B370" s="134">
        <v>10.65</v>
      </c>
      <c r="C370" s="134">
        <v>4.85</v>
      </c>
      <c r="D370" s="136">
        <v>36.91</v>
      </c>
      <c r="E370" s="134">
        <v>0.77</v>
      </c>
      <c r="F370" s="134">
        <v>0.59</v>
      </c>
      <c r="G370" s="134">
        <v>80.04</v>
      </c>
      <c r="H370" s="134">
        <v>12.6</v>
      </c>
      <c r="I370" s="134">
        <v>10.17</v>
      </c>
      <c r="J370" s="136">
        <v>29.79</v>
      </c>
      <c r="K370" s="136">
        <v>55.64</v>
      </c>
      <c r="L370" s="10">
        <v>0.0</v>
      </c>
      <c r="M370" s="10">
        <v>0.0</v>
      </c>
      <c r="N370" s="134">
        <v>3.75</v>
      </c>
      <c r="O370" s="136">
        <v>2.17</v>
      </c>
      <c r="P370" s="134">
        <v>-1.04</v>
      </c>
      <c r="Q370" s="134">
        <v>2.8</v>
      </c>
      <c r="R370" s="136">
        <v>2.09</v>
      </c>
      <c r="S370" s="134">
        <v>1.61</v>
      </c>
      <c r="T370" s="10">
        <v>0.0</v>
      </c>
      <c r="U370" s="134">
        <v>0.77</v>
      </c>
      <c r="V370" s="134">
        <v>0.23</v>
      </c>
      <c r="W370" s="134">
        <v>0.16</v>
      </c>
      <c r="X370" s="134">
        <v>-30.32</v>
      </c>
      <c r="Y370" s="10">
        <v>0.0</v>
      </c>
      <c r="Z370" s="136">
        <v>19306.0</v>
      </c>
      <c r="AA370" s="134">
        <v>13.78</v>
      </c>
      <c r="AB370" s="134">
        <v>0.29</v>
      </c>
      <c r="AC370" s="136">
        <v>-0.71</v>
      </c>
      <c r="AD370" s="135">
        <v>3.5824238775E8</v>
      </c>
    </row>
    <row r="371">
      <c r="A371" s="10" t="s">
        <v>631</v>
      </c>
      <c r="B371" s="134">
        <v>19.13</v>
      </c>
      <c r="C371" s="10">
        <v>0.0</v>
      </c>
      <c r="D371" s="136">
        <v>0.5</v>
      </c>
      <c r="E371" s="134">
        <v>-0.42</v>
      </c>
      <c r="F371" s="134">
        <v>0.19</v>
      </c>
      <c r="G371" s="134">
        <v>16.83</v>
      </c>
      <c r="H371" s="134">
        <v>27.74</v>
      </c>
      <c r="I371" s="134">
        <v>30.24</v>
      </c>
      <c r="J371" s="136">
        <v>0.55</v>
      </c>
      <c r="K371" s="136">
        <v>3.61</v>
      </c>
      <c r="L371" s="134">
        <v>3.11</v>
      </c>
      <c r="M371" s="10">
        <v>0.0</v>
      </c>
      <c r="N371" s="134">
        <v>0.15</v>
      </c>
      <c r="O371" s="136">
        <v>0.44</v>
      </c>
      <c r="P371" s="134">
        <v>-0.64</v>
      </c>
      <c r="Q371" s="134">
        <v>2.42</v>
      </c>
      <c r="R371" s="136">
        <v>-83.26</v>
      </c>
      <c r="S371" s="134">
        <v>37.13</v>
      </c>
      <c r="T371" s="134">
        <v>34.68</v>
      </c>
      <c r="U371" s="134">
        <v>-0.45</v>
      </c>
      <c r="V371" s="134">
        <v>1.45</v>
      </c>
      <c r="W371" s="134">
        <v>1.23</v>
      </c>
      <c r="X371" s="134">
        <v>5.03</v>
      </c>
      <c r="Y371" s="10">
        <v>0.0</v>
      </c>
      <c r="Z371" s="138">
        <v>0.0</v>
      </c>
      <c r="AA371" s="134">
        <v>-45.91</v>
      </c>
      <c r="AB371" s="134">
        <v>38.22</v>
      </c>
      <c r="AC371" s="136">
        <v>0.0</v>
      </c>
      <c r="AD371" s="135">
        <v>1.0164020058E8</v>
      </c>
    </row>
    <row r="372">
      <c r="A372" s="10" t="s">
        <v>396</v>
      </c>
      <c r="B372" s="134">
        <v>16.71</v>
      </c>
      <c r="C372" s="10">
        <v>0.0</v>
      </c>
      <c r="D372" s="134">
        <v>0.44</v>
      </c>
      <c r="E372" s="134">
        <v>-0.36</v>
      </c>
      <c r="F372" s="134">
        <v>0.16</v>
      </c>
      <c r="G372" s="134">
        <v>16.83</v>
      </c>
      <c r="H372" s="134">
        <v>27.74</v>
      </c>
      <c r="I372" s="134">
        <v>30.24</v>
      </c>
      <c r="J372" s="134">
        <v>0.48</v>
      </c>
      <c r="K372" s="134">
        <v>3.61</v>
      </c>
      <c r="L372" s="134">
        <v>3.11</v>
      </c>
      <c r="M372" s="10">
        <v>0.0</v>
      </c>
      <c r="N372" s="134">
        <v>0.13</v>
      </c>
      <c r="O372" s="134">
        <v>0.39</v>
      </c>
      <c r="P372" s="134">
        <v>-0.56</v>
      </c>
      <c r="Q372" s="134">
        <v>2.42</v>
      </c>
      <c r="R372" s="136">
        <v>-83.26</v>
      </c>
      <c r="S372" s="134">
        <v>37.13</v>
      </c>
      <c r="T372" s="134">
        <v>34.68</v>
      </c>
      <c r="U372" s="134">
        <v>-0.45</v>
      </c>
      <c r="V372" s="134">
        <v>1.45</v>
      </c>
      <c r="W372" s="134">
        <v>1.23</v>
      </c>
      <c r="X372" s="134">
        <v>5.03</v>
      </c>
      <c r="Y372" s="10">
        <v>0.0</v>
      </c>
      <c r="Z372" s="135">
        <v>87521.13</v>
      </c>
      <c r="AA372" s="134">
        <v>-45.91</v>
      </c>
      <c r="AB372" s="134">
        <v>38.22</v>
      </c>
      <c r="AC372" s="134">
        <v>0.0</v>
      </c>
      <c r="AD372" s="135">
        <v>1.0164020058E8</v>
      </c>
    </row>
    <row r="373">
      <c r="A373" s="10" t="s">
        <v>58</v>
      </c>
      <c r="B373" s="134">
        <v>13.92</v>
      </c>
      <c r="C373" s="134">
        <v>0.3</v>
      </c>
      <c r="D373" s="134">
        <v>119.16</v>
      </c>
      <c r="E373" s="134">
        <v>12.79</v>
      </c>
      <c r="F373" s="134">
        <v>3.71</v>
      </c>
      <c r="G373" s="134">
        <v>25.37</v>
      </c>
      <c r="H373" s="134">
        <v>4.13</v>
      </c>
      <c r="I373" s="134">
        <v>2.19</v>
      </c>
      <c r="J373" s="134">
        <v>63.07</v>
      </c>
      <c r="K373" s="134">
        <v>64.14</v>
      </c>
      <c r="L373" s="134">
        <v>0.39</v>
      </c>
      <c r="M373" s="134">
        <v>0.08</v>
      </c>
      <c r="N373" s="134">
        <v>2.61</v>
      </c>
      <c r="O373" s="134">
        <v>20.28</v>
      </c>
      <c r="P373" s="134">
        <v>-10.24</v>
      </c>
      <c r="Q373" s="134">
        <v>1.4</v>
      </c>
      <c r="R373" s="136">
        <v>10.73</v>
      </c>
      <c r="S373" s="134">
        <v>3.11</v>
      </c>
      <c r="T373" s="134">
        <v>14.6</v>
      </c>
      <c r="U373" s="134">
        <v>0.29</v>
      </c>
      <c r="V373" s="134">
        <v>0.71</v>
      </c>
      <c r="W373" s="134">
        <v>1.42</v>
      </c>
      <c r="X373" s="134">
        <v>26.58</v>
      </c>
      <c r="Y373" s="10">
        <v>0.0</v>
      </c>
      <c r="Z373" s="135">
        <v>5.9872970379E8</v>
      </c>
      <c r="AA373" s="134">
        <v>1.09</v>
      </c>
      <c r="AB373" s="134">
        <v>0.12</v>
      </c>
      <c r="AC373" s="134">
        <v>1.07</v>
      </c>
      <c r="AD373" s="135">
        <v>9.390215075136E10</v>
      </c>
    </row>
    <row r="374">
      <c r="A374" s="10" t="s">
        <v>254</v>
      </c>
      <c r="B374" s="134">
        <v>5.69</v>
      </c>
      <c r="C374" s="134">
        <v>1.84</v>
      </c>
      <c r="D374" s="134">
        <v>39.72</v>
      </c>
      <c r="E374" s="134">
        <v>1.3</v>
      </c>
      <c r="F374" s="134">
        <v>0.97</v>
      </c>
      <c r="G374" s="134">
        <v>46.02</v>
      </c>
      <c r="H374" s="134">
        <v>11.96</v>
      </c>
      <c r="I374" s="134">
        <v>5.94</v>
      </c>
      <c r="J374" s="134">
        <v>19.73</v>
      </c>
      <c r="K374" s="134">
        <v>18.19</v>
      </c>
      <c r="L374" s="134">
        <v>-1.64</v>
      </c>
      <c r="M374" s="134">
        <v>-0.11</v>
      </c>
      <c r="N374" s="134">
        <v>2.36</v>
      </c>
      <c r="O374" s="134">
        <v>3.48</v>
      </c>
      <c r="P374" s="134">
        <v>-1.59</v>
      </c>
      <c r="Q374" s="134">
        <v>3.38</v>
      </c>
      <c r="R374" s="136">
        <v>3.27</v>
      </c>
      <c r="S374" s="134">
        <v>2.43</v>
      </c>
      <c r="T374" s="134">
        <v>3.47</v>
      </c>
      <c r="U374" s="134">
        <v>0.74</v>
      </c>
      <c r="V374" s="134">
        <v>0.26</v>
      </c>
      <c r="W374" s="134">
        <v>0.41</v>
      </c>
      <c r="X374" s="134">
        <v>-2.55</v>
      </c>
      <c r="Y374" s="10">
        <v>0.0</v>
      </c>
      <c r="Z374" s="135">
        <v>7762342.08</v>
      </c>
      <c r="AA374" s="134">
        <v>4.37</v>
      </c>
      <c r="AB374" s="134">
        <v>0.14</v>
      </c>
      <c r="AC374" s="134">
        <v>-0.2</v>
      </c>
      <c r="AD374" s="135">
        <v>1.4424051356E9</v>
      </c>
    </row>
    <row r="375">
      <c r="A375" s="10" t="s">
        <v>208</v>
      </c>
      <c r="B375" s="134">
        <v>7.08</v>
      </c>
      <c r="C375" s="10">
        <v>0.0</v>
      </c>
      <c r="D375" s="136">
        <v>12.13</v>
      </c>
      <c r="E375" s="134">
        <v>3.17</v>
      </c>
      <c r="F375" s="134">
        <v>1.09</v>
      </c>
      <c r="G375" s="134">
        <v>33.41</v>
      </c>
      <c r="H375" s="134">
        <v>14.78</v>
      </c>
      <c r="I375" s="134">
        <v>12.85</v>
      </c>
      <c r="J375" s="136">
        <v>10.55</v>
      </c>
      <c r="K375" s="136">
        <v>12.27</v>
      </c>
      <c r="L375" s="134">
        <v>1.68</v>
      </c>
      <c r="M375" s="134">
        <v>0.5</v>
      </c>
      <c r="N375" s="134">
        <v>1.56</v>
      </c>
      <c r="O375" s="136">
        <v>2.52</v>
      </c>
      <c r="P375" s="134">
        <v>-11.67</v>
      </c>
      <c r="Q375" s="134">
        <v>1.91</v>
      </c>
      <c r="R375" s="136">
        <v>26.17</v>
      </c>
      <c r="S375" s="134">
        <v>8.97</v>
      </c>
      <c r="T375" s="134">
        <v>16.47</v>
      </c>
      <c r="U375" s="134">
        <v>0.34</v>
      </c>
      <c r="V375" s="134">
        <v>0.66</v>
      </c>
      <c r="W375" s="134">
        <v>0.7</v>
      </c>
      <c r="X375" s="10">
        <v>0.0</v>
      </c>
      <c r="Y375" s="10">
        <v>0.0</v>
      </c>
      <c r="Z375" s="135">
        <v>1.520273788E7</v>
      </c>
      <c r="AA375" s="134">
        <v>2.23</v>
      </c>
      <c r="AB375" s="134">
        <v>0.58</v>
      </c>
      <c r="AC375" s="138">
        <v>0.0</v>
      </c>
      <c r="AD375" s="135">
        <v>5.83403388975E9</v>
      </c>
    </row>
    <row r="376">
      <c r="A376" s="10" t="s">
        <v>277</v>
      </c>
      <c r="B376" s="134">
        <v>14.0</v>
      </c>
      <c r="C376" s="10">
        <v>0.0</v>
      </c>
      <c r="D376" s="136">
        <v>-2.17</v>
      </c>
      <c r="E376" s="134">
        <v>-0.11</v>
      </c>
      <c r="F376" s="134">
        <v>0.71</v>
      </c>
      <c r="G376" s="10">
        <v>0.0</v>
      </c>
      <c r="H376" s="10">
        <v>0.0</v>
      </c>
      <c r="I376" s="10">
        <v>0.0</v>
      </c>
      <c r="J376" s="136">
        <v>-181.31</v>
      </c>
      <c r="K376" s="136">
        <v>-719.57</v>
      </c>
      <c r="L376" s="134">
        <v>-538.27</v>
      </c>
      <c r="M376" s="10">
        <v>0.0</v>
      </c>
      <c r="N376" s="10">
        <v>0.0</v>
      </c>
      <c r="O376" s="136">
        <v>-0.1</v>
      </c>
      <c r="P376" s="134">
        <v>-0.75</v>
      </c>
      <c r="Q376" s="134">
        <v>0.01</v>
      </c>
      <c r="R376" s="134">
        <v>-4.97</v>
      </c>
      <c r="S376" s="134">
        <v>-32.75</v>
      </c>
      <c r="T376" s="134">
        <v>0.28</v>
      </c>
      <c r="U376" s="134">
        <v>-6.58</v>
      </c>
      <c r="V376" s="134">
        <v>7.6</v>
      </c>
      <c r="W376" s="134">
        <v>0.0</v>
      </c>
      <c r="X376" s="134">
        <v>-6.95</v>
      </c>
      <c r="Y376" s="10">
        <v>0.0</v>
      </c>
      <c r="Z376" s="135">
        <v>6294058.38</v>
      </c>
      <c r="AA376" s="134">
        <v>-129.88</v>
      </c>
      <c r="AB376" s="134">
        <v>-6.46</v>
      </c>
      <c r="AC376" s="136">
        <v>0.03</v>
      </c>
      <c r="AD376" s="135">
        <v>9.0834562E7</v>
      </c>
    </row>
    <row r="377">
      <c r="A377" s="10" t="s">
        <v>410</v>
      </c>
      <c r="B377" s="134">
        <v>59.0</v>
      </c>
      <c r="C377" s="10">
        <v>0.0</v>
      </c>
      <c r="D377" s="136">
        <v>4.27</v>
      </c>
      <c r="E377" s="134">
        <v>-1.13</v>
      </c>
      <c r="F377" s="134">
        <v>0.12</v>
      </c>
      <c r="G377" s="134">
        <v>36.42</v>
      </c>
      <c r="H377" s="134">
        <v>13.15</v>
      </c>
      <c r="I377" s="134">
        <v>5.4</v>
      </c>
      <c r="J377" s="134">
        <v>1.75</v>
      </c>
      <c r="K377" s="134">
        <v>4.75</v>
      </c>
      <c r="L377" s="134">
        <v>3.0</v>
      </c>
      <c r="M377" s="10">
        <v>0.0</v>
      </c>
      <c r="N377" s="134">
        <v>0.23</v>
      </c>
      <c r="O377" s="134">
        <v>-0.24</v>
      </c>
      <c r="P377" s="134">
        <v>-0.18</v>
      </c>
      <c r="Q377" s="134">
        <v>0.38</v>
      </c>
      <c r="R377" s="134">
        <v>-26.57</v>
      </c>
      <c r="S377" s="134">
        <v>2.92</v>
      </c>
      <c r="T377" s="134">
        <v>57.77</v>
      </c>
      <c r="U377" s="134">
        <v>-0.11</v>
      </c>
      <c r="V377" s="134">
        <v>1.11</v>
      </c>
      <c r="W377" s="134">
        <v>0.54</v>
      </c>
      <c r="X377" s="134">
        <v>4.94</v>
      </c>
      <c r="Y377" s="10">
        <v>0.0</v>
      </c>
      <c r="Z377" s="136">
        <v>73072.47</v>
      </c>
      <c r="AA377" s="134">
        <v>-52.0</v>
      </c>
      <c r="AB377" s="134">
        <v>13.81</v>
      </c>
      <c r="AC377" s="134">
        <v>-0.02</v>
      </c>
      <c r="AD377" s="135">
        <v>1.4633534E8</v>
      </c>
    </row>
    <row r="378">
      <c r="A378" s="10" t="s">
        <v>376</v>
      </c>
      <c r="B378" s="134">
        <v>9.46</v>
      </c>
      <c r="C378" s="10">
        <v>0.0</v>
      </c>
      <c r="D378" s="136">
        <v>18.29</v>
      </c>
      <c r="E378" s="134">
        <v>-0.18</v>
      </c>
      <c r="F378" s="134">
        <v>0.27</v>
      </c>
      <c r="G378" s="134">
        <v>25.02</v>
      </c>
      <c r="H378" s="134">
        <v>13.68</v>
      </c>
      <c r="I378" s="134">
        <v>1.28</v>
      </c>
      <c r="J378" s="134">
        <v>1.72</v>
      </c>
      <c r="K378" s="134">
        <v>1.78</v>
      </c>
      <c r="L378" s="134">
        <v>0.02</v>
      </c>
      <c r="M378" s="10">
        <v>0.0</v>
      </c>
      <c r="N378" s="134">
        <v>0.23</v>
      </c>
      <c r="O378" s="134">
        <v>-0.17</v>
      </c>
      <c r="P378" s="134">
        <v>-0.48</v>
      </c>
      <c r="Q378" s="134">
        <v>0.22</v>
      </c>
      <c r="R378" s="136">
        <v>-0.99</v>
      </c>
      <c r="S378" s="134">
        <v>1.48</v>
      </c>
      <c r="T378" s="134">
        <v>-7.65</v>
      </c>
      <c r="U378" s="134">
        <v>-1.49</v>
      </c>
      <c r="V378" s="134">
        <v>2.49</v>
      </c>
      <c r="W378" s="134">
        <v>1.15</v>
      </c>
      <c r="X378" s="134">
        <v>4.62</v>
      </c>
      <c r="Y378" s="10">
        <v>0.0</v>
      </c>
      <c r="Z378" s="137">
        <v>166132.63</v>
      </c>
      <c r="AA378" s="134">
        <v>-52.24</v>
      </c>
      <c r="AB378" s="134">
        <v>0.52</v>
      </c>
      <c r="AC378" s="134">
        <v>-0.16</v>
      </c>
      <c r="AD378" s="135">
        <v>6.9225975E7</v>
      </c>
    </row>
    <row r="379">
      <c r="A379" s="10" t="s">
        <v>325</v>
      </c>
      <c r="B379" s="134">
        <v>433.99</v>
      </c>
      <c r="C379" s="134">
        <v>3.33</v>
      </c>
      <c r="D379" s="136">
        <v>8.17</v>
      </c>
      <c r="E379" s="134">
        <v>3.67</v>
      </c>
      <c r="F379" s="134">
        <v>2.39</v>
      </c>
      <c r="G379" s="134">
        <v>-1.7</v>
      </c>
      <c r="H379" s="134">
        <v>669.48</v>
      </c>
      <c r="I379" s="134">
        <v>592.49</v>
      </c>
      <c r="J379" s="134">
        <v>7.23</v>
      </c>
      <c r="K379" s="134">
        <v>7.02</v>
      </c>
      <c r="L379" s="134">
        <v>-0.21</v>
      </c>
      <c r="M379" s="134">
        <v>-0.11</v>
      </c>
      <c r="N379" s="134">
        <v>48.43</v>
      </c>
      <c r="O379" s="134">
        <v>12.98</v>
      </c>
      <c r="P379" s="134">
        <v>-3.3</v>
      </c>
      <c r="Q379" s="134">
        <v>2.98</v>
      </c>
      <c r="R379" s="136">
        <v>44.94</v>
      </c>
      <c r="S379" s="134">
        <v>29.19</v>
      </c>
      <c r="T379" s="134">
        <v>32.84</v>
      </c>
      <c r="U379" s="134">
        <v>0.65</v>
      </c>
      <c r="V379" s="134">
        <v>0.35</v>
      </c>
      <c r="W379" s="134">
        <v>0.05</v>
      </c>
      <c r="X379" s="134">
        <v>94.65</v>
      </c>
      <c r="Y379" s="134">
        <v>46.63</v>
      </c>
      <c r="Z379" s="135">
        <v>1238536.0</v>
      </c>
      <c r="AA379" s="134">
        <v>118.16</v>
      </c>
      <c r="AB379" s="134">
        <v>53.1</v>
      </c>
      <c r="AC379" s="134">
        <v>-0.01</v>
      </c>
      <c r="AD379" s="135">
        <v>5.31690740179E9</v>
      </c>
    </row>
    <row r="380">
      <c r="A380" s="10" t="s">
        <v>260</v>
      </c>
      <c r="B380" s="134">
        <v>16.2</v>
      </c>
      <c r="C380" s="134">
        <v>0.82</v>
      </c>
      <c r="D380" s="136">
        <v>50.52</v>
      </c>
      <c r="E380" s="134">
        <v>2.76</v>
      </c>
      <c r="F380" s="134">
        <v>0.62</v>
      </c>
      <c r="G380" s="134">
        <v>120.12</v>
      </c>
      <c r="H380" s="134">
        <v>32.34</v>
      </c>
      <c r="I380" s="134">
        <v>20.69</v>
      </c>
      <c r="J380" s="134">
        <v>32.31</v>
      </c>
      <c r="K380" s="134">
        <v>32.43</v>
      </c>
      <c r="L380" s="10">
        <v>0.0</v>
      </c>
      <c r="M380" s="10">
        <v>0.0</v>
      </c>
      <c r="N380" s="134">
        <v>10.45</v>
      </c>
      <c r="O380" s="10">
        <v>0.0</v>
      </c>
      <c r="P380" s="134">
        <v>-0.97</v>
      </c>
      <c r="Q380" s="10">
        <v>0.0</v>
      </c>
      <c r="R380" s="136">
        <v>5.46</v>
      </c>
      <c r="S380" s="134">
        <v>1.23</v>
      </c>
      <c r="T380" s="10">
        <v>0.0</v>
      </c>
      <c r="U380" s="134">
        <v>0.23</v>
      </c>
      <c r="V380" s="134">
        <v>0.77</v>
      </c>
      <c r="W380" s="134">
        <v>0.06</v>
      </c>
      <c r="X380" s="10">
        <v>0.0</v>
      </c>
      <c r="Y380" s="10">
        <v>0.0</v>
      </c>
      <c r="Z380" s="135">
        <v>7590677.79</v>
      </c>
      <c r="AA380" s="134">
        <v>5.87</v>
      </c>
      <c r="AB380" s="134">
        <v>0.32</v>
      </c>
      <c r="AC380" s="10">
        <v>0.0</v>
      </c>
      <c r="AD380" s="135">
        <v>3.816764E9</v>
      </c>
    </row>
    <row r="381">
      <c r="A381" s="10" t="s">
        <v>370</v>
      </c>
      <c r="B381" s="134">
        <v>6.69</v>
      </c>
      <c r="C381" s="134">
        <v>0.66</v>
      </c>
      <c r="D381" s="136">
        <v>62.59</v>
      </c>
      <c r="E381" s="134">
        <v>3.42</v>
      </c>
      <c r="F381" s="134">
        <v>0.77</v>
      </c>
      <c r="G381" s="134">
        <v>120.12</v>
      </c>
      <c r="H381" s="134">
        <v>32.34</v>
      </c>
      <c r="I381" s="134">
        <v>20.69</v>
      </c>
      <c r="J381" s="134">
        <v>40.03</v>
      </c>
      <c r="K381" s="134">
        <v>32.43</v>
      </c>
      <c r="L381" s="10">
        <v>0.0</v>
      </c>
      <c r="M381" s="10">
        <v>0.0</v>
      </c>
      <c r="N381" s="134">
        <v>12.95</v>
      </c>
      <c r="O381" s="10">
        <v>0.0</v>
      </c>
      <c r="P381" s="134">
        <v>-1.2</v>
      </c>
      <c r="Q381" s="10">
        <v>0.0</v>
      </c>
      <c r="R381" s="136">
        <v>5.46</v>
      </c>
      <c r="S381" s="134">
        <v>1.23</v>
      </c>
      <c r="T381" s="10">
        <v>0.0</v>
      </c>
      <c r="U381" s="134">
        <v>0.23</v>
      </c>
      <c r="V381" s="134">
        <v>0.77</v>
      </c>
      <c r="W381" s="134">
        <v>0.06</v>
      </c>
      <c r="X381" s="10">
        <v>0.0</v>
      </c>
      <c r="Y381" s="10">
        <v>0.0</v>
      </c>
      <c r="Z381" s="135">
        <v>114775.54</v>
      </c>
      <c r="AA381" s="134">
        <v>1.96</v>
      </c>
      <c r="AB381" s="134">
        <v>0.11</v>
      </c>
      <c r="AC381" s="10">
        <v>0.0</v>
      </c>
      <c r="AD381" s="135">
        <v>3.816764E9</v>
      </c>
    </row>
    <row r="382">
      <c r="A382" s="10" t="s">
        <v>351</v>
      </c>
      <c r="B382" s="134">
        <v>4.73</v>
      </c>
      <c r="C382" s="134">
        <v>0.94</v>
      </c>
      <c r="D382" s="136">
        <v>44.25</v>
      </c>
      <c r="E382" s="134">
        <v>2.42</v>
      </c>
      <c r="F382" s="134">
        <v>0.55</v>
      </c>
      <c r="G382" s="134">
        <v>120.12</v>
      </c>
      <c r="H382" s="134">
        <v>32.34</v>
      </c>
      <c r="I382" s="134">
        <v>20.69</v>
      </c>
      <c r="J382" s="134">
        <v>28.3</v>
      </c>
      <c r="K382" s="134">
        <v>32.43</v>
      </c>
      <c r="L382" s="10">
        <v>0.0</v>
      </c>
      <c r="M382" s="10">
        <v>0.0</v>
      </c>
      <c r="N382" s="134">
        <v>9.15</v>
      </c>
      <c r="O382" s="10">
        <v>0.0</v>
      </c>
      <c r="P382" s="134">
        <v>-0.85</v>
      </c>
      <c r="Q382" s="10">
        <v>0.0</v>
      </c>
      <c r="R382" s="136">
        <v>5.46</v>
      </c>
      <c r="S382" s="134">
        <v>1.23</v>
      </c>
      <c r="T382" s="10">
        <v>0.0</v>
      </c>
      <c r="U382" s="134">
        <v>0.23</v>
      </c>
      <c r="V382" s="134">
        <v>0.77</v>
      </c>
      <c r="W382" s="134">
        <v>0.06</v>
      </c>
      <c r="X382" s="10">
        <v>0.0</v>
      </c>
      <c r="Y382" s="10">
        <v>0.0</v>
      </c>
      <c r="Z382" s="137">
        <v>290776.13</v>
      </c>
      <c r="AA382" s="134">
        <v>1.96</v>
      </c>
      <c r="AB382" s="134">
        <v>0.11</v>
      </c>
      <c r="AC382" s="10">
        <v>0.0</v>
      </c>
      <c r="AD382" s="135">
        <v>3.816764E9</v>
      </c>
    </row>
    <row r="383">
      <c r="A383" s="10" t="s">
        <v>212</v>
      </c>
      <c r="B383" s="134">
        <v>12.38</v>
      </c>
      <c r="C383" s="134">
        <v>0.01</v>
      </c>
      <c r="D383" s="136">
        <v>38.04</v>
      </c>
      <c r="E383" s="136">
        <v>2.35</v>
      </c>
      <c r="F383" s="134">
        <v>2.19</v>
      </c>
      <c r="G383" s="134">
        <v>90.83</v>
      </c>
      <c r="H383" s="134">
        <v>14.56</v>
      </c>
      <c r="I383" s="134">
        <v>18.11</v>
      </c>
      <c r="J383" s="134">
        <v>47.29</v>
      </c>
      <c r="K383" s="134">
        <v>32.36</v>
      </c>
      <c r="L383" s="134">
        <v>-16.27</v>
      </c>
      <c r="M383" s="134">
        <v>-0.81</v>
      </c>
      <c r="N383" s="134">
        <v>6.89</v>
      </c>
      <c r="O383" s="136">
        <v>2.87</v>
      </c>
      <c r="P383" s="134">
        <v>-12.62</v>
      </c>
      <c r="Q383" s="134">
        <v>13.23</v>
      </c>
      <c r="R383" s="136">
        <v>6.17</v>
      </c>
      <c r="S383" s="134">
        <v>5.76</v>
      </c>
      <c r="T383" s="136">
        <v>3.7</v>
      </c>
      <c r="U383" s="134">
        <v>0.93</v>
      </c>
      <c r="V383" s="134">
        <v>0.07</v>
      </c>
      <c r="W383" s="134">
        <v>0.32</v>
      </c>
      <c r="X383" s="10">
        <v>0.0</v>
      </c>
      <c r="Y383" s="10">
        <v>0.0</v>
      </c>
      <c r="Z383" s="135">
        <v>2.313011646E7</v>
      </c>
      <c r="AA383" s="134">
        <v>5.27</v>
      </c>
      <c r="AB383" s="134">
        <v>0.33</v>
      </c>
      <c r="AC383" s="10">
        <v>0.0</v>
      </c>
      <c r="AD383" s="135">
        <v>1.6115642794E9</v>
      </c>
    </row>
    <row r="384">
      <c r="A384" s="10" t="s">
        <v>155</v>
      </c>
      <c r="B384" s="134">
        <v>16.95</v>
      </c>
      <c r="C384" s="134">
        <v>2.33</v>
      </c>
      <c r="D384" s="136">
        <v>12.18</v>
      </c>
      <c r="E384" s="136">
        <v>2.4</v>
      </c>
      <c r="F384" s="134">
        <v>0.43</v>
      </c>
      <c r="G384" s="134">
        <v>33.19</v>
      </c>
      <c r="H384" s="136">
        <v>23.26</v>
      </c>
      <c r="I384" s="136">
        <v>12.47</v>
      </c>
      <c r="J384" s="134">
        <v>6.53</v>
      </c>
      <c r="K384" s="134">
        <v>10.52</v>
      </c>
      <c r="L384" s="134">
        <v>3.95</v>
      </c>
      <c r="M384" s="134">
        <v>1.45</v>
      </c>
      <c r="N384" s="134">
        <v>1.52</v>
      </c>
      <c r="O384" s="136">
        <v>1.42</v>
      </c>
      <c r="P384" s="134">
        <v>-0.8</v>
      </c>
      <c r="Q384" s="134">
        <v>2.95</v>
      </c>
      <c r="R384" s="136">
        <v>19.7</v>
      </c>
      <c r="S384" s="134">
        <v>3.55</v>
      </c>
      <c r="T384" s="136">
        <v>6.11</v>
      </c>
      <c r="U384" s="134">
        <v>0.18</v>
      </c>
      <c r="V384" s="134">
        <v>0.82</v>
      </c>
      <c r="W384" s="134">
        <v>0.28</v>
      </c>
      <c r="X384" s="134">
        <v>27.48</v>
      </c>
      <c r="Y384" s="134">
        <v>49.71</v>
      </c>
      <c r="Z384" s="135">
        <v>4.616944783E7</v>
      </c>
      <c r="AA384" s="136">
        <v>7.06</v>
      </c>
      <c r="AB384" s="134">
        <v>1.39</v>
      </c>
      <c r="AC384" s="134">
        <v>0.01</v>
      </c>
      <c r="AD384" s="135">
        <v>6.18087358716E9</v>
      </c>
    </row>
    <row r="385">
      <c r="A385" s="10" t="s">
        <v>91</v>
      </c>
      <c r="B385" s="134">
        <v>26.34</v>
      </c>
      <c r="C385" s="134">
        <v>6.09</v>
      </c>
      <c r="D385" s="136">
        <v>4.72</v>
      </c>
      <c r="E385" s="134">
        <v>4.35</v>
      </c>
      <c r="F385" s="134">
        <v>0.42</v>
      </c>
      <c r="G385" s="134">
        <v>16.79</v>
      </c>
      <c r="H385" s="136">
        <v>11.11</v>
      </c>
      <c r="I385" s="136">
        <v>5.3</v>
      </c>
      <c r="J385" s="134">
        <v>2.25</v>
      </c>
      <c r="K385" s="134">
        <v>4.11</v>
      </c>
      <c r="L385" s="134">
        <v>1.85</v>
      </c>
      <c r="M385" s="134">
        <v>3.58</v>
      </c>
      <c r="N385" s="134">
        <v>0.25</v>
      </c>
      <c r="O385" s="134">
        <v>3.33</v>
      </c>
      <c r="P385" s="134">
        <v>-0.84</v>
      </c>
      <c r="Q385" s="134">
        <v>1.33</v>
      </c>
      <c r="R385" s="136">
        <v>92.26</v>
      </c>
      <c r="S385" s="134">
        <v>8.84</v>
      </c>
      <c r="T385" s="134">
        <v>19.48</v>
      </c>
      <c r="U385" s="134">
        <v>0.1</v>
      </c>
      <c r="V385" s="134">
        <v>0.87</v>
      </c>
      <c r="W385" s="134">
        <v>1.67</v>
      </c>
      <c r="X385" s="134">
        <v>28.12</v>
      </c>
      <c r="Y385" s="10">
        <v>0.0</v>
      </c>
      <c r="Z385" s="135">
        <v>1.8865970483E8</v>
      </c>
      <c r="AA385" s="136">
        <v>6.05</v>
      </c>
      <c r="AB385" s="134">
        <v>5.59</v>
      </c>
      <c r="AC385" s="134">
        <v>0.03</v>
      </c>
      <c r="AD385" s="135">
        <v>1.827290680059E10</v>
      </c>
    </row>
    <row r="386">
      <c r="A386" s="10" t="s">
        <v>525</v>
      </c>
      <c r="B386" s="134">
        <v>35.7</v>
      </c>
      <c r="C386" s="134">
        <v>0.81</v>
      </c>
      <c r="D386" s="136">
        <v>13.93</v>
      </c>
      <c r="E386" s="136">
        <v>2.52</v>
      </c>
      <c r="F386" s="134">
        <v>1.1</v>
      </c>
      <c r="G386" s="134">
        <v>35.36</v>
      </c>
      <c r="H386" s="134">
        <v>37.55</v>
      </c>
      <c r="I386" s="134">
        <v>21.1</v>
      </c>
      <c r="J386" s="134">
        <v>7.83</v>
      </c>
      <c r="K386" s="134">
        <v>8.77</v>
      </c>
      <c r="L386" s="134">
        <v>1.01</v>
      </c>
      <c r="M386" s="134">
        <v>0.33</v>
      </c>
      <c r="N386" s="134">
        <v>2.94</v>
      </c>
      <c r="O386" s="136">
        <v>-19.62</v>
      </c>
      <c r="P386" s="136">
        <v>-1.26</v>
      </c>
      <c r="Q386" s="134">
        <v>0.7</v>
      </c>
      <c r="R386" s="136">
        <v>18.12</v>
      </c>
      <c r="S386" s="134">
        <v>7.86</v>
      </c>
      <c r="T386" s="136">
        <v>15.18</v>
      </c>
      <c r="U386" s="134">
        <v>0.43</v>
      </c>
      <c r="V386" s="134">
        <v>0.57</v>
      </c>
      <c r="W386" s="134">
        <v>0.37</v>
      </c>
      <c r="X386" s="134">
        <v>2.59</v>
      </c>
      <c r="Y386" s="134">
        <v>24.12</v>
      </c>
      <c r="Z386" s="136">
        <v>4965.67</v>
      </c>
      <c r="AA386" s="134">
        <v>14.14</v>
      </c>
      <c r="AB386" s="134">
        <v>2.56</v>
      </c>
      <c r="AC386" s="134">
        <v>0.08</v>
      </c>
      <c r="AD386" s="135">
        <v>1.20318328809E10</v>
      </c>
    </row>
    <row r="387">
      <c r="A387" s="10" t="s">
        <v>528</v>
      </c>
      <c r="B387" s="134">
        <v>45.43</v>
      </c>
      <c r="C387" s="134">
        <v>0.7</v>
      </c>
      <c r="D387" s="136">
        <v>17.73</v>
      </c>
      <c r="E387" s="136">
        <v>3.21</v>
      </c>
      <c r="F387" s="134">
        <v>1.39</v>
      </c>
      <c r="G387" s="134">
        <v>35.36</v>
      </c>
      <c r="H387" s="136">
        <v>37.55</v>
      </c>
      <c r="I387" s="136">
        <v>21.1</v>
      </c>
      <c r="J387" s="134">
        <v>9.96</v>
      </c>
      <c r="K387" s="134">
        <v>8.77</v>
      </c>
      <c r="L387" s="134">
        <v>1.01</v>
      </c>
      <c r="M387" s="134">
        <v>0.33</v>
      </c>
      <c r="N387" s="134">
        <v>3.74</v>
      </c>
      <c r="O387" s="136">
        <v>-24.97</v>
      </c>
      <c r="P387" s="136">
        <v>-1.61</v>
      </c>
      <c r="Q387" s="134">
        <v>0.7</v>
      </c>
      <c r="R387" s="134">
        <v>18.12</v>
      </c>
      <c r="S387" s="134">
        <v>7.86</v>
      </c>
      <c r="T387" s="136">
        <v>15.18</v>
      </c>
      <c r="U387" s="134">
        <v>0.43</v>
      </c>
      <c r="V387" s="134">
        <v>0.57</v>
      </c>
      <c r="W387" s="134">
        <v>0.37</v>
      </c>
      <c r="X387" s="134">
        <v>2.59</v>
      </c>
      <c r="Y387" s="134">
        <v>24.12</v>
      </c>
      <c r="Z387" s="136">
        <v>4543.0</v>
      </c>
      <c r="AA387" s="136">
        <v>14.14</v>
      </c>
      <c r="AB387" s="134">
        <v>2.56</v>
      </c>
      <c r="AC387" s="134">
        <v>0.1</v>
      </c>
      <c r="AD387" s="135">
        <v>1.20318328809E10</v>
      </c>
    </row>
    <row r="388">
      <c r="A388" s="10" t="s">
        <v>513</v>
      </c>
      <c r="B388" s="134">
        <v>35.0</v>
      </c>
      <c r="C388" s="134">
        <v>0.9</v>
      </c>
      <c r="D388" s="136">
        <v>13.66</v>
      </c>
      <c r="E388" s="136">
        <v>2.47</v>
      </c>
      <c r="F388" s="134">
        <v>1.07</v>
      </c>
      <c r="G388" s="134">
        <v>35.36</v>
      </c>
      <c r="H388" s="136">
        <v>37.55</v>
      </c>
      <c r="I388" s="136">
        <v>21.1</v>
      </c>
      <c r="J388" s="134">
        <v>7.67</v>
      </c>
      <c r="K388" s="134">
        <v>8.77</v>
      </c>
      <c r="L388" s="134">
        <v>1.01</v>
      </c>
      <c r="M388" s="134">
        <v>0.33</v>
      </c>
      <c r="N388" s="134">
        <v>2.88</v>
      </c>
      <c r="O388" s="136">
        <v>-19.23</v>
      </c>
      <c r="P388" s="136">
        <v>-1.24</v>
      </c>
      <c r="Q388" s="134">
        <v>0.7</v>
      </c>
      <c r="R388" s="134">
        <v>18.12</v>
      </c>
      <c r="S388" s="134">
        <v>7.86</v>
      </c>
      <c r="T388" s="136">
        <v>15.18</v>
      </c>
      <c r="U388" s="134">
        <v>0.43</v>
      </c>
      <c r="V388" s="134">
        <v>0.57</v>
      </c>
      <c r="W388" s="134">
        <v>0.37</v>
      </c>
      <c r="X388" s="134">
        <v>2.59</v>
      </c>
      <c r="Y388" s="134">
        <v>24.12</v>
      </c>
      <c r="Z388" s="136">
        <v>7000.0</v>
      </c>
      <c r="AA388" s="136">
        <v>14.14</v>
      </c>
      <c r="AB388" s="134">
        <v>2.56</v>
      </c>
      <c r="AC388" s="134">
        <v>0.08</v>
      </c>
      <c r="AD388" s="135">
        <v>1.20318328809E10</v>
      </c>
    </row>
    <row r="389">
      <c r="A389" s="10" t="s">
        <v>133</v>
      </c>
      <c r="B389" s="134">
        <v>11.99</v>
      </c>
      <c r="C389" s="134">
        <v>7.07</v>
      </c>
      <c r="D389" s="136">
        <v>8.56</v>
      </c>
      <c r="E389" s="134">
        <v>1.0</v>
      </c>
      <c r="F389" s="134">
        <v>0.3</v>
      </c>
      <c r="G389" s="134">
        <v>27.41</v>
      </c>
      <c r="H389" s="136">
        <v>11.53</v>
      </c>
      <c r="I389" s="136">
        <v>9.81</v>
      </c>
      <c r="J389" s="134">
        <v>7.28</v>
      </c>
      <c r="K389" s="134">
        <v>11.97</v>
      </c>
      <c r="L389" s="134">
        <v>4.69</v>
      </c>
      <c r="M389" s="134">
        <v>0.64</v>
      </c>
      <c r="N389" s="134">
        <v>0.84</v>
      </c>
      <c r="O389" s="134">
        <v>1.13</v>
      </c>
      <c r="P389" s="134">
        <v>-0.58</v>
      </c>
      <c r="Q389" s="134">
        <v>2.26</v>
      </c>
      <c r="R389" s="134">
        <v>11.66</v>
      </c>
      <c r="S389" s="134">
        <v>3.54</v>
      </c>
      <c r="T389" s="134">
        <v>5.96</v>
      </c>
      <c r="U389" s="134">
        <v>0.3</v>
      </c>
      <c r="V389" s="134">
        <v>0.68</v>
      </c>
      <c r="W389" s="134">
        <v>0.36</v>
      </c>
      <c r="X389" s="134">
        <v>6.89</v>
      </c>
      <c r="Y389" s="134">
        <v>4.31</v>
      </c>
      <c r="Z389" s="135">
        <v>8.840422196E7</v>
      </c>
      <c r="AA389" s="136">
        <v>12.01</v>
      </c>
      <c r="AB389" s="134">
        <v>1.4</v>
      </c>
      <c r="AC389" s="134">
        <v>0.3</v>
      </c>
      <c r="AD389" s="135">
        <v>5.78967164567E9</v>
      </c>
    </row>
    <row r="390">
      <c r="A390" s="10" t="s">
        <v>403</v>
      </c>
      <c r="B390" s="134">
        <v>48.31</v>
      </c>
      <c r="C390" s="10">
        <v>0.0</v>
      </c>
      <c r="D390" s="134">
        <v>-8.21</v>
      </c>
      <c r="E390" s="134">
        <v>0.38</v>
      </c>
      <c r="F390" s="134">
        <v>0.22</v>
      </c>
      <c r="G390" s="134">
        <v>26.91</v>
      </c>
      <c r="H390" s="134">
        <v>-39.25</v>
      </c>
      <c r="I390" s="134">
        <v>-30.29</v>
      </c>
      <c r="J390" s="134">
        <v>-6.34</v>
      </c>
      <c r="K390" s="134">
        <v>-7.31</v>
      </c>
      <c r="L390" s="134">
        <v>-1.03</v>
      </c>
      <c r="M390" s="134">
        <v>0.06</v>
      </c>
      <c r="N390" s="134">
        <v>2.49</v>
      </c>
      <c r="O390" s="134">
        <v>14.06</v>
      </c>
      <c r="P390" s="134">
        <v>-0.24</v>
      </c>
      <c r="Q390" s="134">
        <v>1.38</v>
      </c>
      <c r="R390" s="134">
        <v>-4.63</v>
      </c>
      <c r="S390" s="134">
        <v>-2.72</v>
      </c>
      <c r="T390" s="134">
        <v>-7.07</v>
      </c>
      <c r="U390" s="134">
        <v>0.59</v>
      </c>
      <c r="V390" s="134">
        <v>0.41</v>
      </c>
      <c r="W390" s="134">
        <v>0.09</v>
      </c>
      <c r="X390" s="134">
        <v>-2.17</v>
      </c>
      <c r="Y390" s="10">
        <v>0.0</v>
      </c>
      <c r="Z390" s="139">
        <v>96997.0</v>
      </c>
      <c r="AA390" s="134">
        <v>127.1</v>
      </c>
      <c r="AB390" s="134">
        <v>-5.88</v>
      </c>
      <c r="AC390" s="134">
        <v>0.27</v>
      </c>
      <c r="AD390" s="135">
        <v>3.0686278795E8</v>
      </c>
    </row>
    <row r="391">
      <c r="A391" s="10" t="s">
        <v>545</v>
      </c>
      <c r="B391" s="134">
        <v>45.0</v>
      </c>
      <c r="C391" s="10">
        <v>0.0</v>
      </c>
      <c r="D391" s="136">
        <v>-7.65</v>
      </c>
      <c r="E391" s="134">
        <v>0.35</v>
      </c>
      <c r="F391" s="134">
        <v>0.21</v>
      </c>
      <c r="G391" s="134">
        <v>26.91</v>
      </c>
      <c r="H391" s="134">
        <v>-39.25</v>
      </c>
      <c r="I391" s="134">
        <v>-30.29</v>
      </c>
      <c r="J391" s="134">
        <v>-5.91</v>
      </c>
      <c r="K391" s="134">
        <v>-7.31</v>
      </c>
      <c r="L391" s="134">
        <v>-1.03</v>
      </c>
      <c r="M391" s="134">
        <v>0.06</v>
      </c>
      <c r="N391" s="134">
        <v>2.32</v>
      </c>
      <c r="O391" s="134">
        <v>13.1</v>
      </c>
      <c r="P391" s="134">
        <v>-0.22</v>
      </c>
      <c r="Q391" s="134">
        <v>1.38</v>
      </c>
      <c r="R391" s="134">
        <v>-4.63</v>
      </c>
      <c r="S391" s="134">
        <v>-2.72</v>
      </c>
      <c r="T391" s="134">
        <v>-7.07</v>
      </c>
      <c r="U391" s="134">
        <v>0.59</v>
      </c>
      <c r="V391" s="134">
        <v>0.41</v>
      </c>
      <c r="W391" s="134">
        <v>0.09</v>
      </c>
      <c r="X391" s="134">
        <v>-2.17</v>
      </c>
      <c r="Y391" s="10">
        <v>0.0</v>
      </c>
      <c r="Z391" s="138">
        <v>0.0</v>
      </c>
      <c r="AA391" s="134">
        <v>127.1</v>
      </c>
      <c r="AB391" s="134">
        <v>-5.88</v>
      </c>
      <c r="AC391" s="134">
        <v>0.25</v>
      </c>
      <c r="AD391" s="135">
        <v>3.0686278795E8</v>
      </c>
    </row>
    <row r="392">
      <c r="A392" s="10" t="s">
        <v>632</v>
      </c>
      <c r="B392" s="134">
        <v>702.5</v>
      </c>
      <c r="C392" s="10">
        <v>0.0</v>
      </c>
      <c r="D392" s="136">
        <v>5280.9</v>
      </c>
      <c r="E392" s="134">
        <v>341.95</v>
      </c>
      <c r="F392" s="134">
        <v>70.87</v>
      </c>
      <c r="G392" s="134">
        <v>34.49</v>
      </c>
      <c r="H392" s="134">
        <v>18.87</v>
      </c>
      <c r="I392" s="134">
        <v>3.21</v>
      </c>
      <c r="J392" s="134">
        <v>899.61</v>
      </c>
      <c r="K392" s="134">
        <v>907.14</v>
      </c>
      <c r="L392" s="134">
        <v>7.54</v>
      </c>
      <c r="M392" s="134">
        <v>2.86</v>
      </c>
      <c r="N392" s="134">
        <v>169.76</v>
      </c>
      <c r="O392" s="134">
        <v>-432.79</v>
      </c>
      <c r="P392" s="134">
        <v>-88.2</v>
      </c>
      <c r="Q392" s="134">
        <v>0.55</v>
      </c>
      <c r="R392" s="134">
        <v>6.48</v>
      </c>
      <c r="S392" s="134">
        <v>1.34</v>
      </c>
      <c r="T392" s="134">
        <v>8.06</v>
      </c>
      <c r="U392" s="134">
        <v>0.21</v>
      </c>
      <c r="V392" s="134">
        <v>0.79</v>
      </c>
      <c r="W392" s="134">
        <v>0.42</v>
      </c>
      <c r="X392" s="134">
        <v>14.18</v>
      </c>
      <c r="Y392" s="10">
        <v>0.0</v>
      </c>
      <c r="Z392" s="138">
        <v>0.0</v>
      </c>
      <c r="AA392" s="134">
        <v>2.05</v>
      </c>
      <c r="AB392" s="134">
        <v>0.13</v>
      </c>
      <c r="AC392" s="134">
        <v>9.81</v>
      </c>
      <c r="AD392" s="135">
        <v>1.827189855E10</v>
      </c>
    </row>
    <row r="393">
      <c r="A393" s="10" t="s">
        <v>633</v>
      </c>
      <c r="B393" s="134">
        <v>0.0</v>
      </c>
      <c r="C393" s="10">
        <v>0.0</v>
      </c>
      <c r="D393" s="136">
        <v>0.0</v>
      </c>
      <c r="E393" s="136">
        <v>0.0</v>
      </c>
      <c r="F393" s="134">
        <v>0.0</v>
      </c>
      <c r="G393" s="134">
        <v>11.57</v>
      </c>
      <c r="H393" s="134">
        <v>5.69</v>
      </c>
      <c r="I393" s="134">
        <v>2.3</v>
      </c>
      <c r="J393" s="134">
        <v>0.0</v>
      </c>
      <c r="K393" s="134">
        <v>15.92</v>
      </c>
      <c r="L393" s="134">
        <v>14.76</v>
      </c>
      <c r="M393" s="10">
        <v>0.0</v>
      </c>
      <c r="N393" s="134">
        <v>0.0</v>
      </c>
      <c r="O393" s="136">
        <v>0.0</v>
      </c>
      <c r="P393" s="136">
        <v>0.0</v>
      </c>
      <c r="Q393" s="134">
        <v>0.68</v>
      </c>
      <c r="R393" s="134">
        <v>-7.7</v>
      </c>
      <c r="S393" s="134">
        <v>2.38</v>
      </c>
      <c r="T393" s="136">
        <v>9.46</v>
      </c>
      <c r="U393" s="134">
        <v>-0.31</v>
      </c>
      <c r="V393" s="134">
        <v>1.31</v>
      </c>
      <c r="W393" s="134">
        <v>1.03</v>
      </c>
      <c r="X393" s="134">
        <v>0.14</v>
      </c>
      <c r="Y393" s="10">
        <v>0.0</v>
      </c>
      <c r="Z393" s="140">
        <v>0.0</v>
      </c>
      <c r="AA393" s="134">
        <v>-116.33</v>
      </c>
      <c r="AB393" s="134">
        <v>8.95</v>
      </c>
      <c r="AC393" s="134">
        <v>0.0</v>
      </c>
      <c r="AD393" s="135">
        <v>6175188.48</v>
      </c>
    </row>
    <row r="394">
      <c r="A394" s="10" t="s">
        <v>442</v>
      </c>
      <c r="B394" s="134">
        <v>38.38</v>
      </c>
      <c r="C394" s="10">
        <v>0.0</v>
      </c>
      <c r="D394" s="136">
        <v>4.29</v>
      </c>
      <c r="E394" s="134">
        <v>-0.33</v>
      </c>
      <c r="F394" s="134">
        <v>0.1</v>
      </c>
      <c r="G394" s="134">
        <v>11.57</v>
      </c>
      <c r="H394" s="136">
        <v>5.69</v>
      </c>
      <c r="I394" s="136">
        <v>2.3</v>
      </c>
      <c r="J394" s="134">
        <v>1.73</v>
      </c>
      <c r="K394" s="134">
        <v>15.92</v>
      </c>
      <c r="L394" s="134">
        <v>14.76</v>
      </c>
      <c r="M394" s="10">
        <v>0.0</v>
      </c>
      <c r="N394" s="134">
        <v>0.1</v>
      </c>
      <c r="O394" s="134">
        <v>-0.38</v>
      </c>
      <c r="P394" s="134">
        <v>-0.23</v>
      </c>
      <c r="Q394" s="134">
        <v>0.68</v>
      </c>
      <c r="R394" s="134">
        <v>-7.7</v>
      </c>
      <c r="S394" s="134">
        <v>2.38</v>
      </c>
      <c r="T394" s="134">
        <v>9.46</v>
      </c>
      <c r="U394" s="134">
        <v>-0.31</v>
      </c>
      <c r="V394" s="134">
        <v>1.31</v>
      </c>
      <c r="W394" s="134">
        <v>1.03</v>
      </c>
      <c r="X394" s="134">
        <v>0.14</v>
      </c>
      <c r="Y394" s="10">
        <v>0.0</v>
      </c>
      <c r="Z394" s="136">
        <v>25340.67</v>
      </c>
      <c r="AA394" s="136">
        <v>-116.33</v>
      </c>
      <c r="AB394" s="134">
        <v>8.95</v>
      </c>
      <c r="AC394" s="134">
        <v>-0.05</v>
      </c>
      <c r="AD394" s="135">
        <v>6175188.48</v>
      </c>
    </row>
    <row r="395">
      <c r="A395" s="10" t="s">
        <v>270</v>
      </c>
      <c r="B395" s="134">
        <v>8.0</v>
      </c>
      <c r="C395" s="134">
        <v>5.59</v>
      </c>
      <c r="D395" s="134">
        <v>15.89</v>
      </c>
      <c r="E395" s="134">
        <v>0.86</v>
      </c>
      <c r="F395" s="134">
        <v>0.63</v>
      </c>
      <c r="G395" s="134">
        <v>34.61</v>
      </c>
      <c r="H395" s="134">
        <v>10.49</v>
      </c>
      <c r="I395" s="134">
        <v>9.72</v>
      </c>
      <c r="J395" s="134">
        <v>14.72</v>
      </c>
      <c r="K395" s="134">
        <v>7.07</v>
      </c>
      <c r="L395" s="134">
        <v>-7.54</v>
      </c>
      <c r="M395" s="134">
        <v>-0.44</v>
      </c>
      <c r="N395" s="134">
        <v>1.54</v>
      </c>
      <c r="O395" s="134">
        <v>1.17</v>
      </c>
      <c r="P395" s="134">
        <v>-2.36</v>
      </c>
      <c r="Q395" s="134">
        <v>3.67</v>
      </c>
      <c r="R395" s="134">
        <v>5.42</v>
      </c>
      <c r="S395" s="134">
        <v>3.94</v>
      </c>
      <c r="T395" s="134">
        <v>4.53</v>
      </c>
      <c r="U395" s="134">
        <v>0.73</v>
      </c>
      <c r="V395" s="134">
        <v>0.27</v>
      </c>
      <c r="W395" s="134">
        <v>0.41</v>
      </c>
      <c r="X395" s="10">
        <v>0.0</v>
      </c>
      <c r="Y395" s="10">
        <v>0.0</v>
      </c>
      <c r="Z395" s="135">
        <v>7428482.29</v>
      </c>
      <c r="AA395" s="134">
        <v>9.28</v>
      </c>
      <c r="AB395" s="134">
        <v>0.5</v>
      </c>
      <c r="AC395" s="134">
        <v>0.06</v>
      </c>
      <c r="AD395" s="135">
        <v>8.398520708E8</v>
      </c>
    </row>
    <row r="396">
      <c r="A396" s="10" t="s">
        <v>503</v>
      </c>
      <c r="B396" s="134">
        <v>64.2</v>
      </c>
      <c r="C396" s="134">
        <v>3.08</v>
      </c>
      <c r="D396" s="136">
        <v>11.29</v>
      </c>
      <c r="E396" s="136">
        <v>1.96</v>
      </c>
      <c r="F396" s="134">
        <v>1.42</v>
      </c>
      <c r="G396" s="134">
        <v>29.37</v>
      </c>
      <c r="H396" s="134">
        <v>14.06</v>
      </c>
      <c r="I396" s="134">
        <v>11.16</v>
      </c>
      <c r="J396" s="134">
        <v>8.97</v>
      </c>
      <c r="K396" s="134">
        <v>6.9</v>
      </c>
      <c r="L396" s="134">
        <v>-0.39</v>
      </c>
      <c r="M396" s="134">
        <v>-0.09</v>
      </c>
      <c r="N396" s="134">
        <v>1.26</v>
      </c>
      <c r="O396" s="136">
        <v>2.7</v>
      </c>
      <c r="P396" s="136">
        <v>-6.19</v>
      </c>
      <c r="Q396" s="134">
        <v>3.13</v>
      </c>
      <c r="R396" s="134">
        <v>17.32</v>
      </c>
      <c r="S396" s="134">
        <v>12.55</v>
      </c>
      <c r="T396" s="136">
        <v>12.73</v>
      </c>
      <c r="U396" s="134">
        <v>0.72</v>
      </c>
      <c r="V396" s="134">
        <v>0.28</v>
      </c>
      <c r="W396" s="134">
        <v>1.12</v>
      </c>
      <c r="X396" s="134">
        <v>10.62</v>
      </c>
      <c r="Y396" s="134">
        <v>25.65</v>
      </c>
      <c r="Z396" s="136">
        <v>9450.0</v>
      </c>
      <c r="AA396" s="134">
        <v>32.82</v>
      </c>
      <c r="AB396" s="134">
        <v>5.68</v>
      </c>
      <c r="AC396" s="134">
        <v>0.37</v>
      </c>
      <c r="AD396" s="135">
        <v>4.77283212E8</v>
      </c>
    </row>
    <row r="397">
      <c r="A397" s="10" t="s">
        <v>388</v>
      </c>
      <c r="B397" s="134">
        <v>42.0</v>
      </c>
      <c r="C397" s="134">
        <v>5.18</v>
      </c>
      <c r="D397" s="136">
        <v>7.39</v>
      </c>
      <c r="E397" s="136">
        <v>1.28</v>
      </c>
      <c r="F397" s="134">
        <v>0.93</v>
      </c>
      <c r="G397" s="134">
        <v>29.37</v>
      </c>
      <c r="H397" s="136">
        <v>14.06</v>
      </c>
      <c r="I397" s="136">
        <v>11.16</v>
      </c>
      <c r="J397" s="136">
        <v>5.87</v>
      </c>
      <c r="K397" s="136">
        <v>6.9</v>
      </c>
      <c r="L397" s="134">
        <v>-0.39</v>
      </c>
      <c r="M397" s="134">
        <v>-0.09</v>
      </c>
      <c r="N397" s="136">
        <v>0.82</v>
      </c>
      <c r="O397" s="136">
        <v>1.77</v>
      </c>
      <c r="P397" s="136">
        <v>-4.05</v>
      </c>
      <c r="Q397" s="134">
        <v>3.13</v>
      </c>
      <c r="R397" s="134">
        <v>17.32</v>
      </c>
      <c r="S397" s="134">
        <v>12.55</v>
      </c>
      <c r="T397" s="136">
        <v>12.73</v>
      </c>
      <c r="U397" s="134">
        <v>0.72</v>
      </c>
      <c r="V397" s="134">
        <v>0.28</v>
      </c>
      <c r="W397" s="134">
        <v>1.12</v>
      </c>
      <c r="X397" s="134">
        <v>10.62</v>
      </c>
      <c r="Y397" s="134">
        <v>25.65</v>
      </c>
      <c r="Z397" s="135">
        <v>160225.79</v>
      </c>
      <c r="AA397" s="136">
        <v>32.82</v>
      </c>
      <c r="AB397" s="134">
        <v>5.68</v>
      </c>
      <c r="AC397" s="136">
        <v>0.24</v>
      </c>
      <c r="AD397" s="135">
        <v>4.77283212E8</v>
      </c>
    </row>
    <row r="398">
      <c r="A398" s="10" t="s">
        <v>103</v>
      </c>
      <c r="B398" s="134">
        <v>19.01</v>
      </c>
      <c r="C398" s="134">
        <v>2.39</v>
      </c>
      <c r="D398" s="136">
        <v>13.35</v>
      </c>
      <c r="E398" s="134">
        <v>1.79</v>
      </c>
      <c r="F398" s="134">
        <v>1.07</v>
      </c>
      <c r="G398" s="134">
        <v>74.32</v>
      </c>
      <c r="H398" s="134">
        <v>92.29</v>
      </c>
      <c r="I398" s="134">
        <v>82.34</v>
      </c>
      <c r="J398" s="134">
        <v>11.91</v>
      </c>
      <c r="K398" s="134">
        <v>14.03</v>
      </c>
      <c r="L398" s="134">
        <v>2.13</v>
      </c>
      <c r="M398" s="134">
        <v>0.32</v>
      </c>
      <c r="N398" s="134">
        <v>10.99</v>
      </c>
      <c r="O398" s="134">
        <v>11.3</v>
      </c>
      <c r="P398" s="134">
        <v>-1.28</v>
      </c>
      <c r="Q398" s="134">
        <v>2.25</v>
      </c>
      <c r="R398" s="134">
        <v>13.41</v>
      </c>
      <c r="S398" s="136">
        <v>7.99</v>
      </c>
      <c r="T398" s="136">
        <v>9.55</v>
      </c>
      <c r="U398" s="134">
        <v>0.6</v>
      </c>
      <c r="V398" s="134">
        <v>0.4</v>
      </c>
      <c r="W398" s="136">
        <v>0.1</v>
      </c>
      <c r="X398" s="134">
        <v>0.31</v>
      </c>
      <c r="Y398" s="134">
        <v>18.76</v>
      </c>
      <c r="Z398" s="135">
        <v>1.3315187521E8</v>
      </c>
      <c r="AA398" s="134">
        <v>10.62</v>
      </c>
      <c r="AB398" s="134">
        <v>1.42</v>
      </c>
      <c r="AC398" s="134">
        <v>0.2</v>
      </c>
      <c r="AD398" s="135">
        <v>1.1414456625E10</v>
      </c>
    </row>
    <row r="399">
      <c r="A399" s="10" t="s">
        <v>507</v>
      </c>
      <c r="B399" s="134">
        <v>31.01</v>
      </c>
      <c r="C399" s="10">
        <v>0.0</v>
      </c>
      <c r="D399" s="136">
        <v>0.39</v>
      </c>
      <c r="E399" s="134">
        <v>-1.27</v>
      </c>
      <c r="F399" s="134">
        <v>0.29</v>
      </c>
      <c r="G399" s="134">
        <v>14.17</v>
      </c>
      <c r="H399" s="136">
        <v>43.58</v>
      </c>
      <c r="I399" s="136">
        <v>83.25</v>
      </c>
      <c r="J399" s="134">
        <v>0.74</v>
      </c>
      <c r="K399" s="134">
        <v>1.13</v>
      </c>
      <c r="L399" s="134">
        <v>0.57</v>
      </c>
      <c r="M399" s="10">
        <v>0.0</v>
      </c>
      <c r="N399" s="134">
        <v>0.32</v>
      </c>
      <c r="O399" s="134">
        <v>-3.31</v>
      </c>
      <c r="P399" s="134">
        <v>-0.49</v>
      </c>
      <c r="Q399" s="134">
        <v>0.83</v>
      </c>
      <c r="R399" s="134">
        <v>-328.58</v>
      </c>
      <c r="S399" s="136">
        <v>73.69</v>
      </c>
      <c r="T399" s="136">
        <v>-3731.67</v>
      </c>
      <c r="U399" s="134">
        <v>-0.22</v>
      </c>
      <c r="V399" s="134">
        <v>1.23</v>
      </c>
      <c r="W399" s="136">
        <v>0.89</v>
      </c>
      <c r="X399" s="134">
        <v>-0.73</v>
      </c>
      <c r="Y399" s="10">
        <v>0.0</v>
      </c>
      <c r="Z399" s="136">
        <v>5175.0</v>
      </c>
      <c r="AA399" s="136">
        <v>-24.37</v>
      </c>
      <c r="AB399" s="134">
        <v>80.07</v>
      </c>
      <c r="AC399" s="134">
        <v>0.0</v>
      </c>
      <c r="AD399" s="135">
        <v>4.831505043E7</v>
      </c>
    </row>
    <row r="400">
      <c r="A400" s="10" t="s">
        <v>381</v>
      </c>
      <c r="B400" s="134">
        <v>19.71</v>
      </c>
      <c r="C400" s="10">
        <v>0.0</v>
      </c>
      <c r="D400" s="136">
        <v>0.25</v>
      </c>
      <c r="E400" s="134">
        <v>-0.81</v>
      </c>
      <c r="F400" s="134">
        <v>0.18</v>
      </c>
      <c r="G400" s="134">
        <v>14.17</v>
      </c>
      <c r="H400" s="136">
        <v>43.58</v>
      </c>
      <c r="I400" s="136">
        <v>83.25</v>
      </c>
      <c r="J400" s="134">
        <v>0.47</v>
      </c>
      <c r="K400" s="134">
        <v>1.13</v>
      </c>
      <c r="L400" s="134">
        <v>0.57</v>
      </c>
      <c r="M400" s="10">
        <v>0.0</v>
      </c>
      <c r="N400" s="134">
        <v>0.2</v>
      </c>
      <c r="O400" s="134">
        <v>-2.1</v>
      </c>
      <c r="P400" s="134">
        <v>-0.31</v>
      </c>
      <c r="Q400" s="134">
        <v>0.83</v>
      </c>
      <c r="R400" s="134">
        <v>-328.58</v>
      </c>
      <c r="S400" s="136">
        <v>73.69</v>
      </c>
      <c r="T400" s="136">
        <v>-3731.67</v>
      </c>
      <c r="U400" s="134">
        <v>-0.22</v>
      </c>
      <c r="V400" s="134">
        <v>1.23</v>
      </c>
      <c r="W400" s="134">
        <v>0.89</v>
      </c>
      <c r="X400" s="134">
        <v>-0.73</v>
      </c>
      <c r="Y400" s="10">
        <v>0.0</v>
      </c>
      <c r="Z400" s="135">
        <v>161386.79</v>
      </c>
      <c r="AA400" s="136">
        <v>-24.37</v>
      </c>
      <c r="AB400" s="134">
        <v>80.07</v>
      </c>
      <c r="AC400" s="134">
        <v>0.0</v>
      </c>
      <c r="AD400" s="135">
        <v>4.831505043E7</v>
      </c>
    </row>
    <row r="401">
      <c r="A401" s="10" t="s">
        <v>199</v>
      </c>
      <c r="B401" s="134">
        <v>18.08</v>
      </c>
      <c r="C401" s="10">
        <v>0.0</v>
      </c>
      <c r="D401" s="136">
        <v>23.61</v>
      </c>
      <c r="E401" s="134">
        <v>0.77</v>
      </c>
      <c r="F401" s="134">
        <v>0.21</v>
      </c>
      <c r="G401" s="134">
        <v>11.54</v>
      </c>
      <c r="H401" s="136">
        <v>6.33</v>
      </c>
      <c r="I401" s="136">
        <v>1.01</v>
      </c>
      <c r="J401" s="134">
        <v>3.76</v>
      </c>
      <c r="K401" s="134">
        <v>9.19</v>
      </c>
      <c r="L401" s="134">
        <v>5.44</v>
      </c>
      <c r="M401" s="134">
        <v>1.12</v>
      </c>
      <c r="N401" s="134">
        <v>0.24</v>
      </c>
      <c r="O401" s="134">
        <v>1.95</v>
      </c>
      <c r="P401" s="134">
        <v>-0.4</v>
      </c>
      <c r="Q401" s="134">
        <v>1.3</v>
      </c>
      <c r="R401" s="134">
        <v>3.27</v>
      </c>
      <c r="S401" s="134">
        <v>0.89</v>
      </c>
      <c r="T401" s="136">
        <v>4.76</v>
      </c>
      <c r="U401" s="134">
        <v>0.27</v>
      </c>
      <c r="V401" s="134">
        <v>0.71</v>
      </c>
      <c r="W401" s="134">
        <v>0.88</v>
      </c>
      <c r="X401" s="134">
        <v>5.05</v>
      </c>
      <c r="Y401" s="134">
        <v>18.98</v>
      </c>
      <c r="Z401" s="135">
        <v>2.890318513E7</v>
      </c>
      <c r="AA401" s="136">
        <v>23.41</v>
      </c>
      <c r="AB401" s="134">
        <v>0.77</v>
      </c>
      <c r="AC401" s="134">
        <v>-0.14</v>
      </c>
      <c r="AD401" s="135">
        <v>2.77156440603E9</v>
      </c>
    </row>
    <row r="402">
      <c r="A402" s="10" t="s">
        <v>634</v>
      </c>
      <c r="B402" s="134">
        <v>64.37</v>
      </c>
      <c r="C402" s="10">
        <v>0.0</v>
      </c>
      <c r="D402" s="136">
        <v>11.8</v>
      </c>
      <c r="E402" s="134">
        <v>2.76</v>
      </c>
      <c r="F402" s="134">
        <v>1.15</v>
      </c>
      <c r="G402" s="134">
        <v>41.15</v>
      </c>
      <c r="H402" s="134">
        <v>16.49</v>
      </c>
      <c r="I402" s="134">
        <v>9.34</v>
      </c>
      <c r="J402" s="134">
        <v>6.68</v>
      </c>
      <c r="K402" s="134">
        <v>5.06</v>
      </c>
      <c r="L402" s="134">
        <v>1.17</v>
      </c>
      <c r="M402" s="134">
        <v>0.48</v>
      </c>
      <c r="N402" s="134">
        <v>1.1</v>
      </c>
      <c r="O402" s="134">
        <v>3.2</v>
      </c>
      <c r="P402" s="134">
        <v>-2.87</v>
      </c>
      <c r="Q402" s="134">
        <v>2.52</v>
      </c>
      <c r="R402" s="134">
        <v>23.42</v>
      </c>
      <c r="S402" s="134">
        <v>9.77</v>
      </c>
      <c r="T402" s="134">
        <v>15.89</v>
      </c>
      <c r="U402" s="134">
        <v>0.42</v>
      </c>
      <c r="V402" s="134">
        <v>0.58</v>
      </c>
      <c r="W402" s="134">
        <v>1.05</v>
      </c>
      <c r="X402" s="134">
        <v>7.87</v>
      </c>
      <c r="Y402" s="134">
        <v>35.19</v>
      </c>
      <c r="Z402" s="140">
        <v>0.0</v>
      </c>
      <c r="AA402" s="134">
        <v>23.3</v>
      </c>
      <c r="AB402" s="134">
        <v>5.46</v>
      </c>
      <c r="AC402" s="134">
        <v>-1.14</v>
      </c>
      <c r="AD402" s="135">
        <v>5.0831529242E8</v>
      </c>
    </row>
    <row r="403">
      <c r="A403" s="10" t="s">
        <v>635</v>
      </c>
      <c r="B403" s="134">
        <v>19.02</v>
      </c>
      <c r="C403" s="10">
        <v>0.0</v>
      </c>
      <c r="D403" s="134">
        <v>3.49</v>
      </c>
      <c r="E403" s="134">
        <v>0.82</v>
      </c>
      <c r="F403" s="134">
        <v>0.34</v>
      </c>
      <c r="G403" s="134">
        <v>41.15</v>
      </c>
      <c r="H403" s="134">
        <v>16.49</v>
      </c>
      <c r="I403" s="134">
        <v>9.34</v>
      </c>
      <c r="J403" s="134">
        <v>1.97</v>
      </c>
      <c r="K403" s="134">
        <v>5.06</v>
      </c>
      <c r="L403" s="134">
        <v>1.17</v>
      </c>
      <c r="M403" s="134">
        <v>0.48</v>
      </c>
      <c r="N403" s="134">
        <v>0.33</v>
      </c>
      <c r="O403" s="134">
        <v>0.94</v>
      </c>
      <c r="P403" s="134">
        <v>-0.85</v>
      </c>
      <c r="Q403" s="134">
        <v>2.52</v>
      </c>
      <c r="R403" s="134">
        <v>23.42</v>
      </c>
      <c r="S403" s="134">
        <v>9.77</v>
      </c>
      <c r="T403" s="134">
        <v>15.89</v>
      </c>
      <c r="U403" s="134">
        <v>0.42</v>
      </c>
      <c r="V403" s="134">
        <v>0.58</v>
      </c>
      <c r="W403" s="134">
        <v>1.05</v>
      </c>
      <c r="X403" s="134">
        <v>7.87</v>
      </c>
      <c r="Y403" s="134">
        <v>35.19</v>
      </c>
      <c r="Z403" s="138">
        <v>0.0</v>
      </c>
      <c r="AA403" s="134">
        <v>23.3</v>
      </c>
      <c r="AB403" s="134">
        <v>5.46</v>
      </c>
      <c r="AC403" s="134">
        <v>-0.34</v>
      </c>
      <c r="AD403" s="135">
        <v>5.0831529242E8</v>
      </c>
    </row>
    <row r="404">
      <c r="A404" s="10" t="s">
        <v>636</v>
      </c>
      <c r="B404" s="134">
        <v>0.0</v>
      </c>
      <c r="C404" s="10">
        <v>0.0</v>
      </c>
      <c r="D404" s="134">
        <v>0.0</v>
      </c>
      <c r="E404" s="134">
        <v>0.0</v>
      </c>
      <c r="F404" s="134">
        <v>0.0</v>
      </c>
      <c r="G404" s="134">
        <v>44.54</v>
      </c>
      <c r="H404" s="134">
        <v>39.13</v>
      </c>
      <c r="I404" s="134">
        <v>9.53</v>
      </c>
      <c r="J404" s="134">
        <v>0.0</v>
      </c>
      <c r="K404" s="134">
        <v>4.29</v>
      </c>
      <c r="L404" s="134">
        <v>4.29</v>
      </c>
      <c r="M404" s="134">
        <v>14.36</v>
      </c>
      <c r="N404" s="134">
        <v>0.0</v>
      </c>
      <c r="O404" s="134">
        <v>0.0</v>
      </c>
      <c r="P404" s="134">
        <v>0.0</v>
      </c>
      <c r="Q404" s="134">
        <v>2.96</v>
      </c>
      <c r="R404" s="134">
        <v>81.56</v>
      </c>
      <c r="S404" s="134">
        <v>3.16</v>
      </c>
      <c r="T404" s="134">
        <v>10.74</v>
      </c>
      <c r="U404" s="134">
        <v>0.04</v>
      </c>
      <c r="V404" s="134">
        <v>0.86</v>
      </c>
      <c r="W404" s="134">
        <v>0.33</v>
      </c>
      <c r="X404" s="134">
        <v>24.4</v>
      </c>
      <c r="Y404" s="10">
        <v>0.0</v>
      </c>
      <c r="Z404" s="138">
        <v>0.0</v>
      </c>
      <c r="AA404" s="134">
        <v>23.13</v>
      </c>
      <c r="AB404" s="134">
        <v>18.86</v>
      </c>
      <c r="AC404" s="134">
        <v>0.0</v>
      </c>
      <c r="AD404" s="136">
        <v>0.0</v>
      </c>
    </row>
    <row r="405">
      <c r="A405" s="10" t="s">
        <v>637</v>
      </c>
      <c r="B405" s="134">
        <v>52.97</v>
      </c>
      <c r="C405" s="10">
        <v>0.0</v>
      </c>
      <c r="D405" s="136">
        <v>2.81</v>
      </c>
      <c r="E405" s="134">
        <v>2.29</v>
      </c>
      <c r="F405" s="134">
        <v>0.09</v>
      </c>
      <c r="G405" s="134">
        <v>44.54</v>
      </c>
      <c r="H405" s="136">
        <v>39.13</v>
      </c>
      <c r="I405" s="136">
        <v>9.53</v>
      </c>
      <c r="J405" s="134">
        <v>0.68</v>
      </c>
      <c r="K405" s="134">
        <v>4.29</v>
      </c>
      <c r="L405" s="134">
        <v>4.29</v>
      </c>
      <c r="M405" s="134">
        <v>14.36</v>
      </c>
      <c r="N405" s="134">
        <v>0.27</v>
      </c>
      <c r="O405" s="134">
        <v>0.63</v>
      </c>
      <c r="P405" s="134">
        <v>-0.11</v>
      </c>
      <c r="Q405" s="134">
        <v>2.96</v>
      </c>
      <c r="R405" s="134">
        <v>81.56</v>
      </c>
      <c r="S405" s="134">
        <v>3.16</v>
      </c>
      <c r="T405" s="134">
        <v>10.74</v>
      </c>
      <c r="U405" s="134">
        <v>0.04</v>
      </c>
      <c r="V405" s="134">
        <v>0.86</v>
      </c>
      <c r="W405" s="134">
        <v>0.33</v>
      </c>
      <c r="X405" s="134">
        <v>24.4</v>
      </c>
      <c r="Y405" s="10">
        <v>0.0</v>
      </c>
      <c r="Z405" s="138">
        <v>0.0</v>
      </c>
      <c r="AA405" s="136">
        <v>23.13</v>
      </c>
      <c r="AB405" s="134">
        <v>18.86</v>
      </c>
      <c r="AC405" s="134">
        <v>-0.02</v>
      </c>
      <c r="AD405" s="136">
        <v>0.0</v>
      </c>
    </row>
    <row r="406">
      <c r="A406" s="10" t="s">
        <v>638</v>
      </c>
      <c r="B406" s="134">
        <v>0.0</v>
      </c>
      <c r="C406" s="10">
        <v>0.0</v>
      </c>
      <c r="D406" s="134">
        <v>0.0</v>
      </c>
      <c r="E406" s="134">
        <v>0.0</v>
      </c>
      <c r="F406" s="134">
        <v>0.0</v>
      </c>
      <c r="G406" s="134">
        <v>44.54</v>
      </c>
      <c r="H406" s="136">
        <v>39.13</v>
      </c>
      <c r="I406" s="136">
        <v>9.53</v>
      </c>
      <c r="J406" s="134">
        <v>0.0</v>
      </c>
      <c r="K406" s="134">
        <v>4.29</v>
      </c>
      <c r="L406" s="134">
        <v>4.29</v>
      </c>
      <c r="M406" s="134">
        <v>14.36</v>
      </c>
      <c r="N406" s="134">
        <v>0.0</v>
      </c>
      <c r="O406" s="134">
        <v>0.0</v>
      </c>
      <c r="P406" s="134">
        <v>0.0</v>
      </c>
      <c r="Q406" s="134">
        <v>2.96</v>
      </c>
      <c r="R406" s="134">
        <v>81.56</v>
      </c>
      <c r="S406" s="134">
        <v>3.16</v>
      </c>
      <c r="T406" s="134">
        <v>10.74</v>
      </c>
      <c r="U406" s="134">
        <v>0.04</v>
      </c>
      <c r="V406" s="134">
        <v>0.86</v>
      </c>
      <c r="W406" s="134">
        <v>0.33</v>
      </c>
      <c r="X406" s="134">
        <v>24.4</v>
      </c>
      <c r="Y406" s="10">
        <v>0.0</v>
      </c>
      <c r="Z406" s="138">
        <v>0.0</v>
      </c>
      <c r="AA406" s="136">
        <v>23.13</v>
      </c>
      <c r="AB406" s="134">
        <v>18.86</v>
      </c>
      <c r="AC406" s="134">
        <v>0.0</v>
      </c>
      <c r="AD406" s="136">
        <v>0.0</v>
      </c>
    </row>
    <row r="407">
      <c r="A407" s="10" t="s">
        <v>164</v>
      </c>
      <c r="B407" s="134">
        <v>14.98</v>
      </c>
      <c r="C407" s="134">
        <v>3.51</v>
      </c>
      <c r="D407" s="136">
        <v>4.76</v>
      </c>
      <c r="E407" s="134">
        <v>0.81</v>
      </c>
      <c r="F407" s="134">
        <v>0.24</v>
      </c>
      <c r="G407" s="134">
        <v>24.54</v>
      </c>
      <c r="H407" s="136">
        <v>17.8</v>
      </c>
      <c r="I407" s="136">
        <v>10.2</v>
      </c>
      <c r="J407" s="134">
        <v>2.73</v>
      </c>
      <c r="K407" s="134">
        <v>6.82</v>
      </c>
      <c r="L407" s="134">
        <v>4.08</v>
      </c>
      <c r="M407" s="134">
        <v>1.21</v>
      </c>
      <c r="N407" s="134">
        <v>0.49</v>
      </c>
      <c r="O407" s="134">
        <v>6.09</v>
      </c>
      <c r="P407" s="134">
        <v>-0.31</v>
      </c>
      <c r="Q407" s="134">
        <v>1.24</v>
      </c>
      <c r="R407" s="134">
        <v>16.99</v>
      </c>
      <c r="S407" s="134">
        <v>5.11</v>
      </c>
      <c r="T407" s="134">
        <v>9.84</v>
      </c>
      <c r="U407" s="134">
        <v>0.3</v>
      </c>
      <c r="V407" s="134">
        <v>0.69</v>
      </c>
      <c r="W407" s="134">
        <v>0.5</v>
      </c>
      <c r="X407" s="134">
        <v>16.97</v>
      </c>
      <c r="Y407" s="134">
        <v>65.3</v>
      </c>
      <c r="Z407" s="135">
        <v>4.511592808E7</v>
      </c>
      <c r="AA407" s="136">
        <v>18.51</v>
      </c>
      <c r="AB407" s="134">
        <v>3.15</v>
      </c>
      <c r="AC407" s="134">
        <v>0.07</v>
      </c>
      <c r="AD407" s="135">
        <v>1.823123466496E10</v>
      </c>
    </row>
    <row r="408">
      <c r="A408" s="10" t="s">
        <v>252</v>
      </c>
      <c r="B408" s="134">
        <v>4.63</v>
      </c>
      <c r="C408" s="134">
        <v>0.27</v>
      </c>
      <c r="D408" s="134">
        <v>47.84</v>
      </c>
      <c r="E408" s="134">
        <v>2.36</v>
      </c>
      <c r="F408" s="134">
        <v>1.65</v>
      </c>
      <c r="G408" s="134">
        <v>65.71</v>
      </c>
      <c r="H408" s="136">
        <v>16.95</v>
      </c>
      <c r="I408" s="136">
        <v>10.1</v>
      </c>
      <c r="J408" s="134">
        <v>28.51</v>
      </c>
      <c r="K408" s="134">
        <v>23.02</v>
      </c>
      <c r="L408" s="134">
        <v>-5.98</v>
      </c>
      <c r="M408" s="134">
        <v>-0.49</v>
      </c>
      <c r="N408" s="134">
        <v>4.83</v>
      </c>
      <c r="O408" s="134">
        <v>3.47</v>
      </c>
      <c r="P408" s="134">
        <v>-4.14</v>
      </c>
      <c r="Q408" s="134">
        <v>4.71</v>
      </c>
      <c r="R408" s="134">
        <v>4.93</v>
      </c>
      <c r="S408" s="134">
        <v>3.44</v>
      </c>
      <c r="T408" s="134">
        <v>4.7</v>
      </c>
      <c r="U408" s="134">
        <v>0.7</v>
      </c>
      <c r="V408" s="134">
        <v>0.3</v>
      </c>
      <c r="W408" s="134">
        <v>0.34</v>
      </c>
      <c r="X408" s="10">
        <v>0.0</v>
      </c>
      <c r="Y408" s="10">
        <v>0.0</v>
      </c>
      <c r="Z408" s="135">
        <v>9106304.92</v>
      </c>
      <c r="AA408" s="136">
        <v>1.96</v>
      </c>
      <c r="AB408" s="134">
        <v>0.1</v>
      </c>
      <c r="AC408" s="134">
        <v>0.37</v>
      </c>
      <c r="AD408" s="135">
        <v>1.1240995743E9</v>
      </c>
    </row>
    <row r="409">
      <c r="A409" s="10" t="s">
        <v>314</v>
      </c>
      <c r="B409" s="136">
        <v>9.43</v>
      </c>
      <c r="C409" s="10">
        <v>0.0</v>
      </c>
      <c r="D409" s="136">
        <v>-20.7</v>
      </c>
      <c r="E409" s="134">
        <v>1.55</v>
      </c>
      <c r="F409" s="134">
        <v>1.41</v>
      </c>
      <c r="G409" s="134">
        <v>92.4</v>
      </c>
      <c r="H409" s="136">
        <v>-46.51</v>
      </c>
      <c r="I409" s="136">
        <v>-44.33</v>
      </c>
      <c r="J409" s="136">
        <v>-19.73</v>
      </c>
      <c r="K409" s="136">
        <v>-6.37</v>
      </c>
      <c r="L409" s="134">
        <v>13.57</v>
      </c>
      <c r="M409" s="134">
        <v>-1.07</v>
      </c>
      <c r="N409" s="134">
        <v>9.18</v>
      </c>
      <c r="O409" s="136">
        <v>1.56</v>
      </c>
      <c r="P409" s="134">
        <v>-317.23</v>
      </c>
      <c r="Q409" s="134">
        <v>11.1</v>
      </c>
      <c r="R409" s="134">
        <v>-7.5</v>
      </c>
      <c r="S409" s="134">
        <v>-6.83</v>
      </c>
      <c r="T409" s="134">
        <v>-7.92</v>
      </c>
      <c r="U409" s="134">
        <v>0.91</v>
      </c>
      <c r="V409" s="134">
        <v>0.09</v>
      </c>
      <c r="W409" s="134">
        <v>0.15</v>
      </c>
      <c r="X409" s="10">
        <v>0.0</v>
      </c>
      <c r="Y409" s="10">
        <v>0.0</v>
      </c>
      <c r="Z409" s="135">
        <v>1365176.25</v>
      </c>
      <c r="AA409" s="136">
        <v>6.07</v>
      </c>
      <c r="AB409" s="134">
        <v>-0.46</v>
      </c>
      <c r="AC409" s="10">
        <v>0.0</v>
      </c>
      <c r="AD409" s="135">
        <v>4.7864056189E8</v>
      </c>
    </row>
    <row r="410">
      <c r="A410" s="10" t="s">
        <v>432</v>
      </c>
      <c r="B410" s="136">
        <v>15.03</v>
      </c>
      <c r="C410" s="10">
        <v>0.0</v>
      </c>
      <c r="D410" s="136">
        <v>-84.99</v>
      </c>
      <c r="E410" s="136">
        <v>-0.71</v>
      </c>
      <c r="F410" s="136">
        <v>5.74</v>
      </c>
      <c r="G410" s="134">
        <v>90.84</v>
      </c>
      <c r="H410" s="136">
        <v>81.8</v>
      </c>
      <c r="I410" s="136">
        <v>-64.59</v>
      </c>
      <c r="J410" s="136">
        <v>67.11</v>
      </c>
      <c r="K410" s="136">
        <v>92.24</v>
      </c>
      <c r="L410" s="134">
        <v>25.13</v>
      </c>
      <c r="M410" s="10">
        <v>0.0</v>
      </c>
      <c r="N410" s="134">
        <v>54.89</v>
      </c>
      <c r="O410" s="136">
        <v>-2.12</v>
      </c>
      <c r="P410" s="136">
        <v>-6.19</v>
      </c>
      <c r="Q410" s="134">
        <v>0.03</v>
      </c>
      <c r="R410" s="136">
        <v>-0.83</v>
      </c>
      <c r="S410" s="136">
        <v>-6.75</v>
      </c>
      <c r="T410" s="136">
        <v>-1.43</v>
      </c>
      <c r="U410" s="134">
        <v>-8.12</v>
      </c>
      <c r="V410" s="134">
        <v>9.12</v>
      </c>
      <c r="W410" s="134">
        <v>0.1</v>
      </c>
      <c r="X410" s="10">
        <v>0.0</v>
      </c>
      <c r="Y410" s="10">
        <v>0.0</v>
      </c>
      <c r="Z410" s="136">
        <v>73987.39</v>
      </c>
      <c r="AA410" s="136">
        <v>-21.27</v>
      </c>
      <c r="AB410" s="134">
        <v>-0.18</v>
      </c>
      <c r="AC410" s="134">
        <v>0.08</v>
      </c>
      <c r="AD410" s="135">
        <v>9.952093458E7</v>
      </c>
    </row>
    <row r="411">
      <c r="A411" s="10" t="s">
        <v>639</v>
      </c>
      <c r="B411" s="134">
        <v>0.0</v>
      </c>
      <c r="C411" s="10">
        <v>0.0</v>
      </c>
      <c r="D411" s="134">
        <v>0.0</v>
      </c>
      <c r="E411" s="134">
        <v>0.0</v>
      </c>
      <c r="F411" s="134">
        <v>0.0</v>
      </c>
      <c r="G411" s="134">
        <v>32.16</v>
      </c>
      <c r="H411" s="136">
        <v>20.16</v>
      </c>
      <c r="I411" s="136">
        <v>13.79</v>
      </c>
      <c r="J411" s="134">
        <v>0.0</v>
      </c>
      <c r="K411" s="134">
        <v>0.03</v>
      </c>
      <c r="L411" s="134">
        <v>0.03</v>
      </c>
      <c r="M411" s="134">
        <v>0.01</v>
      </c>
      <c r="N411" s="134">
        <v>0.0</v>
      </c>
      <c r="O411" s="134">
        <v>0.0</v>
      </c>
      <c r="P411" s="134">
        <v>0.0</v>
      </c>
      <c r="Q411" s="134">
        <v>3.44</v>
      </c>
      <c r="R411" s="134">
        <v>19.68</v>
      </c>
      <c r="S411" s="134">
        <v>14.02</v>
      </c>
      <c r="T411" s="134">
        <v>17.43</v>
      </c>
      <c r="U411" s="134">
        <v>0.71</v>
      </c>
      <c r="V411" s="134">
        <v>0.29</v>
      </c>
      <c r="W411" s="134">
        <v>1.02</v>
      </c>
      <c r="X411" s="134">
        <v>9.55</v>
      </c>
      <c r="Y411" s="134">
        <v>9.24</v>
      </c>
      <c r="Z411" s="138">
        <v>0.0</v>
      </c>
      <c r="AA411" s="136">
        <v>14.3</v>
      </c>
      <c r="AB411" s="134">
        <v>2.81</v>
      </c>
      <c r="AC411" s="134">
        <v>0.0</v>
      </c>
      <c r="AD411" s="136">
        <v>0.0</v>
      </c>
    </row>
    <row r="412">
      <c r="A412" s="10" t="s">
        <v>78</v>
      </c>
      <c r="B412" s="136">
        <v>43.91</v>
      </c>
      <c r="C412" s="10">
        <v>0.0</v>
      </c>
      <c r="D412" s="136">
        <v>94.8</v>
      </c>
      <c r="E412" s="134">
        <v>2.3</v>
      </c>
      <c r="F412" s="134">
        <v>1.03</v>
      </c>
      <c r="G412" s="134">
        <v>64.69</v>
      </c>
      <c r="H412" s="136">
        <v>3.44</v>
      </c>
      <c r="I412" s="136">
        <v>1.54</v>
      </c>
      <c r="J412" s="136">
        <v>42.53</v>
      </c>
      <c r="K412" s="136">
        <v>47.05</v>
      </c>
      <c r="L412" s="134">
        <v>4.32</v>
      </c>
      <c r="M412" s="134">
        <v>0.23</v>
      </c>
      <c r="N412" s="134">
        <v>1.46</v>
      </c>
      <c r="O412" s="136">
        <v>12.42</v>
      </c>
      <c r="P412" s="134">
        <v>-1.54</v>
      </c>
      <c r="Q412" s="134">
        <v>1.34</v>
      </c>
      <c r="R412" s="134">
        <v>2.43</v>
      </c>
      <c r="S412" s="134">
        <v>1.09</v>
      </c>
      <c r="T412" s="134">
        <v>2.77</v>
      </c>
      <c r="U412" s="134">
        <v>0.45</v>
      </c>
      <c r="V412" s="134">
        <v>0.55</v>
      </c>
      <c r="W412" s="134">
        <v>0.71</v>
      </c>
      <c r="X412" s="134">
        <v>36.13</v>
      </c>
      <c r="Y412" s="134">
        <v>4.46</v>
      </c>
      <c r="Z412" s="135">
        <v>2.7710377775E8</v>
      </c>
      <c r="AA412" s="136">
        <v>19.08</v>
      </c>
      <c r="AB412" s="134">
        <v>0.46</v>
      </c>
      <c r="AC412" s="134">
        <v>-0.6</v>
      </c>
      <c r="AD412" s="135">
        <v>6.084305680468E10</v>
      </c>
    </row>
    <row r="413">
      <c r="A413" s="10" t="s">
        <v>462</v>
      </c>
      <c r="B413" s="136">
        <v>253.0</v>
      </c>
      <c r="C413" s="10">
        <v>0.0</v>
      </c>
      <c r="D413" s="136">
        <v>8.53</v>
      </c>
      <c r="E413" s="136">
        <v>1.73</v>
      </c>
      <c r="F413" s="134">
        <v>0.45</v>
      </c>
      <c r="G413" s="134">
        <v>15.72</v>
      </c>
      <c r="H413" s="136">
        <v>6.91</v>
      </c>
      <c r="I413" s="136">
        <v>3.76</v>
      </c>
      <c r="J413" s="136">
        <v>4.65</v>
      </c>
      <c r="K413" s="136">
        <v>5.61</v>
      </c>
      <c r="L413" s="134">
        <v>0.96</v>
      </c>
      <c r="M413" s="134">
        <v>0.36</v>
      </c>
      <c r="N413" s="134">
        <v>0.32</v>
      </c>
      <c r="O413" s="136">
        <v>1.29</v>
      </c>
      <c r="P413" s="134">
        <v>-1.09</v>
      </c>
      <c r="Q413" s="134">
        <v>2.45</v>
      </c>
      <c r="R413" s="136">
        <v>20.31</v>
      </c>
      <c r="S413" s="134">
        <v>5.24</v>
      </c>
      <c r="T413" s="134">
        <v>23.12</v>
      </c>
      <c r="U413" s="134">
        <v>0.26</v>
      </c>
      <c r="V413" s="134">
        <v>0.74</v>
      </c>
      <c r="W413" s="134">
        <v>1.39</v>
      </c>
      <c r="X413" s="134">
        <v>16.61</v>
      </c>
      <c r="Y413" s="10">
        <v>0.0</v>
      </c>
      <c r="Z413" s="136">
        <v>25300.0</v>
      </c>
      <c r="AA413" s="136">
        <v>145.97</v>
      </c>
      <c r="AB413" s="134">
        <v>29.65</v>
      </c>
      <c r="AC413" s="134">
        <v>-0.09</v>
      </c>
      <c r="AD413" s="135">
        <v>3.2369832E7</v>
      </c>
    </row>
    <row r="414">
      <c r="A414" s="10" t="s">
        <v>443</v>
      </c>
      <c r="B414" s="136">
        <v>188.07</v>
      </c>
      <c r="C414" s="134">
        <v>0.33</v>
      </c>
      <c r="D414" s="136">
        <v>16.38</v>
      </c>
      <c r="E414" s="136">
        <v>6.56</v>
      </c>
      <c r="F414" s="134">
        <v>3.83</v>
      </c>
      <c r="G414" s="134">
        <v>33.19</v>
      </c>
      <c r="H414" s="134">
        <v>23.12</v>
      </c>
      <c r="I414" s="134">
        <v>20.57</v>
      </c>
      <c r="J414" s="136">
        <v>14.57</v>
      </c>
      <c r="K414" s="136">
        <v>15.0</v>
      </c>
      <c r="L414" s="134">
        <v>0.43</v>
      </c>
      <c r="M414" s="134">
        <v>0.19</v>
      </c>
      <c r="N414" s="134">
        <v>3.37</v>
      </c>
      <c r="O414" s="136">
        <v>8.72</v>
      </c>
      <c r="P414" s="134">
        <v>-14.56</v>
      </c>
      <c r="Q414" s="134">
        <v>2.48</v>
      </c>
      <c r="R414" s="136">
        <v>40.05</v>
      </c>
      <c r="S414" s="134">
        <v>23.39</v>
      </c>
      <c r="T414" s="136">
        <v>22.96</v>
      </c>
      <c r="U414" s="134">
        <v>0.58</v>
      </c>
      <c r="V414" s="134">
        <v>0.42</v>
      </c>
      <c r="W414" s="134">
        <v>1.14</v>
      </c>
      <c r="X414" s="134">
        <v>8.36</v>
      </c>
      <c r="Y414" s="10">
        <v>0.0</v>
      </c>
      <c r="Z414" s="136">
        <v>37500.0</v>
      </c>
      <c r="AA414" s="134">
        <v>28.68</v>
      </c>
      <c r="AB414" s="134">
        <v>11.48</v>
      </c>
      <c r="AC414" s="134">
        <v>0.07</v>
      </c>
      <c r="AD414" s="135">
        <v>2.12276602542E9</v>
      </c>
    </row>
    <row r="415">
      <c r="A415" s="10" t="s">
        <v>232</v>
      </c>
      <c r="B415" s="134">
        <v>14.61</v>
      </c>
      <c r="C415" s="134">
        <v>4.16</v>
      </c>
      <c r="D415" s="134">
        <v>21.28</v>
      </c>
      <c r="E415" s="136">
        <v>7.14</v>
      </c>
      <c r="F415" s="134">
        <v>3.84</v>
      </c>
      <c r="G415" s="134">
        <v>59.28</v>
      </c>
      <c r="H415" s="134">
        <v>28.91</v>
      </c>
      <c r="I415" s="134">
        <v>20.46</v>
      </c>
      <c r="J415" s="134">
        <v>15.06</v>
      </c>
      <c r="K415" s="134">
        <v>14.21</v>
      </c>
      <c r="L415" s="134">
        <v>-0.94</v>
      </c>
      <c r="M415" s="134">
        <v>-0.44</v>
      </c>
      <c r="N415" s="134">
        <v>4.35</v>
      </c>
      <c r="O415" s="136">
        <v>-1173.6</v>
      </c>
      <c r="P415" s="134">
        <v>-6.03</v>
      </c>
      <c r="Q415" s="134">
        <v>0.99</v>
      </c>
      <c r="R415" s="136">
        <v>33.56</v>
      </c>
      <c r="S415" s="134">
        <v>18.06</v>
      </c>
      <c r="T415" s="134">
        <v>32.3</v>
      </c>
      <c r="U415" s="134">
        <v>0.54</v>
      </c>
      <c r="V415" s="134">
        <v>0.46</v>
      </c>
      <c r="W415" s="134">
        <v>0.88</v>
      </c>
      <c r="X415" s="134">
        <v>7.15</v>
      </c>
      <c r="Y415" s="134">
        <v>10.55</v>
      </c>
      <c r="Z415" s="135">
        <v>1.797887563E7</v>
      </c>
      <c r="AA415" s="134">
        <v>2.05</v>
      </c>
      <c r="AB415" s="134">
        <v>0.69</v>
      </c>
      <c r="AC415" s="134">
        <v>1.4</v>
      </c>
      <c r="AD415" s="135">
        <v>7.8100334424E9</v>
      </c>
    </row>
    <row r="416">
      <c r="A416" s="10" t="s">
        <v>341</v>
      </c>
      <c r="B416" s="134">
        <v>28.14</v>
      </c>
      <c r="C416" s="134">
        <v>2.17</v>
      </c>
      <c r="D416" s="134">
        <v>12.8</v>
      </c>
      <c r="E416" s="134">
        <v>2.52</v>
      </c>
      <c r="F416" s="134">
        <v>1.43</v>
      </c>
      <c r="G416" s="134">
        <v>51.02</v>
      </c>
      <c r="H416" s="136">
        <v>17.9</v>
      </c>
      <c r="I416" s="136">
        <v>14.03</v>
      </c>
      <c r="J416" s="134">
        <v>10.03</v>
      </c>
      <c r="K416" s="134">
        <v>11.28</v>
      </c>
      <c r="L416" s="134">
        <v>1.12</v>
      </c>
      <c r="M416" s="134">
        <v>0.28</v>
      </c>
      <c r="N416" s="134">
        <v>1.8</v>
      </c>
      <c r="O416" s="136">
        <v>3.26</v>
      </c>
      <c r="P416" s="134">
        <v>-3.52</v>
      </c>
      <c r="Q416" s="134">
        <v>3.82</v>
      </c>
      <c r="R416" s="134">
        <v>19.69</v>
      </c>
      <c r="S416" s="134">
        <v>11.17</v>
      </c>
      <c r="T416" s="136">
        <v>14.12</v>
      </c>
      <c r="U416" s="134">
        <v>0.57</v>
      </c>
      <c r="V416" s="134">
        <v>0.43</v>
      </c>
      <c r="W416" s="134">
        <v>0.8</v>
      </c>
      <c r="X416" s="134">
        <v>6.45</v>
      </c>
      <c r="Y416" s="134">
        <v>11.38</v>
      </c>
      <c r="Z416" s="135">
        <v>489417.96</v>
      </c>
      <c r="AA416" s="136">
        <v>11.16</v>
      </c>
      <c r="AB416" s="134">
        <v>2.2</v>
      </c>
      <c r="AC416" s="134">
        <v>0.09</v>
      </c>
      <c r="AD416" s="135">
        <v>1.537546671E9</v>
      </c>
    </row>
    <row r="417">
      <c r="A417" s="10" t="s">
        <v>640</v>
      </c>
      <c r="B417" s="134">
        <v>1.63</v>
      </c>
      <c r="C417" s="10">
        <v>0.0</v>
      </c>
      <c r="D417" s="134">
        <v>-2.15</v>
      </c>
      <c r="E417" s="134">
        <v>-0.98</v>
      </c>
      <c r="F417" s="134">
        <v>0.92</v>
      </c>
      <c r="G417" s="10">
        <v>0.0</v>
      </c>
      <c r="H417" s="10">
        <v>0.0</v>
      </c>
      <c r="I417" s="10">
        <v>0.0</v>
      </c>
      <c r="J417" s="134">
        <v>-9.26</v>
      </c>
      <c r="K417" s="134">
        <v>-9.26</v>
      </c>
      <c r="L417" s="134">
        <v>0.0</v>
      </c>
      <c r="M417" s="10">
        <v>0.0</v>
      </c>
      <c r="N417" s="10">
        <v>0.0</v>
      </c>
      <c r="O417" s="134">
        <v>-0.98</v>
      </c>
      <c r="P417" s="10">
        <v>0.0</v>
      </c>
      <c r="Q417" s="134">
        <v>0.51</v>
      </c>
      <c r="R417" s="134">
        <v>-45.53</v>
      </c>
      <c r="S417" s="134">
        <v>-43.02</v>
      </c>
      <c r="T417" s="136">
        <v>10.57</v>
      </c>
      <c r="U417" s="134">
        <v>-0.94</v>
      </c>
      <c r="V417" s="134">
        <v>1.94</v>
      </c>
      <c r="W417" s="134">
        <v>0.0</v>
      </c>
      <c r="X417" s="10">
        <v>0.0</v>
      </c>
      <c r="Y417" s="10">
        <v>0.0</v>
      </c>
      <c r="Z417" s="138">
        <v>0.0</v>
      </c>
      <c r="AA417" s="134">
        <v>-1.67</v>
      </c>
      <c r="AB417" s="134">
        <v>-0.76</v>
      </c>
      <c r="AC417" s="134">
        <v>0.02</v>
      </c>
      <c r="AD417" s="135">
        <v>5.274707384E7</v>
      </c>
    </row>
    <row r="418">
      <c r="A418" s="10" t="s">
        <v>136</v>
      </c>
      <c r="B418" s="134">
        <v>0.97</v>
      </c>
      <c r="C418" s="10">
        <v>0.0</v>
      </c>
      <c r="D418" s="134">
        <v>-1.8</v>
      </c>
      <c r="E418" s="134">
        <v>0.99</v>
      </c>
      <c r="F418" s="134">
        <v>0.08</v>
      </c>
      <c r="G418" s="134">
        <v>26.23</v>
      </c>
      <c r="H418" s="136">
        <v>-37.34</v>
      </c>
      <c r="I418" s="136">
        <v>-71.79</v>
      </c>
      <c r="J418" s="134">
        <v>-3.46</v>
      </c>
      <c r="K418" s="134">
        <v>-18.48</v>
      </c>
      <c r="L418" s="134">
        <v>-14.95</v>
      </c>
      <c r="M418" s="134">
        <v>4.25</v>
      </c>
      <c r="N418" s="134">
        <v>1.29</v>
      </c>
      <c r="O418" s="134">
        <v>0.33</v>
      </c>
      <c r="P418" s="134">
        <v>-0.19</v>
      </c>
      <c r="Q418" s="134">
        <v>1.67</v>
      </c>
      <c r="R418" s="136">
        <v>-54.69</v>
      </c>
      <c r="S418" s="136">
        <v>-4.28</v>
      </c>
      <c r="T418" s="136">
        <v>-15.96</v>
      </c>
      <c r="U418" s="134">
        <v>0.08</v>
      </c>
      <c r="V418" s="134">
        <v>0.92</v>
      </c>
      <c r="W418" s="134">
        <v>0.06</v>
      </c>
      <c r="X418" s="134">
        <v>-19.43</v>
      </c>
      <c r="Y418" s="10">
        <v>0.0</v>
      </c>
      <c r="Z418" s="135">
        <v>6.565921358E7</v>
      </c>
      <c r="AA418" s="136">
        <v>0.98</v>
      </c>
      <c r="AB418" s="134">
        <v>-0.54</v>
      </c>
      <c r="AC418" s="134">
        <v>0.02</v>
      </c>
      <c r="AD418" s="135">
        <v>5.87967883003E9</v>
      </c>
    </row>
    <row r="419">
      <c r="A419" s="10" t="s">
        <v>318</v>
      </c>
      <c r="B419" s="134">
        <v>1.66</v>
      </c>
      <c r="C419" s="10">
        <v>0.0</v>
      </c>
      <c r="D419" s="134">
        <v>-3.08</v>
      </c>
      <c r="E419" s="134">
        <v>1.69</v>
      </c>
      <c r="F419" s="134">
        <v>0.13</v>
      </c>
      <c r="G419" s="134">
        <v>26.23</v>
      </c>
      <c r="H419" s="134">
        <v>-37.34</v>
      </c>
      <c r="I419" s="134">
        <v>-71.79</v>
      </c>
      <c r="J419" s="134">
        <v>-5.93</v>
      </c>
      <c r="K419" s="134">
        <v>-18.48</v>
      </c>
      <c r="L419" s="134">
        <v>-14.95</v>
      </c>
      <c r="M419" s="134">
        <v>4.25</v>
      </c>
      <c r="N419" s="134">
        <v>2.21</v>
      </c>
      <c r="O419" s="134">
        <v>0.56</v>
      </c>
      <c r="P419" s="134">
        <v>-0.32</v>
      </c>
      <c r="Q419" s="134">
        <v>1.67</v>
      </c>
      <c r="R419" s="136">
        <v>-54.69</v>
      </c>
      <c r="S419" s="136">
        <v>-4.28</v>
      </c>
      <c r="T419" s="136">
        <v>-15.96</v>
      </c>
      <c r="U419" s="134">
        <v>0.08</v>
      </c>
      <c r="V419" s="134">
        <v>0.92</v>
      </c>
      <c r="W419" s="134">
        <v>0.06</v>
      </c>
      <c r="X419" s="134">
        <v>-19.43</v>
      </c>
      <c r="Y419" s="10">
        <v>0.0</v>
      </c>
      <c r="Z419" s="135">
        <v>1228634.5</v>
      </c>
      <c r="AA419" s="134">
        <v>0.98</v>
      </c>
      <c r="AB419" s="134">
        <v>-0.54</v>
      </c>
      <c r="AC419" s="134">
        <v>0.04</v>
      </c>
      <c r="AD419" s="135">
        <v>5.87967883003E9</v>
      </c>
    </row>
    <row r="420">
      <c r="A420" s="10" t="s">
        <v>177</v>
      </c>
      <c r="B420" s="136">
        <v>32.55</v>
      </c>
      <c r="C420" s="10">
        <v>0.0</v>
      </c>
      <c r="D420" s="136">
        <v>-59.52</v>
      </c>
      <c r="E420" s="134">
        <v>1.82</v>
      </c>
      <c r="F420" s="134">
        <v>0.62</v>
      </c>
      <c r="G420" s="134">
        <v>36.76</v>
      </c>
      <c r="H420" s="136">
        <v>37.22</v>
      </c>
      <c r="I420" s="136">
        <v>-7.29</v>
      </c>
      <c r="J420" s="136">
        <v>11.66</v>
      </c>
      <c r="K420" s="136">
        <v>21.15</v>
      </c>
      <c r="L420" s="134">
        <v>9.57</v>
      </c>
      <c r="M420" s="134">
        <v>1.5</v>
      </c>
      <c r="N420" s="134">
        <v>4.34</v>
      </c>
      <c r="O420" s="136">
        <v>13.11</v>
      </c>
      <c r="P420" s="134">
        <v>-0.7</v>
      </c>
      <c r="Q420" s="134">
        <v>1.75</v>
      </c>
      <c r="R420" s="134">
        <v>-3.06</v>
      </c>
      <c r="S420" s="134">
        <v>-1.05</v>
      </c>
      <c r="T420" s="134">
        <v>5.14</v>
      </c>
      <c r="U420" s="134">
        <v>0.34</v>
      </c>
      <c r="V420" s="134">
        <v>0.63</v>
      </c>
      <c r="W420" s="134">
        <v>0.14</v>
      </c>
      <c r="X420" s="134">
        <v>50.4</v>
      </c>
      <c r="Y420" s="10">
        <v>0.0</v>
      </c>
      <c r="Z420" s="135">
        <v>5.957220288E7</v>
      </c>
      <c r="AA420" s="136">
        <v>17.85</v>
      </c>
      <c r="AB420" s="134">
        <v>-0.55</v>
      </c>
      <c r="AC420" s="136">
        <v>-0.04</v>
      </c>
      <c r="AD420" s="135">
        <v>6.35205556431E9</v>
      </c>
    </row>
    <row r="421">
      <c r="A421" s="10" t="s">
        <v>179</v>
      </c>
      <c r="B421" s="134">
        <v>13.9</v>
      </c>
      <c r="C421" s="10">
        <v>0.0</v>
      </c>
      <c r="D421" s="134">
        <v>-32.14</v>
      </c>
      <c r="E421" s="136">
        <v>-130.59</v>
      </c>
      <c r="F421" s="134">
        <v>2.21</v>
      </c>
      <c r="G421" s="134">
        <v>30.4</v>
      </c>
      <c r="H421" s="134">
        <v>-10.88</v>
      </c>
      <c r="I421" s="134">
        <v>-19.08</v>
      </c>
      <c r="J421" s="134">
        <v>-56.37</v>
      </c>
      <c r="K421" s="134">
        <v>-66.32</v>
      </c>
      <c r="L421" s="134">
        <v>-9.95</v>
      </c>
      <c r="M421" s="10">
        <v>0.0</v>
      </c>
      <c r="N421" s="134">
        <v>6.13</v>
      </c>
      <c r="O421" s="134">
        <v>47.57</v>
      </c>
      <c r="P421" s="134">
        <v>-3.39</v>
      </c>
      <c r="Q421" s="134">
        <v>1.15</v>
      </c>
      <c r="R421" s="136">
        <v>-406.3</v>
      </c>
      <c r="S421" s="134">
        <v>-6.88</v>
      </c>
      <c r="T421" s="134">
        <v>-8.63</v>
      </c>
      <c r="U421" s="134">
        <v>-0.02</v>
      </c>
      <c r="V421" s="134">
        <v>0.93</v>
      </c>
      <c r="W421" s="134">
        <v>0.36</v>
      </c>
      <c r="X421" s="10">
        <v>0.0</v>
      </c>
      <c r="Y421" s="10">
        <v>0.0</v>
      </c>
      <c r="Z421" s="135">
        <v>1.686019088E7</v>
      </c>
      <c r="AA421" s="134">
        <v>-0.11</v>
      </c>
      <c r="AB421" s="134">
        <v>-0.43</v>
      </c>
      <c r="AC421" s="10">
        <v>0.0</v>
      </c>
      <c r="AD421" s="135">
        <v>6.8854723497E9</v>
      </c>
    </row>
    <row r="422">
      <c r="A422" s="10" t="s">
        <v>257</v>
      </c>
      <c r="B422" s="134">
        <v>3.77</v>
      </c>
      <c r="C422" s="10">
        <v>0.0</v>
      </c>
      <c r="D422" s="134">
        <v>-24.97</v>
      </c>
      <c r="E422" s="134">
        <v>0.86</v>
      </c>
      <c r="F422" s="134">
        <v>0.38</v>
      </c>
      <c r="G422" s="134">
        <v>13.66</v>
      </c>
      <c r="H422" s="134">
        <v>3.36</v>
      </c>
      <c r="I422" s="134">
        <v>-4.54</v>
      </c>
      <c r="J422" s="134">
        <v>33.74</v>
      </c>
      <c r="K422" s="134">
        <v>51.41</v>
      </c>
      <c r="L422" s="134">
        <v>17.58</v>
      </c>
      <c r="M422" s="134">
        <v>0.45</v>
      </c>
      <c r="N422" s="134">
        <v>1.13</v>
      </c>
      <c r="O422" s="134">
        <v>2.12</v>
      </c>
      <c r="P422" s="134">
        <v>-0.57</v>
      </c>
      <c r="Q422" s="134">
        <v>2.06</v>
      </c>
      <c r="R422" s="134">
        <v>-3.43</v>
      </c>
      <c r="S422" s="134">
        <v>-1.51</v>
      </c>
      <c r="T422" s="136">
        <v>1.09</v>
      </c>
      <c r="U422" s="134">
        <v>0.44</v>
      </c>
      <c r="V422" s="134">
        <v>0.56</v>
      </c>
      <c r="W422" s="134">
        <v>0.33</v>
      </c>
      <c r="X422" s="10">
        <v>0.0</v>
      </c>
      <c r="Y422" s="10">
        <v>0.0</v>
      </c>
      <c r="Z422" s="135">
        <v>9659331.04</v>
      </c>
      <c r="AA422" s="134">
        <v>4.4</v>
      </c>
      <c r="AB422" s="134">
        <v>-0.15</v>
      </c>
      <c r="AC422" s="134">
        <v>-0.05</v>
      </c>
      <c r="AD422" s="135">
        <v>7.5584711412E8</v>
      </c>
    </row>
    <row r="423">
      <c r="A423" s="10" t="s">
        <v>221</v>
      </c>
      <c r="B423" s="134">
        <v>26.14</v>
      </c>
      <c r="C423" s="10">
        <v>0.0</v>
      </c>
      <c r="D423" s="134">
        <v>-29.73</v>
      </c>
      <c r="E423" s="134">
        <v>4.96</v>
      </c>
      <c r="F423" s="134">
        <v>1.93</v>
      </c>
      <c r="G423" s="134">
        <v>37.32</v>
      </c>
      <c r="H423" s="136">
        <v>15.56</v>
      </c>
      <c r="I423" s="136">
        <v>-16.49</v>
      </c>
      <c r="J423" s="134">
        <v>31.51</v>
      </c>
      <c r="K423" s="134">
        <v>32.31</v>
      </c>
      <c r="L423" s="134">
        <v>0.59</v>
      </c>
      <c r="M423" s="134">
        <v>0.09</v>
      </c>
      <c r="N423" s="134">
        <v>4.9</v>
      </c>
      <c r="O423" s="134">
        <v>9.43</v>
      </c>
      <c r="P423" s="134">
        <v>-3.56</v>
      </c>
      <c r="Q423" s="134">
        <v>1.81</v>
      </c>
      <c r="R423" s="134">
        <v>-16.69</v>
      </c>
      <c r="S423" s="134">
        <v>-6.5</v>
      </c>
      <c r="T423" s="136">
        <v>5.45</v>
      </c>
      <c r="U423" s="134">
        <v>0.39</v>
      </c>
      <c r="V423" s="134">
        <v>0.6</v>
      </c>
      <c r="W423" s="134">
        <v>0.39</v>
      </c>
      <c r="X423" s="10">
        <v>0.0</v>
      </c>
      <c r="Y423" s="10">
        <v>0.0</v>
      </c>
      <c r="Z423" s="135">
        <v>1.870090796E7</v>
      </c>
      <c r="AA423" s="136">
        <v>5.27</v>
      </c>
      <c r="AB423" s="134">
        <v>-0.88</v>
      </c>
      <c r="AC423" s="134">
        <v>0.14</v>
      </c>
      <c r="AD423" s="135">
        <v>1.8798487107E9</v>
      </c>
    </row>
    <row r="424">
      <c r="A424" s="10" t="s">
        <v>416</v>
      </c>
      <c r="B424" s="134">
        <v>7.53</v>
      </c>
      <c r="C424" s="10">
        <v>0.0</v>
      </c>
      <c r="D424" s="134">
        <v>-0.03</v>
      </c>
      <c r="E424" s="136">
        <v>0.0</v>
      </c>
      <c r="F424" s="134">
        <v>0.02</v>
      </c>
      <c r="G424" s="134">
        <v>94.89</v>
      </c>
      <c r="H424" s="136">
        <v>-3821.21</v>
      </c>
      <c r="I424" s="136">
        <v>-5619.94</v>
      </c>
      <c r="J424" s="134">
        <v>-0.04</v>
      </c>
      <c r="K424" s="134">
        <v>-7.26</v>
      </c>
      <c r="L424" s="134">
        <v>-7.22</v>
      </c>
      <c r="M424" s="10">
        <v>0.0</v>
      </c>
      <c r="N424" s="134">
        <v>1.42</v>
      </c>
      <c r="O424" s="134">
        <v>-0.04</v>
      </c>
      <c r="P424" s="134">
        <v>-0.02</v>
      </c>
      <c r="Q424" s="134">
        <v>0.04</v>
      </c>
      <c r="R424" s="136">
        <v>-16.54</v>
      </c>
      <c r="S424" s="134">
        <v>-62.71</v>
      </c>
      <c r="T424" s="134">
        <v>59.36</v>
      </c>
      <c r="U424" s="134">
        <v>-3.79</v>
      </c>
      <c r="V424" s="134">
        <v>4.8</v>
      </c>
      <c r="W424" s="134">
        <v>0.01</v>
      </c>
      <c r="X424" s="134">
        <v>-44.4</v>
      </c>
      <c r="Y424" s="10">
        <v>0.0</v>
      </c>
      <c r="Z424" s="136">
        <v>62727.96</v>
      </c>
      <c r="AA424" s="136">
        <v>-1796.42</v>
      </c>
      <c r="AB424" s="134">
        <v>-297.17</v>
      </c>
      <c r="AC424" s="134">
        <v>0.0</v>
      </c>
      <c r="AD424" s="135">
        <v>2.370472614E7</v>
      </c>
    </row>
    <row r="425">
      <c r="A425" s="10" t="s">
        <v>246</v>
      </c>
      <c r="B425" s="136">
        <v>21.94</v>
      </c>
      <c r="C425" s="134">
        <v>1.23</v>
      </c>
      <c r="D425" s="136">
        <v>12.8</v>
      </c>
      <c r="E425" s="134">
        <v>3.52</v>
      </c>
      <c r="F425" s="134">
        <v>1.39</v>
      </c>
      <c r="G425" s="134">
        <v>30.93</v>
      </c>
      <c r="H425" s="136">
        <v>18.99</v>
      </c>
      <c r="I425" s="136">
        <v>11.66</v>
      </c>
      <c r="J425" s="136">
        <v>7.85</v>
      </c>
      <c r="K425" s="136">
        <v>8.21</v>
      </c>
      <c r="L425" s="134">
        <v>0.33</v>
      </c>
      <c r="M425" s="134">
        <v>0.15</v>
      </c>
      <c r="N425" s="134">
        <v>1.49</v>
      </c>
      <c r="O425" s="136">
        <v>13.06</v>
      </c>
      <c r="P425" s="134">
        <v>-2.25</v>
      </c>
      <c r="Q425" s="134">
        <v>1.39</v>
      </c>
      <c r="R425" s="134">
        <v>27.47</v>
      </c>
      <c r="S425" s="134">
        <v>10.86</v>
      </c>
      <c r="T425" s="134">
        <v>24.97</v>
      </c>
      <c r="U425" s="134">
        <v>0.4</v>
      </c>
      <c r="V425" s="134">
        <v>0.6</v>
      </c>
      <c r="W425" s="134">
        <v>0.93</v>
      </c>
      <c r="X425" s="134">
        <v>14.12</v>
      </c>
      <c r="Y425" s="134">
        <v>21.91</v>
      </c>
      <c r="Z425" s="135">
        <v>9977698.67</v>
      </c>
      <c r="AA425" s="136">
        <v>6.24</v>
      </c>
      <c r="AB425" s="134">
        <v>1.71</v>
      </c>
      <c r="AC425" s="136">
        <v>0.12</v>
      </c>
      <c r="AD425" s="135">
        <v>2.88152909E9</v>
      </c>
    </row>
    <row r="426">
      <c r="A426" s="10" t="s">
        <v>435</v>
      </c>
      <c r="B426" s="134">
        <v>73.95</v>
      </c>
      <c r="C426" s="134">
        <v>3.21</v>
      </c>
      <c r="D426" s="134">
        <v>6.94</v>
      </c>
      <c r="E426" s="136">
        <v>2.28</v>
      </c>
      <c r="F426" s="134">
        <v>1.02</v>
      </c>
      <c r="G426" s="134">
        <v>22.13</v>
      </c>
      <c r="H426" s="134">
        <v>17.29</v>
      </c>
      <c r="I426" s="134">
        <v>11.18</v>
      </c>
      <c r="J426" s="134">
        <v>4.49</v>
      </c>
      <c r="K426" s="134">
        <v>4.92</v>
      </c>
      <c r="L426" s="134">
        <v>0.47</v>
      </c>
      <c r="M426" s="134">
        <v>0.24</v>
      </c>
      <c r="N426" s="134">
        <v>0.78</v>
      </c>
      <c r="O426" s="134">
        <v>1.79</v>
      </c>
      <c r="P426" s="134">
        <v>-6.81</v>
      </c>
      <c r="Q426" s="134">
        <v>3.06</v>
      </c>
      <c r="R426" s="136">
        <v>32.87</v>
      </c>
      <c r="S426" s="134">
        <v>14.71</v>
      </c>
      <c r="T426" s="134">
        <v>20.08</v>
      </c>
      <c r="U426" s="134">
        <v>0.45</v>
      </c>
      <c r="V426" s="134">
        <v>0.55</v>
      </c>
      <c r="W426" s="134">
        <v>1.32</v>
      </c>
      <c r="X426" s="134">
        <v>17.73</v>
      </c>
      <c r="Y426" s="134">
        <v>87.28</v>
      </c>
      <c r="Z426" s="136">
        <v>37136.5</v>
      </c>
      <c r="AA426" s="134">
        <v>32.41</v>
      </c>
      <c r="AB426" s="134">
        <v>10.66</v>
      </c>
      <c r="AC426" s="134">
        <v>0.05</v>
      </c>
      <c r="AD426" s="135">
        <v>1.75447066185E9</v>
      </c>
    </row>
    <row r="427">
      <c r="A427" s="10" t="s">
        <v>485</v>
      </c>
      <c r="B427" s="134">
        <v>59.0</v>
      </c>
      <c r="C427" s="134">
        <v>4.02</v>
      </c>
      <c r="D427" s="134">
        <v>5.54</v>
      </c>
      <c r="E427" s="136">
        <v>1.82</v>
      </c>
      <c r="F427" s="134">
        <v>0.81</v>
      </c>
      <c r="G427" s="134">
        <v>22.13</v>
      </c>
      <c r="H427" s="134">
        <v>17.29</v>
      </c>
      <c r="I427" s="134">
        <v>11.18</v>
      </c>
      <c r="J427" s="134">
        <v>3.58</v>
      </c>
      <c r="K427" s="134">
        <v>4.92</v>
      </c>
      <c r="L427" s="134">
        <v>0.47</v>
      </c>
      <c r="M427" s="134">
        <v>0.24</v>
      </c>
      <c r="N427" s="134">
        <v>0.62</v>
      </c>
      <c r="O427" s="134">
        <v>1.42</v>
      </c>
      <c r="P427" s="134">
        <v>-5.43</v>
      </c>
      <c r="Q427" s="134">
        <v>3.06</v>
      </c>
      <c r="R427" s="136">
        <v>32.87</v>
      </c>
      <c r="S427" s="134">
        <v>14.71</v>
      </c>
      <c r="T427" s="134">
        <v>20.08</v>
      </c>
      <c r="U427" s="134">
        <v>0.45</v>
      </c>
      <c r="V427" s="134">
        <v>0.55</v>
      </c>
      <c r="W427" s="134">
        <v>1.32</v>
      </c>
      <c r="X427" s="134">
        <v>17.73</v>
      </c>
      <c r="Y427" s="134">
        <v>87.28</v>
      </c>
      <c r="Z427" s="136">
        <v>22723.83</v>
      </c>
      <c r="AA427" s="134">
        <v>32.41</v>
      </c>
      <c r="AB427" s="134">
        <v>10.66</v>
      </c>
      <c r="AC427" s="134">
        <v>0.04</v>
      </c>
      <c r="AD427" s="135">
        <v>1.75447066185E9</v>
      </c>
    </row>
    <row r="428">
      <c r="A428" s="10" t="s">
        <v>144</v>
      </c>
      <c r="B428" s="134">
        <v>25.3</v>
      </c>
      <c r="C428" s="134">
        <v>8.6</v>
      </c>
      <c r="D428" s="134">
        <v>3.26</v>
      </c>
      <c r="E428" s="136">
        <v>0.54</v>
      </c>
      <c r="F428" s="134">
        <v>0.14</v>
      </c>
      <c r="G428" s="134">
        <v>32.27</v>
      </c>
      <c r="H428" s="134">
        <v>5.77</v>
      </c>
      <c r="I428" s="134">
        <v>5.95</v>
      </c>
      <c r="J428" s="134">
        <v>3.36</v>
      </c>
      <c r="K428" s="134">
        <v>5.69</v>
      </c>
      <c r="L428" s="134">
        <v>2.3</v>
      </c>
      <c r="M428" s="134">
        <v>0.37</v>
      </c>
      <c r="N428" s="134">
        <v>0.19</v>
      </c>
      <c r="O428" s="134">
        <v>-26.41</v>
      </c>
      <c r="P428" s="134">
        <v>-0.21</v>
      </c>
      <c r="Q428" s="134">
        <v>0.98</v>
      </c>
      <c r="R428" s="136">
        <v>16.49</v>
      </c>
      <c r="S428" s="134">
        <v>4.4</v>
      </c>
      <c r="T428" s="134">
        <v>6.14</v>
      </c>
      <c r="U428" s="134">
        <v>0.27</v>
      </c>
      <c r="V428" s="134">
        <v>0.68</v>
      </c>
      <c r="W428" s="134">
        <v>0.74</v>
      </c>
      <c r="X428" s="134">
        <v>6.62</v>
      </c>
      <c r="Y428" s="134">
        <v>51.14</v>
      </c>
      <c r="Z428" s="137">
        <v>6.599471475E7</v>
      </c>
      <c r="AA428" s="134">
        <v>47.08</v>
      </c>
      <c r="AB428" s="134">
        <v>7.76</v>
      </c>
      <c r="AC428" s="134">
        <v>0.01</v>
      </c>
      <c r="AD428" s="135">
        <v>6.86185246656E9</v>
      </c>
    </row>
    <row r="429">
      <c r="A429" s="10" t="s">
        <v>641</v>
      </c>
      <c r="B429" s="134">
        <v>72.11</v>
      </c>
      <c r="C429" s="10">
        <v>0.0</v>
      </c>
      <c r="D429" s="134">
        <v>9.29</v>
      </c>
      <c r="E429" s="134">
        <v>1.53</v>
      </c>
      <c r="F429" s="134">
        <v>0.41</v>
      </c>
      <c r="G429" s="134">
        <v>32.27</v>
      </c>
      <c r="H429" s="134">
        <v>5.77</v>
      </c>
      <c r="I429" s="134">
        <v>5.95</v>
      </c>
      <c r="J429" s="134">
        <v>9.58</v>
      </c>
      <c r="K429" s="134">
        <v>5.69</v>
      </c>
      <c r="L429" s="134">
        <v>2.3</v>
      </c>
      <c r="M429" s="134">
        <v>0.37</v>
      </c>
      <c r="N429" s="134">
        <v>0.55</v>
      </c>
      <c r="O429" s="134">
        <v>-75.27</v>
      </c>
      <c r="P429" s="134">
        <v>-0.58</v>
      </c>
      <c r="Q429" s="134">
        <v>0.98</v>
      </c>
      <c r="R429" s="134">
        <v>16.49</v>
      </c>
      <c r="S429" s="134">
        <v>4.4</v>
      </c>
      <c r="T429" s="134">
        <v>6.14</v>
      </c>
      <c r="U429" s="134">
        <v>0.27</v>
      </c>
      <c r="V429" s="134">
        <v>0.68</v>
      </c>
      <c r="W429" s="134">
        <v>0.74</v>
      </c>
      <c r="X429" s="134">
        <v>6.62</v>
      </c>
      <c r="Y429" s="134">
        <v>51.14</v>
      </c>
      <c r="Z429" s="138">
        <v>0.0</v>
      </c>
      <c r="AA429" s="134">
        <v>47.08</v>
      </c>
      <c r="AB429" s="134">
        <v>7.76</v>
      </c>
      <c r="AC429" s="134">
        <v>0.02</v>
      </c>
      <c r="AD429" s="135">
        <v>6.86185246656E9</v>
      </c>
    </row>
    <row r="430">
      <c r="A430" s="10" t="s">
        <v>316</v>
      </c>
      <c r="B430" s="134">
        <v>1.63</v>
      </c>
      <c r="C430" s="10">
        <v>0.0</v>
      </c>
      <c r="D430" s="134">
        <v>-0.15</v>
      </c>
      <c r="E430" s="134">
        <v>-0.02</v>
      </c>
      <c r="F430" s="134">
        <v>0.06</v>
      </c>
      <c r="G430" s="134">
        <v>24.5</v>
      </c>
      <c r="H430" s="134">
        <v>-124.0</v>
      </c>
      <c r="I430" s="134">
        <v>-199.11</v>
      </c>
      <c r="J430" s="134">
        <v>-0.25</v>
      </c>
      <c r="K430" s="134">
        <v>-3.4</v>
      </c>
      <c r="L430" s="134">
        <v>-3.15</v>
      </c>
      <c r="M430" s="10">
        <v>0.0</v>
      </c>
      <c r="N430" s="134">
        <v>0.3</v>
      </c>
      <c r="O430" s="134">
        <v>-0.04</v>
      </c>
      <c r="P430" s="134">
        <v>-0.26</v>
      </c>
      <c r="Q430" s="134">
        <v>0.32</v>
      </c>
      <c r="R430" s="134">
        <v>-10.81</v>
      </c>
      <c r="S430" s="134">
        <v>-38.53</v>
      </c>
      <c r="T430" s="134">
        <v>9.78</v>
      </c>
      <c r="U430" s="134">
        <v>-3.56</v>
      </c>
      <c r="V430" s="134">
        <v>4.61</v>
      </c>
      <c r="W430" s="134">
        <v>0.19</v>
      </c>
      <c r="X430" s="134">
        <v>-35.22</v>
      </c>
      <c r="Y430" s="10">
        <v>0.0</v>
      </c>
      <c r="Z430" s="135">
        <v>1258780.42</v>
      </c>
      <c r="AA430" s="134">
        <v>-98.48</v>
      </c>
      <c r="AB430" s="134">
        <v>-10.65</v>
      </c>
      <c r="AC430" s="134">
        <v>0.01</v>
      </c>
      <c r="AD430" s="135">
        <v>9.205886948E7</v>
      </c>
    </row>
    <row r="431">
      <c r="A431" s="10" t="s">
        <v>327</v>
      </c>
      <c r="B431" s="134">
        <v>6.85</v>
      </c>
      <c r="C431" s="10">
        <v>0.0</v>
      </c>
      <c r="D431" s="134">
        <v>14.04</v>
      </c>
      <c r="E431" s="134">
        <v>4.28</v>
      </c>
      <c r="F431" s="134">
        <v>1.36</v>
      </c>
      <c r="G431" s="134">
        <v>35.63</v>
      </c>
      <c r="H431" s="136">
        <v>10.56</v>
      </c>
      <c r="I431" s="136">
        <v>12.71</v>
      </c>
      <c r="J431" s="136">
        <v>16.9</v>
      </c>
      <c r="K431" s="134">
        <v>17.62</v>
      </c>
      <c r="L431" s="134">
        <v>0.55</v>
      </c>
      <c r="M431" s="134">
        <v>0.14</v>
      </c>
      <c r="N431" s="134">
        <v>1.78</v>
      </c>
      <c r="O431" s="134">
        <v>3.5</v>
      </c>
      <c r="P431" s="134">
        <v>-6.79</v>
      </c>
      <c r="Q431" s="134">
        <v>1.94</v>
      </c>
      <c r="R431" s="134">
        <v>30.53</v>
      </c>
      <c r="S431" s="134">
        <v>9.67</v>
      </c>
      <c r="T431" s="134">
        <v>12.08</v>
      </c>
      <c r="U431" s="134">
        <v>0.32</v>
      </c>
      <c r="V431" s="134">
        <v>0.68</v>
      </c>
      <c r="W431" s="134">
        <v>0.76</v>
      </c>
      <c r="X431" s="134">
        <v>173.12</v>
      </c>
      <c r="Y431" s="10">
        <v>0.0</v>
      </c>
      <c r="Z431" s="137">
        <v>1425644.5</v>
      </c>
      <c r="AA431" s="134">
        <v>1.6</v>
      </c>
      <c r="AB431" s="134">
        <v>0.49</v>
      </c>
      <c r="AC431" s="134">
        <v>0.02</v>
      </c>
      <c r="AD431" s="135">
        <v>5.4287247068E8</v>
      </c>
    </row>
    <row r="432">
      <c r="A432" s="10" t="s">
        <v>454</v>
      </c>
      <c r="B432" s="134">
        <v>64.0</v>
      </c>
      <c r="C432" s="134">
        <v>47.41</v>
      </c>
      <c r="D432" s="134">
        <v>1.6</v>
      </c>
      <c r="E432" s="136">
        <v>1.42</v>
      </c>
      <c r="F432" s="134">
        <v>1.24</v>
      </c>
      <c r="G432" s="134">
        <v>92.22</v>
      </c>
      <c r="H432" s="136">
        <v>3112.42</v>
      </c>
      <c r="I432" s="136">
        <v>2155.32</v>
      </c>
      <c r="J432" s="136">
        <v>1.11</v>
      </c>
      <c r="K432" s="134">
        <v>0.82</v>
      </c>
      <c r="L432" s="134">
        <v>-0.34</v>
      </c>
      <c r="M432" s="134">
        <v>-0.44</v>
      </c>
      <c r="N432" s="134">
        <v>34.43</v>
      </c>
      <c r="O432" s="134">
        <v>2.8</v>
      </c>
      <c r="P432" s="134">
        <v>-2.33</v>
      </c>
      <c r="Q432" s="134">
        <v>18.27</v>
      </c>
      <c r="R432" s="136">
        <v>88.86</v>
      </c>
      <c r="S432" s="134">
        <v>77.63</v>
      </c>
      <c r="T432" s="134">
        <v>81.32</v>
      </c>
      <c r="U432" s="134">
        <v>0.87</v>
      </c>
      <c r="V432" s="134">
        <v>0.13</v>
      </c>
      <c r="W432" s="134">
        <v>0.04</v>
      </c>
      <c r="X432" s="134">
        <v>-8.83</v>
      </c>
      <c r="Y432" s="134">
        <v>81.97</v>
      </c>
      <c r="Z432" s="139">
        <v>32705.57</v>
      </c>
      <c r="AA432" s="134">
        <v>45.1</v>
      </c>
      <c r="AB432" s="134">
        <v>40.07</v>
      </c>
      <c r="AC432" s="134">
        <v>0.0</v>
      </c>
      <c r="AD432" s="135">
        <v>8.60968626E8</v>
      </c>
    </row>
    <row r="433">
      <c r="A433" s="10" t="s">
        <v>488</v>
      </c>
      <c r="B433" s="134">
        <v>70.0</v>
      </c>
      <c r="C433" s="134">
        <v>47.68</v>
      </c>
      <c r="D433" s="134">
        <v>1.75</v>
      </c>
      <c r="E433" s="136">
        <v>1.55</v>
      </c>
      <c r="F433" s="134">
        <v>1.36</v>
      </c>
      <c r="G433" s="134">
        <v>92.22</v>
      </c>
      <c r="H433" s="136">
        <v>3112.42</v>
      </c>
      <c r="I433" s="136">
        <v>2155.32</v>
      </c>
      <c r="J433" s="136">
        <v>1.21</v>
      </c>
      <c r="K433" s="134">
        <v>0.82</v>
      </c>
      <c r="L433" s="134">
        <v>-0.34</v>
      </c>
      <c r="M433" s="134">
        <v>-0.44</v>
      </c>
      <c r="N433" s="134">
        <v>37.65</v>
      </c>
      <c r="O433" s="134">
        <v>3.06</v>
      </c>
      <c r="P433" s="134">
        <v>-2.55</v>
      </c>
      <c r="Q433" s="134">
        <v>18.27</v>
      </c>
      <c r="R433" s="136">
        <v>88.86</v>
      </c>
      <c r="S433" s="134">
        <v>77.63</v>
      </c>
      <c r="T433" s="134">
        <v>81.32</v>
      </c>
      <c r="U433" s="134">
        <v>0.87</v>
      </c>
      <c r="V433" s="134">
        <v>0.13</v>
      </c>
      <c r="W433" s="134">
        <v>0.04</v>
      </c>
      <c r="X433" s="134">
        <v>-8.83</v>
      </c>
      <c r="Y433" s="134">
        <v>81.97</v>
      </c>
      <c r="Z433" s="136">
        <v>12990.1</v>
      </c>
      <c r="AA433" s="134">
        <v>45.1</v>
      </c>
      <c r="AB433" s="134">
        <v>40.07</v>
      </c>
      <c r="AC433" s="134">
        <v>0.0</v>
      </c>
      <c r="AD433" s="135">
        <v>8.60968626E8</v>
      </c>
    </row>
    <row r="434">
      <c r="A434" s="10" t="s">
        <v>59</v>
      </c>
      <c r="B434" s="134">
        <v>29.96</v>
      </c>
      <c r="C434" s="134">
        <v>8.02</v>
      </c>
      <c r="D434" s="136">
        <v>3.82</v>
      </c>
      <c r="E434" s="136">
        <v>1.1</v>
      </c>
      <c r="F434" s="134">
        <v>0.42</v>
      </c>
      <c r="G434" s="134">
        <v>51.13</v>
      </c>
      <c r="H434" s="136">
        <v>50.24</v>
      </c>
      <c r="I434" s="136">
        <v>29.88</v>
      </c>
      <c r="J434" s="134">
        <v>2.27</v>
      </c>
      <c r="K434" s="134">
        <v>3.79</v>
      </c>
      <c r="L434" s="134">
        <v>1.55</v>
      </c>
      <c r="M434" s="134">
        <v>0.75</v>
      </c>
      <c r="N434" s="134">
        <v>1.14</v>
      </c>
      <c r="O434" s="134">
        <v>10.97</v>
      </c>
      <c r="P434" s="136">
        <v>-0.49</v>
      </c>
      <c r="Q434" s="134">
        <v>1.31</v>
      </c>
      <c r="R434" s="136">
        <v>28.75</v>
      </c>
      <c r="S434" s="134">
        <v>10.87</v>
      </c>
      <c r="T434" s="134">
        <v>20.44</v>
      </c>
      <c r="U434" s="134">
        <v>0.38</v>
      </c>
      <c r="V434" s="134">
        <v>0.62</v>
      </c>
      <c r="W434" s="134">
        <v>0.36</v>
      </c>
      <c r="X434" s="134">
        <v>-3.29</v>
      </c>
      <c r="Y434" s="10">
        <v>0.0</v>
      </c>
      <c r="Z434" s="135">
        <v>4.8249080833E8</v>
      </c>
      <c r="AA434" s="134">
        <v>27.3</v>
      </c>
      <c r="AB434" s="134">
        <v>7.85</v>
      </c>
      <c r="AC434" s="134">
        <v>-0.01</v>
      </c>
      <c r="AD434" s="135">
        <v>3.8581133008972E11</v>
      </c>
    </row>
    <row r="435">
      <c r="A435" s="10" t="s">
        <v>54</v>
      </c>
      <c r="B435" s="134">
        <v>29.25</v>
      </c>
      <c r="C435" s="134">
        <v>8.21</v>
      </c>
      <c r="D435" s="136">
        <v>3.73</v>
      </c>
      <c r="E435" s="136">
        <v>1.07</v>
      </c>
      <c r="F435" s="134">
        <v>0.41</v>
      </c>
      <c r="G435" s="134">
        <v>51.13</v>
      </c>
      <c r="H435" s="134">
        <v>50.24</v>
      </c>
      <c r="I435" s="136">
        <v>29.88</v>
      </c>
      <c r="J435" s="134">
        <v>2.22</v>
      </c>
      <c r="K435" s="134">
        <v>3.79</v>
      </c>
      <c r="L435" s="134">
        <v>1.55</v>
      </c>
      <c r="M435" s="134">
        <v>0.75</v>
      </c>
      <c r="N435" s="134">
        <v>1.11</v>
      </c>
      <c r="O435" s="134">
        <v>10.71</v>
      </c>
      <c r="P435" s="136">
        <v>-0.48</v>
      </c>
      <c r="Q435" s="134">
        <v>1.31</v>
      </c>
      <c r="R435" s="136">
        <v>28.75</v>
      </c>
      <c r="S435" s="134">
        <v>10.87</v>
      </c>
      <c r="T435" s="134">
        <v>20.44</v>
      </c>
      <c r="U435" s="134">
        <v>0.38</v>
      </c>
      <c r="V435" s="134">
        <v>0.62</v>
      </c>
      <c r="W435" s="134">
        <v>0.36</v>
      </c>
      <c r="X435" s="134">
        <v>-3.29</v>
      </c>
      <c r="Y435" s="10">
        <v>0.0</v>
      </c>
      <c r="Z435" s="135">
        <v>1.98739790104E9</v>
      </c>
      <c r="AA435" s="134">
        <v>27.3</v>
      </c>
      <c r="AB435" s="134">
        <v>7.85</v>
      </c>
      <c r="AC435" s="134">
        <v>-0.01</v>
      </c>
      <c r="AD435" s="135">
        <v>3.8581133008972E11</v>
      </c>
    </row>
    <row r="436">
      <c r="A436" s="10" t="s">
        <v>97</v>
      </c>
      <c r="B436" s="134">
        <v>23.02</v>
      </c>
      <c r="C436" s="134">
        <v>0.23</v>
      </c>
      <c r="D436" s="136">
        <v>145.38</v>
      </c>
      <c r="E436" s="136">
        <v>16.26</v>
      </c>
      <c r="F436" s="134">
        <v>4.69</v>
      </c>
      <c r="G436" s="134">
        <v>47.98</v>
      </c>
      <c r="H436" s="134">
        <v>7.72</v>
      </c>
      <c r="I436" s="136">
        <v>3.51</v>
      </c>
      <c r="J436" s="134">
        <v>65.99</v>
      </c>
      <c r="K436" s="134">
        <v>66.56</v>
      </c>
      <c r="L436" s="134">
        <v>0.74</v>
      </c>
      <c r="M436" s="134">
        <v>0.18</v>
      </c>
      <c r="N436" s="134">
        <v>5.1</v>
      </c>
      <c r="O436" s="134">
        <v>69.37</v>
      </c>
      <c r="P436" s="136">
        <v>-7.74</v>
      </c>
      <c r="Q436" s="134">
        <v>1.21</v>
      </c>
      <c r="R436" s="136">
        <v>11.19</v>
      </c>
      <c r="S436" s="134">
        <v>3.23</v>
      </c>
      <c r="T436" s="134">
        <v>13.57</v>
      </c>
      <c r="U436" s="134">
        <v>0.29</v>
      </c>
      <c r="V436" s="134">
        <v>0.71</v>
      </c>
      <c r="W436" s="134">
        <v>0.92</v>
      </c>
      <c r="X436" s="10">
        <v>0.0</v>
      </c>
      <c r="Y436" s="10">
        <v>0.0</v>
      </c>
      <c r="Z436" s="137">
        <v>1.3117878083E8</v>
      </c>
      <c r="AA436" s="134">
        <v>1.42</v>
      </c>
      <c r="AB436" s="134">
        <v>0.16</v>
      </c>
      <c r="AC436" s="134">
        <v>3.13</v>
      </c>
      <c r="AD436" s="135">
        <v>9.04603790608E9</v>
      </c>
    </row>
    <row r="437">
      <c r="A437" s="10" t="s">
        <v>321</v>
      </c>
      <c r="B437" s="134">
        <v>5.66</v>
      </c>
      <c r="C437" s="10">
        <v>0.0</v>
      </c>
      <c r="D437" s="134">
        <v>7.11</v>
      </c>
      <c r="E437" s="136">
        <v>0.64</v>
      </c>
      <c r="F437" s="134">
        <v>0.18</v>
      </c>
      <c r="G437" s="134">
        <v>14.34</v>
      </c>
      <c r="H437" s="134">
        <v>2.42</v>
      </c>
      <c r="I437" s="136">
        <v>1.67</v>
      </c>
      <c r="J437" s="134">
        <v>4.91</v>
      </c>
      <c r="K437" s="134">
        <v>8.79</v>
      </c>
      <c r="L437" s="134">
        <v>3.84</v>
      </c>
      <c r="M437" s="134">
        <v>0.5</v>
      </c>
      <c r="N437" s="134">
        <v>0.12</v>
      </c>
      <c r="O437" s="134">
        <v>0.84</v>
      </c>
      <c r="P437" s="136">
        <v>-0.52</v>
      </c>
      <c r="Q437" s="134">
        <v>1.48</v>
      </c>
      <c r="R437" s="134">
        <v>9.05</v>
      </c>
      <c r="S437" s="134">
        <v>2.5</v>
      </c>
      <c r="T437" s="134">
        <v>5.07</v>
      </c>
      <c r="U437" s="134">
        <v>0.28</v>
      </c>
      <c r="V437" s="134">
        <v>0.63</v>
      </c>
      <c r="W437" s="134">
        <v>1.49</v>
      </c>
      <c r="X437" s="134">
        <v>9.61</v>
      </c>
      <c r="Y437" s="10">
        <v>0.0</v>
      </c>
      <c r="Z437" s="135">
        <v>1120493.58</v>
      </c>
      <c r="AA437" s="134">
        <v>8.8</v>
      </c>
      <c r="AB437" s="134">
        <v>0.8</v>
      </c>
      <c r="AC437" s="134">
        <v>0.01</v>
      </c>
      <c r="AD437" s="135">
        <v>7.0697093383E8</v>
      </c>
    </row>
    <row r="438">
      <c r="A438" s="10" t="s">
        <v>225</v>
      </c>
      <c r="B438" s="134">
        <v>12.25</v>
      </c>
      <c r="C438" s="10">
        <v>0.0</v>
      </c>
      <c r="D438" s="134">
        <v>28.43</v>
      </c>
      <c r="E438" s="136">
        <v>2.66</v>
      </c>
      <c r="F438" s="134">
        <v>0.95</v>
      </c>
      <c r="G438" s="134">
        <v>31.82</v>
      </c>
      <c r="H438" s="136">
        <v>5.54</v>
      </c>
      <c r="I438" s="136">
        <v>2.63</v>
      </c>
      <c r="J438" s="134">
        <v>13.48</v>
      </c>
      <c r="K438" s="134">
        <v>14.54</v>
      </c>
      <c r="L438" s="134">
        <v>1.02</v>
      </c>
      <c r="M438" s="134">
        <v>0.2</v>
      </c>
      <c r="N438" s="136">
        <v>0.75</v>
      </c>
      <c r="O438" s="134">
        <v>4.4</v>
      </c>
      <c r="P438" s="136">
        <v>-2.12</v>
      </c>
      <c r="Q438" s="134">
        <v>1.65</v>
      </c>
      <c r="R438" s="134">
        <v>9.36</v>
      </c>
      <c r="S438" s="134">
        <v>3.36</v>
      </c>
      <c r="T438" s="134">
        <v>13.98</v>
      </c>
      <c r="U438" s="134">
        <v>0.36</v>
      </c>
      <c r="V438" s="134">
        <v>0.64</v>
      </c>
      <c r="W438" s="134">
        <v>1.28</v>
      </c>
      <c r="X438" s="134">
        <v>8.17</v>
      </c>
      <c r="Y438" s="134">
        <v>43.95</v>
      </c>
      <c r="Z438" s="135">
        <v>1.638767654E7</v>
      </c>
      <c r="AA438" s="134">
        <v>4.61</v>
      </c>
      <c r="AB438" s="134">
        <v>0.43</v>
      </c>
      <c r="AC438" s="134">
        <v>0.41</v>
      </c>
      <c r="AD438" s="135">
        <v>5.45406925198E9</v>
      </c>
    </row>
    <row r="439">
      <c r="A439" s="10" t="s">
        <v>642</v>
      </c>
      <c r="B439" s="134">
        <v>0.0</v>
      </c>
      <c r="C439" s="10">
        <v>0.0</v>
      </c>
      <c r="D439" s="134">
        <v>0.0</v>
      </c>
      <c r="E439" s="136">
        <v>0.0</v>
      </c>
      <c r="F439" s="134">
        <v>0.0</v>
      </c>
      <c r="G439" s="134">
        <v>15.29</v>
      </c>
      <c r="H439" s="136">
        <v>-13.94</v>
      </c>
      <c r="I439" s="136">
        <v>-8.49</v>
      </c>
      <c r="J439" s="136">
        <v>0.0</v>
      </c>
      <c r="K439" s="134">
        <v>-1.38</v>
      </c>
      <c r="L439" s="10">
        <v>0.0</v>
      </c>
      <c r="M439" s="10">
        <v>0.0</v>
      </c>
      <c r="N439" s="136">
        <v>0.0</v>
      </c>
      <c r="O439" s="134">
        <v>0.0</v>
      </c>
      <c r="P439" s="136">
        <v>0.0</v>
      </c>
      <c r="Q439" s="134">
        <v>0.58</v>
      </c>
      <c r="R439" s="134">
        <v>-8.09</v>
      </c>
      <c r="S439" s="134">
        <v>-0.42</v>
      </c>
      <c r="T439" s="10">
        <v>0.0</v>
      </c>
      <c r="U439" s="134">
        <v>0.05</v>
      </c>
      <c r="V439" s="134">
        <v>0.95</v>
      </c>
      <c r="W439" s="134">
        <v>0.05</v>
      </c>
      <c r="X439" s="134">
        <v>4.73</v>
      </c>
      <c r="Y439" s="10">
        <v>0.0</v>
      </c>
      <c r="Z439" s="138">
        <v>0.0</v>
      </c>
      <c r="AA439" s="134">
        <v>5.23</v>
      </c>
      <c r="AB439" s="134">
        <v>-0.42</v>
      </c>
      <c r="AC439" s="134">
        <v>0.0</v>
      </c>
      <c r="AD439" s="135">
        <v>1.4225664712E8</v>
      </c>
    </row>
    <row r="440">
      <c r="A440" s="10" t="s">
        <v>343</v>
      </c>
      <c r="B440" s="134">
        <v>1.94</v>
      </c>
      <c r="C440" s="10">
        <v>0.0</v>
      </c>
      <c r="D440" s="134">
        <v>-4.58</v>
      </c>
      <c r="E440" s="136">
        <v>0.37</v>
      </c>
      <c r="F440" s="134">
        <v>0.02</v>
      </c>
      <c r="G440" s="134">
        <v>15.29</v>
      </c>
      <c r="H440" s="136">
        <v>-13.94</v>
      </c>
      <c r="I440" s="136">
        <v>-8.49</v>
      </c>
      <c r="J440" s="134">
        <v>-2.79</v>
      </c>
      <c r="K440" s="134">
        <v>-1.38</v>
      </c>
      <c r="L440" s="10">
        <v>0.0</v>
      </c>
      <c r="M440" s="10">
        <v>0.0</v>
      </c>
      <c r="N440" s="136">
        <v>0.39</v>
      </c>
      <c r="O440" s="134">
        <v>-0.11</v>
      </c>
      <c r="P440" s="136">
        <v>-0.03</v>
      </c>
      <c r="Q440" s="134">
        <v>0.58</v>
      </c>
      <c r="R440" s="134">
        <v>-8.09</v>
      </c>
      <c r="S440" s="134">
        <v>-0.42</v>
      </c>
      <c r="T440" s="10">
        <v>0.0</v>
      </c>
      <c r="U440" s="134">
        <v>0.05</v>
      </c>
      <c r="V440" s="134">
        <v>0.95</v>
      </c>
      <c r="W440" s="134">
        <v>0.05</v>
      </c>
      <c r="X440" s="134">
        <v>4.73</v>
      </c>
      <c r="Y440" s="10">
        <v>0.0</v>
      </c>
      <c r="Z440" s="135">
        <v>399978.63</v>
      </c>
      <c r="AA440" s="134">
        <v>5.23</v>
      </c>
      <c r="AB440" s="134">
        <v>-0.42</v>
      </c>
      <c r="AC440" s="134">
        <v>-0.11</v>
      </c>
      <c r="AD440" s="135">
        <v>1.4225664712E8</v>
      </c>
    </row>
    <row r="441">
      <c r="A441" s="10" t="s">
        <v>437</v>
      </c>
      <c r="B441" s="134">
        <v>12.36</v>
      </c>
      <c r="C441" s="10">
        <v>0.0</v>
      </c>
      <c r="D441" s="134">
        <v>-1.72</v>
      </c>
      <c r="E441" s="134">
        <v>-0.68</v>
      </c>
      <c r="F441" s="134">
        <v>0.24</v>
      </c>
      <c r="G441" s="134">
        <v>6.06</v>
      </c>
      <c r="H441" s="136">
        <v>-10.84</v>
      </c>
      <c r="I441" s="136">
        <v>-17.09</v>
      </c>
      <c r="J441" s="134">
        <v>-2.71</v>
      </c>
      <c r="K441" s="134">
        <v>-5.79</v>
      </c>
      <c r="L441" s="134">
        <v>-3.09</v>
      </c>
      <c r="M441" s="10">
        <v>0.0</v>
      </c>
      <c r="N441" s="136">
        <v>0.29</v>
      </c>
      <c r="O441" s="134">
        <v>-0.97</v>
      </c>
      <c r="P441" s="134">
        <v>-0.36</v>
      </c>
      <c r="Q441" s="134">
        <v>0.56</v>
      </c>
      <c r="R441" s="134">
        <v>-39.64</v>
      </c>
      <c r="S441" s="134">
        <v>-14.15</v>
      </c>
      <c r="T441" s="134">
        <v>195.55</v>
      </c>
      <c r="U441" s="134">
        <v>-0.36</v>
      </c>
      <c r="V441" s="134">
        <v>1.36</v>
      </c>
      <c r="W441" s="134">
        <v>0.83</v>
      </c>
      <c r="X441" s="134">
        <v>-5.14</v>
      </c>
      <c r="Y441" s="10">
        <v>0.0</v>
      </c>
      <c r="Z441" s="136">
        <v>24116.48</v>
      </c>
      <c r="AA441" s="134">
        <v>-18.17</v>
      </c>
      <c r="AB441" s="134">
        <v>-7.2</v>
      </c>
      <c r="AC441" s="134">
        <v>0.0</v>
      </c>
      <c r="AD441" s="135">
        <v>1.5357816648E8</v>
      </c>
    </row>
    <row r="442">
      <c r="A442" s="10" t="s">
        <v>282</v>
      </c>
      <c r="B442" s="134">
        <v>3.59</v>
      </c>
      <c r="C442" s="134">
        <v>5.45</v>
      </c>
      <c r="D442" s="136">
        <v>4.87</v>
      </c>
      <c r="E442" s="134">
        <v>2.54</v>
      </c>
      <c r="F442" s="134">
        <v>0.64</v>
      </c>
      <c r="G442" s="134">
        <v>33.96</v>
      </c>
      <c r="H442" s="136">
        <v>14.94</v>
      </c>
      <c r="I442" s="136">
        <v>13.08</v>
      </c>
      <c r="J442" s="136">
        <v>4.27</v>
      </c>
      <c r="K442" s="134">
        <v>4.87</v>
      </c>
      <c r="L442" s="134">
        <v>0.57</v>
      </c>
      <c r="M442" s="134">
        <v>0.34</v>
      </c>
      <c r="N442" s="136">
        <v>0.64</v>
      </c>
      <c r="O442" s="134">
        <v>0.79</v>
      </c>
      <c r="P442" s="134">
        <v>-12.82</v>
      </c>
      <c r="Q442" s="134">
        <v>6.95</v>
      </c>
      <c r="R442" s="134">
        <v>52.04</v>
      </c>
      <c r="S442" s="134">
        <v>13.15</v>
      </c>
      <c r="T442" s="134">
        <v>23.15</v>
      </c>
      <c r="U442" s="134">
        <v>0.25</v>
      </c>
      <c r="V442" s="134">
        <v>0.75</v>
      </c>
      <c r="W442" s="134">
        <v>1.01</v>
      </c>
      <c r="X442" s="10">
        <v>0.0</v>
      </c>
      <c r="Y442" s="10">
        <v>0.0</v>
      </c>
      <c r="Z442" s="135">
        <v>4877452.54</v>
      </c>
      <c r="AA442" s="134">
        <v>1.42</v>
      </c>
      <c r="AB442" s="134">
        <v>0.74</v>
      </c>
      <c r="AC442" s="134">
        <v>0.12</v>
      </c>
      <c r="AD442" s="135">
        <v>7.3940672E8</v>
      </c>
    </row>
    <row r="443">
      <c r="A443" s="10" t="s">
        <v>280</v>
      </c>
      <c r="B443" s="134">
        <v>10.7</v>
      </c>
      <c r="C443" s="10">
        <v>0.0</v>
      </c>
      <c r="D443" s="134">
        <v>-2.22</v>
      </c>
      <c r="E443" s="136">
        <v>-1.24</v>
      </c>
      <c r="F443" s="134">
        <v>0.14</v>
      </c>
      <c r="G443" s="134">
        <v>2.4</v>
      </c>
      <c r="H443" s="136">
        <v>-3.92</v>
      </c>
      <c r="I443" s="136">
        <v>-4.38</v>
      </c>
      <c r="J443" s="134">
        <v>-2.49</v>
      </c>
      <c r="K443" s="134">
        <v>-17.22</v>
      </c>
      <c r="L443" s="134">
        <v>-14.72</v>
      </c>
      <c r="M443" s="10">
        <v>0.0</v>
      </c>
      <c r="N443" s="136">
        <v>0.1</v>
      </c>
      <c r="O443" s="134">
        <v>-0.21</v>
      </c>
      <c r="P443" s="136">
        <v>-0.22</v>
      </c>
      <c r="Q443" s="134">
        <v>0.38</v>
      </c>
      <c r="R443" s="134">
        <v>-55.78</v>
      </c>
      <c r="S443" s="134">
        <v>-6.07</v>
      </c>
      <c r="T443" s="134">
        <v>-8.34</v>
      </c>
      <c r="U443" s="134">
        <v>-0.11</v>
      </c>
      <c r="V443" s="134">
        <v>1.11</v>
      </c>
      <c r="W443" s="134">
        <v>1.39</v>
      </c>
      <c r="X443" s="134">
        <v>-4.39</v>
      </c>
      <c r="Y443" s="10">
        <v>0.0</v>
      </c>
      <c r="Z443" s="135">
        <v>7698505.38</v>
      </c>
      <c r="AA443" s="134">
        <v>-8.62</v>
      </c>
      <c r="AB443" s="134">
        <v>-4.81</v>
      </c>
      <c r="AC443" s="134">
        <v>0.03</v>
      </c>
      <c r="AD443" s="135">
        <v>4.6832753071E8</v>
      </c>
    </row>
    <row r="444">
      <c r="A444" s="10" t="s">
        <v>228</v>
      </c>
      <c r="B444" s="134">
        <v>14.3</v>
      </c>
      <c r="C444" s="134">
        <v>1.23</v>
      </c>
      <c r="D444" s="134">
        <v>27.29</v>
      </c>
      <c r="E444" s="134">
        <v>2.1</v>
      </c>
      <c r="F444" s="134">
        <v>1.0</v>
      </c>
      <c r="G444" s="134">
        <v>30.2</v>
      </c>
      <c r="H444" s="136">
        <v>3.39</v>
      </c>
      <c r="I444" s="136">
        <v>2.6</v>
      </c>
      <c r="J444" s="136">
        <v>20.93</v>
      </c>
      <c r="K444" s="134">
        <v>25.87</v>
      </c>
      <c r="L444" s="134">
        <v>4.84</v>
      </c>
      <c r="M444" s="134">
        <v>0.49</v>
      </c>
      <c r="N444" s="136">
        <v>0.71</v>
      </c>
      <c r="O444" s="134">
        <v>3.3</v>
      </c>
      <c r="P444" s="134">
        <v>-2.41</v>
      </c>
      <c r="Q444" s="134">
        <v>2.09</v>
      </c>
      <c r="R444" s="134">
        <v>7.69</v>
      </c>
      <c r="S444" s="134">
        <v>3.68</v>
      </c>
      <c r="T444" s="134">
        <v>5.84</v>
      </c>
      <c r="U444" s="134">
        <v>0.48</v>
      </c>
      <c r="V444" s="134">
        <v>0.52</v>
      </c>
      <c r="W444" s="134">
        <v>1.42</v>
      </c>
      <c r="X444" s="134">
        <v>7.26</v>
      </c>
      <c r="Y444" s="134">
        <v>11.73</v>
      </c>
      <c r="Z444" s="135">
        <v>1.437187446E7</v>
      </c>
      <c r="AA444" s="134">
        <v>6.81</v>
      </c>
      <c r="AB444" s="134">
        <v>0.52</v>
      </c>
      <c r="AC444" s="134">
        <v>1.03</v>
      </c>
      <c r="AD444" s="135">
        <v>2.15942062716E9</v>
      </c>
    </row>
    <row r="445">
      <c r="A445" s="10" t="s">
        <v>643</v>
      </c>
      <c r="B445" s="134">
        <v>18.62</v>
      </c>
      <c r="C445" s="134">
        <v>1.02</v>
      </c>
      <c r="D445" s="134">
        <v>35.53</v>
      </c>
      <c r="E445" s="136">
        <v>2.73</v>
      </c>
      <c r="F445" s="134">
        <v>1.31</v>
      </c>
      <c r="G445" s="134">
        <v>30.2</v>
      </c>
      <c r="H445" s="136">
        <v>3.39</v>
      </c>
      <c r="I445" s="136">
        <v>2.6</v>
      </c>
      <c r="J445" s="136">
        <v>27.26</v>
      </c>
      <c r="K445" s="134">
        <v>25.87</v>
      </c>
      <c r="L445" s="134">
        <v>4.84</v>
      </c>
      <c r="M445" s="134">
        <v>0.49</v>
      </c>
      <c r="N445" s="136">
        <v>0.92</v>
      </c>
      <c r="O445" s="134">
        <v>4.3</v>
      </c>
      <c r="P445" s="136">
        <v>-3.13</v>
      </c>
      <c r="Q445" s="134">
        <v>2.09</v>
      </c>
      <c r="R445" s="134">
        <v>7.69</v>
      </c>
      <c r="S445" s="134">
        <v>3.68</v>
      </c>
      <c r="T445" s="134">
        <v>5.84</v>
      </c>
      <c r="U445" s="134">
        <v>0.48</v>
      </c>
      <c r="V445" s="134">
        <v>0.52</v>
      </c>
      <c r="W445" s="134">
        <v>1.42</v>
      </c>
      <c r="X445" s="134">
        <v>7.26</v>
      </c>
      <c r="Y445" s="134">
        <v>11.73</v>
      </c>
      <c r="Z445" s="136">
        <v>83188.67</v>
      </c>
      <c r="AA445" s="134">
        <v>6.81</v>
      </c>
      <c r="AB445" s="134">
        <v>0.52</v>
      </c>
      <c r="AC445" s="134">
        <v>1.35</v>
      </c>
      <c r="AD445" s="135">
        <v>2.15942062716E9</v>
      </c>
    </row>
    <row r="446">
      <c r="A446" s="10" t="s">
        <v>336</v>
      </c>
      <c r="B446" s="134">
        <v>2.52</v>
      </c>
      <c r="C446" s="134">
        <v>3.57</v>
      </c>
      <c r="D446" s="134">
        <v>8.7</v>
      </c>
      <c r="E446" s="134">
        <v>0.89</v>
      </c>
      <c r="F446" s="134">
        <v>0.39</v>
      </c>
      <c r="G446" s="134">
        <v>13.49</v>
      </c>
      <c r="H446" s="136">
        <v>5.27</v>
      </c>
      <c r="I446" s="136">
        <v>7.77</v>
      </c>
      <c r="J446" s="134">
        <v>12.83</v>
      </c>
      <c r="K446" s="134">
        <v>20.04</v>
      </c>
      <c r="L446" s="134">
        <v>5.81</v>
      </c>
      <c r="M446" s="134">
        <v>0.4</v>
      </c>
      <c r="N446" s="136">
        <v>0.68</v>
      </c>
      <c r="O446" s="134">
        <v>1.67</v>
      </c>
      <c r="P446" s="134">
        <v>-0.78</v>
      </c>
      <c r="Q446" s="134">
        <v>1.84</v>
      </c>
      <c r="R446" s="134">
        <v>10.22</v>
      </c>
      <c r="S446" s="134">
        <v>4.43</v>
      </c>
      <c r="T446" s="134">
        <v>2.3</v>
      </c>
      <c r="U446" s="134">
        <v>0.43</v>
      </c>
      <c r="V446" s="134">
        <v>0.56</v>
      </c>
      <c r="W446" s="134">
        <v>0.57</v>
      </c>
      <c r="X446" s="134">
        <v>5.56</v>
      </c>
      <c r="Y446" s="134">
        <v>25.82</v>
      </c>
      <c r="Z446" s="135">
        <v>866172.63</v>
      </c>
      <c r="AA446" s="134">
        <v>2.83</v>
      </c>
      <c r="AB446" s="134">
        <v>0.29</v>
      </c>
      <c r="AC446" s="134">
        <v>0.06</v>
      </c>
      <c r="AD446" s="135">
        <v>2.64721477548E9</v>
      </c>
    </row>
    <row r="447">
      <c r="A447" s="10" t="s">
        <v>239</v>
      </c>
      <c r="B447" s="134">
        <v>2.93</v>
      </c>
      <c r="C447" s="134">
        <v>3.07</v>
      </c>
      <c r="D447" s="136">
        <v>10.12</v>
      </c>
      <c r="E447" s="136">
        <v>1.03</v>
      </c>
      <c r="F447" s="134">
        <v>0.45</v>
      </c>
      <c r="G447" s="134">
        <v>13.49</v>
      </c>
      <c r="H447" s="134">
        <v>5.27</v>
      </c>
      <c r="I447" s="134">
        <v>7.77</v>
      </c>
      <c r="J447" s="134">
        <v>14.91</v>
      </c>
      <c r="K447" s="134">
        <v>20.04</v>
      </c>
      <c r="L447" s="134">
        <v>5.81</v>
      </c>
      <c r="M447" s="134">
        <v>0.4</v>
      </c>
      <c r="N447" s="134">
        <v>0.79</v>
      </c>
      <c r="O447" s="134">
        <v>1.94</v>
      </c>
      <c r="P447" s="136">
        <v>-0.91</v>
      </c>
      <c r="Q447" s="134">
        <v>1.84</v>
      </c>
      <c r="R447" s="134">
        <v>10.22</v>
      </c>
      <c r="S447" s="134">
        <v>4.43</v>
      </c>
      <c r="T447" s="134">
        <v>2.3</v>
      </c>
      <c r="U447" s="134">
        <v>0.43</v>
      </c>
      <c r="V447" s="134">
        <v>0.56</v>
      </c>
      <c r="W447" s="134">
        <v>0.57</v>
      </c>
      <c r="X447" s="134">
        <v>5.56</v>
      </c>
      <c r="Y447" s="134">
        <v>25.82</v>
      </c>
      <c r="Z447" s="135">
        <v>1.116411342E7</v>
      </c>
      <c r="AA447" s="134">
        <v>2.83</v>
      </c>
      <c r="AB447" s="134">
        <v>0.29</v>
      </c>
      <c r="AC447" s="134">
        <v>0.07</v>
      </c>
      <c r="AD447" s="135">
        <v>2.64721477548E9</v>
      </c>
    </row>
    <row r="448">
      <c r="A448" s="10" t="s">
        <v>121</v>
      </c>
      <c r="B448" s="134">
        <v>10.02</v>
      </c>
      <c r="C448" s="134">
        <v>3.4</v>
      </c>
      <c r="D448" s="136">
        <v>4.69</v>
      </c>
      <c r="E448" s="134">
        <v>1.29</v>
      </c>
      <c r="F448" s="134">
        <v>0.45</v>
      </c>
      <c r="G448" s="134">
        <v>22.98</v>
      </c>
      <c r="H448" s="134">
        <v>15.3</v>
      </c>
      <c r="I448" s="134">
        <v>10.67</v>
      </c>
      <c r="J448" s="134">
        <v>3.28</v>
      </c>
      <c r="K448" s="134">
        <v>4.06</v>
      </c>
      <c r="L448" s="134">
        <v>0.74</v>
      </c>
      <c r="M448" s="134">
        <v>0.29</v>
      </c>
      <c r="N448" s="134">
        <v>0.5</v>
      </c>
      <c r="O448" s="134">
        <v>1.42</v>
      </c>
      <c r="P448" s="134">
        <v>-2.32</v>
      </c>
      <c r="Q448" s="134">
        <v>1.66</v>
      </c>
      <c r="R448" s="134">
        <v>27.56</v>
      </c>
      <c r="S448" s="134">
        <v>9.68</v>
      </c>
      <c r="T448" s="134">
        <v>18.53</v>
      </c>
      <c r="U448" s="134">
        <v>0.35</v>
      </c>
      <c r="V448" s="134">
        <v>0.65</v>
      </c>
      <c r="W448" s="134">
        <v>0.91</v>
      </c>
      <c r="X448" s="134">
        <v>3.53</v>
      </c>
      <c r="Y448" s="10">
        <v>0.0</v>
      </c>
      <c r="Z448" s="135">
        <v>8.239826233E7</v>
      </c>
      <c r="AA448" s="134">
        <v>7.74</v>
      </c>
      <c r="AB448" s="134">
        <v>2.13</v>
      </c>
      <c r="AC448" s="134">
        <v>0.0</v>
      </c>
      <c r="AD448" s="135">
        <v>1.440688E9</v>
      </c>
    </row>
    <row r="449">
      <c r="A449" s="10" t="s">
        <v>272</v>
      </c>
      <c r="B449" s="134">
        <v>12.4</v>
      </c>
      <c r="C449" s="134">
        <v>0.43</v>
      </c>
      <c r="D449" s="134">
        <v>59.47</v>
      </c>
      <c r="E449" s="134">
        <v>1.21</v>
      </c>
      <c r="F449" s="134">
        <v>0.47</v>
      </c>
      <c r="G449" s="134">
        <v>8.09</v>
      </c>
      <c r="H449" s="134">
        <v>3.65</v>
      </c>
      <c r="I449" s="134">
        <v>1.55</v>
      </c>
      <c r="J449" s="134">
        <v>25.24</v>
      </c>
      <c r="K449" s="134">
        <v>13.25</v>
      </c>
      <c r="L449" s="134">
        <v>-12.42</v>
      </c>
      <c r="M449" s="134">
        <v>-0.59</v>
      </c>
      <c r="N449" s="134">
        <v>0.92</v>
      </c>
      <c r="O449" s="134">
        <v>1.71</v>
      </c>
      <c r="P449" s="134">
        <v>-1.63</v>
      </c>
      <c r="Q449" s="134">
        <v>1.64</v>
      </c>
      <c r="R449" s="134">
        <v>2.03</v>
      </c>
      <c r="S449" s="134">
        <v>0.79</v>
      </c>
      <c r="T449" s="134">
        <v>2.58</v>
      </c>
      <c r="U449" s="134">
        <v>0.39</v>
      </c>
      <c r="V449" s="134">
        <v>0.61</v>
      </c>
      <c r="W449" s="134">
        <v>0.51</v>
      </c>
      <c r="X449" s="10">
        <v>0.0</v>
      </c>
      <c r="Y449" s="10">
        <v>0.0</v>
      </c>
      <c r="Z449" s="135">
        <v>6284807.71</v>
      </c>
      <c r="AA449" s="134">
        <v>10.26</v>
      </c>
      <c r="AB449" s="134">
        <v>0.21</v>
      </c>
      <c r="AC449" s="134">
        <v>-0.77</v>
      </c>
      <c r="AD449" s="135">
        <v>1.13054773416E9</v>
      </c>
    </row>
    <row r="450">
      <c r="A450" s="10" t="s">
        <v>644</v>
      </c>
      <c r="B450" s="134">
        <v>14.6</v>
      </c>
      <c r="C450" s="10">
        <v>0.0</v>
      </c>
      <c r="D450" s="134">
        <v>-22.05</v>
      </c>
      <c r="E450" s="136">
        <v>0.02</v>
      </c>
      <c r="F450" s="134">
        <v>0.01</v>
      </c>
      <c r="G450" s="10">
        <v>0.0</v>
      </c>
      <c r="H450" s="138">
        <v>0.0</v>
      </c>
      <c r="I450" s="138">
        <v>0.0</v>
      </c>
      <c r="J450" s="134">
        <v>-7.77</v>
      </c>
      <c r="K450" s="134">
        <v>8.78</v>
      </c>
      <c r="L450" s="134">
        <v>16.55</v>
      </c>
      <c r="M450" s="134">
        <v>-0.04</v>
      </c>
      <c r="N450" s="138">
        <v>0.0</v>
      </c>
      <c r="O450" s="134">
        <v>0.45</v>
      </c>
      <c r="P450" s="136">
        <v>-0.01</v>
      </c>
      <c r="Q450" s="134">
        <v>134.5</v>
      </c>
      <c r="R450" s="134">
        <v>-0.09</v>
      </c>
      <c r="S450" s="134">
        <v>-0.06</v>
      </c>
      <c r="T450" s="134">
        <v>-0.26</v>
      </c>
      <c r="U450" s="134">
        <v>0.71</v>
      </c>
      <c r="V450" s="134">
        <v>0.29</v>
      </c>
      <c r="W450" s="134">
        <v>0.0</v>
      </c>
      <c r="X450" s="10">
        <v>0.0</v>
      </c>
      <c r="Y450" s="10">
        <v>0.0</v>
      </c>
      <c r="Z450" s="138">
        <v>0.0</v>
      </c>
      <c r="AA450" s="134">
        <v>720.3</v>
      </c>
      <c r="AB450" s="134">
        <v>-0.66</v>
      </c>
      <c r="AC450" s="134">
        <v>0.46</v>
      </c>
      <c r="AD450" s="135">
        <v>1080400.0</v>
      </c>
    </row>
    <row r="451">
      <c r="A451" s="10" t="s">
        <v>517</v>
      </c>
      <c r="B451" s="134">
        <v>6.54</v>
      </c>
      <c r="C451" s="10">
        <v>0.0</v>
      </c>
      <c r="D451" s="134">
        <v>-428.09</v>
      </c>
      <c r="E451" s="136">
        <v>2300.99</v>
      </c>
      <c r="F451" s="134">
        <v>12.22</v>
      </c>
      <c r="G451" s="10">
        <v>0.0</v>
      </c>
      <c r="H451" s="138">
        <v>0.0</v>
      </c>
      <c r="I451" s="138">
        <v>0.0</v>
      </c>
      <c r="J451" s="134">
        <v>-428.09</v>
      </c>
      <c r="K451" s="134">
        <v>-428.09</v>
      </c>
      <c r="L451" s="10">
        <v>0.0</v>
      </c>
      <c r="M451" s="10">
        <v>0.0</v>
      </c>
      <c r="N451" s="138">
        <v>0.0</v>
      </c>
      <c r="O451" s="138">
        <v>0.0</v>
      </c>
      <c r="P451" s="136">
        <v>-2300.99</v>
      </c>
      <c r="Q451" s="134">
        <v>1.0</v>
      </c>
      <c r="R451" s="134">
        <v>-537.5</v>
      </c>
      <c r="S451" s="134">
        <v>-2.86</v>
      </c>
      <c r="T451" s="10">
        <v>0.0</v>
      </c>
      <c r="U451" s="134">
        <v>0.01</v>
      </c>
      <c r="V451" s="134">
        <v>0.99</v>
      </c>
      <c r="W451" s="134">
        <v>0.0</v>
      </c>
      <c r="X451" s="10">
        <v>0.0</v>
      </c>
      <c r="Y451" s="10">
        <v>0.0</v>
      </c>
      <c r="Z451" s="136">
        <v>4877.58</v>
      </c>
      <c r="AA451" s="134">
        <v>0.0</v>
      </c>
      <c r="AB451" s="134">
        <v>-0.02</v>
      </c>
      <c r="AC451" s="134">
        <v>4.3</v>
      </c>
      <c r="AD451" s="135">
        <v>1.840791564E7</v>
      </c>
    </row>
    <row r="452">
      <c r="A452" s="10" t="s">
        <v>72</v>
      </c>
      <c r="B452" s="134">
        <v>26.47</v>
      </c>
      <c r="C452" s="10">
        <v>0.0</v>
      </c>
      <c r="D452" s="136">
        <v>26.94</v>
      </c>
      <c r="E452" s="136">
        <v>4.29</v>
      </c>
      <c r="F452" s="134">
        <v>2.21</v>
      </c>
      <c r="G452" s="134">
        <v>48.8</v>
      </c>
      <c r="H452" s="136">
        <v>47.81</v>
      </c>
      <c r="I452" s="136">
        <v>28.33</v>
      </c>
      <c r="J452" s="134">
        <v>15.96</v>
      </c>
      <c r="K452" s="134">
        <v>15.74</v>
      </c>
      <c r="L452" s="134">
        <v>-0.45</v>
      </c>
      <c r="M452" s="134">
        <v>-0.12</v>
      </c>
      <c r="N452" s="136">
        <v>7.63</v>
      </c>
      <c r="O452" s="136">
        <v>5.04</v>
      </c>
      <c r="P452" s="136">
        <v>-4.66</v>
      </c>
      <c r="Q452" s="134">
        <v>6.1</v>
      </c>
      <c r="R452" s="134">
        <v>15.92</v>
      </c>
      <c r="S452" s="134">
        <v>8.22</v>
      </c>
      <c r="T452" s="134">
        <v>13.47</v>
      </c>
      <c r="U452" s="134">
        <v>0.52</v>
      </c>
      <c r="V452" s="134">
        <v>0.48</v>
      </c>
      <c r="W452" s="134">
        <v>0.29</v>
      </c>
      <c r="X452" s="134">
        <v>49.72</v>
      </c>
      <c r="Y452" s="134">
        <v>50.87</v>
      </c>
      <c r="Z452" s="135">
        <v>5.1704685954E8</v>
      </c>
      <c r="AA452" s="134">
        <v>6.17</v>
      </c>
      <c r="AB452" s="134">
        <v>0.98</v>
      </c>
      <c r="AC452" s="134">
        <v>0.32</v>
      </c>
      <c r="AD452" s="135">
        <v>2.35919664967E10</v>
      </c>
    </row>
    <row r="453">
      <c r="A453" s="10" t="s">
        <v>340</v>
      </c>
      <c r="B453" s="134">
        <v>8.03</v>
      </c>
      <c r="C453" s="10">
        <v>0.0</v>
      </c>
      <c r="D453" s="136">
        <v>19.58</v>
      </c>
      <c r="E453" s="134">
        <v>1.36</v>
      </c>
      <c r="F453" s="134">
        <v>0.89</v>
      </c>
      <c r="G453" s="134">
        <v>17.54</v>
      </c>
      <c r="H453" s="136">
        <v>2.82</v>
      </c>
      <c r="I453" s="136">
        <v>5.09</v>
      </c>
      <c r="J453" s="134">
        <v>35.3</v>
      </c>
      <c r="K453" s="134">
        <v>33.54</v>
      </c>
      <c r="L453" s="134">
        <v>-1.84</v>
      </c>
      <c r="M453" s="134">
        <v>-0.07</v>
      </c>
      <c r="N453" s="136">
        <v>1.0</v>
      </c>
      <c r="O453" s="136">
        <v>2.8</v>
      </c>
      <c r="P453" s="134">
        <v>-2.1</v>
      </c>
      <c r="Q453" s="134">
        <v>2.22</v>
      </c>
      <c r="R453" s="134">
        <v>6.96</v>
      </c>
      <c r="S453" s="134">
        <v>4.53</v>
      </c>
      <c r="T453" s="134">
        <v>-1.33</v>
      </c>
      <c r="U453" s="134">
        <v>0.65</v>
      </c>
      <c r="V453" s="134">
        <v>0.35</v>
      </c>
      <c r="W453" s="134">
        <v>0.89</v>
      </c>
      <c r="X453" s="10">
        <v>0.0</v>
      </c>
      <c r="Y453" s="10">
        <v>0.0</v>
      </c>
      <c r="Z453" s="135">
        <v>721020.71</v>
      </c>
      <c r="AA453" s="134">
        <v>5.89</v>
      </c>
      <c r="AB453" s="134">
        <v>0.41</v>
      </c>
      <c r="AC453" s="134">
        <v>-0.1</v>
      </c>
      <c r="AD453" s="135">
        <v>3.1271534735E8</v>
      </c>
    </row>
    <row r="454">
      <c r="A454" s="10" t="s">
        <v>124</v>
      </c>
      <c r="B454" s="134">
        <v>49.03</v>
      </c>
      <c r="C454" s="134">
        <v>5.9</v>
      </c>
      <c r="D454" s="136">
        <v>9.02</v>
      </c>
      <c r="E454" s="134">
        <v>1.7</v>
      </c>
      <c r="F454" s="134">
        <v>0.42</v>
      </c>
      <c r="G454" s="134">
        <v>100.0</v>
      </c>
      <c r="H454" s="136">
        <v>8.82</v>
      </c>
      <c r="I454" s="136">
        <v>8.93</v>
      </c>
      <c r="J454" s="134">
        <v>9.13</v>
      </c>
      <c r="K454" s="134">
        <v>3.76</v>
      </c>
      <c r="L454" s="134">
        <v>-5.37</v>
      </c>
      <c r="M454" s="134">
        <v>-1.0</v>
      </c>
      <c r="N454" s="136">
        <v>0.81</v>
      </c>
      <c r="O454" s="136">
        <v>4.56</v>
      </c>
      <c r="P454" s="134">
        <v>-1.24</v>
      </c>
      <c r="Q454" s="134">
        <v>1.16</v>
      </c>
      <c r="R454" s="134">
        <v>18.84</v>
      </c>
      <c r="S454" s="134">
        <v>4.63</v>
      </c>
      <c r="T454" s="134">
        <v>10.34</v>
      </c>
      <c r="U454" s="134">
        <v>0.25</v>
      </c>
      <c r="V454" s="134">
        <v>0.75</v>
      </c>
      <c r="W454" s="134">
        <v>0.52</v>
      </c>
      <c r="X454" s="134">
        <v>3.79</v>
      </c>
      <c r="Y454" s="134">
        <v>11.91</v>
      </c>
      <c r="Z454" s="137">
        <v>7.359137671E7</v>
      </c>
      <c r="AA454" s="134">
        <v>28.87</v>
      </c>
      <c r="AB454" s="134">
        <v>5.44</v>
      </c>
      <c r="AC454" s="134">
        <v>0.82</v>
      </c>
      <c r="AD454" s="135">
        <v>1.584135847E10</v>
      </c>
    </row>
    <row r="455">
      <c r="A455" s="10" t="s">
        <v>176</v>
      </c>
      <c r="B455" s="134">
        <v>10.76</v>
      </c>
      <c r="C455" s="134">
        <v>5.15</v>
      </c>
      <c r="D455" s="136">
        <v>12.22</v>
      </c>
      <c r="E455" s="134">
        <v>4.12</v>
      </c>
      <c r="F455" s="134">
        <v>0.84</v>
      </c>
      <c r="G455" s="134">
        <v>40.0</v>
      </c>
      <c r="H455" s="136">
        <v>13.86</v>
      </c>
      <c r="I455" s="136">
        <v>8.02</v>
      </c>
      <c r="J455" s="136">
        <v>7.07</v>
      </c>
      <c r="K455" s="136">
        <v>9.13</v>
      </c>
      <c r="L455" s="134">
        <v>2.0</v>
      </c>
      <c r="M455" s="134">
        <v>1.16</v>
      </c>
      <c r="N455" s="136">
        <v>0.98</v>
      </c>
      <c r="O455" s="136">
        <v>17.72</v>
      </c>
      <c r="P455" s="134">
        <v>-1.48</v>
      </c>
      <c r="Q455" s="134">
        <v>1.12</v>
      </c>
      <c r="R455" s="134">
        <v>33.74</v>
      </c>
      <c r="S455" s="134">
        <v>6.89</v>
      </c>
      <c r="T455" s="134">
        <v>20.11</v>
      </c>
      <c r="U455" s="134">
        <v>0.2</v>
      </c>
      <c r="V455" s="134">
        <v>0.8</v>
      </c>
      <c r="W455" s="134">
        <v>0.86</v>
      </c>
      <c r="X455" s="134">
        <v>4.66</v>
      </c>
      <c r="Y455" s="134">
        <v>20.9</v>
      </c>
      <c r="Z455" s="137">
        <v>2.6437656E7</v>
      </c>
      <c r="AA455" s="134">
        <v>2.61</v>
      </c>
      <c r="AB455" s="134">
        <v>0.88</v>
      </c>
      <c r="AC455" s="134">
        <v>0.17</v>
      </c>
      <c r="AD455" s="135">
        <v>1.67664356685E9</v>
      </c>
    </row>
    <row r="456">
      <c r="A456" s="10" t="s">
        <v>645</v>
      </c>
      <c r="B456" s="134">
        <v>0.0</v>
      </c>
      <c r="C456" s="10">
        <v>0.0</v>
      </c>
      <c r="D456" s="136">
        <v>0.0</v>
      </c>
      <c r="E456" s="134">
        <v>0.0</v>
      </c>
      <c r="F456" s="134">
        <v>0.0</v>
      </c>
      <c r="G456" s="134">
        <v>44.66</v>
      </c>
      <c r="H456" s="136">
        <v>9.77</v>
      </c>
      <c r="I456" s="136">
        <v>5.9</v>
      </c>
      <c r="J456" s="134">
        <v>0.0</v>
      </c>
      <c r="K456" s="134">
        <v>2.32</v>
      </c>
      <c r="L456" s="134">
        <v>2.32</v>
      </c>
      <c r="M456" s="134">
        <v>0.62</v>
      </c>
      <c r="N456" s="136">
        <v>0.0</v>
      </c>
      <c r="O456" s="134">
        <v>0.0</v>
      </c>
      <c r="P456" s="134">
        <v>0.0</v>
      </c>
      <c r="Q456" s="134">
        <v>1.83</v>
      </c>
      <c r="R456" s="134">
        <v>16.05</v>
      </c>
      <c r="S456" s="134">
        <v>6.34</v>
      </c>
      <c r="T456" s="134">
        <v>12.8</v>
      </c>
      <c r="U456" s="134">
        <v>0.4</v>
      </c>
      <c r="V456" s="134">
        <v>0.6</v>
      </c>
      <c r="W456" s="134">
        <v>1.08</v>
      </c>
      <c r="X456" s="134">
        <v>62.04</v>
      </c>
      <c r="Y456" s="134">
        <v>84.05</v>
      </c>
      <c r="Z456" s="138">
        <v>0.0</v>
      </c>
      <c r="AA456" s="134">
        <v>14.36</v>
      </c>
      <c r="AB456" s="134">
        <v>2.31</v>
      </c>
      <c r="AC456" s="134">
        <v>0.0</v>
      </c>
      <c r="AD456" s="136">
        <v>0.0</v>
      </c>
    </row>
    <row r="457">
      <c r="A457" s="10" t="s">
        <v>646</v>
      </c>
      <c r="B457" s="134">
        <v>0.0</v>
      </c>
      <c r="C457" s="10">
        <v>0.0</v>
      </c>
      <c r="D457" s="136">
        <v>0.0</v>
      </c>
      <c r="E457" s="134">
        <v>0.0</v>
      </c>
      <c r="F457" s="134">
        <v>0.0</v>
      </c>
      <c r="G457" s="134">
        <v>44.66</v>
      </c>
      <c r="H457" s="136">
        <v>9.77</v>
      </c>
      <c r="I457" s="136">
        <v>5.9</v>
      </c>
      <c r="J457" s="134">
        <v>0.0</v>
      </c>
      <c r="K457" s="134">
        <v>2.32</v>
      </c>
      <c r="L457" s="134">
        <v>2.32</v>
      </c>
      <c r="M457" s="134">
        <v>0.62</v>
      </c>
      <c r="N457" s="136">
        <v>0.0</v>
      </c>
      <c r="O457" s="136">
        <v>0.0</v>
      </c>
      <c r="P457" s="134">
        <v>0.0</v>
      </c>
      <c r="Q457" s="134">
        <v>1.83</v>
      </c>
      <c r="R457" s="134">
        <v>16.05</v>
      </c>
      <c r="S457" s="134">
        <v>6.34</v>
      </c>
      <c r="T457" s="134">
        <v>12.8</v>
      </c>
      <c r="U457" s="134">
        <v>0.4</v>
      </c>
      <c r="V457" s="134">
        <v>0.6</v>
      </c>
      <c r="W457" s="134">
        <v>1.08</v>
      </c>
      <c r="X457" s="134">
        <v>62.04</v>
      </c>
      <c r="Y457" s="134">
        <v>84.05</v>
      </c>
      <c r="Z457" s="138">
        <v>0.0</v>
      </c>
      <c r="AA457" s="134">
        <v>14.36</v>
      </c>
      <c r="AB457" s="134">
        <v>2.31</v>
      </c>
      <c r="AC457" s="134">
        <v>0.0</v>
      </c>
      <c r="AD457" s="136">
        <v>0.0</v>
      </c>
    </row>
    <row r="458">
      <c r="A458" s="10" t="s">
        <v>338</v>
      </c>
      <c r="B458" s="134">
        <v>24.6</v>
      </c>
      <c r="C458" s="10">
        <v>0.0</v>
      </c>
      <c r="D458" s="136">
        <v>22.26</v>
      </c>
      <c r="E458" s="134">
        <v>3.45</v>
      </c>
      <c r="F458" s="134">
        <v>1.64</v>
      </c>
      <c r="G458" s="134">
        <v>17.95</v>
      </c>
      <c r="H458" s="136">
        <v>12.2</v>
      </c>
      <c r="I458" s="136">
        <v>7.01</v>
      </c>
      <c r="J458" s="134">
        <v>12.78</v>
      </c>
      <c r="K458" s="134">
        <v>7.63</v>
      </c>
      <c r="L458" s="134">
        <v>1.17</v>
      </c>
      <c r="M458" s="134">
        <v>0.32</v>
      </c>
      <c r="N458" s="136">
        <v>1.56</v>
      </c>
      <c r="O458" s="136">
        <v>8.01</v>
      </c>
      <c r="P458" s="134">
        <v>-3.47</v>
      </c>
      <c r="Q458" s="134">
        <v>1.63</v>
      </c>
      <c r="R458" s="134">
        <v>15.51</v>
      </c>
      <c r="S458" s="134">
        <v>7.35</v>
      </c>
      <c r="T458" s="134">
        <v>14.32</v>
      </c>
      <c r="U458" s="134">
        <v>0.47</v>
      </c>
      <c r="V458" s="134">
        <v>0.53</v>
      </c>
      <c r="W458" s="134">
        <v>1.05</v>
      </c>
      <c r="X458" s="134">
        <v>8.13</v>
      </c>
      <c r="Y458" s="134">
        <v>39.63</v>
      </c>
      <c r="Z458" s="135">
        <v>1188136.58</v>
      </c>
      <c r="AA458" s="134">
        <v>7.13</v>
      </c>
      <c r="AB458" s="134">
        <v>1.11</v>
      </c>
      <c r="AC458" s="134">
        <v>-0.01</v>
      </c>
      <c r="AD458" s="135">
        <v>5.974040618E8</v>
      </c>
    </row>
    <row r="459">
      <c r="A459" s="10" t="s">
        <v>360</v>
      </c>
      <c r="B459" s="134">
        <v>6.35</v>
      </c>
      <c r="C459" s="10">
        <v>0.0</v>
      </c>
      <c r="D459" s="136">
        <v>5.75</v>
      </c>
      <c r="E459" s="134">
        <v>0.89</v>
      </c>
      <c r="F459" s="134">
        <v>0.42</v>
      </c>
      <c r="G459" s="134">
        <v>17.95</v>
      </c>
      <c r="H459" s="136">
        <v>12.2</v>
      </c>
      <c r="I459" s="136">
        <v>7.01</v>
      </c>
      <c r="J459" s="136">
        <v>3.3</v>
      </c>
      <c r="K459" s="134">
        <v>7.63</v>
      </c>
      <c r="L459" s="134">
        <v>1.17</v>
      </c>
      <c r="M459" s="134">
        <v>0.32</v>
      </c>
      <c r="N459" s="136">
        <v>0.4</v>
      </c>
      <c r="O459" s="134">
        <v>2.07</v>
      </c>
      <c r="P459" s="134">
        <v>-0.9</v>
      </c>
      <c r="Q459" s="134">
        <v>1.63</v>
      </c>
      <c r="R459" s="134">
        <v>15.51</v>
      </c>
      <c r="S459" s="134">
        <v>7.35</v>
      </c>
      <c r="T459" s="136">
        <v>14.32</v>
      </c>
      <c r="U459" s="134">
        <v>0.47</v>
      </c>
      <c r="V459" s="134">
        <v>0.53</v>
      </c>
      <c r="W459" s="134">
        <v>1.05</v>
      </c>
      <c r="X459" s="134">
        <v>8.13</v>
      </c>
      <c r="Y459" s="134">
        <v>39.63</v>
      </c>
      <c r="Z459" s="135">
        <v>265816.5</v>
      </c>
      <c r="AA459" s="134">
        <v>7.13</v>
      </c>
      <c r="AB459" s="134">
        <v>1.11</v>
      </c>
      <c r="AC459" s="134">
        <v>0.0</v>
      </c>
      <c r="AD459" s="135">
        <v>5.974040618E8</v>
      </c>
    </row>
    <row r="460">
      <c r="A460" s="10" t="s">
        <v>127</v>
      </c>
      <c r="B460" s="134">
        <v>18.87</v>
      </c>
      <c r="C460" s="134">
        <v>12.52</v>
      </c>
      <c r="D460" s="134">
        <v>13.38</v>
      </c>
      <c r="E460" s="134">
        <v>3.17</v>
      </c>
      <c r="F460" s="134">
        <v>1.21</v>
      </c>
      <c r="G460" s="134">
        <v>80.06</v>
      </c>
      <c r="H460" s="134">
        <v>29.61</v>
      </c>
      <c r="I460" s="134">
        <v>19.25</v>
      </c>
      <c r="J460" s="136">
        <v>8.7</v>
      </c>
      <c r="K460" s="136">
        <v>10.14</v>
      </c>
      <c r="L460" s="134">
        <v>1.43</v>
      </c>
      <c r="M460" s="134">
        <v>0.52</v>
      </c>
      <c r="N460" s="134">
        <v>2.58</v>
      </c>
      <c r="O460" s="134">
        <v>-7.22</v>
      </c>
      <c r="P460" s="134">
        <v>-1.83</v>
      </c>
      <c r="Q460" s="134">
        <v>0.67</v>
      </c>
      <c r="R460" s="134">
        <v>23.7</v>
      </c>
      <c r="S460" s="134">
        <v>9.04</v>
      </c>
      <c r="T460" s="136">
        <v>13.27</v>
      </c>
      <c r="U460" s="134">
        <v>0.38</v>
      </c>
      <c r="V460" s="134">
        <v>0.62</v>
      </c>
      <c r="W460" s="134">
        <v>0.47</v>
      </c>
      <c r="X460" s="134">
        <v>3.21</v>
      </c>
      <c r="Y460" s="134">
        <v>12.01</v>
      </c>
      <c r="Z460" s="135">
        <v>6.281756433E7</v>
      </c>
      <c r="AA460" s="134">
        <v>5.95</v>
      </c>
      <c r="AB460" s="134">
        <v>1.41</v>
      </c>
      <c r="AC460" s="134">
        <v>2.82</v>
      </c>
      <c r="AD460" s="135">
        <v>5.3678707425E9</v>
      </c>
    </row>
    <row r="461">
      <c r="A461" s="10" t="s">
        <v>647</v>
      </c>
      <c r="B461" s="134">
        <v>0.0</v>
      </c>
      <c r="C461" s="10">
        <v>0.0</v>
      </c>
      <c r="D461" s="136">
        <v>0.0</v>
      </c>
      <c r="E461" s="134">
        <v>0.0</v>
      </c>
      <c r="F461" s="134">
        <v>0.0</v>
      </c>
      <c r="G461" s="134">
        <v>30.5</v>
      </c>
      <c r="H461" s="136">
        <v>16.8</v>
      </c>
      <c r="I461" s="136">
        <v>9.01</v>
      </c>
      <c r="J461" s="134">
        <v>0.0</v>
      </c>
      <c r="K461" s="134">
        <v>0.33</v>
      </c>
      <c r="L461" s="134">
        <v>0.33</v>
      </c>
      <c r="M461" s="134">
        <v>0.14</v>
      </c>
      <c r="N461" s="136">
        <v>0.0</v>
      </c>
      <c r="O461" s="136">
        <v>0.0</v>
      </c>
      <c r="P461" s="134">
        <v>0.0</v>
      </c>
      <c r="Q461" s="134">
        <v>1.19</v>
      </c>
      <c r="R461" s="134">
        <v>22.09</v>
      </c>
      <c r="S461" s="134">
        <v>10.87</v>
      </c>
      <c r="T461" s="136">
        <v>19.49</v>
      </c>
      <c r="U461" s="134">
        <v>0.49</v>
      </c>
      <c r="V461" s="134">
        <v>0.51</v>
      </c>
      <c r="W461" s="134">
        <v>1.21</v>
      </c>
      <c r="X461" s="134">
        <v>15.13</v>
      </c>
      <c r="Y461" s="134">
        <v>10.56</v>
      </c>
      <c r="Z461" s="138">
        <v>0.0</v>
      </c>
      <c r="AA461" s="134">
        <v>64.67</v>
      </c>
      <c r="AB461" s="134">
        <v>14.28</v>
      </c>
      <c r="AC461" s="134">
        <v>0.0</v>
      </c>
      <c r="AD461" s="136">
        <v>0.0</v>
      </c>
    </row>
    <row r="462">
      <c r="A462" s="10" t="s">
        <v>648</v>
      </c>
      <c r="B462" s="134">
        <v>0.0</v>
      </c>
      <c r="C462" s="10">
        <v>0.0</v>
      </c>
      <c r="D462" s="136">
        <v>0.0</v>
      </c>
      <c r="E462" s="134">
        <v>0.0</v>
      </c>
      <c r="F462" s="134">
        <v>0.0</v>
      </c>
      <c r="G462" s="10">
        <v>0.0</v>
      </c>
      <c r="H462" s="138">
        <v>0.0</v>
      </c>
      <c r="I462" s="138">
        <v>0.0</v>
      </c>
      <c r="J462" s="134">
        <v>0.0</v>
      </c>
      <c r="K462" s="134">
        <v>0.46</v>
      </c>
      <c r="L462" s="134">
        <v>0.46</v>
      </c>
      <c r="M462" s="134">
        <v>-0.95</v>
      </c>
      <c r="N462" s="138">
        <v>0.0</v>
      </c>
      <c r="O462" s="134">
        <v>0.0</v>
      </c>
      <c r="P462" s="10">
        <v>0.0</v>
      </c>
      <c r="Q462" s="10">
        <v>0.0</v>
      </c>
      <c r="R462" s="134">
        <v>-203.23</v>
      </c>
      <c r="S462" s="134">
        <v>-203.23</v>
      </c>
      <c r="T462" s="136">
        <v>-206.45</v>
      </c>
      <c r="U462" s="134">
        <v>1.0</v>
      </c>
      <c r="V462" s="134">
        <v>0.0</v>
      </c>
      <c r="W462" s="134">
        <v>0.0</v>
      </c>
      <c r="X462" s="10">
        <v>0.0</v>
      </c>
      <c r="Y462" s="10">
        <v>0.0</v>
      </c>
      <c r="Z462" s="138">
        <v>0.0</v>
      </c>
      <c r="AA462" s="134">
        <v>0.0</v>
      </c>
      <c r="AB462" s="134">
        <v>0.0</v>
      </c>
      <c r="AC462" s="134">
        <v>0.0</v>
      </c>
      <c r="AD462" s="136">
        <v>0.0</v>
      </c>
    </row>
    <row r="463">
      <c r="A463" s="10" t="s">
        <v>102</v>
      </c>
      <c r="B463" s="134">
        <v>22.35</v>
      </c>
      <c r="C463" s="134">
        <v>0.38</v>
      </c>
      <c r="D463" s="136">
        <v>49.77</v>
      </c>
      <c r="E463" s="134">
        <v>7.93</v>
      </c>
      <c r="F463" s="134">
        <v>2.64</v>
      </c>
      <c r="G463" s="134">
        <v>29.67</v>
      </c>
      <c r="H463" s="136">
        <v>5.89</v>
      </c>
      <c r="I463" s="136">
        <v>3.36</v>
      </c>
      <c r="J463" s="134">
        <v>28.39</v>
      </c>
      <c r="K463" s="134">
        <v>29.33</v>
      </c>
      <c r="L463" s="134">
        <v>0.99</v>
      </c>
      <c r="M463" s="134">
        <v>0.28</v>
      </c>
      <c r="N463" s="136">
        <v>1.67</v>
      </c>
      <c r="O463" s="136">
        <v>16.94</v>
      </c>
      <c r="P463" s="134">
        <v>-5.28</v>
      </c>
      <c r="Q463" s="134">
        <v>1.45</v>
      </c>
      <c r="R463" s="134">
        <v>15.94</v>
      </c>
      <c r="S463" s="134">
        <v>5.3</v>
      </c>
      <c r="T463" s="136">
        <v>16.99</v>
      </c>
      <c r="U463" s="134">
        <v>0.33</v>
      </c>
      <c r="V463" s="134">
        <v>0.66</v>
      </c>
      <c r="W463" s="134">
        <v>1.58</v>
      </c>
      <c r="X463" s="134">
        <v>17.66</v>
      </c>
      <c r="Y463" s="134">
        <v>16.93</v>
      </c>
      <c r="Z463" s="135">
        <v>1.4369885446E8</v>
      </c>
      <c r="AA463" s="134">
        <v>2.82</v>
      </c>
      <c r="AB463" s="134">
        <v>0.45</v>
      </c>
      <c r="AC463" s="134">
        <v>11.75</v>
      </c>
      <c r="AD463" s="135">
        <v>3.69371548E10</v>
      </c>
    </row>
    <row r="464">
      <c r="A464" s="10" t="s">
        <v>86</v>
      </c>
      <c r="B464" s="134">
        <v>16.99</v>
      </c>
      <c r="C464" s="10">
        <v>0.0</v>
      </c>
      <c r="D464" s="136">
        <v>48.63</v>
      </c>
      <c r="E464" s="134">
        <v>2.05</v>
      </c>
      <c r="F464" s="134">
        <v>0.74</v>
      </c>
      <c r="G464" s="134">
        <v>33.68</v>
      </c>
      <c r="H464" s="136">
        <v>27.94</v>
      </c>
      <c r="I464" s="136">
        <v>8.46</v>
      </c>
      <c r="J464" s="134">
        <v>14.73</v>
      </c>
      <c r="K464" s="134">
        <v>20.1</v>
      </c>
      <c r="L464" s="134">
        <v>5.31</v>
      </c>
      <c r="M464" s="134">
        <v>0.74</v>
      </c>
      <c r="N464" s="136">
        <v>4.12</v>
      </c>
      <c r="O464" s="134">
        <v>7.4</v>
      </c>
      <c r="P464" s="134">
        <v>-0.91</v>
      </c>
      <c r="Q464" s="134">
        <v>2.13</v>
      </c>
      <c r="R464" s="134">
        <v>4.21</v>
      </c>
      <c r="S464" s="134">
        <v>1.52</v>
      </c>
      <c r="T464" s="136">
        <v>6.14</v>
      </c>
      <c r="U464" s="134">
        <v>0.36</v>
      </c>
      <c r="V464" s="134">
        <v>0.63</v>
      </c>
      <c r="W464" s="134">
        <v>0.18</v>
      </c>
      <c r="X464" s="134">
        <v>10.92</v>
      </c>
      <c r="Y464" s="10">
        <v>0.0</v>
      </c>
      <c r="Z464" s="135">
        <v>2.0213954383E8</v>
      </c>
      <c r="AA464" s="134">
        <v>8.33</v>
      </c>
      <c r="AB464" s="134">
        <v>0.35</v>
      </c>
      <c r="AC464" s="134">
        <v>-6.92</v>
      </c>
      <c r="AD464" s="135">
        <v>3.17061153261E10</v>
      </c>
    </row>
    <row r="465">
      <c r="A465" s="10" t="s">
        <v>129</v>
      </c>
      <c r="B465" s="134">
        <v>7.17</v>
      </c>
      <c r="C465" s="10">
        <v>0.23</v>
      </c>
      <c r="D465" s="134">
        <v>158.71</v>
      </c>
      <c r="E465" s="134">
        <v>7.31</v>
      </c>
      <c r="F465" s="134">
        <v>0.99</v>
      </c>
      <c r="G465" s="134">
        <v>5.01</v>
      </c>
      <c r="H465" s="136">
        <v>2.28</v>
      </c>
      <c r="I465" s="136">
        <v>0.94</v>
      </c>
      <c r="J465" s="134">
        <v>65.61</v>
      </c>
      <c r="K465" s="134">
        <v>87.5</v>
      </c>
      <c r="L465" s="134">
        <v>21.98</v>
      </c>
      <c r="M465" s="134">
        <v>2.45</v>
      </c>
      <c r="N465" s="136">
        <v>1.5</v>
      </c>
      <c r="O465" s="134">
        <v>44.59</v>
      </c>
      <c r="P465" s="134">
        <v>-1.77</v>
      </c>
      <c r="Q465" s="134">
        <v>1.05</v>
      </c>
      <c r="R465" s="134">
        <v>4.61</v>
      </c>
      <c r="S465" s="134">
        <v>0.62</v>
      </c>
      <c r="T465" s="134">
        <v>1.69</v>
      </c>
      <c r="U465" s="134">
        <v>0.13</v>
      </c>
      <c r="V465" s="134">
        <v>0.86</v>
      </c>
      <c r="W465" s="134">
        <v>0.66</v>
      </c>
      <c r="X465" s="10">
        <v>0.0</v>
      </c>
      <c r="Y465" s="10">
        <v>0.0</v>
      </c>
      <c r="Z465" s="135">
        <v>5.763695442E7</v>
      </c>
      <c r="AA465" s="134">
        <v>0.98</v>
      </c>
      <c r="AB465" s="134">
        <v>0.05</v>
      </c>
      <c r="AC465" s="10">
        <v>0.0</v>
      </c>
      <c r="AD465" s="135">
        <v>7.412396790544E10</v>
      </c>
    </row>
    <row r="466">
      <c r="A466" s="10" t="s">
        <v>242</v>
      </c>
      <c r="B466" s="134">
        <v>6.14</v>
      </c>
      <c r="C466" s="134">
        <v>4.48</v>
      </c>
      <c r="D466" s="134">
        <v>8.59</v>
      </c>
      <c r="E466" s="134">
        <v>1.81</v>
      </c>
      <c r="F466" s="134">
        <v>0.8</v>
      </c>
      <c r="G466" s="134">
        <v>34.55</v>
      </c>
      <c r="H466" s="136">
        <v>21.71</v>
      </c>
      <c r="I466" s="136">
        <v>14.02</v>
      </c>
      <c r="J466" s="134">
        <v>5.55</v>
      </c>
      <c r="K466" s="134">
        <v>6.46</v>
      </c>
      <c r="L466" s="134">
        <v>0.91</v>
      </c>
      <c r="M466" s="134">
        <v>0.3</v>
      </c>
      <c r="N466" s="136">
        <v>1.2</v>
      </c>
      <c r="O466" s="134">
        <v>2.8</v>
      </c>
      <c r="P466" s="134">
        <v>-1.39</v>
      </c>
      <c r="Q466" s="134">
        <v>3.04</v>
      </c>
      <c r="R466" s="134">
        <v>21.06</v>
      </c>
      <c r="S466" s="134">
        <v>9.31</v>
      </c>
      <c r="T466" s="134">
        <v>15.01</v>
      </c>
      <c r="U466" s="134">
        <v>0.44</v>
      </c>
      <c r="V466" s="134">
        <v>0.56</v>
      </c>
      <c r="W466" s="134">
        <v>0.66</v>
      </c>
      <c r="X466" s="134">
        <v>6.3</v>
      </c>
      <c r="Y466" s="134">
        <v>226.57</v>
      </c>
      <c r="Z466" s="137">
        <v>1.105234608E7</v>
      </c>
      <c r="AA466" s="134">
        <v>3.4</v>
      </c>
      <c r="AB466" s="134">
        <v>0.72</v>
      </c>
      <c r="AC466" s="134">
        <v>-0.01</v>
      </c>
      <c r="AD466" s="135">
        <v>1.57882944525E9</v>
      </c>
    </row>
    <row r="467">
      <c r="A467" s="10" t="s">
        <v>649</v>
      </c>
      <c r="B467" s="134">
        <v>5.5</v>
      </c>
      <c r="C467" s="134">
        <v>0.42</v>
      </c>
      <c r="D467" s="134">
        <v>7.68</v>
      </c>
      <c r="E467" s="134">
        <v>1.62</v>
      </c>
      <c r="F467" s="134">
        <v>0.72</v>
      </c>
      <c r="G467" s="134">
        <v>34.55</v>
      </c>
      <c r="H467" s="136">
        <v>21.71</v>
      </c>
      <c r="I467" s="136">
        <v>14.02</v>
      </c>
      <c r="J467" s="134">
        <v>4.96</v>
      </c>
      <c r="K467" s="134">
        <v>6.46</v>
      </c>
      <c r="L467" s="134">
        <v>0.91</v>
      </c>
      <c r="M467" s="134">
        <v>0.3</v>
      </c>
      <c r="N467" s="136">
        <v>1.08</v>
      </c>
      <c r="O467" s="134">
        <v>2.5</v>
      </c>
      <c r="P467" s="134">
        <v>-1.25</v>
      </c>
      <c r="Q467" s="134">
        <v>3.04</v>
      </c>
      <c r="R467" s="134">
        <v>21.06</v>
      </c>
      <c r="S467" s="134">
        <v>9.31</v>
      </c>
      <c r="T467" s="136">
        <v>15.01</v>
      </c>
      <c r="U467" s="134">
        <v>0.44</v>
      </c>
      <c r="V467" s="134">
        <v>0.56</v>
      </c>
      <c r="W467" s="134">
        <v>0.66</v>
      </c>
      <c r="X467" s="134">
        <v>6.3</v>
      </c>
      <c r="Y467" s="134">
        <v>226.57</v>
      </c>
      <c r="Z467" s="137">
        <v>644391.25</v>
      </c>
      <c r="AA467" s="134">
        <v>3.4</v>
      </c>
      <c r="AB467" s="134">
        <v>0.72</v>
      </c>
      <c r="AC467" s="134">
        <v>-0.01</v>
      </c>
      <c r="AD467" s="135">
        <v>1.57882944525E9</v>
      </c>
    </row>
    <row r="468">
      <c r="A468" s="10" t="s">
        <v>353</v>
      </c>
      <c r="B468" s="134">
        <v>13.02</v>
      </c>
      <c r="C468" s="134">
        <v>4.99</v>
      </c>
      <c r="D468" s="134">
        <v>5.22</v>
      </c>
      <c r="E468" s="134">
        <v>1.97</v>
      </c>
      <c r="F468" s="134">
        <v>0.49</v>
      </c>
      <c r="G468" s="134">
        <v>26.48</v>
      </c>
      <c r="H468" s="136">
        <v>19.26</v>
      </c>
      <c r="I468" s="136">
        <v>11.83</v>
      </c>
      <c r="J468" s="134">
        <v>3.21</v>
      </c>
      <c r="K468" s="134">
        <v>4.33</v>
      </c>
      <c r="L468" s="134">
        <v>1.4</v>
      </c>
      <c r="M468" s="134">
        <v>0.86</v>
      </c>
      <c r="N468" s="136">
        <v>0.62</v>
      </c>
      <c r="O468" s="134">
        <v>1.59</v>
      </c>
      <c r="P468" s="134">
        <v>-1.21</v>
      </c>
      <c r="Q468" s="134">
        <v>2.08</v>
      </c>
      <c r="R468" s="134">
        <v>37.77</v>
      </c>
      <c r="S468" s="134">
        <v>9.41</v>
      </c>
      <c r="T468" s="136">
        <v>13.75</v>
      </c>
      <c r="U468" s="134">
        <v>0.25</v>
      </c>
      <c r="V468" s="134">
        <v>0.68</v>
      </c>
      <c r="W468" s="134">
        <v>0.79</v>
      </c>
      <c r="X468" s="134">
        <v>11.59</v>
      </c>
      <c r="Y468" s="10">
        <v>0.0</v>
      </c>
      <c r="Z468" s="137">
        <v>328981.25</v>
      </c>
      <c r="AA468" s="134">
        <v>6.6</v>
      </c>
      <c r="AB468" s="134">
        <v>2.49</v>
      </c>
      <c r="AC468" s="134">
        <v>0.01</v>
      </c>
      <c r="AD468" s="135">
        <v>4.12142896506E9</v>
      </c>
    </row>
    <row r="469">
      <c r="A469" s="10" t="s">
        <v>161</v>
      </c>
      <c r="B469" s="134">
        <v>11.26</v>
      </c>
      <c r="C469" s="134">
        <v>5.77</v>
      </c>
      <c r="D469" s="134">
        <v>4.51</v>
      </c>
      <c r="E469" s="134">
        <v>1.7</v>
      </c>
      <c r="F469" s="134">
        <v>0.42</v>
      </c>
      <c r="G469" s="134">
        <v>26.48</v>
      </c>
      <c r="H469" s="136">
        <v>19.26</v>
      </c>
      <c r="I469" s="136">
        <v>11.83</v>
      </c>
      <c r="J469" s="134">
        <v>2.77</v>
      </c>
      <c r="K469" s="134">
        <v>4.33</v>
      </c>
      <c r="L469" s="134">
        <v>1.4</v>
      </c>
      <c r="M469" s="134">
        <v>0.86</v>
      </c>
      <c r="N469" s="136">
        <v>0.53</v>
      </c>
      <c r="O469" s="134">
        <v>1.38</v>
      </c>
      <c r="P469" s="134">
        <v>-1.04</v>
      </c>
      <c r="Q469" s="134">
        <v>2.08</v>
      </c>
      <c r="R469" s="134">
        <v>37.77</v>
      </c>
      <c r="S469" s="134">
        <v>9.41</v>
      </c>
      <c r="T469" s="136">
        <v>13.75</v>
      </c>
      <c r="U469" s="134">
        <v>0.25</v>
      </c>
      <c r="V469" s="134">
        <v>0.68</v>
      </c>
      <c r="W469" s="134">
        <v>0.79</v>
      </c>
      <c r="X469" s="134">
        <v>11.59</v>
      </c>
      <c r="Y469" s="10">
        <v>0.0</v>
      </c>
      <c r="Z469" s="137">
        <v>3.529809463E7</v>
      </c>
      <c r="AA469" s="134">
        <v>6.6</v>
      </c>
      <c r="AB469" s="134">
        <v>2.49</v>
      </c>
      <c r="AC469" s="134">
        <v>0.01</v>
      </c>
      <c r="AD469" s="135">
        <v>4.12142896506E9</v>
      </c>
    </row>
    <row r="470">
      <c r="A470" s="10" t="s">
        <v>198</v>
      </c>
      <c r="B470" s="134">
        <v>4.99</v>
      </c>
      <c r="C470" s="10">
        <v>0.0</v>
      </c>
      <c r="D470" s="134">
        <v>528.02</v>
      </c>
      <c r="E470" s="134">
        <v>-8.42</v>
      </c>
      <c r="F470" s="134">
        <v>6.15</v>
      </c>
      <c r="G470" s="134">
        <v>17.82</v>
      </c>
      <c r="H470" s="136">
        <v>4.28</v>
      </c>
      <c r="I470" s="136">
        <v>1.59</v>
      </c>
      <c r="J470" s="134">
        <v>195.72</v>
      </c>
      <c r="K470" s="134">
        <v>99.28</v>
      </c>
      <c r="L470" s="134">
        <v>-1.69</v>
      </c>
      <c r="M470" s="10">
        <v>0.0</v>
      </c>
      <c r="N470" s="136">
        <v>8.37</v>
      </c>
      <c r="O470" s="134">
        <v>107.8</v>
      </c>
      <c r="P470" s="134">
        <v>-12.58</v>
      </c>
      <c r="Q470" s="134">
        <v>1.13</v>
      </c>
      <c r="R470" s="134">
        <v>-1.59</v>
      </c>
      <c r="S470" s="134">
        <v>1.17</v>
      </c>
      <c r="T470" s="136">
        <v>-4.29</v>
      </c>
      <c r="U470" s="134">
        <v>-0.73</v>
      </c>
      <c r="V470" s="134">
        <v>1.73</v>
      </c>
      <c r="W470" s="134">
        <v>0.73</v>
      </c>
      <c r="X470" s="134">
        <v>117.05</v>
      </c>
      <c r="Y470" s="10">
        <v>0.0</v>
      </c>
      <c r="Z470" s="137">
        <v>2.736477017E7</v>
      </c>
      <c r="AA470" s="134">
        <v>-0.59</v>
      </c>
      <c r="AB470" s="134">
        <v>0.01</v>
      </c>
      <c r="AC470" s="134">
        <v>-4.31</v>
      </c>
      <c r="AD470" s="135">
        <v>1.9557608856E8</v>
      </c>
    </row>
    <row r="471">
      <c r="A471" s="10" t="s">
        <v>294</v>
      </c>
      <c r="B471" s="134">
        <v>1.43</v>
      </c>
      <c r="C471" s="10">
        <v>0.0</v>
      </c>
      <c r="D471" s="134">
        <v>151.01</v>
      </c>
      <c r="E471" s="134">
        <v>-2.41</v>
      </c>
      <c r="F471" s="134">
        <v>1.76</v>
      </c>
      <c r="G471" s="134">
        <v>17.82</v>
      </c>
      <c r="H471" s="136">
        <v>4.28</v>
      </c>
      <c r="I471" s="136">
        <v>1.59</v>
      </c>
      <c r="J471" s="134">
        <v>55.98</v>
      </c>
      <c r="K471" s="134">
        <v>99.28</v>
      </c>
      <c r="L471" s="134">
        <v>-1.69</v>
      </c>
      <c r="M471" s="10">
        <v>0.0</v>
      </c>
      <c r="N471" s="136">
        <v>2.4</v>
      </c>
      <c r="O471" s="134">
        <v>30.83</v>
      </c>
      <c r="P471" s="134">
        <v>-3.6</v>
      </c>
      <c r="Q471" s="134">
        <v>1.13</v>
      </c>
      <c r="R471" s="134">
        <v>-1.59</v>
      </c>
      <c r="S471" s="134">
        <v>1.17</v>
      </c>
      <c r="T471" s="136">
        <v>-4.29</v>
      </c>
      <c r="U471" s="134">
        <v>-0.73</v>
      </c>
      <c r="V471" s="134">
        <v>1.73</v>
      </c>
      <c r="W471" s="134">
        <v>0.73</v>
      </c>
      <c r="X471" s="134">
        <v>117.05</v>
      </c>
      <c r="Y471" s="10">
        <v>0.0</v>
      </c>
      <c r="Z471" s="137">
        <v>2989293.17</v>
      </c>
      <c r="AA471" s="134">
        <v>-0.59</v>
      </c>
      <c r="AB471" s="134">
        <v>0.01</v>
      </c>
      <c r="AC471" s="134">
        <v>-1.23</v>
      </c>
      <c r="AD471" s="135">
        <v>1.9557608856E8</v>
      </c>
    </row>
    <row r="472">
      <c r="A472" s="10" t="s">
        <v>355</v>
      </c>
      <c r="B472" s="134">
        <v>12.06</v>
      </c>
      <c r="C472" s="134">
        <v>0.08</v>
      </c>
      <c r="D472" s="134">
        <v>28.07</v>
      </c>
      <c r="E472" s="134">
        <v>0.85</v>
      </c>
      <c r="F472" s="134">
        <v>0.3</v>
      </c>
      <c r="G472" s="134">
        <v>24.89</v>
      </c>
      <c r="H472" s="136">
        <v>7.11</v>
      </c>
      <c r="I472" s="136">
        <v>5.68</v>
      </c>
      <c r="J472" s="134">
        <v>22.44</v>
      </c>
      <c r="K472" s="134">
        <v>40.68</v>
      </c>
      <c r="L472" s="134">
        <v>18.23</v>
      </c>
      <c r="M472" s="134">
        <v>0.69</v>
      </c>
      <c r="N472" s="136">
        <v>1.6</v>
      </c>
      <c r="O472" s="134">
        <v>1.32</v>
      </c>
      <c r="P472" s="134">
        <v>-0.53</v>
      </c>
      <c r="Q472" s="134">
        <v>2.09</v>
      </c>
      <c r="R472" s="134">
        <v>3.03</v>
      </c>
      <c r="S472" s="134">
        <v>1.07</v>
      </c>
      <c r="T472" s="134">
        <v>1.13</v>
      </c>
      <c r="U472" s="134">
        <v>0.35</v>
      </c>
      <c r="V472" s="134">
        <v>0.64</v>
      </c>
      <c r="W472" s="134">
        <v>0.19</v>
      </c>
      <c r="X472" s="134">
        <v>-10.68</v>
      </c>
      <c r="Y472" s="134">
        <v>22.75</v>
      </c>
      <c r="Z472" s="137">
        <v>312578.46</v>
      </c>
      <c r="AA472" s="134">
        <v>14.2</v>
      </c>
      <c r="AB472" s="134">
        <v>0.43</v>
      </c>
      <c r="AC472" s="134">
        <v>-0.05</v>
      </c>
      <c r="AD472" s="135">
        <v>5.2786388448E8</v>
      </c>
    </row>
    <row r="473">
      <c r="A473" s="10" t="s">
        <v>67</v>
      </c>
      <c r="B473" s="134">
        <v>66.67</v>
      </c>
      <c r="C473" s="134">
        <v>2.05</v>
      </c>
      <c r="D473" s="134">
        <v>93.33</v>
      </c>
      <c r="E473" s="134">
        <v>8.44</v>
      </c>
      <c r="F473" s="134">
        <v>2.72</v>
      </c>
      <c r="G473" s="134">
        <v>24.66</v>
      </c>
      <c r="H473" s="136">
        <v>18.9</v>
      </c>
      <c r="I473" s="136">
        <v>8.01</v>
      </c>
      <c r="J473" s="134">
        <v>39.55</v>
      </c>
      <c r="K473" s="134">
        <v>42.45</v>
      </c>
      <c r="L473" s="134">
        <v>2.82</v>
      </c>
      <c r="M473" s="134">
        <v>0.6</v>
      </c>
      <c r="N473" s="136">
        <v>7.47</v>
      </c>
      <c r="O473" s="134">
        <v>7.2</v>
      </c>
      <c r="P473" s="134">
        <v>-5.13</v>
      </c>
      <c r="Q473" s="134">
        <v>5.1</v>
      </c>
      <c r="R473" s="134">
        <v>9.04</v>
      </c>
      <c r="S473" s="134">
        <v>2.91</v>
      </c>
      <c r="T473" s="134">
        <v>7.05</v>
      </c>
      <c r="U473" s="134">
        <v>0.32</v>
      </c>
      <c r="V473" s="134">
        <v>0.67</v>
      </c>
      <c r="W473" s="134">
        <v>0.36</v>
      </c>
      <c r="X473" s="10">
        <v>0.0</v>
      </c>
      <c r="Y473" s="10">
        <v>0.0</v>
      </c>
      <c r="Z473" s="137">
        <v>3.0137478992E8</v>
      </c>
      <c r="AA473" s="134">
        <v>7.89</v>
      </c>
      <c r="AB473" s="134">
        <v>0.71</v>
      </c>
      <c r="AC473" s="134">
        <v>-0.01</v>
      </c>
      <c r="AD473" s="135">
        <v>1.3415180025315E11</v>
      </c>
    </row>
    <row r="474">
      <c r="A474" s="10" t="s">
        <v>245</v>
      </c>
      <c r="B474" s="134">
        <v>19.73</v>
      </c>
      <c r="C474" s="10">
        <v>0.0</v>
      </c>
      <c r="D474" s="134">
        <v>73.42</v>
      </c>
      <c r="E474" s="134">
        <v>2.58</v>
      </c>
      <c r="F474" s="134">
        <v>1.49</v>
      </c>
      <c r="G474" s="134">
        <v>36.61</v>
      </c>
      <c r="H474" s="136">
        <v>29.31</v>
      </c>
      <c r="I474" s="136">
        <v>9.78</v>
      </c>
      <c r="J474" s="134">
        <v>24.49</v>
      </c>
      <c r="K474" s="134">
        <v>22.89</v>
      </c>
      <c r="L474" s="134">
        <v>-2.04</v>
      </c>
      <c r="M474" s="134">
        <v>-0.21</v>
      </c>
      <c r="N474" s="136">
        <v>7.18</v>
      </c>
      <c r="O474" s="134">
        <v>6.26</v>
      </c>
      <c r="P474" s="134">
        <v>-2.58</v>
      </c>
      <c r="Q474" s="134">
        <v>2.31</v>
      </c>
      <c r="R474" s="134">
        <v>3.52</v>
      </c>
      <c r="S474" s="134">
        <v>2.03</v>
      </c>
      <c r="T474" s="134">
        <v>6.79</v>
      </c>
      <c r="U474" s="134">
        <v>0.58</v>
      </c>
      <c r="V474" s="134">
        <v>0.42</v>
      </c>
      <c r="W474" s="134">
        <v>0.21</v>
      </c>
      <c r="X474" s="10">
        <v>0.0</v>
      </c>
      <c r="Y474" s="10">
        <v>0.0</v>
      </c>
      <c r="Z474" s="137">
        <v>1.469280321E7</v>
      </c>
      <c r="AA474" s="134">
        <v>7.61</v>
      </c>
      <c r="AB474" s="134">
        <v>0.27</v>
      </c>
      <c r="AC474" s="10">
        <v>0.0</v>
      </c>
      <c r="AD474" s="135">
        <v>4.97105492532E9</v>
      </c>
    </row>
    <row r="475">
      <c r="A475" s="10" t="s">
        <v>448</v>
      </c>
      <c r="B475" s="134">
        <v>6.74</v>
      </c>
      <c r="C475" s="134">
        <v>11.79</v>
      </c>
      <c r="D475" s="134">
        <v>9.77</v>
      </c>
      <c r="E475" s="134">
        <v>3.87</v>
      </c>
      <c r="F475" s="134">
        <v>0.62</v>
      </c>
      <c r="G475" s="134">
        <v>25.4</v>
      </c>
      <c r="H475" s="136">
        <v>20.76</v>
      </c>
      <c r="I475" s="136">
        <v>11.23</v>
      </c>
      <c r="J475" s="134">
        <v>5.29</v>
      </c>
      <c r="K475" s="134">
        <v>7.45</v>
      </c>
      <c r="L475" s="134">
        <v>2.17</v>
      </c>
      <c r="M475" s="134">
        <v>1.59</v>
      </c>
      <c r="N475" s="136">
        <v>1.1</v>
      </c>
      <c r="O475" s="134">
        <v>10.16</v>
      </c>
      <c r="P475" s="134">
        <v>-0.87</v>
      </c>
      <c r="Q475" s="134">
        <v>1.26</v>
      </c>
      <c r="R475" s="134">
        <v>39.62</v>
      </c>
      <c r="S475" s="134">
        <v>6.32</v>
      </c>
      <c r="T475" s="134">
        <v>15.84</v>
      </c>
      <c r="U475" s="134">
        <v>0.16</v>
      </c>
      <c r="V475" s="134">
        <v>0.77</v>
      </c>
      <c r="W475" s="134">
        <v>0.56</v>
      </c>
      <c r="X475" s="134">
        <v>6.59</v>
      </c>
      <c r="Y475" s="134">
        <v>28.9</v>
      </c>
      <c r="Z475" s="136">
        <v>14297.86</v>
      </c>
      <c r="AA475" s="134">
        <v>1.74</v>
      </c>
      <c r="AB475" s="134">
        <v>0.69</v>
      </c>
      <c r="AC475" s="134">
        <v>0.05</v>
      </c>
      <c r="AD475" s="135">
        <v>1.422357954076E10</v>
      </c>
    </row>
    <row r="476">
      <c r="A476" s="10" t="s">
        <v>66</v>
      </c>
      <c r="B476" s="134">
        <v>53.85</v>
      </c>
      <c r="C476" s="134">
        <v>0.74</v>
      </c>
      <c r="D476" s="134">
        <v>24.63</v>
      </c>
      <c r="E476" s="134">
        <v>5.95</v>
      </c>
      <c r="F476" s="134">
        <v>1.91</v>
      </c>
      <c r="G476" s="134">
        <v>33.9</v>
      </c>
      <c r="H476" s="136">
        <v>22.13</v>
      </c>
      <c r="I476" s="136">
        <v>14.49</v>
      </c>
      <c r="J476" s="134">
        <v>16.13</v>
      </c>
      <c r="K476" s="134">
        <v>18.93</v>
      </c>
      <c r="L476" s="134">
        <v>2.79</v>
      </c>
      <c r="M476" s="134">
        <v>1.03</v>
      </c>
      <c r="N476" s="136">
        <v>3.57</v>
      </c>
      <c r="O476" s="134">
        <v>33.38</v>
      </c>
      <c r="P476" s="134">
        <v>-2.58</v>
      </c>
      <c r="Q476" s="134">
        <v>1.28</v>
      </c>
      <c r="R476" s="134">
        <v>24.15</v>
      </c>
      <c r="S476" s="134">
        <v>7.74</v>
      </c>
      <c r="T476" s="134">
        <v>10.24</v>
      </c>
      <c r="U476" s="134">
        <v>0.32</v>
      </c>
      <c r="V476" s="134">
        <v>0.68</v>
      </c>
      <c r="W476" s="134">
        <v>0.53</v>
      </c>
      <c r="X476" s="134">
        <v>21.28</v>
      </c>
      <c r="Y476" s="134">
        <v>32.73</v>
      </c>
      <c r="Z476" s="135">
        <v>3.5891515408E8</v>
      </c>
      <c r="AA476" s="134">
        <v>9.05</v>
      </c>
      <c r="AB476" s="134">
        <v>2.19</v>
      </c>
      <c r="AC476" s="134">
        <v>0.21</v>
      </c>
      <c r="AD476" s="135">
        <v>4.08434301795E10</v>
      </c>
    </row>
    <row r="477">
      <c r="A477" s="10" t="s">
        <v>650</v>
      </c>
      <c r="B477" s="134">
        <v>23.08</v>
      </c>
      <c r="C477" s="10">
        <v>0.0</v>
      </c>
      <c r="D477" s="134">
        <v>82.76</v>
      </c>
      <c r="E477" s="134">
        <v>4.26</v>
      </c>
      <c r="F477" s="134">
        <v>0.23</v>
      </c>
      <c r="G477" s="134">
        <v>34.71</v>
      </c>
      <c r="H477" s="136">
        <v>29.67</v>
      </c>
      <c r="I477" s="136">
        <v>1.85</v>
      </c>
      <c r="J477" s="134">
        <v>5.17</v>
      </c>
      <c r="K477" s="134">
        <v>12.09</v>
      </c>
      <c r="L477" s="134">
        <v>6.92</v>
      </c>
      <c r="M477" s="134">
        <v>5.71</v>
      </c>
      <c r="N477" s="136">
        <v>1.53</v>
      </c>
      <c r="O477" s="134">
        <v>1.49</v>
      </c>
      <c r="P477" s="134">
        <v>-0.31</v>
      </c>
      <c r="Q477" s="134">
        <v>2.64</v>
      </c>
      <c r="R477" s="134">
        <v>5.15</v>
      </c>
      <c r="S477" s="136">
        <v>0.28</v>
      </c>
      <c r="T477" s="134">
        <v>5.46</v>
      </c>
      <c r="U477" s="134">
        <v>0.05</v>
      </c>
      <c r="V477" s="134">
        <v>0.71</v>
      </c>
      <c r="W477" s="134">
        <v>0.15</v>
      </c>
      <c r="X477" s="134">
        <v>50.58</v>
      </c>
      <c r="Y477" s="134">
        <v>4.37</v>
      </c>
      <c r="Z477" s="135">
        <v>1.0521477575E8</v>
      </c>
      <c r="AA477" s="134">
        <v>5.41</v>
      </c>
      <c r="AB477" s="134">
        <v>0.28</v>
      </c>
      <c r="AC477" s="134">
        <v>-2.42</v>
      </c>
      <c r="AD477" s="135">
        <v>1.069121548228E10</v>
      </c>
    </row>
    <row r="478">
      <c r="A478" s="10" t="s">
        <v>384</v>
      </c>
      <c r="B478" s="134">
        <v>8.81</v>
      </c>
      <c r="C478" s="10">
        <v>0.0</v>
      </c>
      <c r="D478" s="134">
        <v>7.53</v>
      </c>
      <c r="E478" s="134">
        <v>-0.38</v>
      </c>
      <c r="F478" s="134">
        <v>0.12</v>
      </c>
      <c r="G478" s="134">
        <v>21.54</v>
      </c>
      <c r="H478" s="136">
        <v>-57.95</v>
      </c>
      <c r="I478" s="136">
        <v>44.91</v>
      </c>
      <c r="J478" s="136">
        <v>-5.83</v>
      </c>
      <c r="K478" s="134">
        <v>-32.81</v>
      </c>
      <c r="L478" s="134">
        <v>-26.98</v>
      </c>
      <c r="M478" s="10">
        <v>0.0</v>
      </c>
      <c r="N478" s="136">
        <v>3.38</v>
      </c>
      <c r="O478" s="134">
        <v>0.71</v>
      </c>
      <c r="P478" s="134">
        <v>-0.23</v>
      </c>
      <c r="Q478" s="134">
        <v>1.58</v>
      </c>
      <c r="R478" s="134">
        <v>-5.06</v>
      </c>
      <c r="S478" s="136">
        <v>1.62</v>
      </c>
      <c r="T478" s="134">
        <v>-5.69</v>
      </c>
      <c r="U478" s="134">
        <v>-0.32</v>
      </c>
      <c r="V478" s="134">
        <v>1.32</v>
      </c>
      <c r="W478" s="134">
        <v>0.04</v>
      </c>
      <c r="X478" s="134">
        <v>-29.67</v>
      </c>
      <c r="Y478" s="134">
        <v>-18.42</v>
      </c>
      <c r="Z478" s="135">
        <v>167076.75</v>
      </c>
      <c r="AA478" s="134">
        <v>-23.13</v>
      </c>
      <c r="AB478" s="134">
        <v>1.17</v>
      </c>
      <c r="AC478" s="134">
        <v>-0.07</v>
      </c>
      <c r="AD478" s="135">
        <v>3.2150640763E8</v>
      </c>
    </row>
    <row r="479">
      <c r="A479" s="10" t="s">
        <v>368</v>
      </c>
      <c r="B479" s="134">
        <v>3.13</v>
      </c>
      <c r="C479" s="10">
        <v>0.0</v>
      </c>
      <c r="D479" s="134">
        <v>8.02</v>
      </c>
      <c r="E479" s="134">
        <v>-0.41</v>
      </c>
      <c r="F479" s="134">
        <v>0.13</v>
      </c>
      <c r="G479" s="134">
        <v>21.54</v>
      </c>
      <c r="H479" s="136">
        <v>-57.95</v>
      </c>
      <c r="I479" s="136">
        <v>44.91</v>
      </c>
      <c r="J479" s="136">
        <v>-6.22</v>
      </c>
      <c r="K479" s="134">
        <v>-32.81</v>
      </c>
      <c r="L479" s="134">
        <v>-26.98</v>
      </c>
      <c r="M479" s="10">
        <v>0.0</v>
      </c>
      <c r="N479" s="136">
        <v>3.6</v>
      </c>
      <c r="O479" s="134">
        <v>0.76</v>
      </c>
      <c r="P479" s="134">
        <v>-0.24</v>
      </c>
      <c r="Q479" s="134">
        <v>1.58</v>
      </c>
      <c r="R479" s="134">
        <v>-5.06</v>
      </c>
      <c r="S479" s="136">
        <v>1.62</v>
      </c>
      <c r="T479" s="134">
        <v>-5.69</v>
      </c>
      <c r="U479" s="134">
        <v>-0.32</v>
      </c>
      <c r="V479" s="134">
        <v>1.32</v>
      </c>
      <c r="W479" s="134">
        <v>0.04</v>
      </c>
      <c r="X479" s="134">
        <v>-29.67</v>
      </c>
      <c r="Y479" s="134">
        <v>-18.42</v>
      </c>
      <c r="Z479" s="135">
        <v>277590.29</v>
      </c>
      <c r="AA479" s="134">
        <v>-7.71</v>
      </c>
      <c r="AB479" s="134">
        <v>0.39</v>
      </c>
      <c r="AC479" s="134">
        <v>-0.07</v>
      </c>
      <c r="AD479" s="135">
        <v>3.2150640763E8</v>
      </c>
    </row>
    <row r="480">
      <c r="A480" s="10" t="s">
        <v>342</v>
      </c>
      <c r="B480" s="134">
        <v>2.87</v>
      </c>
      <c r="C480" s="10">
        <v>0.0</v>
      </c>
      <c r="D480" s="134">
        <v>7.33</v>
      </c>
      <c r="E480" s="134">
        <v>-0.37</v>
      </c>
      <c r="F480" s="134">
        <v>0.12</v>
      </c>
      <c r="G480" s="134">
        <v>21.54</v>
      </c>
      <c r="H480" s="136">
        <v>-57.95</v>
      </c>
      <c r="I480" s="136">
        <v>44.91</v>
      </c>
      <c r="J480" s="136">
        <v>-5.68</v>
      </c>
      <c r="K480" s="134">
        <v>-32.81</v>
      </c>
      <c r="L480" s="134">
        <v>-26.98</v>
      </c>
      <c r="M480" s="10">
        <v>0.0</v>
      </c>
      <c r="N480" s="136">
        <v>3.29</v>
      </c>
      <c r="O480" s="134">
        <v>0.69</v>
      </c>
      <c r="P480" s="134">
        <v>-0.22</v>
      </c>
      <c r="Q480" s="134">
        <v>1.58</v>
      </c>
      <c r="R480" s="134">
        <v>-5.06</v>
      </c>
      <c r="S480" s="134">
        <v>1.62</v>
      </c>
      <c r="T480" s="134">
        <v>-5.69</v>
      </c>
      <c r="U480" s="134">
        <v>-0.32</v>
      </c>
      <c r="V480" s="134">
        <v>1.32</v>
      </c>
      <c r="W480" s="134">
        <v>0.04</v>
      </c>
      <c r="X480" s="134">
        <v>-29.67</v>
      </c>
      <c r="Y480" s="134">
        <v>-18.42</v>
      </c>
      <c r="Z480" s="135">
        <v>774705.83</v>
      </c>
      <c r="AA480" s="134">
        <v>-7.71</v>
      </c>
      <c r="AB480" s="134">
        <v>0.39</v>
      </c>
      <c r="AC480" s="134">
        <v>-0.07</v>
      </c>
      <c r="AD480" s="135">
        <v>3.2150640763E8</v>
      </c>
    </row>
    <row r="481">
      <c r="A481" s="10" t="s">
        <v>237</v>
      </c>
      <c r="B481" s="134">
        <v>18.16</v>
      </c>
      <c r="C481" s="134">
        <v>8.95</v>
      </c>
      <c r="D481" s="136">
        <v>7.19</v>
      </c>
      <c r="E481" s="136">
        <v>1.57</v>
      </c>
      <c r="F481" s="136">
        <v>0.75</v>
      </c>
      <c r="G481" s="134">
        <v>32.55</v>
      </c>
      <c r="H481" s="134">
        <v>14.62</v>
      </c>
      <c r="I481" s="134">
        <v>15.68</v>
      </c>
      <c r="J481" s="136">
        <v>7.71</v>
      </c>
      <c r="K481" s="136">
        <v>9.74</v>
      </c>
      <c r="L481" s="134">
        <v>1.99</v>
      </c>
      <c r="M481" s="134">
        <v>0.41</v>
      </c>
      <c r="N481" s="134">
        <v>1.13</v>
      </c>
      <c r="O481" s="136">
        <v>2.4</v>
      </c>
      <c r="P481" s="136">
        <v>-1.92</v>
      </c>
      <c r="Q481" s="134">
        <v>2.03</v>
      </c>
      <c r="R481" s="134">
        <v>21.82</v>
      </c>
      <c r="S481" s="136">
        <v>10.38</v>
      </c>
      <c r="T481" s="134">
        <v>11.0</v>
      </c>
      <c r="U481" s="134">
        <v>0.48</v>
      </c>
      <c r="V481" s="134">
        <v>0.52</v>
      </c>
      <c r="W481" s="134">
        <v>0.66</v>
      </c>
      <c r="X481" s="134">
        <v>9.91</v>
      </c>
      <c r="Y481" s="134">
        <v>97.05</v>
      </c>
      <c r="Z481" s="135">
        <v>1.037474088E7</v>
      </c>
      <c r="AA481" s="134">
        <v>11.61</v>
      </c>
      <c r="AB481" s="134">
        <v>2.53</v>
      </c>
      <c r="AC481" s="134">
        <v>0.08</v>
      </c>
      <c r="AD481" s="135">
        <v>1.3420107726E9</v>
      </c>
    </row>
    <row r="482">
      <c r="A482" s="10" t="s">
        <v>512</v>
      </c>
      <c r="B482" s="134">
        <v>7.33</v>
      </c>
      <c r="C482" s="10">
        <v>0.0</v>
      </c>
      <c r="D482" s="136">
        <v>29.45</v>
      </c>
      <c r="E482" s="136">
        <v>0.6</v>
      </c>
      <c r="F482" s="136">
        <v>0.6</v>
      </c>
      <c r="G482" s="10">
        <v>0.0</v>
      </c>
      <c r="H482" s="10">
        <v>0.0</v>
      </c>
      <c r="I482" s="10">
        <v>0.0</v>
      </c>
      <c r="J482" s="136">
        <v>29.58</v>
      </c>
      <c r="K482" s="136">
        <v>31.11</v>
      </c>
      <c r="L482" s="134">
        <v>-0.62</v>
      </c>
      <c r="M482" s="134">
        <v>-0.01</v>
      </c>
      <c r="N482" s="10">
        <v>0.0</v>
      </c>
      <c r="O482" s="136">
        <v>58.16</v>
      </c>
      <c r="P482" s="136">
        <v>-0.61</v>
      </c>
      <c r="Q482" s="134">
        <v>4.26</v>
      </c>
      <c r="R482" s="134">
        <v>2.05</v>
      </c>
      <c r="S482" s="136">
        <v>2.04</v>
      </c>
      <c r="T482" s="134">
        <v>2.04</v>
      </c>
      <c r="U482" s="134">
        <v>1.0</v>
      </c>
      <c r="V482" s="134">
        <v>0.0</v>
      </c>
      <c r="W482" s="134">
        <v>0.0</v>
      </c>
      <c r="X482" s="134">
        <v>-12.49</v>
      </c>
      <c r="Y482" s="134">
        <v>-16.37</v>
      </c>
      <c r="Z482" s="136">
        <v>2303.13</v>
      </c>
      <c r="AA482" s="134">
        <v>12.15</v>
      </c>
      <c r="AB482" s="134">
        <v>0.25</v>
      </c>
      <c r="AC482" s="134">
        <v>-0.56</v>
      </c>
      <c r="AD482" s="135">
        <v>6.6596567706E8</v>
      </c>
    </row>
    <row r="483">
      <c r="A483" s="10" t="s">
        <v>530</v>
      </c>
      <c r="B483" s="134">
        <v>8.5</v>
      </c>
      <c r="C483" s="134">
        <v>6.44</v>
      </c>
      <c r="D483" s="136">
        <v>34.15</v>
      </c>
      <c r="E483" s="136">
        <v>0.7</v>
      </c>
      <c r="F483" s="136">
        <v>0.7</v>
      </c>
      <c r="G483" s="10">
        <v>0.0</v>
      </c>
      <c r="H483" s="10">
        <v>0.0</v>
      </c>
      <c r="I483" s="10">
        <v>0.0</v>
      </c>
      <c r="J483" s="136">
        <v>34.3</v>
      </c>
      <c r="K483" s="136">
        <v>31.11</v>
      </c>
      <c r="L483" s="134">
        <v>-0.62</v>
      </c>
      <c r="M483" s="134">
        <v>-0.01</v>
      </c>
      <c r="N483" s="10">
        <v>0.0</v>
      </c>
      <c r="O483" s="136">
        <v>67.45</v>
      </c>
      <c r="P483" s="136">
        <v>-0.71</v>
      </c>
      <c r="Q483" s="134">
        <v>4.26</v>
      </c>
      <c r="R483" s="134">
        <v>2.05</v>
      </c>
      <c r="S483" s="136">
        <v>2.04</v>
      </c>
      <c r="T483" s="134">
        <v>2.04</v>
      </c>
      <c r="U483" s="134">
        <v>1.0</v>
      </c>
      <c r="V483" s="134">
        <v>0.0</v>
      </c>
      <c r="W483" s="134">
        <v>0.0</v>
      </c>
      <c r="X483" s="134">
        <v>-12.49</v>
      </c>
      <c r="Y483" s="134">
        <v>-16.37</v>
      </c>
      <c r="Z483" s="139">
        <v>1840.83</v>
      </c>
      <c r="AA483" s="134">
        <v>12.15</v>
      </c>
      <c r="AB483" s="134">
        <v>0.25</v>
      </c>
      <c r="AC483" s="134">
        <v>-0.64</v>
      </c>
      <c r="AD483" s="135">
        <v>6.6596567706E8</v>
      </c>
    </row>
    <row r="484">
      <c r="A484" s="10" t="s">
        <v>536</v>
      </c>
      <c r="B484" s="134">
        <v>5.5</v>
      </c>
      <c r="C484" s="10">
        <v>0.0</v>
      </c>
      <c r="D484" s="136">
        <v>22.09</v>
      </c>
      <c r="E484" s="136">
        <v>0.45</v>
      </c>
      <c r="F484" s="136">
        <v>0.45</v>
      </c>
      <c r="G484" s="10">
        <v>0.0</v>
      </c>
      <c r="H484" s="10">
        <v>0.0</v>
      </c>
      <c r="I484" s="10">
        <v>0.0</v>
      </c>
      <c r="J484" s="136">
        <v>22.19</v>
      </c>
      <c r="K484" s="136">
        <v>31.11</v>
      </c>
      <c r="L484" s="134">
        <v>-0.62</v>
      </c>
      <c r="M484" s="134">
        <v>-0.01</v>
      </c>
      <c r="N484" s="10">
        <v>0.0</v>
      </c>
      <c r="O484" s="136">
        <v>43.64</v>
      </c>
      <c r="P484" s="136">
        <v>-0.46</v>
      </c>
      <c r="Q484" s="134">
        <v>4.26</v>
      </c>
      <c r="R484" s="134">
        <v>2.05</v>
      </c>
      <c r="S484" s="136">
        <v>2.04</v>
      </c>
      <c r="T484" s="134">
        <v>2.04</v>
      </c>
      <c r="U484" s="134">
        <v>1.0</v>
      </c>
      <c r="V484" s="134">
        <v>0.0</v>
      </c>
      <c r="W484" s="134">
        <v>0.0</v>
      </c>
      <c r="X484" s="134">
        <v>-12.49</v>
      </c>
      <c r="Y484" s="134">
        <v>-16.37</v>
      </c>
      <c r="Z484" s="136">
        <v>906.67</v>
      </c>
      <c r="AA484" s="134">
        <v>12.15</v>
      </c>
      <c r="AB484" s="134">
        <v>0.25</v>
      </c>
      <c r="AC484" s="134">
        <v>-0.42</v>
      </c>
      <c r="AD484" s="135">
        <v>6.6596567706E8</v>
      </c>
    </row>
    <row r="485">
      <c r="A485" s="10" t="s">
        <v>358</v>
      </c>
      <c r="B485" s="134">
        <v>3.53</v>
      </c>
      <c r="C485" s="10">
        <v>0.0</v>
      </c>
      <c r="D485" s="136">
        <v>-0.83</v>
      </c>
      <c r="E485" s="134">
        <v>-0.07</v>
      </c>
      <c r="F485" s="134">
        <v>0.06</v>
      </c>
      <c r="G485" s="134">
        <v>0.19</v>
      </c>
      <c r="H485" s="134">
        <v>-15.63</v>
      </c>
      <c r="I485" s="136">
        <v>-16.99</v>
      </c>
      <c r="J485" s="136">
        <v>-0.9</v>
      </c>
      <c r="K485" s="136">
        <v>-0.93</v>
      </c>
      <c r="L485" s="134">
        <v>0.0</v>
      </c>
      <c r="M485" s="10">
        <v>0.0</v>
      </c>
      <c r="N485" s="134">
        <v>0.14</v>
      </c>
      <c r="O485" s="134">
        <v>-0.08</v>
      </c>
      <c r="P485" s="134">
        <v>-0.94</v>
      </c>
      <c r="Q485" s="134">
        <v>0.55</v>
      </c>
      <c r="R485" s="136">
        <v>-8.71</v>
      </c>
      <c r="S485" s="134">
        <v>-7.52</v>
      </c>
      <c r="T485" s="134">
        <v>8.0</v>
      </c>
      <c r="U485" s="134">
        <v>-0.86</v>
      </c>
      <c r="V485" s="134">
        <v>1.86</v>
      </c>
      <c r="W485" s="134">
        <v>0.44</v>
      </c>
      <c r="X485" s="134">
        <v>16.06</v>
      </c>
      <c r="Y485" s="10">
        <v>0.0</v>
      </c>
      <c r="Z485" s="137">
        <v>431690.71</v>
      </c>
      <c r="AA485" s="134">
        <v>-48.07</v>
      </c>
      <c r="AB485" s="134">
        <v>-4.18</v>
      </c>
      <c r="AC485" s="134">
        <v>0.04</v>
      </c>
      <c r="AD485" s="135">
        <v>2.4233603182E8</v>
      </c>
    </row>
    <row r="486">
      <c r="A486" s="10" t="s">
        <v>153</v>
      </c>
      <c r="B486" s="134">
        <v>43.08</v>
      </c>
      <c r="C486" s="10">
        <v>0.0</v>
      </c>
      <c r="D486" s="136">
        <v>-27.45</v>
      </c>
      <c r="E486" s="134">
        <v>3.15</v>
      </c>
      <c r="F486" s="134">
        <v>1.9</v>
      </c>
      <c r="G486" s="134">
        <v>55.4</v>
      </c>
      <c r="H486" s="134">
        <v>24.24</v>
      </c>
      <c r="I486" s="136">
        <v>-44.19</v>
      </c>
      <c r="J486" s="134">
        <v>50.05</v>
      </c>
      <c r="K486" s="134">
        <v>44.44</v>
      </c>
      <c r="L486" s="134">
        <v>-6.85</v>
      </c>
      <c r="M486" s="134">
        <v>-0.43</v>
      </c>
      <c r="N486" s="134">
        <v>12.13</v>
      </c>
      <c r="O486" s="134">
        <v>4.39</v>
      </c>
      <c r="P486" s="134">
        <v>-3.83</v>
      </c>
      <c r="Q486" s="134">
        <v>6.94</v>
      </c>
      <c r="R486" s="136">
        <v>-11.48</v>
      </c>
      <c r="S486" s="134">
        <v>-6.91</v>
      </c>
      <c r="T486" s="134">
        <v>3.62</v>
      </c>
      <c r="U486" s="134">
        <v>0.6</v>
      </c>
      <c r="V486" s="134">
        <v>0.37</v>
      </c>
      <c r="W486" s="134">
        <v>0.16</v>
      </c>
      <c r="X486" s="10">
        <v>0.0</v>
      </c>
      <c r="Y486" s="10">
        <v>0.0</v>
      </c>
      <c r="Z486" s="135">
        <v>7.739240304E7</v>
      </c>
      <c r="AA486" s="134">
        <v>13.74</v>
      </c>
      <c r="AB486" s="134">
        <v>-1.58</v>
      </c>
      <c r="AC486" s="134">
        <v>-0.11</v>
      </c>
      <c r="AD486" s="135">
        <v>5.87412978796E9</v>
      </c>
    </row>
    <row r="487">
      <c r="A487" s="10" t="s">
        <v>333</v>
      </c>
      <c r="B487" s="134">
        <v>8.63</v>
      </c>
      <c r="C487" s="10">
        <v>0.0</v>
      </c>
      <c r="D487" s="136">
        <v>0.77</v>
      </c>
      <c r="E487" s="134">
        <v>-0.32</v>
      </c>
      <c r="F487" s="134">
        <v>0.1</v>
      </c>
      <c r="G487" s="134">
        <v>55.71</v>
      </c>
      <c r="H487" s="134">
        <v>-276.71</v>
      </c>
      <c r="I487" s="136">
        <v>167.04</v>
      </c>
      <c r="J487" s="134">
        <v>-0.47</v>
      </c>
      <c r="K487" s="134">
        <v>-2.18</v>
      </c>
      <c r="L487" s="134">
        <v>-1.71</v>
      </c>
      <c r="M487" s="10">
        <v>0.0</v>
      </c>
      <c r="N487" s="134">
        <v>1.29</v>
      </c>
      <c r="O487" s="134">
        <v>-0.13</v>
      </c>
      <c r="P487" s="134">
        <v>-0.15</v>
      </c>
      <c r="Q487" s="134">
        <v>0.31</v>
      </c>
      <c r="R487" s="136">
        <v>-41.7</v>
      </c>
      <c r="S487" s="134">
        <v>12.87</v>
      </c>
      <c r="T487" s="134">
        <v>-419.29</v>
      </c>
      <c r="U487" s="134">
        <v>-0.31</v>
      </c>
      <c r="V487" s="134">
        <v>1.32</v>
      </c>
      <c r="W487" s="134">
        <v>0.08</v>
      </c>
      <c r="X487" s="134">
        <v>-42.64</v>
      </c>
      <c r="Y487" s="10">
        <v>0.0</v>
      </c>
      <c r="Z487" s="135">
        <v>959146.75</v>
      </c>
      <c r="AA487" s="134">
        <v>-26.81</v>
      </c>
      <c r="AB487" s="134">
        <v>11.18</v>
      </c>
      <c r="AC487" s="134">
        <v>0.0</v>
      </c>
      <c r="AD487" s="135">
        <v>1.4854789842E8</v>
      </c>
    </row>
    <row r="488">
      <c r="A488" s="10" t="s">
        <v>651</v>
      </c>
      <c r="B488" s="134">
        <v>0.0</v>
      </c>
      <c r="C488" s="10">
        <v>0.0</v>
      </c>
      <c r="D488" s="136">
        <v>0.0</v>
      </c>
      <c r="E488" s="134">
        <v>0.0</v>
      </c>
      <c r="F488" s="134">
        <v>0.0</v>
      </c>
      <c r="G488" s="134">
        <v>38.24</v>
      </c>
      <c r="H488" s="134">
        <v>28.3</v>
      </c>
      <c r="I488" s="136">
        <v>16.49</v>
      </c>
      <c r="J488" s="134">
        <v>0.0</v>
      </c>
      <c r="K488" s="134">
        <v>2.67</v>
      </c>
      <c r="L488" s="134">
        <v>0.0</v>
      </c>
      <c r="M488" s="134">
        <v>0.0</v>
      </c>
      <c r="N488" s="134">
        <v>0.0</v>
      </c>
      <c r="O488" s="134">
        <v>0.0</v>
      </c>
      <c r="P488" s="134">
        <v>0.0</v>
      </c>
      <c r="Q488" s="134">
        <v>1.43</v>
      </c>
      <c r="R488" s="134">
        <v>87.48</v>
      </c>
      <c r="S488" s="134">
        <v>16.88</v>
      </c>
      <c r="T488" s="134">
        <v>112.54</v>
      </c>
      <c r="U488" s="134">
        <v>0.19</v>
      </c>
      <c r="V488" s="134">
        <v>0.81</v>
      </c>
      <c r="W488" s="134">
        <v>1.02</v>
      </c>
      <c r="X488" s="134">
        <v>11.33</v>
      </c>
      <c r="Y488" s="10">
        <v>0.0</v>
      </c>
      <c r="Z488" s="138">
        <v>0.0</v>
      </c>
      <c r="AA488" s="134">
        <v>8.64</v>
      </c>
      <c r="AB488" s="134">
        <v>7.56</v>
      </c>
      <c r="AC488" s="134">
        <v>0.0</v>
      </c>
      <c r="AD488" s="135">
        <v>2.016E8</v>
      </c>
    </row>
    <row r="489">
      <c r="A489" s="10" t="s">
        <v>344</v>
      </c>
      <c r="B489" s="134">
        <v>84.0</v>
      </c>
      <c r="C489" s="10">
        <v>0.0</v>
      </c>
      <c r="D489" s="136">
        <v>11.11</v>
      </c>
      <c r="E489" s="134">
        <v>9.72</v>
      </c>
      <c r="F489" s="134">
        <v>1.88</v>
      </c>
      <c r="G489" s="134">
        <v>38.24</v>
      </c>
      <c r="H489" s="134">
        <v>28.3</v>
      </c>
      <c r="I489" s="136">
        <v>16.49</v>
      </c>
      <c r="J489" s="134">
        <v>6.48</v>
      </c>
      <c r="K489" s="134">
        <v>2.67</v>
      </c>
      <c r="L489" s="134">
        <v>0.0</v>
      </c>
      <c r="M489" s="134">
        <v>0.0</v>
      </c>
      <c r="N489" s="134">
        <v>1.83</v>
      </c>
      <c r="O489" s="134">
        <v>14.8</v>
      </c>
      <c r="P489" s="134">
        <v>-3.25</v>
      </c>
      <c r="Q489" s="134">
        <v>1.43</v>
      </c>
      <c r="R489" s="136">
        <v>87.48</v>
      </c>
      <c r="S489" s="134">
        <v>16.88</v>
      </c>
      <c r="T489" s="134">
        <v>112.54</v>
      </c>
      <c r="U489" s="134">
        <v>0.19</v>
      </c>
      <c r="V489" s="134">
        <v>0.81</v>
      </c>
      <c r="W489" s="134">
        <v>1.02</v>
      </c>
      <c r="X489" s="134">
        <v>11.33</v>
      </c>
      <c r="Y489" s="10">
        <v>0.0</v>
      </c>
      <c r="Z489" s="135">
        <v>462291.5</v>
      </c>
      <c r="AA489" s="134">
        <v>8.64</v>
      </c>
      <c r="AB489" s="134">
        <v>7.56</v>
      </c>
      <c r="AC489" s="134">
        <v>0.08</v>
      </c>
      <c r="AD489" s="135">
        <v>2.016E8</v>
      </c>
    </row>
    <row r="490">
      <c r="A490" s="10" t="s">
        <v>120</v>
      </c>
      <c r="B490" s="134">
        <v>36.86</v>
      </c>
      <c r="C490" s="134">
        <v>6.25</v>
      </c>
      <c r="D490" s="136">
        <v>8.53</v>
      </c>
      <c r="E490" s="136">
        <v>1.3</v>
      </c>
      <c r="F490" s="136">
        <v>0.15</v>
      </c>
      <c r="G490" s="134">
        <v>18.12</v>
      </c>
      <c r="H490" s="134">
        <v>29.72</v>
      </c>
      <c r="I490" s="136">
        <v>16.22</v>
      </c>
      <c r="J490" s="136">
        <v>4.65</v>
      </c>
      <c r="K490" s="136">
        <v>4.67</v>
      </c>
      <c r="L490" s="10">
        <v>0.0</v>
      </c>
      <c r="M490" s="10">
        <v>0.0</v>
      </c>
      <c r="N490" s="134">
        <v>1.38</v>
      </c>
      <c r="O490" s="138">
        <v>0.0</v>
      </c>
      <c r="P490" s="136">
        <v>-0.15</v>
      </c>
      <c r="Q490" s="10">
        <v>0.0</v>
      </c>
      <c r="R490" s="136">
        <v>15.26</v>
      </c>
      <c r="S490" s="136">
        <v>1.74</v>
      </c>
      <c r="T490" s="10">
        <v>0.0</v>
      </c>
      <c r="U490" s="134">
        <v>0.11</v>
      </c>
      <c r="V490" s="134">
        <v>0.89</v>
      </c>
      <c r="W490" s="134">
        <v>0.11</v>
      </c>
      <c r="X490" s="134">
        <v>-2.12</v>
      </c>
      <c r="Y490" s="134">
        <v>10.58</v>
      </c>
      <c r="Z490" s="135">
        <v>9.788270058E7</v>
      </c>
      <c r="AA490" s="134">
        <v>28.29</v>
      </c>
      <c r="AB490" s="134">
        <v>4.32</v>
      </c>
      <c r="AC490" s="134">
        <v>1.44</v>
      </c>
      <c r="AD490" s="135">
        <v>1.3834789789095E11</v>
      </c>
    </row>
    <row r="491">
      <c r="A491" s="10" t="s">
        <v>347</v>
      </c>
      <c r="B491" s="134">
        <v>17.41</v>
      </c>
      <c r="C491" s="134">
        <v>6.29</v>
      </c>
      <c r="D491" s="136">
        <v>8.07</v>
      </c>
      <c r="E491" s="136">
        <v>1.23</v>
      </c>
      <c r="F491" s="136">
        <v>0.14</v>
      </c>
      <c r="G491" s="134">
        <v>18.12</v>
      </c>
      <c r="H491" s="134">
        <v>29.72</v>
      </c>
      <c r="I491" s="136">
        <v>16.22</v>
      </c>
      <c r="J491" s="136">
        <v>4.4</v>
      </c>
      <c r="K491" s="136">
        <v>4.67</v>
      </c>
      <c r="L491" s="10">
        <v>0.0</v>
      </c>
      <c r="M491" s="10">
        <v>0.0</v>
      </c>
      <c r="N491" s="134">
        <v>1.31</v>
      </c>
      <c r="O491" s="138">
        <v>0.0</v>
      </c>
      <c r="P491" s="136">
        <v>-0.15</v>
      </c>
      <c r="Q491" s="10">
        <v>0.0</v>
      </c>
      <c r="R491" s="136">
        <v>15.26</v>
      </c>
      <c r="S491" s="136">
        <v>1.74</v>
      </c>
      <c r="T491" s="10">
        <v>0.0</v>
      </c>
      <c r="U491" s="134">
        <v>0.11</v>
      </c>
      <c r="V491" s="134">
        <v>0.89</v>
      </c>
      <c r="W491" s="134">
        <v>0.11</v>
      </c>
      <c r="X491" s="134">
        <v>-2.12</v>
      </c>
      <c r="Y491" s="134">
        <v>10.58</v>
      </c>
      <c r="Z491" s="135">
        <v>545358.67</v>
      </c>
      <c r="AA491" s="134">
        <v>14.14</v>
      </c>
      <c r="AB491" s="134">
        <v>2.16</v>
      </c>
      <c r="AC491" s="134">
        <v>1.36</v>
      </c>
      <c r="AD491" s="135">
        <v>1.3834789789095E11</v>
      </c>
    </row>
    <row r="492">
      <c r="A492" s="10" t="s">
        <v>334</v>
      </c>
      <c r="B492" s="134">
        <v>19.41</v>
      </c>
      <c r="C492" s="134">
        <v>6.19</v>
      </c>
      <c r="D492" s="136">
        <v>9.01</v>
      </c>
      <c r="E492" s="134">
        <v>1.38</v>
      </c>
      <c r="F492" s="134">
        <v>0.16</v>
      </c>
      <c r="G492" s="134">
        <v>18.12</v>
      </c>
      <c r="H492" s="134">
        <v>29.72</v>
      </c>
      <c r="I492" s="134">
        <v>16.22</v>
      </c>
      <c r="J492" s="134">
        <v>4.92</v>
      </c>
      <c r="K492" s="134">
        <v>4.67</v>
      </c>
      <c r="L492" s="10">
        <v>0.0</v>
      </c>
      <c r="M492" s="10">
        <v>0.0</v>
      </c>
      <c r="N492" s="134">
        <v>1.46</v>
      </c>
      <c r="O492" s="10">
        <v>0.0</v>
      </c>
      <c r="P492" s="134">
        <v>-0.16</v>
      </c>
      <c r="Q492" s="10">
        <v>0.0</v>
      </c>
      <c r="R492" s="136">
        <v>15.26</v>
      </c>
      <c r="S492" s="134">
        <v>1.74</v>
      </c>
      <c r="T492" s="10">
        <v>0.0</v>
      </c>
      <c r="U492" s="134">
        <v>0.11</v>
      </c>
      <c r="V492" s="134">
        <v>0.89</v>
      </c>
      <c r="W492" s="134">
        <v>0.11</v>
      </c>
      <c r="X492" s="134">
        <v>-2.12</v>
      </c>
      <c r="Y492" s="134">
        <v>10.58</v>
      </c>
      <c r="Z492" s="137">
        <v>930221.63</v>
      </c>
      <c r="AA492" s="134">
        <v>14.14</v>
      </c>
      <c r="AB492" s="134">
        <v>2.16</v>
      </c>
      <c r="AC492" s="134">
        <v>1.52</v>
      </c>
      <c r="AD492" s="135">
        <v>1.3834789789095E11</v>
      </c>
    </row>
    <row r="493">
      <c r="A493" s="10" t="s">
        <v>166</v>
      </c>
      <c r="B493" s="134">
        <v>18.59</v>
      </c>
      <c r="C493" s="134">
        <v>5.35</v>
      </c>
      <c r="D493" s="136">
        <v>5.44</v>
      </c>
      <c r="E493" s="136">
        <v>0.77</v>
      </c>
      <c r="F493" s="136">
        <v>0.41</v>
      </c>
      <c r="G493" s="134">
        <v>60.03</v>
      </c>
      <c r="H493" s="134">
        <v>33.99</v>
      </c>
      <c r="I493" s="134">
        <v>21.09</v>
      </c>
      <c r="J493" s="136">
        <v>3.37</v>
      </c>
      <c r="K493" s="136">
        <v>5.21</v>
      </c>
      <c r="L493" s="134">
        <v>1.83</v>
      </c>
      <c r="M493" s="134">
        <v>0.42</v>
      </c>
      <c r="N493" s="134">
        <v>1.15</v>
      </c>
      <c r="O493" s="136">
        <v>7.4</v>
      </c>
      <c r="P493" s="136">
        <v>-0.47</v>
      </c>
      <c r="Q493" s="134">
        <v>1.62</v>
      </c>
      <c r="R493" s="134">
        <v>14.15</v>
      </c>
      <c r="S493" s="136">
        <v>7.46</v>
      </c>
      <c r="T493" s="134">
        <v>11.19</v>
      </c>
      <c r="U493" s="134">
        <v>0.53</v>
      </c>
      <c r="V493" s="134">
        <v>0.47</v>
      </c>
      <c r="W493" s="134">
        <v>0.35</v>
      </c>
      <c r="X493" s="134">
        <v>10.07</v>
      </c>
      <c r="Y493" s="134">
        <v>18.72</v>
      </c>
      <c r="Z493" s="135">
        <v>3.622471621E7</v>
      </c>
      <c r="AA493" s="134">
        <v>24.19</v>
      </c>
      <c r="AB493" s="134">
        <v>3.42</v>
      </c>
      <c r="AC493" s="134">
        <v>-0.47</v>
      </c>
      <c r="AD493" s="135">
        <v>5.63981899691E9</v>
      </c>
    </row>
    <row r="494">
      <c r="A494" s="10" t="s">
        <v>308</v>
      </c>
      <c r="B494" s="134">
        <v>3.7</v>
      </c>
      <c r="C494" s="134">
        <v>4.96</v>
      </c>
      <c r="D494" s="136">
        <v>5.42</v>
      </c>
      <c r="E494" s="136">
        <v>0.77</v>
      </c>
      <c r="F494" s="136">
        <v>0.4</v>
      </c>
      <c r="G494" s="134">
        <v>60.03</v>
      </c>
      <c r="H494" s="134">
        <v>33.99</v>
      </c>
      <c r="I494" s="136">
        <v>21.09</v>
      </c>
      <c r="J494" s="136">
        <v>3.36</v>
      </c>
      <c r="K494" s="136">
        <v>5.21</v>
      </c>
      <c r="L494" s="134">
        <v>1.83</v>
      </c>
      <c r="M494" s="134">
        <v>0.42</v>
      </c>
      <c r="N494" s="134">
        <v>1.14</v>
      </c>
      <c r="O494" s="136">
        <v>7.38</v>
      </c>
      <c r="P494" s="136">
        <v>-0.47</v>
      </c>
      <c r="Q494" s="134">
        <v>1.62</v>
      </c>
      <c r="R494" s="134">
        <v>14.15</v>
      </c>
      <c r="S494" s="136">
        <v>7.46</v>
      </c>
      <c r="T494" s="134">
        <v>11.19</v>
      </c>
      <c r="U494" s="134">
        <v>0.53</v>
      </c>
      <c r="V494" s="134">
        <v>0.47</v>
      </c>
      <c r="W494" s="134">
        <v>0.35</v>
      </c>
      <c r="X494" s="134">
        <v>10.07</v>
      </c>
      <c r="Y494" s="134">
        <v>18.72</v>
      </c>
      <c r="Z494" s="137">
        <v>2285509.79</v>
      </c>
      <c r="AA494" s="134">
        <v>4.84</v>
      </c>
      <c r="AB494" s="134">
        <v>0.68</v>
      </c>
      <c r="AC494" s="134">
        <v>-0.47</v>
      </c>
      <c r="AD494" s="135">
        <v>5.63981899691E9</v>
      </c>
    </row>
    <row r="495">
      <c r="A495" s="10" t="s">
        <v>219</v>
      </c>
      <c r="B495" s="134">
        <v>3.75</v>
      </c>
      <c r="C495" s="134">
        <v>5.39</v>
      </c>
      <c r="D495" s="136">
        <v>5.49</v>
      </c>
      <c r="E495" s="136">
        <v>0.78</v>
      </c>
      <c r="F495" s="136">
        <v>0.41</v>
      </c>
      <c r="G495" s="134">
        <v>60.03</v>
      </c>
      <c r="H495" s="134">
        <v>33.99</v>
      </c>
      <c r="I495" s="134">
        <v>21.09</v>
      </c>
      <c r="J495" s="136">
        <v>3.41</v>
      </c>
      <c r="K495" s="136">
        <v>5.21</v>
      </c>
      <c r="L495" s="134">
        <v>1.83</v>
      </c>
      <c r="M495" s="134">
        <v>0.42</v>
      </c>
      <c r="N495" s="134">
        <v>1.16</v>
      </c>
      <c r="O495" s="136">
        <v>7.48</v>
      </c>
      <c r="P495" s="136">
        <v>-0.48</v>
      </c>
      <c r="Q495" s="134">
        <v>1.62</v>
      </c>
      <c r="R495" s="134">
        <v>14.15</v>
      </c>
      <c r="S495" s="136">
        <v>7.46</v>
      </c>
      <c r="T495" s="134">
        <v>11.19</v>
      </c>
      <c r="U495" s="134">
        <v>0.53</v>
      </c>
      <c r="V495" s="134">
        <v>0.47</v>
      </c>
      <c r="W495" s="134">
        <v>0.35</v>
      </c>
      <c r="X495" s="134">
        <v>10.07</v>
      </c>
      <c r="Y495" s="134">
        <v>18.72</v>
      </c>
      <c r="Z495" s="137">
        <v>1.802460492E7</v>
      </c>
      <c r="AA495" s="136">
        <v>4.84</v>
      </c>
      <c r="AB495" s="134">
        <v>0.68</v>
      </c>
      <c r="AC495" s="134">
        <v>-0.47</v>
      </c>
      <c r="AD495" s="135">
        <v>5.63981899691E9</v>
      </c>
    </row>
    <row r="496">
      <c r="A496" s="10" t="s">
        <v>189</v>
      </c>
      <c r="B496" s="134">
        <v>27.6</v>
      </c>
      <c r="C496" s="10">
        <v>0.0</v>
      </c>
      <c r="D496" s="136">
        <v>-218.19</v>
      </c>
      <c r="E496" s="136">
        <v>3.53</v>
      </c>
      <c r="F496" s="136">
        <v>1.01</v>
      </c>
      <c r="G496" s="134">
        <v>44.25</v>
      </c>
      <c r="H496" s="134">
        <v>2.59</v>
      </c>
      <c r="I496" s="136">
        <v>-0.85</v>
      </c>
      <c r="J496" s="136">
        <v>71.75</v>
      </c>
      <c r="K496" s="136">
        <v>91.68</v>
      </c>
      <c r="L496" s="134">
        <v>19.88</v>
      </c>
      <c r="M496" s="134">
        <v>0.98</v>
      </c>
      <c r="N496" s="134">
        <v>1.86</v>
      </c>
      <c r="O496" s="136">
        <v>5.27</v>
      </c>
      <c r="P496" s="136">
        <v>-2.02</v>
      </c>
      <c r="Q496" s="134">
        <v>1.62</v>
      </c>
      <c r="R496" s="134">
        <v>-1.62</v>
      </c>
      <c r="S496" s="136">
        <v>-0.46</v>
      </c>
      <c r="T496" s="134">
        <v>0.5</v>
      </c>
      <c r="U496" s="134">
        <v>0.29</v>
      </c>
      <c r="V496" s="134">
        <v>0.71</v>
      </c>
      <c r="W496" s="134">
        <v>0.54</v>
      </c>
      <c r="X496" s="10">
        <v>0.0</v>
      </c>
      <c r="Y496" s="10">
        <v>0.0</v>
      </c>
      <c r="Z496" s="135">
        <v>2.743967954E7</v>
      </c>
      <c r="AA496" s="136">
        <v>7.82</v>
      </c>
      <c r="AB496" s="134">
        <v>-0.13</v>
      </c>
      <c r="AC496" s="134">
        <v>1.7</v>
      </c>
      <c r="AD496" s="135">
        <v>6.70079603676E9</v>
      </c>
    </row>
    <row r="497">
      <c r="A497" s="10" t="s">
        <v>112</v>
      </c>
      <c r="B497" s="134">
        <v>37.07</v>
      </c>
      <c r="C497" s="134">
        <v>1.08</v>
      </c>
      <c r="D497" s="136">
        <v>10.03</v>
      </c>
      <c r="E497" s="136">
        <v>1.05</v>
      </c>
      <c r="F497" s="136">
        <v>0.5</v>
      </c>
      <c r="G497" s="134">
        <v>35.2</v>
      </c>
      <c r="H497" s="134">
        <v>23.13</v>
      </c>
      <c r="I497" s="134">
        <v>13.57</v>
      </c>
      <c r="J497" s="136">
        <v>5.88</v>
      </c>
      <c r="K497" s="136">
        <v>9.05</v>
      </c>
      <c r="L497" s="134">
        <v>3.15</v>
      </c>
      <c r="M497" s="134">
        <v>0.56</v>
      </c>
      <c r="N497" s="134">
        <v>1.36</v>
      </c>
      <c r="O497" s="136">
        <v>-93.36</v>
      </c>
      <c r="P497" s="136">
        <v>-0.56</v>
      </c>
      <c r="Q497" s="134">
        <v>0.95</v>
      </c>
      <c r="R497" s="134">
        <v>10.5</v>
      </c>
      <c r="S497" s="136">
        <v>4.95</v>
      </c>
      <c r="T497" s="134">
        <v>7.75</v>
      </c>
      <c r="U497" s="134">
        <v>0.47</v>
      </c>
      <c r="V497" s="134">
        <v>0.53</v>
      </c>
      <c r="W497" s="134">
        <v>0.37</v>
      </c>
      <c r="X497" s="134">
        <v>8.73</v>
      </c>
      <c r="Y497" s="134">
        <v>36.3</v>
      </c>
      <c r="Z497" s="137">
        <v>1.1583893954E8</v>
      </c>
      <c r="AA497" s="136">
        <v>35.17</v>
      </c>
      <c r="AB497" s="134">
        <v>3.69</v>
      </c>
      <c r="AC497" s="134">
        <v>0.37</v>
      </c>
      <c r="AD497" s="135">
        <v>2.539922673204E10</v>
      </c>
    </row>
    <row r="498">
      <c r="A498" s="10" t="s">
        <v>364</v>
      </c>
      <c r="B498" s="134">
        <v>36.31</v>
      </c>
      <c r="C498" s="134">
        <v>1.01</v>
      </c>
      <c r="D498" s="136">
        <v>22.33</v>
      </c>
      <c r="E498" s="134">
        <v>1.34</v>
      </c>
      <c r="F498" s="134">
        <v>0.7</v>
      </c>
      <c r="G498" s="134">
        <v>80.61</v>
      </c>
      <c r="H498" s="134">
        <v>63.51</v>
      </c>
      <c r="I498" s="134">
        <v>26.9</v>
      </c>
      <c r="J498" s="134">
        <v>9.46</v>
      </c>
      <c r="K498" s="134">
        <v>14.12</v>
      </c>
      <c r="L498" s="134">
        <v>4.67</v>
      </c>
      <c r="M498" s="134">
        <v>0.66</v>
      </c>
      <c r="N498" s="134">
        <v>6.0</v>
      </c>
      <c r="O498" s="134">
        <v>6.22</v>
      </c>
      <c r="P498" s="134">
        <v>-0.84</v>
      </c>
      <c r="Q498" s="134">
        <v>3.15</v>
      </c>
      <c r="R498" s="136">
        <v>6.0</v>
      </c>
      <c r="S498" s="134">
        <v>3.14</v>
      </c>
      <c r="T498" s="134">
        <v>5.95</v>
      </c>
      <c r="U498" s="134">
        <v>0.52</v>
      </c>
      <c r="V498" s="134">
        <v>0.47</v>
      </c>
      <c r="W498" s="134">
        <v>0.12</v>
      </c>
      <c r="X498" s="134">
        <v>-6.59</v>
      </c>
      <c r="Y498" s="134">
        <v>-10.46</v>
      </c>
      <c r="Z498" s="135">
        <v>308684.38</v>
      </c>
      <c r="AA498" s="136">
        <v>27.1</v>
      </c>
      <c r="AB498" s="134">
        <v>1.63</v>
      </c>
      <c r="AC498" s="134">
        <v>0.17</v>
      </c>
      <c r="AD498" s="135">
        <v>2.0958646797E9</v>
      </c>
    </row>
    <row r="499">
      <c r="A499" s="10" t="s">
        <v>652</v>
      </c>
      <c r="B499" s="134">
        <v>23.8</v>
      </c>
      <c r="C499" s="10">
        <v>0.0</v>
      </c>
      <c r="D499" s="136">
        <v>-13.36</v>
      </c>
      <c r="E499" s="134">
        <v>15.0</v>
      </c>
      <c r="F499" s="134">
        <v>1.53</v>
      </c>
      <c r="G499" s="134">
        <v>48.36</v>
      </c>
      <c r="H499" s="134">
        <v>-15.73</v>
      </c>
      <c r="I499" s="136">
        <v>-25.77</v>
      </c>
      <c r="J499" s="134">
        <v>-21.89</v>
      </c>
      <c r="K499" s="134">
        <v>-27.94</v>
      </c>
      <c r="L499" s="134">
        <v>-6.05</v>
      </c>
      <c r="M499" s="134">
        <v>4.15</v>
      </c>
      <c r="N499" s="134">
        <v>3.44</v>
      </c>
      <c r="O499" s="134">
        <v>57.9</v>
      </c>
      <c r="P499" s="134">
        <v>-2.27</v>
      </c>
      <c r="Q499" s="134">
        <v>1.09</v>
      </c>
      <c r="R499" s="134">
        <v>-112.29</v>
      </c>
      <c r="S499" s="134">
        <v>-11.46</v>
      </c>
      <c r="T499" s="134">
        <v>-13.15</v>
      </c>
      <c r="U499" s="134">
        <v>0.1</v>
      </c>
      <c r="V499" s="134">
        <v>0.9</v>
      </c>
      <c r="W499" s="134">
        <v>0.44</v>
      </c>
      <c r="X499" s="134">
        <v>12.49</v>
      </c>
      <c r="Y499" s="10">
        <v>0.0</v>
      </c>
      <c r="Z499" s="138">
        <v>0.0</v>
      </c>
      <c r="AA499" s="136">
        <v>1.59</v>
      </c>
      <c r="AB499" s="134">
        <v>-1.78</v>
      </c>
      <c r="AC499" s="134">
        <v>0.01</v>
      </c>
      <c r="AD499" s="135">
        <v>6.23866782E9</v>
      </c>
    </row>
    <row r="500">
      <c r="A500" s="10" t="s">
        <v>251</v>
      </c>
      <c r="B500" s="134">
        <v>11.38</v>
      </c>
      <c r="C500" s="134">
        <v>3.19</v>
      </c>
      <c r="D500" s="136">
        <v>9.88</v>
      </c>
      <c r="E500" s="136">
        <v>1.01</v>
      </c>
      <c r="F500" s="136">
        <v>0.45</v>
      </c>
      <c r="G500" s="134">
        <v>53.24</v>
      </c>
      <c r="H500" s="134">
        <v>22.09</v>
      </c>
      <c r="I500" s="134">
        <v>11.56</v>
      </c>
      <c r="J500" s="136">
        <v>5.17</v>
      </c>
      <c r="K500" s="136">
        <v>5.51</v>
      </c>
      <c r="L500" s="134">
        <v>0.32</v>
      </c>
      <c r="M500" s="134">
        <v>0.06</v>
      </c>
      <c r="N500" s="134">
        <v>1.14</v>
      </c>
      <c r="O500" s="136">
        <v>4.18</v>
      </c>
      <c r="P500" s="136">
        <v>-0.63</v>
      </c>
      <c r="Q500" s="134">
        <v>1.63</v>
      </c>
      <c r="R500" s="134">
        <v>10.18</v>
      </c>
      <c r="S500" s="136">
        <v>4.58</v>
      </c>
      <c r="T500" s="134">
        <v>12.61</v>
      </c>
      <c r="U500" s="134">
        <v>0.45</v>
      </c>
      <c r="V500" s="134">
        <v>0.55</v>
      </c>
      <c r="W500" s="134">
        <v>0.4</v>
      </c>
      <c r="X500" s="134">
        <v>4.15</v>
      </c>
      <c r="Y500" s="134">
        <v>-1.5</v>
      </c>
      <c r="Z500" s="135">
        <v>8941506.46</v>
      </c>
      <c r="AA500" s="136">
        <v>11.39</v>
      </c>
      <c r="AB500" s="134">
        <v>1.16</v>
      </c>
      <c r="AC500" s="134">
        <v>0.16</v>
      </c>
      <c r="AD500" s="135">
        <v>1.48029794E9</v>
      </c>
    </row>
    <row r="501">
      <c r="A501" s="10" t="s">
        <v>182</v>
      </c>
      <c r="B501" s="134">
        <v>14.99</v>
      </c>
      <c r="C501" s="10">
        <v>0.0</v>
      </c>
      <c r="D501" s="136">
        <v>224.61</v>
      </c>
      <c r="E501" s="134">
        <v>3.48</v>
      </c>
      <c r="F501" s="134">
        <v>1.09</v>
      </c>
      <c r="G501" s="134">
        <v>19.27</v>
      </c>
      <c r="H501" s="134">
        <v>3.6</v>
      </c>
      <c r="I501" s="134">
        <v>0.71</v>
      </c>
      <c r="J501" s="136">
        <v>44.03</v>
      </c>
      <c r="K501" s="136">
        <v>52.55</v>
      </c>
      <c r="L501" s="134">
        <v>8.28</v>
      </c>
      <c r="M501" s="134">
        <v>0.65</v>
      </c>
      <c r="N501" s="134">
        <v>1.59</v>
      </c>
      <c r="O501" s="134">
        <v>15.76</v>
      </c>
      <c r="P501" s="134">
        <v>-1.67</v>
      </c>
      <c r="Q501" s="134">
        <v>1.25</v>
      </c>
      <c r="R501" s="134">
        <v>1.55</v>
      </c>
      <c r="S501" s="134">
        <v>0.48</v>
      </c>
      <c r="T501" s="134">
        <v>2.35</v>
      </c>
      <c r="U501" s="134">
        <v>0.31</v>
      </c>
      <c r="V501" s="134">
        <v>0.69</v>
      </c>
      <c r="W501" s="134">
        <v>0.69</v>
      </c>
      <c r="X501" s="10">
        <v>0.0</v>
      </c>
      <c r="Y501" s="10">
        <v>0.0</v>
      </c>
      <c r="Z501" s="135">
        <v>3.185650288E7</v>
      </c>
      <c r="AA501" s="136">
        <v>4.32</v>
      </c>
      <c r="AB501" s="134">
        <v>0.07</v>
      </c>
      <c r="AC501" s="134">
        <v>-1.3</v>
      </c>
      <c r="AD501" s="135">
        <v>2.10069252627E9</v>
      </c>
    </row>
    <row r="502">
      <c r="A502" s="10" t="s">
        <v>339</v>
      </c>
      <c r="B502" s="134">
        <v>6.92</v>
      </c>
      <c r="C502" s="10">
        <v>0.0</v>
      </c>
      <c r="D502" s="136">
        <v>-2.94</v>
      </c>
      <c r="E502" s="136">
        <v>0.33</v>
      </c>
      <c r="F502" s="136">
        <v>0.11</v>
      </c>
      <c r="G502" s="134">
        <v>34.38</v>
      </c>
      <c r="H502" s="134">
        <v>9.52</v>
      </c>
      <c r="I502" s="136">
        <v>-6.65</v>
      </c>
      <c r="J502" s="136">
        <v>2.05</v>
      </c>
      <c r="K502" s="136">
        <v>6.44</v>
      </c>
      <c r="L502" s="134">
        <v>4.36</v>
      </c>
      <c r="M502" s="134">
        <v>0.71</v>
      </c>
      <c r="N502" s="134">
        <v>0.2</v>
      </c>
      <c r="O502" s="136">
        <v>1.53</v>
      </c>
      <c r="P502" s="136">
        <v>-0.2</v>
      </c>
      <c r="Q502" s="134">
        <v>1.2</v>
      </c>
      <c r="R502" s="134">
        <v>-11.37</v>
      </c>
      <c r="S502" s="136">
        <v>-3.87</v>
      </c>
      <c r="T502" s="134">
        <v>8.45</v>
      </c>
      <c r="U502" s="134">
        <v>0.34</v>
      </c>
      <c r="V502" s="134">
        <v>0.66</v>
      </c>
      <c r="W502" s="134">
        <v>0.58</v>
      </c>
      <c r="X502" s="134">
        <v>-7.5</v>
      </c>
      <c r="Y502" s="10">
        <v>0.0</v>
      </c>
      <c r="Z502" s="135">
        <v>753920.71</v>
      </c>
      <c r="AA502" s="136">
        <v>20.88</v>
      </c>
      <c r="AB502" s="134">
        <v>-2.37</v>
      </c>
      <c r="AC502" s="134">
        <v>0.04</v>
      </c>
      <c r="AD502" s="135">
        <v>3.535E8</v>
      </c>
    </row>
    <row r="503">
      <c r="A503" s="10" t="s">
        <v>291</v>
      </c>
      <c r="B503" s="134">
        <v>4.87</v>
      </c>
      <c r="C503" s="10">
        <v>0.0</v>
      </c>
      <c r="D503" s="136">
        <v>-3.46</v>
      </c>
      <c r="E503" s="136">
        <v>1.94</v>
      </c>
      <c r="F503" s="136">
        <v>0.67</v>
      </c>
      <c r="G503" s="134">
        <v>-194.22</v>
      </c>
      <c r="H503" s="134">
        <v>-786.98</v>
      </c>
      <c r="I503" s="136">
        <v>-1038.86</v>
      </c>
      <c r="J503" s="136">
        <v>-4.57</v>
      </c>
      <c r="K503" s="136">
        <v>-3.74</v>
      </c>
      <c r="L503" s="134">
        <v>0.85</v>
      </c>
      <c r="M503" s="134">
        <v>-0.36</v>
      </c>
      <c r="N503" s="134">
        <v>35.99</v>
      </c>
      <c r="O503" s="136">
        <v>3.12</v>
      </c>
      <c r="P503" s="136">
        <v>-1.68</v>
      </c>
      <c r="Q503" s="134">
        <v>1.56</v>
      </c>
      <c r="R503" s="134">
        <v>-55.99</v>
      </c>
      <c r="S503" s="136">
        <v>-19.39</v>
      </c>
      <c r="T503" s="134">
        <v>-28.42</v>
      </c>
      <c r="U503" s="134">
        <v>0.35</v>
      </c>
      <c r="V503" s="134">
        <v>0.66</v>
      </c>
      <c r="W503" s="134">
        <v>0.02</v>
      </c>
      <c r="X503" s="134">
        <v>-40.82</v>
      </c>
      <c r="Y503" s="10">
        <v>0.0</v>
      </c>
      <c r="Z503" s="135">
        <v>3280457.13</v>
      </c>
      <c r="AA503" s="136">
        <v>2.51</v>
      </c>
      <c r="AB503" s="134">
        <v>-1.4</v>
      </c>
      <c r="AC503" s="134">
        <v>-0.05</v>
      </c>
      <c r="AD503" s="135">
        <v>3.2897362952E8</v>
      </c>
    </row>
    <row r="504">
      <c r="A504" s="10" t="s">
        <v>422</v>
      </c>
      <c r="B504" s="134">
        <v>111.92</v>
      </c>
      <c r="C504" s="134">
        <v>0.24</v>
      </c>
      <c r="D504" s="136">
        <v>113.24</v>
      </c>
      <c r="E504" s="136">
        <v>25.07</v>
      </c>
      <c r="F504" s="136">
        <v>10.58</v>
      </c>
      <c r="G504" s="134">
        <v>21.2</v>
      </c>
      <c r="H504" s="134">
        <v>13.54</v>
      </c>
      <c r="I504" s="136">
        <v>12.32</v>
      </c>
      <c r="J504" s="136">
        <v>103.09</v>
      </c>
      <c r="K504" s="136">
        <v>50.77</v>
      </c>
      <c r="L504" s="134">
        <v>1.91</v>
      </c>
      <c r="M504" s="134">
        <v>0.47</v>
      </c>
      <c r="N504" s="134">
        <v>13.96</v>
      </c>
      <c r="O504" s="136">
        <v>25.81</v>
      </c>
      <c r="P504" s="136">
        <v>-30.88</v>
      </c>
      <c r="Q504" s="134">
        <v>2.65</v>
      </c>
      <c r="R504" s="134">
        <v>22.14</v>
      </c>
      <c r="S504" s="136">
        <v>9.34</v>
      </c>
      <c r="T504" s="134">
        <v>10.12</v>
      </c>
      <c r="U504" s="134">
        <v>0.42</v>
      </c>
      <c r="V504" s="134">
        <v>0.58</v>
      </c>
      <c r="W504" s="134">
        <v>0.76</v>
      </c>
      <c r="X504" s="134">
        <v>10.16</v>
      </c>
      <c r="Y504" s="134">
        <v>29.71</v>
      </c>
      <c r="Z504" s="136">
        <v>62944.5</v>
      </c>
      <c r="AA504" s="134">
        <v>4.46</v>
      </c>
      <c r="AB504" s="134">
        <v>0.99</v>
      </c>
      <c r="AC504" s="134">
        <v>0.96</v>
      </c>
      <c r="AD504" s="135">
        <v>9.4780370664E9</v>
      </c>
    </row>
    <row r="505">
      <c r="A505" s="10" t="s">
        <v>286</v>
      </c>
      <c r="B505" s="134">
        <v>9.13</v>
      </c>
      <c r="C505" s="134">
        <v>3.2</v>
      </c>
      <c r="D505" s="136">
        <v>9.21</v>
      </c>
      <c r="E505" s="136">
        <v>2.04</v>
      </c>
      <c r="F505" s="136">
        <v>0.86</v>
      </c>
      <c r="G505" s="134">
        <v>21.2</v>
      </c>
      <c r="H505" s="134">
        <v>13.54</v>
      </c>
      <c r="I505" s="134">
        <v>12.32</v>
      </c>
      <c r="J505" s="136">
        <v>8.38</v>
      </c>
      <c r="K505" s="136">
        <v>50.77</v>
      </c>
      <c r="L505" s="134">
        <v>1.91</v>
      </c>
      <c r="M505" s="134">
        <v>0.47</v>
      </c>
      <c r="N505" s="134">
        <v>1.13</v>
      </c>
      <c r="O505" s="136">
        <v>2.1</v>
      </c>
      <c r="P505" s="136">
        <v>-2.51</v>
      </c>
      <c r="Q505" s="134">
        <v>2.65</v>
      </c>
      <c r="R505" s="134">
        <v>22.14</v>
      </c>
      <c r="S505" s="136">
        <v>9.34</v>
      </c>
      <c r="T505" s="134">
        <v>10.12</v>
      </c>
      <c r="U505" s="134">
        <v>0.42</v>
      </c>
      <c r="V505" s="134">
        <v>0.58</v>
      </c>
      <c r="W505" s="134">
        <v>0.76</v>
      </c>
      <c r="X505" s="134">
        <v>10.16</v>
      </c>
      <c r="Y505" s="134">
        <v>29.71</v>
      </c>
      <c r="Z505" s="135">
        <v>4270228.63</v>
      </c>
      <c r="AA505" s="134">
        <v>4.46</v>
      </c>
      <c r="AB505" s="134">
        <v>0.99</v>
      </c>
      <c r="AC505" s="134">
        <v>0.08</v>
      </c>
      <c r="AD505" s="135">
        <v>9.4780370664E9</v>
      </c>
    </row>
    <row r="506">
      <c r="A506" s="10" t="s">
        <v>160</v>
      </c>
      <c r="B506" s="134">
        <v>13.17</v>
      </c>
      <c r="C506" s="134">
        <v>0.65</v>
      </c>
      <c r="D506" s="136">
        <v>20.69</v>
      </c>
      <c r="E506" s="136">
        <v>4.07</v>
      </c>
      <c r="F506" s="136">
        <v>0.32</v>
      </c>
      <c r="G506" s="134">
        <v>26.45</v>
      </c>
      <c r="H506" s="134">
        <v>18.43</v>
      </c>
      <c r="I506" s="134">
        <v>4.69</v>
      </c>
      <c r="J506" s="136">
        <v>5.27</v>
      </c>
      <c r="K506" s="136">
        <v>10.75</v>
      </c>
      <c r="L506" s="134">
        <v>5.46</v>
      </c>
      <c r="M506" s="134">
        <v>4.22</v>
      </c>
      <c r="N506" s="134">
        <v>0.97</v>
      </c>
      <c r="O506" s="136">
        <v>0.99</v>
      </c>
      <c r="P506" s="136">
        <v>-0.6</v>
      </c>
      <c r="Q506" s="134">
        <v>3.05</v>
      </c>
      <c r="R506" s="134">
        <v>19.68</v>
      </c>
      <c r="S506" s="136">
        <v>1.53</v>
      </c>
      <c r="T506" s="134">
        <v>5.93</v>
      </c>
      <c r="U506" s="134">
        <v>0.08</v>
      </c>
      <c r="V506" s="134">
        <v>0.87</v>
      </c>
      <c r="W506" s="134">
        <v>0.33</v>
      </c>
      <c r="X506" s="134">
        <v>10.36</v>
      </c>
      <c r="Y506" s="134">
        <v>61.71</v>
      </c>
      <c r="Z506" s="137">
        <v>3.228178429E7</v>
      </c>
      <c r="AA506" s="134">
        <v>3.23</v>
      </c>
      <c r="AB506" s="134">
        <v>0.64</v>
      </c>
      <c r="AC506" s="134">
        <v>0.18</v>
      </c>
      <c r="AD506" s="135">
        <v>1.076255299884E10</v>
      </c>
    </row>
    <row r="507">
      <c r="A507" s="10" t="s">
        <v>149</v>
      </c>
      <c r="B507" s="134">
        <v>45.53</v>
      </c>
      <c r="C507" s="134">
        <v>2.77</v>
      </c>
      <c r="D507" s="136">
        <v>9.53</v>
      </c>
      <c r="E507" s="136">
        <v>2.37</v>
      </c>
      <c r="F507" s="136">
        <v>0.86</v>
      </c>
      <c r="G507" s="134">
        <v>35.37</v>
      </c>
      <c r="H507" s="134">
        <v>29.24</v>
      </c>
      <c r="I507" s="134">
        <v>17.66</v>
      </c>
      <c r="J507" s="136">
        <v>5.75</v>
      </c>
      <c r="K507" s="136">
        <v>6.7</v>
      </c>
      <c r="L507" s="134">
        <v>0.93</v>
      </c>
      <c r="M507" s="134">
        <v>0.38</v>
      </c>
      <c r="N507" s="134">
        <v>1.68</v>
      </c>
      <c r="O507" s="136">
        <v>4.03</v>
      </c>
      <c r="P507" s="136">
        <v>-1.59</v>
      </c>
      <c r="Q507" s="134">
        <v>1.85</v>
      </c>
      <c r="R507" s="134">
        <v>24.9</v>
      </c>
      <c r="S507" s="136">
        <v>8.99</v>
      </c>
      <c r="T507" s="134">
        <v>16.75</v>
      </c>
      <c r="U507" s="134">
        <v>0.36</v>
      </c>
      <c r="V507" s="134">
        <v>0.61</v>
      </c>
      <c r="W507" s="134">
        <v>0.51</v>
      </c>
      <c r="X507" s="134">
        <v>17.07</v>
      </c>
      <c r="Y507" s="134">
        <v>49.7</v>
      </c>
      <c r="Z507" s="137">
        <v>6.804902875E7</v>
      </c>
      <c r="AA507" s="134">
        <v>19.16</v>
      </c>
      <c r="AB507" s="134">
        <v>4.77</v>
      </c>
      <c r="AC507" s="134">
        <v>0.05</v>
      </c>
      <c r="AD507" s="135">
        <v>8.80781341694E9</v>
      </c>
    </row>
    <row r="508">
      <c r="A508" s="10" t="s">
        <v>386</v>
      </c>
      <c r="B508" s="134">
        <v>0.63</v>
      </c>
      <c r="C508" s="10">
        <v>0.0</v>
      </c>
      <c r="D508" s="136">
        <v>-0.14</v>
      </c>
      <c r="E508" s="136">
        <v>-0.07</v>
      </c>
      <c r="F508" s="136">
        <v>0.14</v>
      </c>
      <c r="G508" s="134">
        <v>27.84</v>
      </c>
      <c r="H508" s="134">
        <v>-206.13</v>
      </c>
      <c r="I508" s="134">
        <v>-225.98</v>
      </c>
      <c r="J508" s="136">
        <v>-0.15</v>
      </c>
      <c r="K508" s="136">
        <v>-1.16</v>
      </c>
      <c r="L508" s="134">
        <v>-1.05</v>
      </c>
      <c r="M508" s="10">
        <v>0.0</v>
      </c>
      <c r="N508" s="134">
        <v>0.32</v>
      </c>
      <c r="O508" s="136">
        <v>-0.61</v>
      </c>
      <c r="P508" s="134">
        <v>-0.26</v>
      </c>
      <c r="Q508" s="134">
        <v>0.65</v>
      </c>
      <c r="R508" s="134">
        <v>-48.99</v>
      </c>
      <c r="S508" s="136">
        <v>-101.27</v>
      </c>
      <c r="T508" s="134">
        <v>88.79</v>
      </c>
      <c r="U508" s="134">
        <v>-2.07</v>
      </c>
      <c r="V508" s="134">
        <v>3.07</v>
      </c>
      <c r="W508" s="134">
        <v>0.45</v>
      </c>
      <c r="X508" s="134">
        <v>-32.61</v>
      </c>
      <c r="Y508" s="10">
        <v>0.0</v>
      </c>
      <c r="Z508" s="137">
        <v>131172.71</v>
      </c>
      <c r="AA508" s="136">
        <v>-9.1</v>
      </c>
      <c r="AB508" s="134">
        <v>-4.46</v>
      </c>
      <c r="AC508" s="134">
        <v>0.01</v>
      </c>
      <c r="AD508" s="135">
        <v>2.694639753E7</v>
      </c>
    </row>
    <row r="509">
      <c r="A509" s="10" t="s">
        <v>356</v>
      </c>
      <c r="B509" s="134">
        <v>0.32</v>
      </c>
      <c r="C509" s="10">
        <v>0.0</v>
      </c>
      <c r="D509" s="136">
        <v>-0.07</v>
      </c>
      <c r="E509" s="136">
        <v>-0.04</v>
      </c>
      <c r="F509" s="136">
        <v>0.07</v>
      </c>
      <c r="G509" s="134">
        <v>27.84</v>
      </c>
      <c r="H509" s="134">
        <v>-206.13</v>
      </c>
      <c r="I509" s="134">
        <v>-225.98</v>
      </c>
      <c r="J509" s="136">
        <v>-0.08</v>
      </c>
      <c r="K509" s="136">
        <v>-1.16</v>
      </c>
      <c r="L509" s="134">
        <v>-1.05</v>
      </c>
      <c r="M509" s="10">
        <v>0.0</v>
      </c>
      <c r="N509" s="134">
        <v>0.16</v>
      </c>
      <c r="O509" s="136">
        <v>-0.31</v>
      </c>
      <c r="P509" s="136">
        <v>-0.13</v>
      </c>
      <c r="Q509" s="134">
        <v>0.65</v>
      </c>
      <c r="R509" s="134">
        <v>-48.99</v>
      </c>
      <c r="S509" s="136">
        <v>-101.27</v>
      </c>
      <c r="T509" s="134">
        <v>88.79</v>
      </c>
      <c r="U509" s="134">
        <v>-2.07</v>
      </c>
      <c r="V509" s="134">
        <v>3.07</v>
      </c>
      <c r="W509" s="134">
        <v>0.45</v>
      </c>
      <c r="X509" s="134">
        <v>-32.61</v>
      </c>
      <c r="Y509" s="10">
        <v>0.0</v>
      </c>
      <c r="Z509" s="137">
        <v>336032.83</v>
      </c>
      <c r="AA509" s="136">
        <v>-9.1</v>
      </c>
      <c r="AB509" s="134">
        <v>-4.46</v>
      </c>
      <c r="AC509" s="134">
        <v>0.0</v>
      </c>
      <c r="AD509" s="135">
        <v>2.694639753E7</v>
      </c>
    </row>
    <row r="510">
      <c r="A510" s="10" t="s">
        <v>170</v>
      </c>
      <c r="B510" s="134">
        <v>24.51</v>
      </c>
      <c r="C510" s="10">
        <v>0.0</v>
      </c>
      <c r="D510" s="134">
        <v>-21.64</v>
      </c>
      <c r="E510" s="134">
        <v>6.99</v>
      </c>
      <c r="F510" s="134">
        <v>1.83</v>
      </c>
      <c r="G510" s="134">
        <v>-5.27</v>
      </c>
      <c r="H510" s="134">
        <v>-35.53</v>
      </c>
      <c r="I510" s="134">
        <v>-51.08</v>
      </c>
      <c r="J510" s="134">
        <v>-31.12</v>
      </c>
      <c r="K510" s="134">
        <v>-35.04</v>
      </c>
      <c r="L510" s="134">
        <v>-3.9</v>
      </c>
      <c r="M510" s="134">
        <v>0.88</v>
      </c>
      <c r="N510" s="134">
        <v>11.06</v>
      </c>
      <c r="O510" s="134">
        <v>-416.25</v>
      </c>
      <c r="P510" s="134">
        <v>-2.16</v>
      </c>
      <c r="Q510" s="134">
        <v>0.97</v>
      </c>
      <c r="R510" s="134">
        <v>-32.29</v>
      </c>
      <c r="S510" s="134">
        <v>-8.43</v>
      </c>
      <c r="T510" s="134">
        <v>-11.18</v>
      </c>
      <c r="U510" s="134">
        <v>0.26</v>
      </c>
      <c r="V510" s="134">
        <v>0.74</v>
      </c>
      <c r="W510" s="134">
        <v>0.17</v>
      </c>
      <c r="X510" s="134">
        <v>18.59</v>
      </c>
      <c r="Y510" s="10">
        <v>0.0</v>
      </c>
      <c r="Z510" s="135">
        <v>2.289774917E7</v>
      </c>
      <c r="AA510" s="136">
        <v>3.51</v>
      </c>
      <c r="AB510" s="134">
        <v>-1.13</v>
      </c>
      <c r="AC510" s="134">
        <v>-1.64</v>
      </c>
      <c r="AD510" s="135">
        <v>1.439224819495E10</v>
      </c>
    </row>
    <row r="511">
      <c r="A511" s="10" t="s">
        <v>653</v>
      </c>
      <c r="B511" s="134">
        <v>22.4</v>
      </c>
      <c r="C511" s="134">
        <v>19.92</v>
      </c>
      <c r="D511" s="136">
        <v>10.78</v>
      </c>
      <c r="E511" s="134">
        <v>4.09</v>
      </c>
      <c r="F511" s="134">
        <v>1.02</v>
      </c>
      <c r="G511" s="134">
        <v>85.18</v>
      </c>
      <c r="H511" s="134">
        <v>41.42</v>
      </c>
      <c r="I511" s="134">
        <v>39.07</v>
      </c>
      <c r="J511" s="134">
        <v>10.17</v>
      </c>
      <c r="K511" s="134">
        <v>9.93</v>
      </c>
      <c r="L511" s="134">
        <v>-0.24</v>
      </c>
      <c r="M511" s="134">
        <v>-0.1</v>
      </c>
      <c r="N511" s="134">
        <v>4.21</v>
      </c>
      <c r="O511" s="134">
        <v>18.78</v>
      </c>
      <c r="P511" s="134">
        <v>-2.54</v>
      </c>
      <c r="Q511" s="134">
        <v>1.1</v>
      </c>
      <c r="R511" s="134">
        <v>37.96</v>
      </c>
      <c r="S511" s="134">
        <v>9.43</v>
      </c>
      <c r="T511" s="134">
        <v>24.47</v>
      </c>
      <c r="U511" s="134">
        <v>0.25</v>
      </c>
      <c r="V511" s="134">
        <v>0.75</v>
      </c>
      <c r="W511" s="134">
        <v>0.24</v>
      </c>
      <c r="X511" s="10">
        <v>0.0</v>
      </c>
      <c r="Y511" s="10">
        <v>0.0</v>
      </c>
      <c r="Z511" s="137">
        <v>2.586550533E7</v>
      </c>
      <c r="AA511" s="136">
        <v>5.47</v>
      </c>
      <c r="AB511" s="134">
        <v>2.08</v>
      </c>
      <c r="AC511" s="134">
        <v>-0.33</v>
      </c>
      <c r="AD511" s="135">
        <v>2.7811605472E9</v>
      </c>
    </row>
    <row r="512">
      <c r="A512" s="10" t="s">
        <v>168</v>
      </c>
      <c r="B512" s="134">
        <v>35.77</v>
      </c>
      <c r="C512" s="134">
        <v>3.38</v>
      </c>
      <c r="D512" s="136">
        <v>12.68</v>
      </c>
      <c r="E512" s="136">
        <v>3.19</v>
      </c>
      <c r="F512" s="136">
        <v>1.02</v>
      </c>
      <c r="G512" s="134">
        <v>37.74</v>
      </c>
      <c r="H512" s="134">
        <v>37.22</v>
      </c>
      <c r="I512" s="134">
        <v>21.91</v>
      </c>
      <c r="J512" s="136">
        <v>7.47</v>
      </c>
      <c r="K512" s="136">
        <v>10.19</v>
      </c>
      <c r="L512" s="134">
        <v>2.71</v>
      </c>
      <c r="M512" s="134">
        <v>1.16</v>
      </c>
      <c r="N512" s="134">
        <v>2.78</v>
      </c>
      <c r="O512" s="136">
        <v>9.31</v>
      </c>
      <c r="P512" s="136">
        <v>-1.38</v>
      </c>
      <c r="Q512" s="134">
        <v>1.74</v>
      </c>
      <c r="R512" s="134">
        <v>25.12</v>
      </c>
      <c r="S512" s="136">
        <v>8.07</v>
      </c>
      <c r="T512" s="134">
        <v>14.07</v>
      </c>
      <c r="U512" s="134">
        <v>0.32</v>
      </c>
      <c r="V512" s="134">
        <v>0.68</v>
      </c>
      <c r="W512" s="134">
        <v>0.37</v>
      </c>
      <c r="X512" s="134">
        <v>12.98</v>
      </c>
      <c r="Y512" s="134">
        <v>37.08</v>
      </c>
      <c r="Z512" s="135">
        <v>4.406258008E7</v>
      </c>
      <c r="AA512" s="136">
        <v>11.26</v>
      </c>
      <c r="AB512" s="134">
        <v>2.83</v>
      </c>
      <c r="AC512" s="134">
        <v>0.25</v>
      </c>
      <c r="AD512" s="135">
        <v>1.273024739084E10</v>
      </c>
    </row>
    <row r="513">
      <c r="A513" s="10" t="s">
        <v>482</v>
      </c>
      <c r="B513" s="134">
        <v>12.29</v>
      </c>
      <c r="C513" s="10">
        <v>0.0</v>
      </c>
      <c r="D513" s="136">
        <v>-0.85</v>
      </c>
      <c r="E513" s="134">
        <v>-0.07</v>
      </c>
      <c r="F513" s="134">
        <v>0.23</v>
      </c>
      <c r="G513" s="134">
        <v>18.19</v>
      </c>
      <c r="H513" s="134">
        <v>-2.49</v>
      </c>
      <c r="I513" s="134">
        <v>-16.61</v>
      </c>
      <c r="J513" s="134">
        <v>-5.68</v>
      </c>
      <c r="K513" s="134">
        <v>-12.7</v>
      </c>
      <c r="L513" s="134">
        <v>-6.7</v>
      </c>
      <c r="M513" s="10">
        <v>0.0</v>
      </c>
      <c r="N513" s="134">
        <v>0.14</v>
      </c>
      <c r="O513" s="134">
        <v>-1.61</v>
      </c>
      <c r="P513" s="134">
        <v>-0.54</v>
      </c>
      <c r="Q513" s="134">
        <v>0.8</v>
      </c>
      <c r="R513" s="134">
        <v>-7.88</v>
      </c>
      <c r="S513" s="134">
        <v>-27.01</v>
      </c>
      <c r="T513" s="134">
        <v>1.31</v>
      </c>
      <c r="U513" s="134">
        <v>-3.43</v>
      </c>
      <c r="V513" s="134">
        <v>4.46</v>
      </c>
      <c r="W513" s="134">
        <v>1.63</v>
      </c>
      <c r="X513" s="134">
        <v>4.14</v>
      </c>
      <c r="Y513" s="10">
        <v>0.0</v>
      </c>
      <c r="Z513" s="139">
        <v>19208.72</v>
      </c>
      <c r="AA513" s="136">
        <v>-183.24</v>
      </c>
      <c r="AB513" s="134">
        <v>-14.45</v>
      </c>
      <c r="AC513" s="134">
        <v>0.02</v>
      </c>
      <c r="AD513" s="135">
        <v>1.000953752E8</v>
      </c>
    </row>
    <row r="514">
      <c r="A514" s="10" t="s">
        <v>456</v>
      </c>
      <c r="B514" s="134">
        <v>5.2</v>
      </c>
      <c r="C514" s="10">
        <v>0.0</v>
      </c>
      <c r="D514" s="136">
        <v>-0.35</v>
      </c>
      <c r="E514" s="136">
        <v>-0.03</v>
      </c>
      <c r="F514" s="136">
        <v>0.1</v>
      </c>
      <c r="G514" s="134">
        <v>18.19</v>
      </c>
      <c r="H514" s="134">
        <v>-2.49</v>
      </c>
      <c r="I514" s="134">
        <v>-16.61</v>
      </c>
      <c r="J514" s="136">
        <v>-2.35</v>
      </c>
      <c r="K514" s="136">
        <v>-12.7</v>
      </c>
      <c r="L514" s="134">
        <v>-6.7</v>
      </c>
      <c r="M514" s="10">
        <v>0.0</v>
      </c>
      <c r="N514" s="134">
        <v>0.06</v>
      </c>
      <c r="O514" s="136">
        <v>-0.67</v>
      </c>
      <c r="P514" s="136">
        <v>-0.22</v>
      </c>
      <c r="Q514" s="134">
        <v>0.8</v>
      </c>
      <c r="R514" s="134">
        <v>-7.88</v>
      </c>
      <c r="S514" s="136">
        <v>-27.01</v>
      </c>
      <c r="T514" s="134">
        <v>1.31</v>
      </c>
      <c r="U514" s="134">
        <v>-3.43</v>
      </c>
      <c r="V514" s="134">
        <v>4.46</v>
      </c>
      <c r="W514" s="134">
        <v>1.63</v>
      </c>
      <c r="X514" s="134">
        <v>4.14</v>
      </c>
      <c r="Y514" s="10">
        <v>0.0</v>
      </c>
      <c r="Z514" s="136">
        <v>25977.08</v>
      </c>
      <c r="AA514" s="136">
        <v>-183.24</v>
      </c>
      <c r="AB514" s="134">
        <v>-14.45</v>
      </c>
      <c r="AC514" s="134">
        <v>0.01</v>
      </c>
      <c r="AD514" s="135">
        <v>1.000953752E8</v>
      </c>
    </row>
    <row r="515">
      <c r="A515" s="10" t="s">
        <v>544</v>
      </c>
      <c r="B515" s="134">
        <v>13.33</v>
      </c>
      <c r="C515" s="10">
        <v>0.0</v>
      </c>
      <c r="D515" s="136">
        <v>-0.92</v>
      </c>
      <c r="E515" s="134">
        <v>-0.07</v>
      </c>
      <c r="F515" s="134">
        <v>0.25</v>
      </c>
      <c r="G515" s="134">
        <v>18.19</v>
      </c>
      <c r="H515" s="134">
        <v>-2.49</v>
      </c>
      <c r="I515" s="134">
        <v>-16.61</v>
      </c>
      <c r="J515" s="134">
        <v>-6.17</v>
      </c>
      <c r="K515" s="134">
        <v>-12.7</v>
      </c>
      <c r="L515" s="134">
        <v>-6.7</v>
      </c>
      <c r="M515" s="10">
        <v>0.0</v>
      </c>
      <c r="N515" s="134">
        <v>0.15</v>
      </c>
      <c r="O515" s="134">
        <v>-1.75</v>
      </c>
      <c r="P515" s="134">
        <v>-0.59</v>
      </c>
      <c r="Q515" s="134">
        <v>0.8</v>
      </c>
      <c r="R515" s="134">
        <v>-7.88</v>
      </c>
      <c r="S515" s="134">
        <v>-27.01</v>
      </c>
      <c r="T515" s="134">
        <v>1.31</v>
      </c>
      <c r="U515" s="134">
        <v>-3.43</v>
      </c>
      <c r="V515" s="134">
        <v>4.46</v>
      </c>
      <c r="W515" s="134">
        <v>1.63</v>
      </c>
      <c r="X515" s="134">
        <v>4.14</v>
      </c>
      <c r="Y515" s="10">
        <v>0.0</v>
      </c>
      <c r="Z515" s="140">
        <v>0.0</v>
      </c>
      <c r="AA515" s="136">
        <v>-183.24</v>
      </c>
      <c r="AB515" s="134">
        <v>-14.45</v>
      </c>
      <c r="AC515" s="134">
        <v>0.03</v>
      </c>
      <c r="AD515" s="135">
        <v>1.000953752E8</v>
      </c>
    </row>
    <row r="516">
      <c r="A516" s="10" t="s">
        <v>289</v>
      </c>
      <c r="B516" s="134">
        <v>14.0</v>
      </c>
      <c r="C516" s="10">
        <v>0.0</v>
      </c>
      <c r="D516" s="136">
        <v>22.03</v>
      </c>
      <c r="E516" s="134">
        <v>3.05</v>
      </c>
      <c r="F516" s="134">
        <v>1.65</v>
      </c>
      <c r="G516" s="134">
        <v>21.21</v>
      </c>
      <c r="H516" s="134">
        <v>17.62</v>
      </c>
      <c r="I516" s="134">
        <v>12.57</v>
      </c>
      <c r="J516" s="134">
        <v>15.72</v>
      </c>
      <c r="K516" s="134">
        <v>15.33</v>
      </c>
      <c r="L516" s="134">
        <v>-0.48</v>
      </c>
      <c r="M516" s="134">
        <v>-0.09</v>
      </c>
      <c r="N516" s="134">
        <v>2.77</v>
      </c>
      <c r="O516" s="134">
        <v>3.41</v>
      </c>
      <c r="P516" s="134">
        <v>-13.77</v>
      </c>
      <c r="Q516" s="134">
        <v>2.23</v>
      </c>
      <c r="R516" s="134">
        <v>13.82</v>
      </c>
      <c r="S516" s="134">
        <v>7.51</v>
      </c>
      <c r="T516" s="134">
        <v>12.55</v>
      </c>
      <c r="U516" s="134">
        <v>0.54</v>
      </c>
      <c r="V516" s="134">
        <v>0.46</v>
      </c>
      <c r="W516" s="134">
        <v>0.6</v>
      </c>
      <c r="X516" s="10">
        <v>0.0</v>
      </c>
      <c r="Y516" s="10">
        <v>0.0</v>
      </c>
      <c r="Z516" s="135">
        <v>3862646.96</v>
      </c>
      <c r="AA516" s="136">
        <v>4.6</v>
      </c>
      <c r="AB516" s="134">
        <v>0.64</v>
      </c>
      <c r="AC516" s="134">
        <v>0.26</v>
      </c>
      <c r="AD516" s="135">
        <v>1.64933579008E9</v>
      </c>
    </row>
    <row r="517">
      <c r="A517" s="10" t="s">
        <v>137</v>
      </c>
      <c r="B517" s="134">
        <v>16.25</v>
      </c>
      <c r="C517" s="10">
        <v>0.0</v>
      </c>
      <c r="D517" s="136">
        <v>145.61</v>
      </c>
      <c r="E517" s="136">
        <v>7.35</v>
      </c>
      <c r="F517" s="136">
        <v>4.98</v>
      </c>
      <c r="G517" s="134">
        <v>67.46</v>
      </c>
      <c r="H517" s="134">
        <v>5.76</v>
      </c>
      <c r="I517" s="134">
        <v>5.4</v>
      </c>
      <c r="J517" s="136">
        <v>136.4</v>
      </c>
      <c r="K517" s="136">
        <v>137.63</v>
      </c>
      <c r="L517" s="134">
        <v>-0.45</v>
      </c>
      <c r="M517" s="134">
        <v>-0.02</v>
      </c>
      <c r="N517" s="134">
        <v>7.86</v>
      </c>
      <c r="O517" s="136">
        <v>13.23</v>
      </c>
      <c r="P517" s="136">
        <v>-11.05</v>
      </c>
      <c r="Q517" s="134">
        <v>3.18</v>
      </c>
      <c r="R517" s="134">
        <v>5.05</v>
      </c>
      <c r="S517" s="136">
        <v>3.42</v>
      </c>
      <c r="T517" s="134">
        <v>0.63</v>
      </c>
      <c r="U517" s="134">
        <v>0.68</v>
      </c>
      <c r="V517" s="134">
        <v>0.32</v>
      </c>
      <c r="W517" s="134">
        <v>0.63</v>
      </c>
      <c r="X517" s="10">
        <v>0.0</v>
      </c>
      <c r="Y517" s="10">
        <v>0.0</v>
      </c>
      <c r="Z517" s="137">
        <v>8.787873954E7</v>
      </c>
      <c r="AA517" s="134">
        <v>2.21</v>
      </c>
      <c r="AB517" s="134">
        <v>0.11</v>
      </c>
      <c r="AC517" s="134">
        <v>0.09</v>
      </c>
      <c r="AD517" s="135">
        <v>1.290124681212E10</v>
      </c>
    </row>
    <row r="518">
      <c r="A518" s="10" t="s">
        <v>534</v>
      </c>
      <c r="B518" s="134">
        <v>40.2</v>
      </c>
      <c r="C518" s="134">
        <v>19.26</v>
      </c>
      <c r="D518" s="134">
        <v>23.62</v>
      </c>
      <c r="E518" s="134">
        <v>1.8</v>
      </c>
      <c r="F518" s="134">
        <v>1.25</v>
      </c>
      <c r="G518" s="134">
        <v>30.14</v>
      </c>
      <c r="H518" s="134">
        <v>5.71</v>
      </c>
      <c r="I518" s="134">
        <v>6.15</v>
      </c>
      <c r="J518" s="134">
        <v>25.43</v>
      </c>
      <c r="K518" s="134">
        <v>18.82</v>
      </c>
      <c r="L518" s="134">
        <v>-5.45</v>
      </c>
      <c r="M518" s="134">
        <v>-0.39</v>
      </c>
      <c r="N518" s="134">
        <v>1.45</v>
      </c>
      <c r="O518" s="134">
        <v>4.13</v>
      </c>
      <c r="P518" s="134">
        <v>-2.39</v>
      </c>
      <c r="Q518" s="134">
        <v>2.74</v>
      </c>
      <c r="R518" s="134">
        <v>7.62</v>
      </c>
      <c r="S518" s="134">
        <v>5.3</v>
      </c>
      <c r="T518" s="134">
        <v>3.07</v>
      </c>
      <c r="U518" s="134">
        <v>0.69</v>
      </c>
      <c r="V518" s="134">
        <v>0.3</v>
      </c>
      <c r="W518" s="134">
        <v>0.86</v>
      </c>
      <c r="X518" s="134">
        <v>-10.4</v>
      </c>
      <c r="Y518" s="10">
        <v>0.0</v>
      </c>
      <c r="Z518" s="139">
        <v>4020.0</v>
      </c>
      <c r="AA518" s="136">
        <v>22.34</v>
      </c>
      <c r="AB518" s="134">
        <v>1.7</v>
      </c>
      <c r="AC518" s="134">
        <v>-0.29</v>
      </c>
      <c r="AD518" s="135">
        <v>9.432226E7</v>
      </c>
    </row>
    <row r="519">
      <c r="A519" s="10" t="s">
        <v>464</v>
      </c>
      <c r="B519" s="134">
        <v>37.4</v>
      </c>
      <c r="C519" s="134">
        <v>22.77</v>
      </c>
      <c r="D519" s="134">
        <v>21.97</v>
      </c>
      <c r="E519" s="134">
        <v>1.67</v>
      </c>
      <c r="F519" s="134">
        <v>1.16</v>
      </c>
      <c r="G519" s="134">
        <v>30.14</v>
      </c>
      <c r="H519" s="134">
        <v>5.71</v>
      </c>
      <c r="I519" s="134">
        <v>6.15</v>
      </c>
      <c r="J519" s="134">
        <v>23.66</v>
      </c>
      <c r="K519" s="134">
        <v>18.82</v>
      </c>
      <c r="L519" s="134">
        <v>-5.45</v>
      </c>
      <c r="M519" s="134">
        <v>-0.39</v>
      </c>
      <c r="N519" s="134">
        <v>1.35</v>
      </c>
      <c r="O519" s="134">
        <v>3.84</v>
      </c>
      <c r="P519" s="134">
        <v>-2.22</v>
      </c>
      <c r="Q519" s="134">
        <v>2.74</v>
      </c>
      <c r="R519" s="134">
        <v>7.62</v>
      </c>
      <c r="S519" s="134">
        <v>5.3</v>
      </c>
      <c r="T519" s="134">
        <v>3.07</v>
      </c>
      <c r="U519" s="134">
        <v>0.69</v>
      </c>
      <c r="V519" s="134">
        <v>0.3</v>
      </c>
      <c r="W519" s="134">
        <v>0.86</v>
      </c>
      <c r="X519" s="134">
        <v>-10.4</v>
      </c>
      <c r="Y519" s="10">
        <v>0.0</v>
      </c>
      <c r="Z519" s="136">
        <v>21502.4</v>
      </c>
      <c r="AA519" s="136">
        <v>22.34</v>
      </c>
      <c r="AB519" s="134">
        <v>1.7</v>
      </c>
      <c r="AC519" s="134">
        <v>-0.27</v>
      </c>
      <c r="AD519" s="135">
        <v>9.432226E7</v>
      </c>
    </row>
    <row r="520">
      <c r="A520" s="10" t="s">
        <v>479</v>
      </c>
      <c r="B520" s="134">
        <v>35.51</v>
      </c>
      <c r="C520" s="134">
        <v>23.99</v>
      </c>
      <c r="D520" s="136">
        <v>20.86</v>
      </c>
      <c r="E520" s="136">
        <v>1.59</v>
      </c>
      <c r="F520" s="136">
        <v>1.1</v>
      </c>
      <c r="G520" s="134">
        <v>30.14</v>
      </c>
      <c r="H520" s="134">
        <v>5.71</v>
      </c>
      <c r="I520" s="134">
        <v>6.15</v>
      </c>
      <c r="J520" s="136">
        <v>22.46</v>
      </c>
      <c r="K520" s="136">
        <v>18.82</v>
      </c>
      <c r="L520" s="134">
        <v>-5.45</v>
      </c>
      <c r="M520" s="134">
        <v>-0.39</v>
      </c>
      <c r="N520" s="134">
        <v>1.28</v>
      </c>
      <c r="O520" s="136">
        <v>3.65</v>
      </c>
      <c r="P520" s="136">
        <v>-2.11</v>
      </c>
      <c r="Q520" s="134">
        <v>2.74</v>
      </c>
      <c r="R520" s="134">
        <v>7.62</v>
      </c>
      <c r="S520" s="136">
        <v>5.3</v>
      </c>
      <c r="T520" s="134">
        <v>3.07</v>
      </c>
      <c r="U520" s="134">
        <v>0.69</v>
      </c>
      <c r="V520" s="134">
        <v>0.3</v>
      </c>
      <c r="W520" s="134">
        <v>0.86</v>
      </c>
      <c r="X520" s="134">
        <v>-10.4</v>
      </c>
      <c r="Y520" s="10">
        <v>0.0</v>
      </c>
      <c r="Z520" s="139">
        <v>14303.0</v>
      </c>
      <c r="AA520" s="136">
        <v>22.34</v>
      </c>
      <c r="AB520" s="134">
        <v>1.7</v>
      </c>
      <c r="AC520" s="134">
        <v>-0.26</v>
      </c>
      <c r="AD520" s="135">
        <v>9.432226E7</v>
      </c>
    </row>
    <row r="521">
      <c r="A521" s="10" t="s">
        <v>654</v>
      </c>
      <c r="B521" s="134">
        <v>76.4</v>
      </c>
      <c r="C521" s="10">
        <v>0.0</v>
      </c>
      <c r="D521" s="134">
        <v>-826.59</v>
      </c>
      <c r="E521" s="134">
        <v>-191.35</v>
      </c>
      <c r="F521" s="136">
        <v>33632.73</v>
      </c>
      <c r="G521" s="10">
        <v>0.0</v>
      </c>
      <c r="H521" s="10">
        <v>0.0</v>
      </c>
      <c r="I521" s="10">
        <v>0.0</v>
      </c>
      <c r="J521" s="136">
        <v>-1111.95</v>
      </c>
      <c r="K521" s="136">
        <v>-1111.95</v>
      </c>
      <c r="L521" s="134">
        <v>0.0</v>
      </c>
      <c r="M521" s="10">
        <v>0.0</v>
      </c>
      <c r="N521" s="10">
        <v>0.0</v>
      </c>
      <c r="O521" s="134">
        <v>-190.27</v>
      </c>
      <c r="P521" s="135">
        <v>-33632.73</v>
      </c>
      <c r="Q521" s="134">
        <v>0.0</v>
      </c>
      <c r="R521" s="134">
        <v>-23.15</v>
      </c>
      <c r="S521" s="136">
        <v>-4068.85</v>
      </c>
      <c r="T521" s="134">
        <v>17.21</v>
      </c>
      <c r="U521" s="134">
        <v>-175.76</v>
      </c>
      <c r="V521" s="134">
        <v>176.76</v>
      </c>
      <c r="W521" s="134">
        <v>0.0</v>
      </c>
      <c r="X521" s="10">
        <v>0.0</v>
      </c>
      <c r="Y521" s="10">
        <v>0.0</v>
      </c>
      <c r="Z521" s="138">
        <v>0.0</v>
      </c>
      <c r="AA521" s="136">
        <v>-0.4</v>
      </c>
      <c r="AB521" s="134">
        <v>-0.09</v>
      </c>
      <c r="AC521" s="134">
        <v>12.35</v>
      </c>
      <c r="AD521" s="135">
        <v>3.705317488E8</v>
      </c>
    </row>
    <row r="522">
      <c r="A522" s="10" t="s">
        <v>192</v>
      </c>
      <c r="B522" s="134">
        <v>19.91</v>
      </c>
      <c r="C522" s="134">
        <v>0.1</v>
      </c>
      <c r="D522" s="136">
        <v>184.96</v>
      </c>
      <c r="E522" s="136">
        <v>3.98</v>
      </c>
      <c r="F522" s="136">
        <v>2.46</v>
      </c>
      <c r="G522" s="134">
        <v>38.01</v>
      </c>
      <c r="H522" s="134">
        <v>7.19</v>
      </c>
      <c r="I522" s="134">
        <v>3.56</v>
      </c>
      <c r="J522" s="136">
        <v>91.58</v>
      </c>
      <c r="K522" s="136">
        <v>93.17</v>
      </c>
      <c r="L522" s="134">
        <v>0.82</v>
      </c>
      <c r="M522" s="134">
        <v>0.04</v>
      </c>
      <c r="N522" s="134">
        <v>6.59</v>
      </c>
      <c r="O522" s="136">
        <v>17.02</v>
      </c>
      <c r="P522" s="136">
        <v>-3.37</v>
      </c>
      <c r="Q522" s="134">
        <v>2.16</v>
      </c>
      <c r="R522" s="134">
        <v>2.15</v>
      </c>
      <c r="S522" s="136">
        <v>1.33</v>
      </c>
      <c r="T522" s="134">
        <v>2.65</v>
      </c>
      <c r="U522" s="134">
        <v>0.62</v>
      </c>
      <c r="V522" s="134">
        <v>0.38</v>
      </c>
      <c r="W522" s="134">
        <v>0.37</v>
      </c>
      <c r="X522" s="134">
        <v>22.77</v>
      </c>
      <c r="Y522" s="134">
        <v>-0.54</v>
      </c>
      <c r="Z522" s="137">
        <v>2.593863638E7</v>
      </c>
      <c r="AA522" s="136">
        <v>5.04</v>
      </c>
      <c r="AB522" s="134">
        <v>0.11</v>
      </c>
      <c r="AC522" s="134">
        <v>0.6</v>
      </c>
      <c r="AD522" s="135">
        <v>1.77906609356E9</v>
      </c>
    </row>
    <row r="523">
      <c r="A523" s="10" t="s">
        <v>174</v>
      </c>
      <c r="B523" s="134">
        <v>7.62</v>
      </c>
      <c r="C523" s="10">
        <v>0.0</v>
      </c>
      <c r="D523" s="134">
        <v>66.12</v>
      </c>
      <c r="E523" s="134">
        <v>3.02</v>
      </c>
      <c r="F523" s="134">
        <v>1.47</v>
      </c>
      <c r="G523" s="134">
        <v>33.4</v>
      </c>
      <c r="H523" s="134">
        <v>18.32</v>
      </c>
      <c r="I523" s="134">
        <v>8.53</v>
      </c>
      <c r="J523" s="134">
        <v>30.78</v>
      </c>
      <c r="K523" s="134">
        <v>27.66</v>
      </c>
      <c r="L523" s="134">
        <v>-3.2</v>
      </c>
      <c r="M523" s="134">
        <v>-0.31</v>
      </c>
      <c r="N523" s="134">
        <v>5.64</v>
      </c>
      <c r="O523" s="134">
        <v>7.21</v>
      </c>
      <c r="P523" s="134">
        <v>-2.07</v>
      </c>
      <c r="Q523" s="134">
        <v>3.28</v>
      </c>
      <c r="R523" s="134">
        <v>4.57</v>
      </c>
      <c r="S523" s="134">
        <v>2.22</v>
      </c>
      <c r="T523" s="134">
        <v>6.16</v>
      </c>
      <c r="U523" s="134">
        <v>0.49</v>
      </c>
      <c r="V523" s="134">
        <v>0.51</v>
      </c>
      <c r="W523" s="134">
        <v>0.26</v>
      </c>
      <c r="X523" s="134">
        <v>-0.73</v>
      </c>
      <c r="Y523" s="10">
        <v>0.0</v>
      </c>
      <c r="Z523" s="137">
        <v>2.591106138E7</v>
      </c>
      <c r="AA523" s="136">
        <v>2.54</v>
      </c>
      <c r="AB523" s="134">
        <v>0.12</v>
      </c>
      <c r="AC523" s="134">
        <v>-0.03</v>
      </c>
      <c r="AD523" s="135">
        <v>6.6410835106E9</v>
      </c>
    </row>
    <row r="524">
      <c r="A524" s="10" t="s">
        <v>655</v>
      </c>
      <c r="B524" s="134">
        <v>0.0</v>
      </c>
      <c r="C524" s="10">
        <v>0.0</v>
      </c>
      <c r="D524" s="134">
        <v>0.0</v>
      </c>
      <c r="E524" s="134">
        <v>0.0</v>
      </c>
      <c r="F524" s="134">
        <v>0.0</v>
      </c>
      <c r="G524" s="134">
        <v>47.91</v>
      </c>
      <c r="H524" s="134">
        <v>24.51</v>
      </c>
      <c r="I524" s="134">
        <v>10.4</v>
      </c>
      <c r="J524" s="134">
        <v>0.0</v>
      </c>
      <c r="K524" s="134">
        <v>1.26</v>
      </c>
      <c r="L524" s="134">
        <v>1.26</v>
      </c>
      <c r="M524" s="134">
        <v>0.09</v>
      </c>
      <c r="N524" s="134">
        <v>0.0</v>
      </c>
      <c r="O524" s="134">
        <v>0.0</v>
      </c>
      <c r="P524" s="134">
        <v>0.0</v>
      </c>
      <c r="Q524" s="134">
        <v>1.5</v>
      </c>
      <c r="R524" s="134">
        <v>2.93</v>
      </c>
      <c r="S524" s="134">
        <v>1.71</v>
      </c>
      <c r="T524" s="134">
        <v>4.24</v>
      </c>
      <c r="U524" s="134">
        <v>0.59</v>
      </c>
      <c r="V524" s="134">
        <v>0.41</v>
      </c>
      <c r="W524" s="134">
        <v>0.16</v>
      </c>
      <c r="X524" s="134">
        <v>14.5</v>
      </c>
      <c r="Y524" s="10">
        <v>0.0</v>
      </c>
      <c r="Z524" s="140">
        <v>0.0</v>
      </c>
      <c r="AA524" s="136">
        <v>5.74</v>
      </c>
      <c r="AB524" s="134">
        <v>0.17</v>
      </c>
      <c r="AC524" s="134">
        <v>0.0</v>
      </c>
      <c r="AD524" s="136">
        <v>0.0</v>
      </c>
    </row>
    <row r="525">
      <c r="A525" s="10" t="s">
        <v>656</v>
      </c>
      <c r="B525" s="134">
        <v>0.0</v>
      </c>
      <c r="C525" s="10">
        <v>0.0</v>
      </c>
      <c r="D525" s="136">
        <v>0.0</v>
      </c>
      <c r="E525" s="134">
        <v>0.0</v>
      </c>
      <c r="F525" s="134">
        <v>0.0</v>
      </c>
      <c r="G525" s="134">
        <v>30.06</v>
      </c>
      <c r="H525" s="134">
        <v>14.78</v>
      </c>
      <c r="I525" s="134">
        <v>12.42</v>
      </c>
      <c r="J525" s="134">
        <v>0.0</v>
      </c>
      <c r="K525" s="134">
        <v>-0.14</v>
      </c>
      <c r="L525" s="134">
        <v>-0.14</v>
      </c>
      <c r="M525" s="134">
        <v>-0.05</v>
      </c>
      <c r="N525" s="134">
        <v>0.0</v>
      </c>
      <c r="O525" s="134">
        <v>0.0</v>
      </c>
      <c r="P525" s="134">
        <v>0.0</v>
      </c>
      <c r="Q525" s="134">
        <v>2.68</v>
      </c>
      <c r="R525" s="134">
        <v>27.55</v>
      </c>
      <c r="S525" s="134">
        <v>15.36</v>
      </c>
      <c r="T525" s="134">
        <v>21.51</v>
      </c>
      <c r="U525" s="134">
        <v>0.56</v>
      </c>
      <c r="V525" s="134">
        <v>0.44</v>
      </c>
      <c r="W525" s="134">
        <v>1.24</v>
      </c>
      <c r="X525" s="134">
        <v>22.02</v>
      </c>
      <c r="Y525" s="10">
        <v>0.0</v>
      </c>
      <c r="Z525" s="140">
        <v>0.0</v>
      </c>
      <c r="AA525" s="136">
        <v>2.55</v>
      </c>
      <c r="AB525" s="134">
        <v>0.7</v>
      </c>
      <c r="AC525" s="134">
        <v>0.0</v>
      </c>
      <c r="AD525" s="136">
        <v>0.0</v>
      </c>
    </row>
    <row r="526">
      <c r="A526" s="10" t="s">
        <v>117</v>
      </c>
      <c r="B526" s="134">
        <v>25.06</v>
      </c>
      <c r="C526" s="134">
        <v>5.04</v>
      </c>
      <c r="D526" s="134">
        <v>5.76</v>
      </c>
      <c r="E526" s="134">
        <v>1.33</v>
      </c>
      <c r="F526" s="134">
        <v>0.38</v>
      </c>
      <c r="G526" s="134">
        <v>10.16</v>
      </c>
      <c r="H526" s="134">
        <v>2.4</v>
      </c>
      <c r="I526" s="134">
        <v>9.74</v>
      </c>
      <c r="J526" s="134">
        <v>23.37</v>
      </c>
      <c r="K526" s="134">
        <v>-9.36</v>
      </c>
      <c r="L526" s="134">
        <v>-32.71</v>
      </c>
      <c r="M526" s="134">
        <v>-1.86</v>
      </c>
      <c r="N526" s="134">
        <v>0.56</v>
      </c>
      <c r="O526" s="134">
        <v>1.01</v>
      </c>
      <c r="P526" s="134">
        <v>-1.22</v>
      </c>
      <c r="Q526" s="134">
        <v>2.25</v>
      </c>
      <c r="R526" s="134">
        <v>23.06</v>
      </c>
      <c r="S526" s="134">
        <v>6.66</v>
      </c>
      <c r="T526" s="134">
        <v>3.34</v>
      </c>
      <c r="U526" s="134">
        <v>0.29</v>
      </c>
      <c r="V526" s="134">
        <v>0.71</v>
      </c>
      <c r="W526" s="134">
        <v>0.68</v>
      </c>
      <c r="X526" s="134">
        <v>4.99</v>
      </c>
      <c r="Y526" s="134">
        <v>20.34</v>
      </c>
      <c r="Z526" s="135">
        <v>1.01316175E8</v>
      </c>
      <c r="AA526" s="136">
        <v>18.87</v>
      </c>
      <c r="AB526" s="134">
        <v>4.35</v>
      </c>
      <c r="AC526" s="134">
        <v>0.13</v>
      </c>
      <c r="AD526" s="135">
        <v>1.06674073135E10</v>
      </c>
    </row>
    <row r="527">
      <c r="A527" s="10" t="s">
        <v>373</v>
      </c>
      <c r="B527" s="134">
        <v>8.65</v>
      </c>
      <c r="C527" s="134">
        <v>4.87</v>
      </c>
      <c r="D527" s="134">
        <v>5.96</v>
      </c>
      <c r="E527" s="134">
        <v>1.38</v>
      </c>
      <c r="F527" s="134">
        <v>0.4</v>
      </c>
      <c r="G527" s="134">
        <v>10.16</v>
      </c>
      <c r="H527" s="134">
        <v>2.4</v>
      </c>
      <c r="I527" s="134">
        <v>9.74</v>
      </c>
      <c r="J527" s="134">
        <v>24.18</v>
      </c>
      <c r="K527" s="134">
        <v>-9.36</v>
      </c>
      <c r="L527" s="134">
        <v>-32.71</v>
      </c>
      <c r="M527" s="134">
        <v>-1.86</v>
      </c>
      <c r="N527" s="134">
        <v>0.58</v>
      </c>
      <c r="O527" s="134">
        <v>1.04</v>
      </c>
      <c r="P527" s="134">
        <v>-1.27</v>
      </c>
      <c r="Q527" s="134">
        <v>2.25</v>
      </c>
      <c r="R527" s="134">
        <v>23.06</v>
      </c>
      <c r="S527" s="134">
        <v>6.66</v>
      </c>
      <c r="T527" s="134">
        <v>3.34</v>
      </c>
      <c r="U527" s="134">
        <v>0.29</v>
      </c>
      <c r="V527" s="134">
        <v>0.71</v>
      </c>
      <c r="W527" s="134">
        <v>0.68</v>
      </c>
      <c r="X527" s="134">
        <v>4.99</v>
      </c>
      <c r="Y527" s="134">
        <v>20.34</v>
      </c>
      <c r="Z527" s="137">
        <v>212794.63</v>
      </c>
      <c r="AA527" s="136">
        <v>6.29</v>
      </c>
      <c r="AB527" s="134">
        <v>1.45</v>
      </c>
      <c r="AC527" s="134">
        <v>0.13</v>
      </c>
      <c r="AD527" s="135">
        <v>1.06674073135E10</v>
      </c>
    </row>
    <row r="528">
      <c r="A528" s="10" t="s">
        <v>363</v>
      </c>
      <c r="B528" s="134">
        <v>8.24</v>
      </c>
      <c r="C528" s="134">
        <v>5.08</v>
      </c>
      <c r="D528" s="134">
        <v>5.72</v>
      </c>
      <c r="E528" s="134">
        <v>1.32</v>
      </c>
      <c r="F528" s="134">
        <v>0.38</v>
      </c>
      <c r="G528" s="134">
        <v>10.16</v>
      </c>
      <c r="H528" s="134">
        <v>2.4</v>
      </c>
      <c r="I528" s="134">
        <v>9.74</v>
      </c>
      <c r="J528" s="134">
        <v>23.21</v>
      </c>
      <c r="K528" s="134">
        <v>-9.36</v>
      </c>
      <c r="L528" s="134">
        <v>-32.71</v>
      </c>
      <c r="M528" s="134">
        <v>-1.86</v>
      </c>
      <c r="N528" s="134">
        <v>0.56</v>
      </c>
      <c r="O528" s="134">
        <v>1.0</v>
      </c>
      <c r="P528" s="134">
        <v>-1.21</v>
      </c>
      <c r="Q528" s="134">
        <v>2.25</v>
      </c>
      <c r="R528" s="134">
        <v>23.06</v>
      </c>
      <c r="S528" s="134">
        <v>6.66</v>
      </c>
      <c r="T528" s="134">
        <v>3.34</v>
      </c>
      <c r="U528" s="134">
        <v>0.29</v>
      </c>
      <c r="V528" s="134">
        <v>0.71</v>
      </c>
      <c r="W528" s="134">
        <v>0.68</v>
      </c>
      <c r="X528" s="134">
        <v>4.99</v>
      </c>
      <c r="Y528" s="134">
        <v>20.34</v>
      </c>
      <c r="Z528" s="135">
        <v>377064.71</v>
      </c>
      <c r="AA528" s="136">
        <v>6.29</v>
      </c>
      <c r="AB528" s="134">
        <v>1.45</v>
      </c>
      <c r="AC528" s="134">
        <v>0.13</v>
      </c>
      <c r="AD528" s="135">
        <v>1.06674073135E10</v>
      </c>
    </row>
    <row r="529">
      <c r="A529" s="10" t="s">
        <v>60</v>
      </c>
      <c r="B529" s="134">
        <v>50.41</v>
      </c>
      <c r="C529" s="10">
        <v>0.0</v>
      </c>
      <c r="D529" s="134">
        <v>5.7</v>
      </c>
      <c r="E529" s="134">
        <v>4.74</v>
      </c>
      <c r="F529" s="134">
        <v>0.66</v>
      </c>
      <c r="G529" s="134">
        <v>44.53</v>
      </c>
      <c r="H529" s="134">
        <v>39.14</v>
      </c>
      <c r="I529" s="134">
        <v>35.17</v>
      </c>
      <c r="J529" s="134">
        <v>5.12</v>
      </c>
      <c r="K529" s="134">
        <v>9.41</v>
      </c>
      <c r="L529" s="134">
        <v>4.29</v>
      </c>
      <c r="M529" s="134">
        <v>3.96</v>
      </c>
      <c r="N529" s="134">
        <v>2.01</v>
      </c>
      <c r="O529" s="134">
        <v>4.76</v>
      </c>
      <c r="P529" s="134">
        <v>-0.84</v>
      </c>
      <c r="Q529" s="134">
        <v>2.95</v>
      </c>
      <c r="R529" s="134">
        <v>83.05</v>
      </c>
      <c r="S529" s="134">
        <v>11.65</v>
      </c>
      <c r="T529" s="134">
        <v>10.77</v>
      </c>
      <c r="U529" s="134">
        <v>0.14</v>
      </c>
      <c r="V529" s="134">
        <v>0.86</v>
      </c>
      <c r="W529" s="134">
        <v>0.33</v>
      </c>
      <c r="X529" s="134">
        <v>24.4</v>
      </c>
      <c r="Y529" s="10">
        <v>0.0</v>
      </c>
      <c r="Z529" s="135">
        <v>4.7255140483E8</v>
      </c>
      <c r="AA529" s="134">
        <v>10.64</v>
      </c>
      <c r="AB529" s="134">
        <v>8.84</v>
      </c>
      <c r="AC529" s="134">
        <v>-0.03</v>
      </c>
      <c r="AD529" s="135">
        <v>6.863490990528E10</v>
      </c>
    </row>
    <row r="530">
      <c r="A530" s="10" t="s">
        <v>290</v>
      </c>
      <c r="B530" s="134">
        <v>10.06</v>
      </c>
      <c r="C530" s="134">
        <v>9.57</v>
      </c>
      <c r="D530" s="134">
        <v>32.26</v>
      </c>
      <c r="E530" s="134">
        <v>0.94</v>
      </c>
      <c r="F530" s="134">
        <v>0.3</v>
      </c>
      <c r="G530" s="134">
        <v>62.82</v>
      </c>
      <c r="H530" s="134">
        <v>53.02</v>
      </c>
      <c r="I530" s="134">
        <v>9.63</v>
      </c>
      <c r="J530" s="134">
        <v>5.86</v>
      </c>
      <c r="K530" s="134">
        <v>9.88</v>
      </c>
      <c r="L530" s="134">
        <v>4.05</v>
      </c>
      <c r="M530" s="134">
        <v>0.65</v>
      </c>
      <c r="N530" s="134">
        <v>3.1</v>
      </c>
      <c r="O530" s="134">
        <v>3.15</v>
      </c>
      <c r="P530" s="134">
        <v>-0.35</v>
      </c>
      <c r="Q530" s="134">
        <v>2.68</v>
      </c>
      <c r="R530" s="134">
        <v>2.9</v>
      </c>
      <c r="S530" s="134">
        <v>0.92</v>
      </c>
      <c r="T530" s="134">
        <v>4.92</v>
      </c>
      <c r="U530" s="134">
        <v>0.32</v>
      </c>
      <c r="V530" s="134">
        <v>0.43</v>
      </c>
      <c r="W530" s="134">
        <v>0.1</v>
      </c>
      <c r="X530" s="134">
        <v>4.82</v>
      </c>
      <c r="Y530" s="134">
        <v>15.35</v>
      </c>
      <c r="Z530" s="135">
        <v>5035710.83</v>
      </c>
      <c r="AA530" s="136">
        <v>10.75</v>
      </c>
      <c r="AB530" s="134">
        <v>0.31</v>
      </c>
      <c r="AC530" s="134">
        <v>-1.25</v>
      </c>
      <c r="AD530" s="135">
        <v>1.5294973389E9</v>
      </c>
    </row>
    <row r="531">
      <c r="A531" s="10" t="s">
        <v>122</v>
      </c>
      <c r="B531" s="134">
        <v>35.69</v>
      </c>
      <c r="C531" s="134">
        <v>12.62</v>
      </c>
      <c r="D531" s="134">
        <v>4.53</v>
      </c>
      <c r="E531" s="134">
        <v>1.93</v>
      </c>
      <c r="F531" s="134">
        <v>0.81</v>
      </c>
      <c r="G531" s="134">
        <v>77.73</v>
      </c>
      <c r="H531" s="136">
        <v>100.37</v>
      </c>
      <c r="I531" s="136">
        <v>69.11</v>
      </c>
      <c r="J531" s="134">
        <v>3.12</v>
      </c>
      <c r="K531" s="134">
        <v>4.67</v>
      </c>
      <c r="L531" s="134">
        <v>1.54</v>
      </c>
      <c r="M531" s="134">
        <v>0.95</v>
      </c>
      <c r="N531" s="134">
        <v>3.13</v>
      </c>
      <c r="O531" s="134">
        <v>10.87</v>
      </c>
      <c r="P531" s="134">
        <v>-0.95</v>
      </c>
      <c r="Q531" s="134">
        <v>2.01</v>
      </c>
      <c r="R531" s="134">
        <v>42.56</v>
      </c>
      <c r="S531" s="134">
        <v>17.88</v>
      </c>
      <c r="T531" s="134">
        <v>25.67</v>
      </c>
      <c r="U531" s="134">
        <v>0.42</v>
      </c>
      <c r="V531" s="134">
        <v>0.58</v>
      </c>
      <c r="W531" s="134">
        <v>0.26</v>
      </c>
      <c r="X531" s="134">
        <v>18.22</v>
      </c>
      <c r="Y531" s="134">
        <v>24.45</v>
      </c>
      <c r="Z531" s="137">
        <v>8.997051713E7</v>
      </c>
      <c r="AA531" s="136">
        <v>18.52</v>
      </c>
      <c r="AB531" s="134">
        <v>7.88</v>
      </c>
      <c r="AC531" s="134">
        <v>0.04</v>
      </c>
      <c r="AD531" s="135">
        <v>1.232961588153E10</v>
      </c>
    </row>
    <row r="532">
      <c r="A532" s="10" t="s">
        <v>331</v>
      </c>
      <c r="B532" s="134">
        <v>12.01</v>
      </c>
      <c r="C532" s="134">
        <v>12.5</v>
      </c>
      <c r="D532" s="134">
        <v>4.57</v>
      </c>
      <c r="E532" s="134">
        <v>1.95</v>
      </c>
      <c r="F532" s="134">
        <v>0.82</v>
      </c>
      <c r="G532" s="134">
        <v>77.73</v>
      </c>
      <c r="H532" s="134">
        <v>100.37</v>
      </c>
      <c r="I532" s="134">
        <v>69.11</v>
      </c>
      <c r="J532" s="134">
        <v>3.15</v>
      </c>
      <c r="K532" s="134">
        <v>4.67</v>
      </c>
      <c r="L532" s="134">
        <v>1.54</v>
      </c>
      <c r="M532" s="134">
        <v>0.95</v>
      </c>
      <c r="N532" s="134">
        <v>3.16</v>
      </c>
      <c r="O532" s="134">
        <v>10.96</v>
      </c>
      <c r="P532" s="134">
        <v>-0.96</v>
      </c>
      <c r="Q532" s="134">
        <v>2.01</v>
      </c>
      <c r="R532" s="134">
        <v>42.56</v>
      </c>
      <c r="S532" s="134">
        <v>17.88</v>
      </c>
      <c r="T532" s="134">
        <v>25.67</v>
      </c>
      <c r="U532" s="134">
        <v>0.42</v>
      </c>
      <c r="V532" s="134">
        <v>0.58</v>
      </c>
      <c r="W532" s="134">
        <v>0.26</v>
      </c>
      <c r="X532" s="134">
        <v>18.22</v>
      </c>
      <c r="Y532" s="134">
        <v>24.45</v>
      </c>
      <c r="Z532" s="137">
        <v>1000341.0</v>
      </c>
      <c r="AA532" s="136">
        <v>6.17</v>
      </c>
      <c r="AB532" s="134">
        <v>2.63</v>
      </c>
      <c r="AC532" s="134">
        <v>0.04</v>
      </c>
      <c r="AD532" s="135">
        <v>1.232961588153E10</v>
      </c>
    </row>
    <row r="533">
      <c r="A533" s="10" t="s">
        <v>312</v>
      </c>
      <c r="B533" s="134">
        <v>11.89</v>
      </c>
      <c r="C533" s="134">
        <v>12.63</v>
      </c>
      <c r="D533" s="134">
        <v>4.53</v>
      </c>
      <c r="E533" s="134">
        <v>1.93</v>
      </c>
      <c r="F533" s="134">
        <v>0.81</v>
      </c>
      <c r="G533" s="134">
        <v>77.73</v>
      </c>
      <c r="H533" s="136">
        <v>100.37</v>
      </c>
      <c r="I533" s="136">
        <v>69.11</v>
      </c>
      <c r="J533" s="134">
        <v>3.12</v>
      </c>
      <c r="K533" s="134">
        <v>4.67</v>
      </c>
      <c r="L533" s="134">
        <v>1.54</v>
      </c>
      <c r="M533" s="134">
        <v>0.95</v>
      </c>
      <c r="N533" s="134">
        <v>3.13</v>
      </c>
      <c r="O533" s="134">
        <v>10.85</v>
      </c>
      <c r="P533" s="134">
        <v>-0.95</v>
      </c>
      <c r="Q533" s="134">
        <v>2.01</v>
      </c>
      <c r="R533" s="134">
        <v>42.56</v>
      </c>
      <c r="S533" s="134">
        <v>17.88</v>
      </c>
      <c r="T533" s="134">
        <v>25.67</v>
      </c>
      <c r="U533" s="134">
        <v>0.42</v>
      </c>
      <c r="V533" s="134">
        <v>0.58</v>
      </c>
      <c r="W533" s="134">
        <v>0.26</v>
      </c>
      <c r="X533" s="134">
        <v>18.22</v>
      </c>
      <c r="Y533" s="134">
        <v>24.45</v>
      </c>
      <c r="Z533" s="135">
        <v>2365107.42</v>
      </c>
      <c r="AA533" s="136">
        <v>6.17</v>
      </c>
      <c r="AB533" s="134">
        <v>2.63</v>
      </c>
      <c r="AC533" s="134">
        <v>0.04</v>
      </c>
      <c r="AD533" s="135">
        <v>1.232961588153E10</v>
      </c>
    </row>
    <row r="534">
      <c r="A534" s="10" t="s">
        <v>328</v>
      </c>
      <c r="B534" s="134">
        <v>21.64</v>
      </c>
      <c r="C534" s="10">
        <v>0.0</v>
      </c>
      <c r="D534" s="134">
        <v>3.69</v>
      </c>
      <c r="E534" s="134">
        <v>6.56</v>
      </c>
      <c r="F534" s="134">
        <v>1.44</v>
      </c>
      <c r="G534" s="134">
        <v>45.43</v>
      </c>
      <c r="H534" s="136">
        <v>30.14</v>
      </c>
      <c r="I534" s="136">
        <v>28.56</v>
      </c>
      <c r="J534" s="134">
        <v>3.49</v>
      </c>
      <c r="K534" s="134">
        <v>4.01</v>
      </c>
      <c r="L534" s="134">
        <v>0.63</v>
      </c>
      <c r="M534" s="134">
        <v>1.18</v>
      </c>
      <c r="N534" s="134">
        <v>1.05</v>
      </c>
      <c r="O534" s="134">
        <v>4.75</v>
      </c>
      <c r="P534" s="134">
        <v>-4.21</v>
      </c>
      <c r="Q534" s="134">
        <v>1.86</v>
      </c>
      <c r="R534" s="134">
        <v>177.96</v>
      </c>
      <c r="S534" s="134">
        <v>39.14</v>
      </c>
      <c r="T534" s="134">
        <v>69.02</v>
      </c>
      <c r="U534" s="134">
        <v>0.22</v>
      </c>
      <c r="V534" s="134">
        <v>0.78</v>
      </c>
      <c r="W534" s="134">
        <v>1.37</v>
      </c>
      <c r="X534" s="134">
        <v>16.57</v>
      </c>
      <c r="Y534" s="10">
        <v>0.0</v>
      </c>
      <c r="Z534" s="137">
        <v>1003141.08</v>
      </c>
      <c r="AA534" s="134">
        <v>3.3</v>
      </c>
      <c r="AB534" s="134">
        <v>5.87</v>
      </c>
      <c r="AC534" s="134">
        <v>-0.01</v>
      </c>
      <c r="AD534" s="135">
        <v>2.29832332679E9</v>
      </c>
    </row>
    <row r="535">
      <c r="A535" s="10" t="s">
        <v>173</v>
      </c>
      <c r="B535" s="134">
        <v>20.4</v>
      </c>
      <c r="C535" s="10">
        <v>0.0</v>
      </c>
      <c r="D535" s="134">
        <v>3.48</v>
      </c>
      <c r="E535" s="134">
        <v>6.2</v>
      </c>
      <c r="F535" s="134">
        <v>1.36</v>
      </c>
      <c r="G535" s="134">
        <v>45.43</v>
      </c>
      <c r="H535" s="136">
        <v>30.14</v>
      </c>
      <c r="I535" s="136">
        <v>28.56</v>
      </c>
      <c r="J535" s="134">
        <v>3.3</v>
      </c>
      <c r="K535" s="134">
        <v>4.01</v>
      </c>
      <c r="L535" s="134">
        <v>0.63</v>
      </c>
      <c r="M535" s="134">
        <v>1.18</v>
      </c>
      <c r="N535" s="134">
        <v>1.0</v>
      </c>
      <c r="O535" s="134">
        <v>4.49</v>
      </c>
      <c r="P535" s="134">
        <v>-3.98</v>
      </c>
      <c r="Q535" s="134">
        <v>1.86</v>
      </c>
      <c r="R535" s="134">
        <v>177.96</v>
      </c>
      <c r="S535" s="134">
        <v>39.14</v>
      </c>
      <c r="T535" s="134">
        <v>69.02</v>
      </c>
      <c r="U535" s="134">
        <v>0.22</v>
      </c>
      <c r="V535" s="134">
        <v>0.78</v>
      </c>
      <c r="W535" s="134">
        <v>1.37</v>
      </c>
      <c r="X535" s="134">
        <v>16.57</v>
      </c>
      <c r="Y535" s="10">
        <v>0.0</v>
      </c>
      <c r="Z535" s="137">
        <v>3.206655858E7</v>
      </c>
      <c r="AA535" s="136">
        <v>3.3</v>
      </c>
      <c r="AB535" s="134">
        <v>5.87</v>
      </c>
      <c r="AC535" s="134">
        <v>-0.01</v>
      </c>
      <c r="AD535" s="135">
        <v>2.29832332679E9</v>
      </c>
    </row>
    <row r="536">
      <c r="A536" s="10" t="s">
        <v>369</v>
      </c>
      <c r="B536" s="134">
        <v>3.1</v>
      </c>
      <c r="C536" s="10">
        <v>0.0</v>
      </c>
      <c r="D536" s="134">
        <v>-21.69</v>
      </c>
      <c r="E536" s="134">
        <v>92.45</v>
      </c>
      <c r="F536" s="134">
        <v>0.09</v>
      </c>
      <c r="G536" s="10">
        <v>0.0</v>
      </c>
      <c r="H536" s="138">
        <v>0.0</v>
      </c>
      <c r="I536" s="138">
        <v>0.0</v>
      </c>
      <c r="J536" s="134">
        <v>-24.58</v>
      </c>
      <c r="K536" s="134">
        <v>-61.33</v>
      </c>
      <c r="L536" s="134">
        <v>-40.28</v>
      </c>
      <c r="M536" s="134">
        <v>151.49</v>
      </c>
      <c r="N536" s="10">
        <v>0.0</v>
      </c>
      <c r="O536" s="134">
        <v>-0.21</v>
      </c>
      <c r="P536" s="134">
        <v>-0.1</v>
      </c>
      <c r="Q536" s="134">
        <v>0.29</v>
      </c>
      <c r="R536" s="134">
        <v>-426.13</v>
      </c>
      <c r="S536" s="134">
        <v>-0.4</v>
      </c>
      <c r="T536" s="134">
        <v>-2.47</v>
      </c>
      <c r="U536" s="134">
        <v>0.0</v>
      </c>
      <c r="V536" s="134">
        <v>1.0</v>
      </c>
      <c r="W536" s="134">
        <v>0.0</v>
      </c>
      <c r="X536" s="10">
        <v>0.0</v>
      </c>
      <c r="Y536" s="10">
        <v>0.0</v>
      </c>
      <c r="Z536" s="137">
        <v>195350.46</v>
      </c>
      <c r="AA536" s="136">
        <v>0.03</v>
      </c>
      <c r="AB536" s="134">
        <v>-0.14</v>
      </c>
      <c r="AC536" s="134">
        <v>0.09</v>
      </c>
      <c r="AD536" s="135">
        <v>1.757904826E7</v>
      </c>
    </row>
    <row r="537">
      <c r="A537" s="10" t="s">
        <v>348</v>
      </c>
      <c r="B537" s="134">
        <v>2.42</v>
      </c>
      <c r="C537" s="10">
        <v>0.0</v>
      </c>
      <c r="D537" s="134">
        <v>-16.94</v>
      </c>
      <c r="E537" s="134">
        <v>72.17</v>
      </c>
      <c r="F537" s="134">
        <v>0.07</v>
      </c>
      <c r="G537" s="10">
        <v>0.0</v>
      </c>
      <c r="H537" s="10">
        <v>0.0</v>
      </c>
      <c r="I537" s="10">
        <v>0.0</v>
      </c>
      <c r="J537" s="134">
        <v>-19.19</v>
      </c>
      <c r="K537" s="134">
        <v>-61.33</v>
      </c>
      <c r="L537" s="134">
        <v>-40.28</v>
      </c>
      <c r="M537" s="134">
        <v>151.49</v>
      </c>
      <c r="N537" s="10">
        <v>0.0</v>
      </c>
      <c r="O537" s="134">
        <v>-0.16</v>
      </c>
      <c r="P537" s="134">
        <v>-0.08</v>
      </c>
      <c r="Q537" s="134">
        <v>0.29</v>
      </c>
      <c r="R537" s="134">
        <v>-426.13</v>
      </c>
      <c r="S537" s="134">
        <v>-0.4</v>
      </c>
      <c r="T537" s="134">
        <v>-2.47</v>
      </c>
      <c r="U537" s="134">
        <v>0.0</v>
      </c>
      <c r="V537" s="134">
        <v>1.0</v>
      </c>
      <c r="W537" s="134">
        <v>0.0</v>
      </c>
      <c r="X537" s="10">
        <v>0.0</v>
      </c>
      <c r="Y537" s="10">
        <v>0.0</v>
      </c>
      <c r="Z537" s="137">
        <v>363329.13</v>
      </c>
      <c r="AA537" s="134">
        <v>0.03</v>
      </c>
      <c r="AB537" s="134">
        <v>-0.14</v>
      </c>
      <c r="AC537" s="134">
        <v>0.07</v>
      </c>
      <c r="AD537" s="135">
        <v>1.757904826E7</v>
      </c>
    </row>
    <row r="538">
      <c r="A538" s="10" t="s">
        <v>281</v>
      </c>
      <c r="B538" s="134">
        <v>5.05</v>
      </c>
      <c r="C538" s="10">
        <v>0.0</v>
      </c>
      <c r="D538" s="134">
        <v>-2.54</v>
      </c>
      <c r="E538" s="134">
        <v>0.54</v>
      </c>
      <c r="F538" s="134">
        <v>0.23</v>
      </c>
      <c r="G538" s="134">
        <v>2.47</v>
      </c>
      <c r="H538" s="134">
        <v>-52.73</v>
      </c>
      <c r="I538" s="134">
        <v>-73.09</v>
      </c>
      <c r="J538" s="134">
        <v>-3.52</v>
      </c>
      <c r="K538" s="134">
        <v>-7.17</v>
      </c>
      <c r="L538" s="134">
        <v>-3.65</v>
      </c>
      <c r="M538" s="134">
        <v>0.56</v>
      </c>
      <c r="N538" s="134">
        <v>1.85</v>
      </c>
      <c r="O538" s="134">
        <v>0.85</v>
      </c>
      <c r="P538" s="134">
        <v>-0.41</v>
      </c>
      <c r="Q538" s="134">
        <v>2.81</v>
      </c>
      <c r="R538" s="134">
        <v>-21.15</v>
      </c>
      <c r="S538" s="134">
        <v>-9.19</v>
      </c>
      <c r="T538" s="134">
        <v>-8.79</v>
      </c>
      <c r="U538" s="134">
        <v>0.43</v>
      </c>
      <c r="V538" s="134">
        <v>0.54</v>
      </c>
      <c r="W538" s="134">
        <v>0.13</v>
      </c>
      <c r="X538" s="134">
        <v>-32.32</v>
      </c>
      <c r="Y538" s="10">
        <v>0.0</v>
      </c>
      <c r="Z538" s="135">
        <v>5566339.33</v>
      </c>
      <c r="AA538" s="136">
        <v>9.43</v>
      </c>
      <c r="AB538" s="134">
        <v>-1.99</v>
      </c>
      <c r="AC538" s="134">
        <v>0.08</v>
      </c>
      <c r="AD538" s="135">
        <v>3.732494961E8</v>
      </c>
    </row>
    <row r="539">
      <c r="A539" s="10" t="s">
        <v>241</v>
      </c>
      <c r="B539" s="134">
        <v>3.49</v>
      </c>
      <c r="C539" s="10">
        <v>0.0</v>
      </c>
      <c r="D539" s="134">
        <v>27.04</v>
      </c>
      <c r="E539" s="134">
        <v>0.85</v>
      </c>
      <c r="F539" s="134">
        <v>0.44</v>
      </c>
      <c r="G539" s="134">
        <v>50.92</v>
      </c>
      <c r="H539" s="134">
        <v>12.17</v>
      </c>
      <c r="I539" s="134">
        <v>3.31</v>
      </c>
      <c r="J539" s="134">
        <v>7.37</v>
      </c>
      <c r="K539" s="134">
        <v>8.14</v>
      </c>
      <c r="L539" s="134">
        <v>0.67</v>
      </c>
      <c r="M539" s="134">
        <v>0.08</v>
      </c>
      <c r="N539" s="134">
        <v>0.9</v>
      </c>
      <c r="O539" s="134">
        <v>0.98</v>
      </c>
      <c r="P539" s="134">
        <v>-1.1</v>
      </c>
      <c r="Q539" s="134">
        <v>3.88</v>
      </c>
      <c r="R539" s="134">
        <v>3.15</v>
      </c>
      <c r="S539" s="134">
        <v>1.62</v>
      </c>
      <c r="T539" s="134">
        <v>4.88</v>
      </c>
      <c r="U539" s="134">
        <v>0.51</v>
      </c>
      <c r="V539" s="134">
        <v>0.49</v>
      </c>
      <c r="W539" s="134">
        <v>0.49</v>
      </c>
      <c r="X539" s="134">
        <v>-9.24</v>
      </c>
      <c r="Y539" s="134">
        <v>-14.42</v>
      </c>
      <c r="Z539" s="135">
        <v>1.635894533E7</v>
      </c>
      <c r="AA539" s="136">
        <v>4.09</v>
      </c>
      <c r="AB539" s="134">
        <v>0.13</v>
      </c>
      <c r="AC539" s="134">
        <v>-0.25</v>
      </c>
      <c r="AD539" s="135">
        <v>2.7712693895E8</v>
      </c>
    </row>
    <row r="540">
      <c r="A540" s="10" t="s">
        <v>521</v>
      </c>
      <c r="B540" s="134">
        <v>26.1</v>
      </c>
      <c r="C540" s="10">
        <v>0.0</v>
      </c>
      <c r="D540" s="134">
        <v>-0.11</v>
      </c>
      <c r="E540" s="134">
        <v>-0.01</v>
      </c>
      <c r="F540" s="134">
        <v>0.01</v>
      </c>
      <c r="G540" s="134">
        <v>16.68</v>
      </c>
      <c r="H540" s="134">
        <v>3.31</v>
      </c>
      <c r="I540" s="134">
        <v>-63.59</v>
      </c>
      <c r="J540" s="134">
        <v>2.13</v>
      </c>
      <c r="K540" s="134">
        <v>90.77</v>
      </c>
      <c r="L540" s="134">
        <v>89.4</v>
      </c>
      <c r="M540" s="10">
        <v>0.0</v>
      </c>
      <c r="N540" s="134">
        <v>0.07</v>
      </c>
      <c r="O540" s="134">
        <v>-0.01</v>
      </c>
      <c r="P540" s="134">
        <v>-0.01</v>
      </c>
      <c r="Q540" s="134">
        <v>0.03</v>
      </c>
      <c r="R540" s="134">
        <v>-6.78</v>
      </c>
      <c r="S540" s="134">
        <v>-11.62</v>
      </c>
      <c r="T540" s="134">
        <v>-0.08</v>
      </c>
      <c r="U540" s="134">
        <v>-1.71</v>
      </c>
      <c r="V540" s="134">
        <v>2.71</v>
      </c>
      <c r="W540" s="134">
        <v>0.18</v>
      </c>
      <c r="X540" s="134">
        <v>-1.38</v>
      </c>
      <c r="Y540" s="10">
        <v>0.0</v>
      </c>
      <c r="Z540" s="136">
        <v>5310.25</v>
      </c>
      <c r="AA540" s="136">
        <v>-3469.7</v>
      </c>
      <c r="AB540" s="134">
        <v>-235.25</v>
      </c>
      <c r="AC540" s="134">
        <v>0.81</v>
      </c>
      <c r="AD540" s="135">
        <v>8405461.5</v>
      </c>
    </row>
    <row r="541">
      <c r="A541" s="10" t="s">
        <v>445</v>
      </c>
      <c r="B541" s="134">
        <v>12.35</v>
      </c>
      <c r="C541" s="10">
        <v>0.0</v>
      </c>
      <c r="D541" s="134">
        <v>-0.05</v>
      </c>
      <c r="E541" s="134">
        <v>0.0</v>
      </c>
      <c r="F541" s="134">
        <v>0.01</v>
      </c>
      <c r="G541" s="134">
        <v>16.68</v>
      </c>
      <c r="H541" s="134">
        <v>3.31</v>
      </c>
      <c r="I541" s="134">
        <v>-63.59</v>
      </c>
      <c r="J541" s="134">
        <v>1.01</v>
      </c>
      <c r="K541" s="134">
        <v>90.77</v>
      </c>
      <c r="L541" s="134">
        <v>89.4</v>
      </c>
      <c r="M541" s="10">
        <v>0.0</v>
      </c>
      <c r="N541" s="134">
        <v>0.03</v>
      </c>
      <c r="O541" s="134">
        <v>0.0</v>
      </c>
      <c r="P541" s="134">
        <v>-0.01</v>
      </c>
      <c r="Q541" s="134">
        <v>0.03</v>
      </c>
      <c r="R541" s="134">
        <v>-6.78</v>
      </c>
      <c r="S541" s="134">
        <v>-11.62</v>
      </c>
      <c r="T541" s="134">
        <v>-0.08</v>
      </c>
      <c r="U541" s="134">
        <v>-1.71</v>
      </c>
      <c r="V541" s="134">
        <v>2.71</v>
      </c>
      <c r="W541" s="134">
        <v>0.18</v>
      </c>
      <c r="X541" s="134">
        <v>-1.38</v>
      </c>
      <c r="Y541" s="10">
        <v>0.0</v>
      </c>
      <c r="Z541" s="136">
        <v>41068.52</v>
      </c>
      <c r="AA541" s="136">
        <v>-3469.7</v>
      </c>
      <c r="AB541" s="134">
        <v>-235.25</v>
      </c>
      <c r="AC541" s="134">
        <v>0.38</v>
      </c>
      <c r="AD541" s="135">
        <v>8405461.5</v>
      </c>
    </row>
    <row r="542">
      <c r="A542" s="10" t="s">
        <v>411</v>
      </c>
      <c r="B542" s="134">
        <v>51.0</v>
      </c>
      <c r="C542" s="10">
        <v>0.0</v>
      </c>
      <c r="D542" s="134">
        <v>-31.44</v>
      </c>
      <c r="E542" s="134">
        <v>2.32</v>
      </c>
      <c r="F542" s="134">
        <v>0.85</v>
      </c>
      <c r="G542" s="134">
        <v>-80.59</v>
      </c>
      <c r="H542" s="134">
        <v>-28.23</v>
      </c>
      <c r="I542" s="134">
        <v>-40.3</v>
      </c>
      <c r="J542" s="134">
        <v>-44.89</v>
      </c>
      <c r="K542" s="134">
        <v>-29.19</v>
      </c>
      <c r="L542" s="134">
        <v>9.06</v>
      </c>
      <c r="M542" s="134">
        <v>-0.47</v>
      </c>
      <c r="N542" s="134">
        <v>12.67</v>
      </c>
      <c r="O542" s="134">
        <v>3.23</v>
      </c>
      <c r="P542" s="134">
        <v>-1.25</v>
      </c>
      <c r="Q542" s="134">
        <v>5.84</v>
      </c>
      <c r="R542" s="134">
        <v>-7.39</v>
      </c>
      <c r="S542" s="134">
        <v>-2.71</v>
      </c>
      <c r="T542" s="134">
        <v>-4.45</v>
      </c>
      <c r="U542" s="134">
        <v>0.37</v>
      </c>
      <c r="V542" s="134">
        <v>0.63</v>
      </c>
      <c r="W542" s="134">
        <v>0.07</v>
      </c>
      <c r="X542" s="134">
        <v>42.7</v>
      </c>
      <c r="Y542" s="10">
        <v>0.0</v>
      </c>
      <c r="Z542" s="136">
        <v>108945.05</v>
      </c>
      <c r="AA542" s="134">
        <v>21.96</v>
      </c>
      <c r="AB542" s="134">
        <v>-1.62</v>
      </c>
      <c r="AC542" s="134">
        <v>-0.43</v>
      </c>
      <c r="AD542" s="135">
        <v>2.9493746122E9</v>
      </c>
    </row>
    <row r="543">
      <c r="A543" s="10" t="s">
        <v>400</v>
      </c>
      <c r="B543" s="134">
        <v>23.37</v>
      </c>
      <c r="C543" s="10">
        <v>0.0</v>
      </c>
      <c r="D543" s="134">
        <v>-14.41</v>
      </c>
      <c r="E543" s="134">
        <v>1.06</v>
      </c>
      <c r="F543" s="134">
        <v>0.39</v>
      </c>
      <c r="G543" s="134">
        <v>-80.59</v>
      </c>
      <c r="H543" s="136">
        <v>-28.23</v>
      </c>
      <c r="I543" s="136">
        <v>-40.3</v>
      </c>
      <c r="J543" s="134">
        <v>-20.57</v>
      </c>
      <c r="K543" s="134">
        <v>-29.19</v>
      </c>
      <c r="L543" s="134">
        <v>9.06</v>
      </c>
      <c r="M543" s="134">
        <v>-0.47</v>
      </c>
      <c r="N543" s="134">
        <v>5.81</v>
      </c>
      <c r="O543" s="134">
        <v>1.48</v>
      </c>
      <c r="P543" s="134">
        <v>-0.57</v>
      </c>
      <c r="Q543" s="134">
        <v>5.84</v>
      </c>
      <c r="R543" s="134">
        <v>-7.39</v>
      </c>
      <c r="S543" s="134">
        <v>-2.71</v>
      </c>
      <c r="T543" s="134">
        <v>-4.45</v>
      </c>
      <c r="U543" s="134">
        <v>0.37</v>
      </c>
      <c r="V543" s="134">
        <v>0.63</v>
      </c>
      <c r="W543" s="134">
        <v>0.07</v>
      </c>
      <c r="X543" s="134">
        <v>42.7</v>
      </c>
      <c r="Y543" s="10">
        <v>0.0</v>
      </c>
      <c r="Z543" s="135">
        <v>143302.92</v>
      </c>
      <c r="AA543" s="134">
        <v>21.96</v>
      </c>
      <c r="AB543" s="134">
        <v>-1.62</v>
      </c>
      <c r="AC543" s="134">
        <v>-0.19</v>
      </c>
      <c r="AD543" s="135">
        <v>2.9493746122E9</v>
      </c>
    </row>
    <row r="544">
      <c r="A544" s="10" t="s">
        <v>185</v>
      </c>
      <c r="B544" s="134">
        <v>17.04</v>
      </c>
      <c r="C544" s="134">
        <v>2.04</v>
      </c>
      <c r="D544" s="134">
        <v>8.34</v>
      </c>
      <c r="E544" s="134">
        <v>1.19</v>
      </c>
      <c r="F544" s="134">
        <v>0.4</v>
      </c>
      <c r="G544" s="134">
        <v>29.74</v>
      </c>
      <c r="H544" s="134">
        <v>11.19</v>
      </c>
      <c r="I544" s="134">
        <v>8.07</v>
      </c>
      <c r="J544" s="134">
        <v>6.01</v>
      </c>
      <c r="K544" s="134">
        <v>6.7</v>
      </c>
      <c r="L544" s="134">
        <v>0.62</v>
      </c>
      <c r="M544" s="134">
        <v>0.12</v>
      </c>
      <c r="N544" s="134">
        <v>0.67</v>
      </c>
      <c r="O544" s="134">
        <v>1.0</v>
      </c>
      <c r="P544" s="134">
        <v>-1.06</v>
      </c>
      <c r="Q544" s="134">
        <v>2.8</v>
      </c>
      <c r="R544" s="134">
        <v>14.31</v>
      </c>
      <c r="S544" s="134">
        <v>4.8</v>
      </c>
      <c r="T544" s="134">
        <v>9.51</v>
      </c>
      <c r="U544" s="134">
        <v>0.34</v>
      </c>
      <c r="V544" s="134">
        <v>0.66</v>
      </c>
      <c r="W544" s="134">
        <v>0.6</v>
      </c>
      <c r="X544" s="134">
        <v>21.81</v>
      </c>
      <c r="Y544" s="134">
        <v>47.69</v>
      </c>
      <c r="Z544" s="135">
        <v>2.799574567E7</v>
      </c>
      <c r="AA544" s="134">
        <v>14.27</v>
      </c>
      <c r="AB544" s="134">
        <v>2.04</v>
      </c>
      <c r="AC544" s="134">
        <v>1.15</v>
      </c>
      <c r="AD544" s="135">
        <v>1.79576447366E9</v>
      </c>
    </row>
    <row r="545">
      <c r="A545" s="10" t="s">
        <v>657</v>
      </c>
      <c r="B545" s="134">
        <v>48.0</v>
      </c>
      <c r="C545" s="10">
        <v>0.0</v>
      </c>
      <c r="D545" s="134">
        <v>-13.3</v>
      </c>
      <c r="E545" s="134">
        <v>1.62</v>
      </c>
      <c r="F545" s="134">
        <v>0.52</v>
      </c>
      <c r="G545" s="134">
        <v>15.86</v>
      </c>
      <c r="H545" s="134">
        <v>9.39</v>
      </c>
      <c r="I545" s="134">
        <v>-7.58</v>
      </c>
      <c r="J545" s="134">
        <v>10.73</v>
      </c>
      <c r="K545" s="134">
        <v>17.39</v>
      </c>
      <c r="L545" s="134">
        <v>6.66</v>
      </c>
      <c r="M545" s="134">
        <v>1.01</v>
      </c>
      <c r="N545" s="134">
        <v>1.01</v>
      </c>
      <c r="O545" s="134">
        <v>-11.1</v>
      </c>
      <c r="P545" s="134">
        <v>-0.74</v>
      </c>
      <c r="Q545" s="134">
        <v>0.86</v>
      </c>
      <c r="R545" s="134">
        <v>-12.18</v>
      </c>
      <c r="S545" s="134">
        <v>-3.94</v>
      </c>
      <c r="T545" s="134">
        <v>3.93</v>
      </c>
      <c r="U545" s="134">
        <v>0.32</v>
      </c>
      <c r="V545" s="134">
        <v>0.68</v>
      </c>
      <c r="W545" s="134">
        <v>0.52</v>
      </c>
      <c r="X545" s="134">
        <v>7.32</v>
      </c>
      <c r="Y545" s="10">
        <v>0.0</v>
      </c>
      <c r="Z545" s="135">
        <v>1340759.4</v>
      </c>
      <c r="AA545" s="134">
        <v>29.64</v>
      </c>
      <c r="AB545" s="134">
        <v>-3.61</v>
      </c>
      <c r="AC545" s="134">
        <v>0.83</v>
      </c>
      <c r="AD545" s="135">
        <v>1.389696672E9</v>
      </c>
    </row>
    <row r="546">
      <c r="A546" s="10" t="s">
        <v>301</v>
      </c>
      <c r="B546" s="134">
        <v>15.03</v>
      </c>
      <c r="C546" s="134">
        <v>0.26</v>
      </c>
      <c r="D546" s="134">
        <v>295.45</v>
      </c>
      <c r="E546" s="134">
        <v>64.32</v>
      </c>
      <c r="F546" s="134">
        <v>37.59</v>
      </c>
      <c r="G546" s="134">
        <v>60.64</v>
      </c>
      <c r="H546" s="134">
        <v>19.41</v>
      </c>
      <c r="I546" s="134">
        <v>13.99</v>
      </c>
      <c r="J546" s="134">
        <v>212.94</v>
      </c>
      <c r="K546" s="134">
        <v>36.13</v>
      </c>
      <c r="L546" s="134">
        <v>0.18</v>
      </c>
      <c r="M546" s="134">
        <v>0.05</v>
      </c>
      <c r="N546" s="134">
        <v>41.32</v>
      </c>
      <c r="O546" s="134">
        <v>70.88</v>
      </c>
      <c r="P546" s="134">
        <v>-147.5</v>
      </c>
      <c r="Q546" s="134">
        <v>3.47</v>
      </c>
      <c r="R546" s="134">
        <v>21.77</v>
      </c>
      <c r="S546" s="134">
        <v>12.72</v>
      </c>
      <c r="T546" s="134">
        <v>17.65</v>
      </c>
      <c r="U546" s="134">
        <v>0.58</v>
      </c>
      <c r="V546" s="134">
        <v>0.42</v>
      </c>
      <c r="W546" s="134">
        <v>0.91</v>
      </c>
      <c r="X546" s="10">
        <v>0.0</v>
      </c>
      <c r="Y546" s="10">
        <v>0.0</v>
      </c>
      <c r="Z546" s="135">
        <v>2915091.58</v>
      </c>
      <c r="AA546" s="134">
        <v>0.23</v>
      </c>
      <c r="AB546" s="134">
        <v>0.05</v>
      </c>
      <c r="AC546" s="134">
        <v>2.27</v>
      </c>
      <c r="AD546" s="135">
        <v>2.41333900267E9</v>
      </c>
    </row>
    <row r="547">
      <c r="A547" s="10" t="s">
        <v>255</v>
      </c>
      <c r="B547" s="134">
        <v>16.77</v>
      </c>
      <c r="C547" s="134">
        <v>5.16</v>
      </c>
      <c r="D547" s="134">
        <v>10.74</v>
      </c>
      <c r="E547" s="134">
        <v>1.69</v>
      </c>
      <c r="F547" s="134">
        <v>1.08</v>
      </c>
      <c r="G547" s="134">
        <v>20.2</v>
      </c>
      <c r="H547" s="134">
        <v>13.65</v>
      </c>
      <c r="I547" s="134">
        <v>9.61</v>
      </c>
      <c r="J547" s="134">
        <v>7.56</v>
      </c>
      <c r="K547" s="134">
        <v>7.55</v>
      </c>
      <c r="L547" s="134">
        <v>-0.07</v>
      </c>
      <c r="M547" s="134">
        <v>-0.02</v>
      </c>
      <c r="N547" s="134">
        <v>1.03</v>
      </c>
      <c r="O547" s="134">
        <v>3.92</v>
      </c>
      <c r="P547" s="134">
        <v>-2.09</v>
      </c>
      <c r="Q547" s="134">
        <v>2.31</v>
      </c>
      <c r="R547" s="134">
        <v>15.71</v>
      </c>
      <c r="S547" s="134">
        <v>10.03</v>
      </c>
      <c r="T547" s="134">
        <v>12.22</v>
      </c>
      <c r="U547" s="134">
        <v>0.64</v>
      </c>
      <c r="V547" s="134">
        <v>0.36</v>
      </c>
      <c r="W547" s="134">
        <v>1.04</v>
      </c>
      <c r="X547" s="134">
        <v>-2.05</v>
      </c>
      <c r="Y547" s="134">
        <v>59.7</v>
      </c>
      <c r="Z547" s="135">
        <v>8129190.33</v>
      </c>
      <c r="AA547" s="134">
        <v>9.95</v>
      </c>
      <c r="AB547" s="134">
        <v>1.56</v>
      </c>
      <c r="AC547" s="134">
        <v>-0.34</v>
      </c>
      <c r="AD547" s="135">
        <v>1.11610929265E9</v>
      </c>
    </row>
    <row r="548">
      <c r="A548" s="10" t="s">
        <v>658</v>
      </c>
      <c r="B548" s="134">
        <v>12.54</v>
      </c>
      <c r="C548" s="134">
        <v>2.17</v>
      </c>
      <c r="D548" s="134">
        <v>6.49</v>
      </c>
      <c r="E548" s="134">
        <v>2.79</v>
      </c>
      <c r="F548" s="134">
        <v>0.49</v>
      </c>
      <c r="G548" s="134">
        <v>89.57</v>
      </c>
      <c r="H548" s="136">
        <v>78.36</v>
      </c>
      <c r="I548" s="136">
        <v>35.69</v>
      </c>
      <c r="J548" s="134">
        <v>2.96</v>
      </c>
      <c r="K548" s="134">
        <v>5.75</v>
      </c>
      <c r="L548" s="134">
        <v>2.79</v>
      </c>
      <c r="M548" s="134">
        <v>2.63</v>
      </c>
      <c r="N548" s="134">
        <v>2.32</v>
      </c>
      <c r="O548" s="134">
        <v>13.25</v>
      </c>
      <c r="P548" s="134">
        <v>-0.57</v>
      </c>
      <c r="Q548" s="134">
        <v>1.35</v>
      </c>
      <c r="R548" s="134">
        <v>42.94</v>
      </c>
      <c r="S548" s="134">
        <v>7.52</v>
      </c>
      <c r="T548" s="134">
        <v>16.31</v>
      </c>
      <c r="U548" s="134">
        <v>0.18</v>
      </c>
      <c r="V548" s="134">
        <v>0.74</v>
      </c>
      <c r="W548" s="134">
        <v>0.21</v>
      </c>
      <c r="X548" s="134">
        <v>-5.19</v>
      </c>
      <c r="Y548" s="134">
        <v>14.39</v>
      </c>
      <c r="Z548" s="135">
        <v>3.112380068E7</v>
      </c>
      <c r="AA548" s="134">
        <v>4.5</v>
      </c>
      <c r="AB548" s="134">
        <v>1.93</v>
      </c>
      <c r="AC548" s="134">
        <v>0.07</v>
      </c>
      <c r="AD548" s="135">
        <v>5.00479580093E9</v>
      </c>
    </row>
    <row r="549">
      <c r="A549" s="10" t="s">
        <v>659</v>
      </c>
      <c r="B549" s="134">
        <v>3.49</v>
      </c>
      <c r="C549" s="134">
        <v>1.56</v>
      </c>
      <c r="D549" s="134">
        <v>9.03</v>
      </c>
      <c r="E549" s="134">
        <v>3.88</v>
      </c>
      <c r="F549" s="134">
        <v>0.68</v>
      </c>
      <c r="G549" s="134">
        <v>89.57</v>
      </c>
      <c r="H549" s="136">
        <v>78.36</v>
      </c>
      <c r="I549" s="136">
        <v>35.69</v>
      </c>
      <c r="J549" s="134">
        <v>4.12</v>
      </c>
      <c r="K549" s="134">
        <v>5.75</v>
      </c>
      <c r="L549" s="134">
        <v>2.79</v>
      </c>
      <c r="M549" s="134">
        <v>2.63</v>
      </c>
      <c r="N549" s="134">
        <v>3.22</v>
      </c>
      <c r="O549" s="134">
        <v>18.43</v>
      </c>
      <c r="P549" s="134">
        <v>-0.79</v>
      </c>
      <c r="Q549" s="134">
        <v>1.35</v>
      </c>
      <c r="R549" s="134">
        <v>42.94</v>
      </c>
      <c r="S549" s="134">
        <v>7.52</v>
      </c>
      <c r="T549" s="134">
        <v>16.31</v>
      </c>
      <c r="U549" s="134">
        <v>0.18</v>
      </c>
      <c r="V549" s="134">
        <v>0.74</v>
      </c>
      <c r="W549" s="134">
        <v>0.21</v>
      </c>
      <c r="X549" s="134">
        <v>-5.19</v>
      </c>
      <c r="Y549" s="134">
        <v>14.39</v>
      </c>
      <c r="Z549" s="135">
        <v>558793.42</v>
      </c>
      <c r="AA549" s="134">
        <v>0.9</v>
      </c>
      <c r="AB549" s="134">
        <v>0.39</v>
      </c>
      <c r="AC549" s="134">
        <v>0.1</v>
      </c>
      <c r="AD549" s="135">
        <v>5.00479580093E9</v>
      </c>
    </row>
    <row r="550">
      <c r="A550" s="10" t="s">
        <v>660</v>
      </c>
      <c r="B550" s="134">
        <v>3.51</v>
      </c>
      <c r="C550" s="134">
        <v>1.55</v>
      </c>
      <c r="D550" s="134">
        <v>9.09</v>
      </c>
      <c r="E550" s="134">
        <v>3.9</v>
      </c>
      <c r="F550" s="134">
        <v>0.68</v>
      </c>
      <c r="G550" s="134">
        <v>89.57</v>
      </c>
      <c r="H550" s="134">
        <v>78.36</v>
      </c>
      <c r="I550" s="134">
        <v>35.69</v>
      </c>
      <c r="J550" s="134">
        <v>4.14</v>
      </c>
      <c r="K550" s="134">
        <v>5.75</v>
      </c>
      <c r="L550" s="134">
        <v>2.79</v>
      </c>
      <c r="M550" s="134">
        <v>2.63</v>
      </c>
      <c r="N550" s="134">
        <v>3.24</v>
      </c>
      <c r="O550" s="134">
        <v>18.54</v>
      </c>
      <c r="P550" s="134">
        <v>-0.8</v>
      </c>
      <c r="Q550" s="134">
        <v>1.35</v>
      </c>
      <c r="R550" s="134">
        <v>42.94</v>
      </c>
      <c r="S550" s="134">
        <v>7.52</v>
      </c>
      <c r="T550" s="134">
        <v>16.31</v>
      </c>
      <c r="U550" s="134">
        <v>0.18</v>
      </c>
      <c r="V550" s="134">
        <v>0.74</v>
      </c>
      <c r="W550" s="134">
        <v>0.21</v>
      </c>
      <c r="X550" s="134">
        <v>-5.19</v>
      </c>
      <c r="Y550" s="134">
        <v>14.39</v>
      </c>
      <c r="Z550" s="135">
        <v>1764454.32</v>
      </c>
      <c r="AA550" s="134">
        <v>0.9</v>
      </c>
      <c r="AB550" s="134">
        <v>0.39</v>
      </c>
      <c r="AC550" s="134">
        <v>0.1</v>
      </c>
      <c r="AD550" s="135">
        <v>5.00479580093E9</v>
      </c>
    </row>
    <row r="551">
      <c r="A551" s="10" t="s">
        <v>138</v>
      </c>
      <c r="B551" s="134">
        <v>11.72</v>
      </c>
      <c r="C551" s="134">
        <v>5.53</v>
      </c>
      <c r="D551" s="134">
        <v>11.98</v>
      </c>
      <c r="E551" s="134">
        <v>1.19</v>
      </c>
      <c r="F551" s="134">
        <v>0.65</v>
      </c>
      <c r="G551" s="134">
        <v>53.08</v>
      </c>
      <c r="H551" s="134">
        <v>16.43</v>
      </c>
      <c r="I551" s="134">
        <v>13.31</v>
      </c>
      <c r="J551" s="134">
        <v>9.7</v>
      </c>
      <c r="K551" s="134">
        <v>11.39</v>
      </c>
      <c r="L551" s="134">
        <v>1.66</v>
      </c>
      <c r="M551" s="134">
        <v>0.2</v>
      </c>
      <c r="N551" s="134">
        <v>1.59</v>
      </c>
      <c r="O551" s="134">
        <v>5.57</v>
      </c>
      <c r="P551" s="134">
        <v>-0.91</v>
      </c>
      <c r="Q551" s="134">
        <v>1.67</v>
      </c>
      <c r="R551" s="134">
        <v>9.97</v>
      </c>
      <c r="S551" s="134">
        <v>5.41</v>
      </c>
      <c r="T551" s="134">
        <v>8.15</v>
      </c>
      <c r="U551" s="134">
        <v>0.54</v>
      </c>
      <c r="V551" s="134">
        <v>0.46</v>
      </c>
      <c r="W551" s="134">
        <v>0.41</v>
      </c>
      <c r="X551" s="134">
        <v>0.15</v>
      </c>
      <c r="Y551" s="134">
        <v>2.6</v>
      </c>
      <c r="Z551" s="135">
        <v>6.687686321E7</v>
      </c>
      <c r="AA551" s="134">
        <v>9.82</v>
      </c>
      <c r="AB551" s="134">
        <v>0.98</v>
      </c>
      <c r="AC551" s="134">
        <v>0.49</v>
      </c>
      <c r="AD551" s="135">
        <v>2.846865972048E10</v>
      </c>
    </row>
    <row r="552">
      <c r="A552" s="10" t="s">
        <v>661</v>
      </c>
      <c r="B552" s="134">
        <v>69.63</v>
      </c>
      <c r="C552" s="134">
        <v>2.66</v>
      </c>
      <c r="D552" s="134">
        <v>5.92</v>
      </c>
      <c r="E552" s="134">
        <v>0.98</v>
      </c>
      <c r="F552" s="134">
        <v>0.67</v>
      </c>
      <c r="G552" s="134">
        <v>27.46</v>
      </c>
      <c r="H552" s="134">
        <v>19.17</v>
      </c>
      <c r="I552" s="134">
        <v>13.85</v>
      </c>
      <c r="J552" s="134">
        <v>4.28</v>
      </c>
      <c r="K552" s="134">
        <v>4.26</v>
      </c>
      <c r="L552" s="134">
        <v>0.26</v>
      </c>
      <c r="M552" s="134">
        <v>0.06</v>
      </c>
      <c r="N552" s="134">
        <v>0.82</v>
      </c>
      <c r="O552" s="134">
        <v>1.86</v>
      </c>
      <c r="P552" s="134">
        <v>-1.81</v>
      </c>
      <c r="Q552" s="134">
        <v>2.34</v>
      </c>
      <c r="R552" s="134">
        <v>16.48</v>
      </c>
      <c r="S552" s="134">
        <v>11.34</v>
      </c>
      <c r="T552" s="134">
        <v>14.82</v>
      </c>
      <c r="U552" s="134">
        <v>0.69</v>
      </c>
      <c r="V552" s="134">
        <v>0.31</v>
      </c>
      <c r="W552" s="134">
        <v>0.82</v>
      </c>
      <c r="X552" s="134">
        <v>8.49</v>
      </c>
      <c r="Y552" s="10">
        <v>0.0</v>
      </c>
      <c r="Z552" s="138">
        <v>0.0</v>
      </c>
      <c r="AA552" s="134">
        <v>71.41</v>
      </c>
      <c r="AB552" s="134">
        <v>11.77</v>
      </c>
      <c r="AC552" s="134">
        <v>0.03</v>
      </c>
      <c r="AD552" s="135">
        <v>1.9201631173E8</v>
      </c>
    </row>
    <row r="553">
      <c r="A553" s="10" t="s">
        <v>504</v>
      </c>
      <c r="B553" s="134">
        <v>59.9</v>
      </c>
      <c r="C553" s="134">
        <v>3.48</v>
      </c>
      <c r="D553" s="134">
        <v>5.09</v>
      </c>
      <c r="E553" s="134">
        <v>0.84</v>
      </c>
      <c r="F553" s="134">
        <v>0.58</v>
      </c>
      <c r="G553" s="134">
        <v>27.46</v>
      </c>
      <c r="H553" s="134">
        <v>19.17</v>
      </c>
      <c r="I553" s="134">
        <v>13.85</v>
      </c>
      <c r="J553" s="134">
        <v>3.68</v>
      </c>
      <c r="K553" s="134">
        <v>4.26</v>
      </c>
      <c r="L553" s="134">
        <v>0.26</v>
      </c>
      <c r="M553" s="134">
        <v>0.06</v>
      </c>
      <c r="N553" s="134">
        <v>0.71</v>
      </c>
      <c r="O553" s="134">
        <v>1.6</v>
      </c>
      <c r="P553" s="134">
        <v>-1.56</v>
      </c>
      <c r="Q553" s="134">
        <v>2.34</v>
      </c>
      <c r="R553" s="134">
        <v>16.48</v>
      </c>
      <c r="S553" s="134">
        <v>11.34</v>
      </c>
      <c r="T553" s="134">
        <v>14.82</v>
      </c>
      <c r="U553" s="134">
        <v>0.69</v>
      </c>
      <c r="V553" s="134">
        <v>0.31</v>
      </c>
      <c r="W553" s="134">
        <v>0.82</v>
      </c>
      <c r="X553" s="134">
        <v>8.49</v>
      </c>
      <c r="Y553" s="10">
        <v>0.0</v>
      </c>
      <c r="Z553" s="136">
        <v>11990.0</v>
      </c>
      <c r="AA553" s="134">
        <v>71.41</v>
      </c>
      <c r="AB553" s="134">
        <v>11.77</v>
      </c>
      <c r="AC553" s="134">
        <v>0.02</v>
      </c>
      <c r="AD553" s="135">
        <v>1.9201631173E8</v>
      </c>
    </row>
    <row r="554">
      <c r="A554" s="10" t="s">
        <v>94</v>
      </c>
      <c r="B554" s="134">
        <v>33.72</v>
      </c>
      <c r="C554" s="134">
        <v>0.83</v>
      </c>
      <c r="D554" s="134">
        <v>62.23</v>
      </c>
      <c r="E554" s="134">
        <v>7.65</v>
      </c>
      <c r="F554" s="134">
        <v>2.74</v>
      </c>
      <c r="G554" s="134">
        <v>70.47</v>
      </c>
      <c r="H554" s="134">
        <v>16.71</v>
      </c>
      <c r="I554" s="134">
        <v>11.74</v>
      </c>
      <c r="J554" s="134">
        <v>43.74</v>
      </c>
      <c r="K554" s="134">
        <v>45.83</v>
      </c>
      <c r="L554" s="134">
        <v>1.59</v>
      </c>
      <c r="M554" s="134">
        <v>0.28</v>
      </c>
      <c r="N554" s="134">
        <v>7.31</v>
      </c>
      <c r="O554" s="134">
        <v>46.11</v>
      </c>
      <c r="P554" s="134">
        <v>-4.7</v>
      </c>
      <c r="Q554" s="134">
        <v>1.17</v>
      </c>
      <c r="R554" s="134">
        <v>12.29</v>
      </c>
      <c r="S554" s="134">
        <v>4.4</v>
      </c>
      <c r="T554" s="134">
        <v>8.14</v>
      </c>
      <c r="U554" s="134">
        <v>0.36</v>
      </c>
      <c r="V554" s="134">
        <v>0.64</v>
      </c>
      <c r="W554" s="134">
        <v>0.37</v>
      </c>
      <c r="X554" s="134">
        <v>6.34</v>
      </c>
      <c r="Y554" s="134">
        <v>11.35</v>
      </c>
      <c r="Z554" s="135">
        <v>1.6065721E8</v>
      </c>
      <c r="AA554" s="134">
        <v>4.41</v>
      </c>
      <c r="AB554" s="134">
        <v>0.54</v>
      </c>
      <c r="AC554" s="134">
        <v>2.17</v>
      </c>
      <c r="AD554" s="135">
        <v>2.107063379934E10</v>
      </c>
    </row>
    <row r="555">
      <c r="A555" s="10" t="s">
        <v>662</v>
      </c>
      <c r="B555" s="134">
        <v>2.29</v>
      </c>
      <c r="C555" s="10">
        <v>0.0</v>
      </c>
      <c r="D555" s="134">
        <v>-43.94</v>
      </c>
      <c r="E555" s="134">
        <v>-4.97</v>
      </c>
      <c r="F555" s="134">
        <v>4.03</v>
      </c>
      <c r="G555" s="134">
        <v>24.06</v>
      </c>
      <c r="H555" s="134">
        <v>-10.7</v>
      </c>
      <c r="I555" s="134">
        <v>-10.96</v>
      </c>
      <c r="J555" s="134">
        <v>-45.0</v>
      </c>
      <c r="K555" s="134">
        <v>-47.62</v>
      </c>
      <c r="L555" s="134">
        <v>-0.63</v>
      </c>
      <c r="M555" s="10">
        <v>0.0</v>
      </c>
      <c r="N555" s="134">
        <v>4.81</v>
      </c>
      <c r="O555" s="134">
        <v>-5.93</v>
      </c>
      <c r="P555" s="134">
        <v>-11.89</v>
      </c>
      <c r="Q555" s="134">
        <v>0.49</v>
      </c>
      <c r="R555" s="134">
        <v>-11.31</v>
      </c>
      <c r="S555" s="134">
        <v>-9.18</v>
      </c>
      <c r="T555" s="134">
        <v>11.93</v>
      </c>
      <c r="U555" s="134">
        <v>-0.81</v>
      </c>
      <c r="V555" s="134">
        <v>1.81</v>
      </c>
      <c r="W555" s="134">
        <v>0.84</v>
      </c>
      <c r="X555" s="134">
        <v>-33.11</v>
      </c>
      <c r="Y555" s="10">
        <v>0.0</v>
      </c>
      <c r="Z555" s="138">
        <v>0.0</v>
      </c>
      <c r="AA555" s="134">
        <v>-0.46</v>
      </c>
      <c r="AB555" s="134">
        <v>-0.05</v>
      </c>
      <c r="AC555" s="134">
        <v>0.47</v>
      </c>
      <c r="AD555" s="135">
        <v>7.189022222E7</v>
      </c>
    </row>
    <row r="556">
      <c r="A556" s="10" t="s">
        <v>663</v>
      </c>
      <c r="B556" s="134">
        <v>2.5</v>
      </c>
      <c r="C556" s="10">
        <v>0.0</v>
      </c>
      <c r="D556" s="136">
        <v>-47.96</v>
      </c>
      <c r="E556" s="134">
        <v>-5.43</v>
      </c>
      <c r="F556" s="134">
        <v>4.4</v>
      </c>
      <c r="G556" s="134">
        <v>24.06</v>
      </c>
      <c r="H556" s="134">
        <v>-10.7</v>
      </c>
      <c r="I556" s="134">
        <v>-10.96</v>
      </c>
      <c r="J556" s="136">
        <v>-49.12</v>
      </c>
      <c r="K556" s="136">
        <v>-47.62</v>
      </c>
      <c r="L556" s="134">
        <v>-0.63</v>
      </c>
      <c r="M556" s="10">
        <v>0.0</v>
      </c>
      <c r="N556" s="134">
        <v>5.26</v>
      </c>
      <c r="O556" s="134">
        <v>-6.47</v>
      </c>
      <c r="P556" s="134">
        <v>-12.98</v>
      </c>
      <c r="Q556" s="134">
        <v>0.49</v>
      </c>
      <c r="R556" s="134">
        <v>-11.31</v>
      </c>
      <c r="S556" s="134">
        <v>-9.18</v>
      </c>
      <c r="T556" s="134">
        <v>11.93</v>
      </c>
      <c r="U556" s="134">
        <v>-0.81</v>
      </c>
      <c r="V556" s="134">
        <v>1.81</v>
      </c>
      <c r="W556" s="134">
        <v>0.84</v>
      </c>
      <c r="X556" s="134">
        <v>-33.11</v>
      </c>
      <c r="Y556" s="10">
        <v>0.0</v>
      </c>
      <c r="Z556" s="138">
        <v>0.0</v>
      </c>
      <c r="AA556" s="134">
        <v>-0.46</v>
      </c>
      <c r="AB556" s="134">
        <v>-0.05</v>
      </c>
      <c r="AC556" s="134">
        <v>0.52</v>
      </c>
      <c r="AD556" s="135">
        <v>7.189022222E7</v>
      </c>
    </row>
    <row r="557">
      <c r="A557" s="10" t="s">
        <v>250</v>
      </c>
      <c r="B557" s="134">
        <v>2.52</v>
      </c>
      <c r="C557" s="134">
        <v>1.64</v>
      </c>
      <c r="D557" s="134">
        <v>2.96</v>
      </c>
      <c r="E557" s="134">
        <v>0.52</v>
      </c>
      <c r="F557" s="134">
        <v>0.14</v>
      </c>
      <c r="G557" s="134">
        <v>2.41</v>
      </c>
      <c r="H557" s="134">
        <v>17.91</v>
      </c>
      <c r="I557" s="134">
        <v>14.89</v>
      </c>
      <c r="J557" s="134">
        <v>2.46</v>
      </c>
      <c r="K557" s="134">
        <v>11.87</v>
      </c>
      <c r="L557" s="134">
        <v>9.39</v>
      </c>
      <c r="M557" s="134">
        <v>2.0</v>
      </c>
      <c r="N557" s="134">
        <v>0.44</v>
      </c>
      <c r="O557" s="134">
        <v>-1.02</v>
      </c>
      <c r="P557" s="134">
        <v>-0.15</v>
      </c>
      <c r="Q557" s="134">
        <v>0.31</v>
      </c>
      <c r="R557" s="134">
        <v>17.68</v>
      </c>
      <c r="S557" s="134">
        <v>4.65</v>
      </c>
      <c r="T557" s="134">
        <v>6.37</v>
      </c>
      <c r="U557" s="134">
        <v>0.26</v>
      </c>
      <c r="V557" s="134">
        <v>0.74</v>
      </c>
      <c r="W557" s="134">
        <v>0.31</v>
      </c>
      <c r="X557" s="134">
        <v>-16.95</v>
      </c>
      <c r="Y557" s="134">
        <v>17.13</v>
      </c>
      <c r="Z557" s="135">
        <v>1.300436033E7</v>
      </c>
      <c r="AA557" s="134">
        <v>4.79</v>
      </c>
      <c r="AB557" s="134">
        <v>0.85</v>
      </c>
      <c r="AC557" s="134">
        <v>-0.01</v>
      </c>
      <c r="AD557" s="135">
        <v>4.4528E8</v>
      </c>
    </row>
    <row r="558">
      <c r="A558" s="10" t="s">
        <v>214</v>
      </c>
      <c r="B558" s="134">
        <v>6.09</v>
      </c>
      <c r="C558" s="10">
        <v>0.0</v>
      </c>
      <c r="D558" s="136">
        <v>1042.57</v>
      </c>
      <c r="E558" s="134">
        <v>35.32</v>
      </c>
      <c r="F558" s="134">
        <v>10.75</v>
      </c>
      <c r="G558" s="134">
        <v>67.37</v>
      </c>
      <c r="H558" s="134">
        <v>1.7</v>
      </c>
      <c r="I558" s="134">
        <v>5.33</v>
      </c>
      <c r="J558" s="136">
        <v>3276.09</v>
      </c>
      <c r="K558" s="136">
        <v>3397.79</v>
      </c>
      <c r="L558" s="134">
        <v>62.91</v>
      </c>
      <c r="M558" s="134">
        <v>0.68</v>
      </c>
      <c r="N558" s="134">
        <v>55.53</v>
      </c>
      <c r="O558" s="134">
        <v>65.1</v>
      </c>
      <c r="P558" s="134">
        <v>-17.34</v>
      </c>
      <c r="Q558" s="134">
        <v>1.77</v>
      </c>
      <c r="R558" s="134">
        <v>3.39</v>
      </c>
      <c r="S558" s="134">
        <v>1.03</v>
      </c>
      <c r="T558" s="136">
        <v>-0.66</v>
      </c>
      <c r="U558" s="134">
        <v>0.3</v>
      </c>
      <c r="V558" s="134">
        <v>0.7</v>
      </c>
      <c r="W558" s="134">
        <v>0.19</v>
      </c>
      <c r="X558" s="10">
        <v>0.0</v>
      </c>
      <c r="Y558" s="10">
        <v>0.0</v>
      </c>
      <c r="Z558" s="135">
        <v>9982766.25</v>
      </c>
      <c r="AA558" s="134">
        <v>0.17</v>
      </c>
      <c r="AB558" s="134">
        <v>0.01</v>
      </c>
      <c r="AC558" s="10">
        <v>0.0</v>
      </c>
      <c r="AD558" s="135">
        <v>1.75747814112E9</v>
      </c>
    </row>
    <row r="559">
      <c r="A559" s="10" t="s">
        <v>230</v>
      </c>
      <c r="B559" s="134">
        <v>7.21</v>
      </c>
      <c r="C559" s="134">
        <v>3.36</v>
      </c>
      <c r="D559" s="134">
        <v>7.72</v>
      </c>
      <c r="E559" s="134">
        <v>1.1</v>
      </c>
      <c r="F559" s="134">
        <v>0.6</v>
      </c>
      <c r="G559" s="134">
        <v>36.52</v>
      </c>
      <c r="H559" s="134">
        <v>23.17</v>
      </c>
      <c r="I559" s="134">
        <v>18.9</v>
      </c>
      <c r="J559" s="134">
        <v>6.3</v>
      </c>
      <c r="K559" s="134">
        <v>6.8</v>
      </c>
      <c r="L559" s="134">
        <v>0.47</v>
      </c>
      <c r="M559" s="134">
        <v>0.08</v>
      </c>
      <c r="N559" s="134">
        <v>1.46</v>
      </c>
      <c r="O559" s="134">
        <v>1.11</v>
      </c>
      <c r="P559" s="134">
        <v>-2.83</v>
      </c>
      <c r="Q559" s="134">
        <v>3.2</v>
      </c>
      <c r="R559" s="134">
        <v>14.18</v>
      </c>
      <c r="S559" s="134">
        <v>7.78</v>
      </c>
      <c r="T559" s="136">
        <v>10.94</v>
      </c>
      <c r="U559" s="134">
        <v>0.55</v>
      </c>
      <c r="V559" s="134">
        <v>0.42</v>
      </c>
      <c r="W559" s="134">
        <v>0.41</v>
      </c>
      <c r="X559" s="134">
        <v>18.29</v>
      </c>
      <c r="Y559" s="134">
        <v>55.55</v>
      </c>
      <c r="Z559" s="135">
        <v>1.293031579E7</v>
      </c>
      <c r="AA559" s="134">
        <v>6.58</v>
      </c>
      <c r="AB559" s="134">
        <v>0.93</v>
      </c>
      <c r="AC559" s="134">
        <v>0.56</v>
      </c>
      <c r="AD559" s="135">
        <v>1.34924479974E9</v>
      </c>
    </row>
    <row r="560">
      <c r="A560" s="10" t="s">
        <v>426</v>
      </c>
      <c r="B560" s="134">
        <v>32.3</v>
      </c>
      <c r="C560" s="134">
        <v>10.73</v>
      </c>
      <c r="D560" s="134">
        <v>6.04</v>
      </c>
      <c r="E560" s="134">
        <v>1.51</v>
      </c>
      <c r="F560" s="134">
        <v>0.76</v>
      </c>
      <c r="G560" s="134">
        <v>69.02</v>
      </c>
      <c r="H560" s="134">
        <v>120.03</v>
      </c>
      <c r="I560" s="134">
        <v>88.69</v>
      </c>
      <c r="J560" s="134">
        <v>4.46</v>
      </c>
      <c r="K560" s="134">
        <v>4.81</v>
      </c>
      <c r="L560" s="134">
        <v>1.06</v>
      </c>
      <c r="M560" s="134">
        <v>0.36</v>
      </c>
      <c r="N560" s="134">
        <v>5.36</v>
      </c>
      <c r="O560" s="134">
        <v>10.13</v>
      </c>
      <c r="P560" s="134">
        <v>-0.9</v>
      </c>
      <c r="Q560" s="134">
        <v>2.05</v>
      </c>
      <c r="R560" s="134">
        <v>24.93</v>
      </c>
      <c r="S560" s="134">
        <v>12.64</v>
      </c>
      <c r="T560" s="136">
        <v>18.37</v>
      </c>
      <c r="U560" s="134">
        <v>0.51</v>
      </c>
      <c r="V560" s="134">
        <v>0.48</v>
      </c>
      <c r="W560" s="134">
        <v>0.14</v>
      </c>
      <c r="X560" s="134">
        <v>23.49</v>
      </c>
      <c r="Y560" s="134">
        <v>47.51</v>
      </c>
      <c r="Z560" s="136">
        <v>64419.96</v>
      </c>
      <c r="AA560" s="134">
        <v>21.45</v>
      </c>
      <c r="AB560" s="134">
        <v>5.35</v>
      </c>
      <c r="AC560" s="134">
        <v>0.1</v>
      </c>
      <c r="AD560" s="135">
        <v>1.790645201892E10</v>
      </c>
    </row>
    <row r="561">
      <c r="A561" s="10" t="s">
        <v>162</v>
      </c>
      <c r="B561" s="134">
        <v>24.15</v>
      </c>
      <c r="C561" s="134">
        <v>14.35</v>
      </c>
      <c r="D561" s="134">
        <v>4.52</v>
      </c>
      <c r="E561" s="134">
        <v>1.13</v>
      </c>
      <c r="F561" s="134">
        <v>0.57</v>
      </c>
      <c r="G561" s="134">
        <v>69.02</v>
      </c>
      <c r="H561" s="134">
        <v>120.03</v>
      </c>
      <c r="I561" s="134">
        <v>88.69</v>
      </c>
      <c r="J561" s="134">
        <v>3.34</v>
      </c>
      <c r="K561" s="134">
        <v>4.81</v>
      </c>
      <c r="L561" s="134">
        <v>1.06</v>
      </c>
      <c r="M561" s="134">
        <v>0.36</v>
      </c>
      <c r="N561" s="134">
        <v>4.0</v>
      </c>
      <c r="O561" s="134">
        <v>7.57</v>
      </c>
      <c r="P561" s="134">
        <v>-0.67</v>
      </c>
      <c r="Q561" s="134">
        <v>2.05</v>
      </c>
      <c r="R561" s="134">
        <v>24.93</v>
      </c>
      <c r="S561" s="134">
        <v>12.64</v>
      </c>
      <c r="T561" s="136">
        <v>18.37</v>
      </c>
      <c r="U561" s="134">
        <v>0.51</v>
      </c>
      <c r="V561" s="134">
        <v>0.48</v>
      </c>
      <c r="W561" s="134">
        <v>0.14</v>
      </c>
      <c r="X561" s="134">
        <v>23.49</v>
      </c>
      <c r="Y561" s="134">
        <v>47.51</v>
      </c>
      <c r="Z561" s="135">
        <v>3.229367713E7</v>
      </c>
      <c r="AA561" s="134">
        <v>21.45</v>
      </c>
      <c r="AB561" s="134">
        <v>5.35</v>
      </c>
      <c r="AC561" s="134">
        <v>0.08</v>
      </c>
      <c r="AD561" s="135">
        <v>1.790645201892E10</v>
      </c>
    </row>
    <row r="562">
      <c r="A562" s="10" t="s">
        <v>243</v>
      </c>
      <c r="B562" s="134">
        <v>8.8</v>
      </c>
      <c r="C562" s="10">
        <v>0.0</v>
      </c>
      <c r="D562" s="134">
        <v>21.32</v>
      </c>
      <c r="E562" s="134">
        <v>5.06</v>
      </c>
      <c r="F562" s="134">
        <v>1.16</v>
      </c>
      <c r="G562" s="134">
        <v>14.36</v>
      </c>
      <c r="H562" s="134">
        <v>7.94</v>
      </c>
      <c r="I562" s="134">
        <v>6.3</v>
      </c>
      <c r="J562" s="134">
        <v>16.91</v>
      </c>
      <c r="K562" s="134">
        <v>20.11</v>
      </c>
      <c r="L562" s="134">
        <v>3.1</v>
      </c>
      <c r="M562" s="134">
        <v>0.93</v>
      </c>
      <c r="N562" s="134">
        <v>1.34</v>
      </c>
      <c r="O562" s="134">
        <v>9.37</v>
      </c>
      <c r="P562" s="134">
        <v>-6.66</v>
      </c>
      <c r="Q562" s="134">
        <v>1.18</v>
      </c>
      <c r="R562" s="134">
        <v>23.75</v>
      </c>
      <c r="S562" s="134">
        <v>5.45</v>
      </c>
      <c r="T562" s="136">
        <v>13.2</v>
      </c>
      <c r="U562" s="134">
        <v>0.23</v>
      </c>
      <c r="V562" s="134">
        <v>0.77</v>
      </c>
      <c r="W562" s="134">
        <v>0.87</v>
      </c>
      <c r="X562" s="10">
        <v>0.0</v>
      </c>
      <c r="Y562" s="10">
        <v>0.0</v>
      </c>
      <c r="Z562" s="135">
        <v>1.095956408E7</v>
      </c>
      <c r="AA562" s="134">
        <v>1.73</v>
      </c>
      <c r="AB562" s="134">
        <v>0.41</v>
      </c>
      <c r="AC562" s="10">
        <v>0.0</v>
      </c>
      <c r="AD562" s="135">
        <v>4.36305882301E9</v>
      </c>
    </row>
    <row r="563">
      <c r="A563" s="10" t="s">
        <v>200</v>
      </c>
      <c r="B563" s="134">
        <v>20.11</v>
      </c>
      <c r="C563" s="134">
        <v>0.68</v>
      </c>
      <c r="D563" s="134">
        <v>12.6</v>
      </c>
      <c r="E563" s="134">
        <v>1.16</v>
      </c>
      <c r="F563" s="134">
        <v>0.47</v>
      </c>
      <c r="G563" s="134">
        <v>17.06</v>
      </c>
      <c r="H563" s="134">
        <v>7.55</v>
      </c>
      <c r="I563" s="134">
        <v>4.04</v>
      </c>
      <c r="J563" s="134">
        <v>6.75</v>
      </c>
      <c r="K563" s="134">
        <v>8.55</v>
      </c>
      <c r="L563" s="134">
        <v>1.8</v>
      </c>
      <c r="M563" s="134">
        <v>0.31</v>
      </c>
      <c r="N563" s="134">
        <v>0.51</v>
      </c>
      <c r="O563" s="134">
        <v>1.48</v>
      </c>
      <c r="P563" s="134">
        <v>-1.1</v>
      </c>
      <c r="Q563" s="134">
        <v>2.23</v>
      </c>
      <c r="R563" s="134">
        <v>9.2</v>
      </c>
      <c r="S563" s="134">
        <v>3.71</v>
      </c>
      <c r="T563" s="136">
        <v>9.21</v>
      </c>
      <c r="U563" s="134">
        <v>0.4</v>
      </c>
      <c r="V563" s="134">
        <v>0.6</v>
      </c>
      <c r="W563" s="134">
        <v>0.92</v>
      </c>
      <c r="X563" s="134">
        <v>4.44</v>
      </c>
      <c r="Y563" s="134">
        <v>0.94</v>
      </c>
      <c r="Z563" s="135">
        <v>1.761951567E7</v>
      </c>
      <c r="AA563" s="134">
        <v>17.38</v>
      </c>
      <c r="AB563" s="134">
        <v>1.6</v>
      </c>
      <c r="AC563" s="134">
        <v>-0.05</v>
      </c>
      <c r="AD563" s="135">
        <v>2.9066184E9</v>
      </c>
    </row>
    <row r="564">
      <c r="A564" s="10" t="s">
        <v>529</v>
      </c>
      <c r="B564" s="134">
        <v>30.0</v>
      </c>
      <c r="C564" s="10">
        <v>0.0</v>
      </c>
      <c r="D564" s="134">
        <v>-14.01</v>
      </c>
      <c r="E564" s="134">
        <v>-0.41</v>
      </c>
      <c r="F564" s="134">
        <v>0.62</v>
      </c>
      <c r="G564" s="134">
        <v>36.22</v>
      </c>
      <c r="H564" s="134">
        <v>19.32</v>
      </c>
      <c r="I564" s="134">
        <v>-7.09</v>
      </c>
      <c r="J564" s="134">
        <v>5.14</v>
      </c>
      <c r="K564" s="134">
        <v>12.73</v>
      </c>
      <c r="L564" s="134">
        <v>9.97</v>
      </c>
      <c r="M564" s="10">
        <v>0.0</v>
      </c>
      <c r="N564" s="134">
        <v>0.99</v>
      </c>
      <c r="O564" s="134">
        <v>-0.48</v>
      </c>
      <c r="P564" s="134">
        <v>-1.08</v>
      </c>
      <c r="Q564" s="134">
        <v>0.24</v>
      </c>
      <c r="R564" s="134">
        <v>-2.91</v>
      </c>
      <c r="S564" s="134">
        <v>-4.45</v>
      </c>
      <c r="T564" s="134">
        <v>-37.69</v>
      </c>
      <c r="U564" s="134">
        <v>-1.53</v>
      </c>
      <c r="V564" s="134">
        <v>2.53</v>
      </c>
      <c r="W564" s="134">
        <v>0.63</v>
      </c>
      <c r="X564" s="134">
        <v>1.83</v>
      </c>
      <c r="Y564" s="10">
        <v>0.0</v>
      </c>
      <c r="Z564" s="136">
        <v>4500.3</v>
      </c>
      <c r="AA564" s="134">
        <v>-73.67</v>
      </c>
      <c r="AB564" s="134">
        <v>-2.14</v>
      </c>
      <c r="AC564" s="134">
        <v>0.02</v>
      </c>
      <c r="AD564" s="135">
        <v>6.838968318E7</v>
      </c>
    </row>
    <row r="565">
      <c r="A565" s="10" t="s">
        <v>468</v>
      </c>
      <c r="B565" s="134">
        <v>8.81</v>
      </c>
      <c r="C565" s="10">
        <v>0.0</v>
      </c>
      <c r="D565" s="134">
        <v>-4.11</v>
      </c>
      <c r="E565" s="134">
        <v>-0.12</v>
      </c>
      <c r="F565" s="134">
        <v>0.18</v>
      </c>
      <c r="G565" s="134">
        <v>36.22</v>
      </c>
      <c r="H565" s="134">
        <v>19.32</v>
      </c>
      <c r="I565" s="134">
        <v>-7.09</v>
      </c>
      <c r="J565" s="134">
        <v>1.51</v>
      </c>
      <c r="K565" s="134">
        <v>12.73</v>
      </c>
      <c r="L565" s="134">
        <v>9.97</v>
      </c>
      <c r="M565" s="10">
        <v>0.0</v>
      </c>
      <c r="N565" s="134">
        <v>0.29</v>
      </c>
      <c r="O565" s="134">
        <v>-0.14</v>
      </c>
      <c r="P565" s="134">
        <v>-0.32</v>
      </c>
      <c r="Q565" s="134">
        <v>0.24</v>
      </c>
      <c r="R565" s="134">
        <v>-2.91</v>
      </c>
      <c r="S565" s="134">
        <v>-4.45</v>
      </c>
      <c r="T565" s="134">
        <v>-37.69</v>
      </c>
      <c r="U565" s="134">
        <v>-1.53</v>
      </c>
      <c r="V565" s="134">
        <v>2.53</v>
      </c>
      <c r="W565" s="134">
        <v>0.63</v>
      </c>
      <c r="X565" s="134">
        <v>1.83</v>
      </c>
      <c r="Y565" s="10">
        <v>0.0</v>
      </c>
      <c r="Z565" s="136">
        <v>16287.81</v>
      </c>
      <c r="AA565" s="134">
        <v>-73.67</v>
      </c>
      <c r="AB565" s="134">
        <v>-2.14</v>
      </c>
      <c r="AC565" s="134">
        <v>0.01</v>
      </c>
      <c r="AD565" s="135">
        <v>6.838968318E7</v>
      </c>
    </row>
    <row r="566">
      <c r="A566" s="10" t="s">
        <v>359</v>
      </c>
      <c r="B566" s="134">
        <v>4.15</v>
      </c>
      <c r="C566" s="134">
        <v>5.08</v>
      </c>
      <c r="D566" s="134">
        <v>11.71</v>
      </c>
      <c r="E566" s="134">
        <v>1.76</v>
      </c>
      <c r="F566" s="134">
        <v>1.14</v>
      </c>
      <c r="G566" s="134">
        <v>38.55</v>
      </c>
      <c r="H566" s="134">
        <v>16.2</v>
      </c>
      <c r="I566" s="134">
        <v>12.85</v>
      </c>
      <c r="J566" s="134">
        <v>9.29</v>
      </c>
      <c r="K566" s="134">
        <v>8.07</v>
      </c>
      <c r="L566" s="134">
        <v>-1.29</v>
      </c>
      <c r="M566" s="134">
        <v>-0.24</v>
      </c>
      <c r="N566" s="134">
        <v>1.51</v>
      </c>
      <c r="O566" s="134">
        <v>5.02</v>
      </c>
      <c r="P566" s="134">
        <v>-2.24</v>
      </c>
      <c r="Q566" s="134">
        <v>1.85</v>
      </c>
      <c r="R566" s="134">
        <v>15.0</v>
      </c>
      <c r="S566" s="134">
        <v>9.71</v>
      </c>
      <c r="T566" s="134">
        <v>11.29</v>
      </c>
      <c r="U566" s="134">
        <v>0.65</v>
      </c>
      <c r="V566" s="134">
        <v>0.35</v>
      </c>
      <c r="W566" s="134">
        <v>0.76</v>
      </c>
      <c r="X566" s="134">
        <v>-7.54</v>
      </c>
      <c r="Y566" s="134">
        <v>12.58</v>
      </c>
      <c r="Z566" s="135">
        <v>195802.13</v>
      </c>
      <c r="AA566" s="134">
        <v>2.39</v>
      </c>
      <c r="AB566" s="134">
        <v>0.36</v>
      </c>
      <c r="AC566" s="134">
        <v>0.1</v>
      </c>
      <c r="AD566" s="135">
        <v>2.7954531972E8</v>
      </c>
    </row>
    <row r="567">
      <c r="A567" s="10" t="s">
        <v>100</v>
      </c>
      <c r="B567" s="134">
        <v>14.82</v>
      </c>
      <c r="C567" s="134">
        <v>4.31</v>
      </c>
      <c r="D567" s="134">
        <v>20.88</v>
      </c>
      <c r="E567" s="134">
        <v>1.71</v>
      </c>
      <c r="F567" s="134">
        <v>0.46</v>
      </c>
      <c r="G567" s="134">
        <v>6.6</v>
      </c>
      <c r="H567" s="134">
        <v>1.78</v>
      </c>
      <c r="I567" s="134">
        <v>0.82</v>
      </c>
      <c r="J567" s="134">
        <v>9.62</v>
      </c>
      <c r="K567" s="134">
        <v>16.47</v>
      </c>
      <c r="L567" s="134">
        <v>6.79</v>
      </c>
      <c r="M567" s="134">
        <v>1.21</v>
      </c>
      <c r="N567" s="134">
        <v>0.17</v>
      </c>
      <c r="O567" s="134">
        <v>2.17</v>
      </c>
      <c r="P567" s="134">
        <v>-0.9</v>
      </c>
      <c r="Q567" s="134">
        <v>1.76</v>
      </c>
      <c r="R567" s="134">
        <v>8.2</v>
      </c>
      <c r="S567" s="134">
        <v>2.2</v>
      </c>
      <c r="T567" s="136">
        <v>4.24</v>
      </c>
      <c r="U567" s="134">
        <v>0.27</v>
      </c>
      <c r="V567" s="134">
        <v>0.72</v>
      </c>
      <c r="W567" s="134">
        <v>2.68</v>
      </c>
      <c r="X567" s="134">
        <v>1.43</v>
      </c>
      <c r="Y567" s="134">
        <v>-12.02</v>
      </c>
      <c r="Z567" s="135">
        <v>1.2486299171E8</v>
      </c>
      <c r="AA567" s="134">
        <v>8.67</v>
      </c>
      <c r="AB567" s="134">
        <v>0.71</v>
      </c>
      <c r="AC567" s="134">
        <v>0.09</v>
      </c>
      <c r="AD567" s="135">
        <v>1.663740663036E10</v>
      </c>
    </row>
    <row r="568">
      <c r="A568" s="10" t="s">
        <v>306</v>
      </c>
      <c r="B568" s="134">
        <v>83.46</v>
      </c>
      <c r="C568" s="134">
        <v>8.8</v>
      </c>
      <c r="D568" s="134">
        <v>8.13</v>
      </c>
      <c r="E568" s="134">
        <v>3.95</v>
      </c>
      <c r="F568" s="134">
        <v>1.6</v>
      </c>
      <c r="G568" s="134">
        <v>42.28</v>
      </c>
      <c r="H568" s="134">
        <v>31.44</v>
      </c>
      <c r="I568" s="134">
        <v>20.02</v>
      </c>
      <c r="J568" s="134">
        <v>5.18</v>
      </c>
      <c r="K568" s="134">
        <v>4.85</v>
      </c>
      <c r="L568" s="134">
        <v>-0.21</v>
      </c>
      <c r="M568" s="134">
        <v>-0.16</v>
      </c>
      <c r="N568" s="134">
        <v>1.63</v>
      </c>
      <c r="O568" s="134">
        <v>6.46</v>
      </c>
      <c r="P568" s="134">
        <v>-2.95</v>
      </c>
      <c r="Q568" s="134">
        <v>2.17</v>
      </c>
      <c r="R568" s="134">
        <v>48.58</v>
      </c>
      <c r="S568" s="134">
        <v>19.62</v>
      </c>
      <c r="T568" s="134">
        <v>36.14</v>
      </c>
      <c r="U568" s="134">
        <v>0.4</v>
      </c>
      <c r="V568" s="134">
        <v>0.59</v>
      </c>
      <c r="W568" s="134">
        <v>0.98</v>
      </c>
      <c r="X568" s="134">
        <v>35.12</v>
      </c>
      <c r="Y568" s="134">
        <v>61.42</v>
      </c>
      <c r="Z568" s="135">
        <v>2199858.92</v>
      </c>
      <c r="AA568" s="134">
        <v>20.98</v>
      </c>
      <c r="AB568" s="134">
        <v>10.19</v>
      </c>
      <c r="AC568" s="134">
        <v>0.0</v>
      </c>
      <c r="AD568" s="135">
        <v>7.6479267484E9</v>
      </c>
    </row>
    <row r="569">
      <c r="A569" s="10" t="s">
        <v>436</v>
      </c>
      <c r="B569" s="134">
        <v>80.0</v>
      </c>
      <c r="C569" s="134">
        <v>10.03</v>
      </c>
      <c r="D569" s="134">
        <v>7.85</v>
      </c>
      <c r="E569" s="134">
        <v>3.81</v>
      </c>
      <c r="F569" s="134">
        <v>1.54</v>
      </c>
      <c r="G569" s="134">
        <v>42.28</v>
      </c>
      <c r="H569" s="134">
        <v>31.44</v>
      </c>
      <c r="I569" s="134">
        <v>20.02</v>
      </c>
      <c r="J569" s="134">
        <v>5.0</v>
      </c>
      <c r="K569" s="134">
        <v>4.85</v>
      </c>
      <c r="L569" s="134">
        <v>-0.21</v>
      </c>
      <c r="M569" s="134">
        <v>-0.16</v>
      </c>
      <c r="N569" s="134">
        <v>1.57</v>
      </c>
      <c r="O569" s="134">
        <v>6.24</v>
      </c>
      <c r="P569" s="134">
        <v>-2.84</v>
      </c>
      <c r="Q569" s="134">
        <v>2.17</v>
      </c>
      <c r="R569" s="134">
        <v>48.58</v>
      </c>
      <c r="S569" s="134">
        <v>19.62</v>
      </c>
      <c r="T569" s="136">
        <v>36.14</v>
      </c>
      <c r="U569" s="134">
        <v>0.4</v>
      </c>
      <c r="V569" s="134">
        <v>0.59</v>
      </c>
      <c r="W569" s="134">
        <v>0.98</v>
      </c>
      <c r="X569" s="134">
        <v>35.12</v>
      </c>
      <c r="Y569" s="134">
        <v>61.42</v>
      </c>
      <c r="Z569" s="136">
        <v>51403.92</v>
      </c>
      <c r="AA569" s="134">
        <v>20.98</v>
      </c>
      <c r="AB569" s="134">
        <v>10.19</v>
      </c>
      <c r="AC569" s="134">
        <v>0.0</v>
      </c>
      <c r="AD569" s="135">
        <v>7.6479267484E9</v>
      </c>
    </row>
    <row r="570">
      <c r="A570" s="10" t="s">
        <v>194</v>
      </c>
      <c r="B570" s="134">
        <v>79.78</v>
      </c>
      <c r="C570" s="134">
        <v>10.11</v>
      </c>
      <c r="D570" s="134">
        <v>7.79</v>
      </c>
      <c r="E570" s="134">
        <v>3.78</v>
      </c>
      <c r="F570" s="134">
        <v>1.53</v>
      </c>
      <c r="G570" s="134">
        <v>42.28</v>
      </c>
      <c r="H570" s="134">
        <v>31.44</v>
      </c>
      <c r="I570" s="134">
        <v>20.02</v>
      </c>
      <c r="J570" s="134">
        <v>4.96</v>
      </c>
      <c r="K570" s="134">
        <v>4.85</v>
      </c>
      <c r="L570" s="134">
        <v>-0.21</v>
      </c>
      <c r="M570" s="134">
        <v>-0.16</v>
      </c>
      <c r="N570" s="134">
        <v>1.56</v>
      </c>
      <c r="O570" s="134">
        <v>6.19</v>
      </c>
      <c r="P570" s="134">
        <v>-2.82</v>
      </c>
      <c r="Q570" s="134">
        <v>2.17</v>
      </c>
      <c r="R570" s="134">
        <v>48.58</v>
      </c>
      <c r="S570" s="134">
        <v>19.62</v>
      </c>
      <c r="T570" s="134">
        <v>36.14</v>
      </c>
      <c r="U570" s="134">
        <v>0.4</v>
      </c>
      <c r="V570" s="134">
        <v>0.59</v>
      </c>
      <c r="W570" s="134">
        <v>0.98</v>
      </c>
      <c r="X570" s="134">
        <v>35.12</v>
      </c>
      <c r="Y570" s="134">
        <v>61.42</v>
      </c>
      <c r="Z570" s="135">
        <v>2.432584213E7</v>
      </c>
      <c r="AA570" s="134">
        <v>20.98</v>
      </c>
      <c r="AB570" s="134">
        <v>10.19</v>
      </c>
      <c r="AC570" s="134">
        <v>0.0</v>
      </c>
      <c r="AD570" s="135">
        <v>7.6479267484E9</v>
      </c>
    </row>
    <row r="571">
      <c r="A571" s="10" t="s">
        <v>261</v>
      </c>
      <c r="B571" s="134">
        <v>15.73</v>
      </c>
      <c r="C571" s="134">
        <v>7.1</v>
      </c>
      <c r="D571" s="134">
        <v>2.94</v>
      </c>
      <c r="E571" s="134">
        <v>0.99</v>
      </c>
      <c r="F571" s="134">
        <v>0.54</v>
      </c>
      <c r="G571" s="134">
        <v>32.32</v>
      </c>
      <c r="H571" s="134">
        <v>36.46</v>
      </c>
      <c r="I571" s="134">
        <v>25.33</v>
      </c>
      <c r="J571" s="134">
        <v>2.05</v>
      </c>
      <c r="K571" s="134">
        <v>2.05</v>
      </c>
      <c r="L571" s="134">
        <v>-0.02</v>
      </c>
      <c r="M571" s="134">
        <v>-0.01</v>
      </c>
      <c r="N571" s="134">
        <v>0.75</v>
      </c>
      <c r="O571" s="134">
        <v>1.54</v>
      </c>
      <c r="P571" s="134">
        <v>-1.09</v>
      </c>
      <c r="Q571" s="134">
        <v>3.39</v>
      </c>
      <c r="R571" s="134">
        <v>33.74</v>
      </c>
      <c r="S571" s="134">
        <v>18.42</v>
      </c>
      <c r="T571" s="134">
        <v>24.18</v>
      </c>
      <c r="U571" s="134">
        <v>0.55</v>
      </c>
      <c r="V571" s="134">
        <v>0.38</v>
      </c>
      <c r="W571" s="134">
        <v>0.73</v>
      </c>
      <c r="X571" s="134">
        <v>9.57</v>
      </c>
      <c r="Y571" s="10">
        <v>0.0</v>
      </c>
      <c r="Z571" s="135">
        <v>8652559.92</v>
      </c>
      <c r="AA571" s="134">
        <v>15.89</v>
      </c>
      <c r="AB571" s="134">
        <v>5.36</v>
      </c>
      <c r="AC571" s="134">
        <v>0.0</v>
      </c>
      <c r="AD571" s="135">
        <v>2.000442697876E10</v>
      </c>
    </row>
    <row r="572">
      <c r="A572" s="10" t="s">
        <v>63</v>
      </c>
      <c r="B572" s="134">
        <v>16.19</v>
      </c>
      <c r="C572" s="134">
        <v>7.58</v>
      </c>
      <c r="D572" s="134">
        <v>3.03</v>
      </c>
      <c r="E572" s="134">
        <v>1.02</v>
      </c>
      <c r="F572" s="134">
        <v>0.56</v>
      </c>
      <c r="G572" s="134">
        <v>32.32</v>
      </c>
      <c r="H572" s="134">
        <v>36.46</v>
      </c>
      <c r="I572" s="134">
        <v>25.33</v>
      </c>
      <c r="J572" s="134">
        <v>2.11</v>
      </c>
      <c r="K572" s="134">
        <v>2.05</v>
      </c>
      <c r="L572" s="134">
        <v>-0.02</v>
      </c>
      <c r="M572" s="134">
        <v>-0.01</v>
      </c>
      <c r="N572" s="134">
        <v>0.77</v>
      </c>
      <c r="O572" s="134">
        <v>1.58</v>
      </c>
      <c r="P572" s="134">
        <v>-1.12</v>
      </c>
      <c r="Q572" s="134">
        <v>3.39</v>
      </c>
      <c r="R572" s="134">
        <v>33.74</v>
      </c>
      <c r="S572" s="134">
        <v>18.42</v>
      </c>
      <c r="T572" s="136">
        <v>24.18</v>
      </c>
      <c r="U572" s="134">
        <v>0.55</v>
      </c>
      <c r="V572" s="134">
        <v>0.38</v>
      </c>
      <c r="W572" s="134">
        <v>0.73</v>
      </c>
      <c r="X572" s="134">
        <v>9.57</v>
      </c>
      <c r="Y572" s="10">
        <v>0.0</v>
      </c>
      <c r="Z572" s="135">
        <v>4.4812985742E8</v>
      </c>
      <c r="AA572" s="134">
        <v>15.89</v>
      </c>
      <c r="AB572" s="134">
        <v>5.36</v>
      </c>
      <c r="AC572" s="134">
        <v>0.0</v>
      </c>
      <c r="AD572" s="135">
        <v>2.000442697876E10</v>
      </c>
    </row>
    <row r="573">
      <c r="A573" s="10" t="s">
        <v>539</v>
      </c>
      <c r="B573" s="134">
        <v>18.99</v>
      </c>
      <c r="C573" s="134">
        <v>6.49</v>
      </c>
      <c r="D573" s="134">
        <v>3.54</v>
      </c>
      <c r="E573" s="134">
        <v>1.2</v>
      </c>
      <c r="F573" s="134">
        <v>0.65</v>
      </c>
      <c r="G573" s="134">
        <v>32.32</v>
      </c>
      <c r="H573" s="134">
        <v>36.46</v>
      </c>
      <c r="I573" s="134">
        <v>25.33</v>
      </c>
      <c r="J573" s="134">
        <v>2.46</v>
      </c>
      <c r="K573" s="134">
        <v>2.05</v>
      </c>
      <c r="L573" s="134">
        <v>-0.02</v>
      </c>
      <c r="M573" s="134">
        <v>-0.01</v>
      </c>
      <c r="N573" s="134">
        <v>0.9</v>
      </c>
      <c r="O573" s="134">
        <v>1.85</v>
      </c>
      <c r="P573" s="134">
        <v>-1.31</v>
      </c>
      <c r="Q573" s="134">
        <v>3.39</v>
      </c>
      <c r="R573" s="134">
        <v>33.74</v>
      </c>
      <c r="S573" s="134">
        <v>18.42</v>
      </c>
      <c r="T573" s="134">
        <v>24.18</v>
      </c>
      <c r="U573" s="134">
        <v>0.55</v>
      </c>
      <c r="V573" s="134">
        <v>0.38</v>
      </c>
      <c r="W573" s="134">
        <v>0.73</v>
      </c>
      <c r="X573" s="134">
        <v>9.57</v>
      </c>
      <c r="Y573" s="10">
        <v>0.0</v>
      </c>
      <c r="Z573" s="136">
        <v>3197.67</v>
      </c>
      <c r="AA573" s="134">
        <v>15.89</v>
      </c>
      <c r="AB573" s="134">
        <v>5.36</v>
      </c>
      <c r="AC573" s="134">
        <v>0.0</v>
      </c>
      <c r="AD573" s="135">
        <v>2.000442697876E10</v>
      </c>
    </row>
    <row r="574">
      <c r="A574" s="10" t="s">
        <v>53</v>
      </c>
      <c r="B574" s="134">
        <v>75.7</v>
      </c>
      <c r="C574" s="134">
        <v>19.34</v>
      </c>
      <c r="D574" s="134">
        <v>4.27</v>
      </c>
      <c r="E574" s="134">
        <v>1.87</v>
      </c>
      <c r="F574" s="134">
        <v>0.8</v>
      </c>
      <c r="G574" s="134">
        <v>61.68</v>
      </c>
      <c r="H574" s="134">
        <v>42.53</v>
      </c>
      <c r="I574" s="134">
        <v>30.99</v>
      </c>
      <c r="J574" s="134">
        <v>3.11</v>
      </c>
      <c r="K574" s="134">
        <v>3.12</v>
      </c>
      <c r="L574" s="134">
        <v>0.01</v>
      </c>
      <c r="M574" s="134">
        <v>0.01</v>
      </c>
      <c r="N574" s="134">
        <v>1.32</v>
      </c>
      <c r="O574" s="134">
        <v>7.02</v>
      </c>
      <c r="P574" s="134">
        <v>-1.09</v>
      </c>
      <c r="Q574" s="134">
        <v>1.77</v>
      </c>
      <c r="R574" s="134">
        <v>43.71</v>
      </c>
      <c r="S574" s="134">
        <v>18.83</v>
      </c>
      <c r="T574" s="134">
        <v>35.12</v>
      </c>
      <c r="U574" s="134">
        <v>0.43</v>
      </c>
      <c r="V574" s="134">
        <v>0.56</v>
      </c>
      <c r="W574" s="134">
        <v>0.61</v>
      </c>
      <c r="X574" s="134">
        <v>21.72</v>
      </c>
      <c r="Y574" s="10">
        <v>0.0</v>
      </c>
      <c r="Z574" s="135">
        <v>2.82051150129E9</v>
      </c>
      <c r="AA574" s="134">
        <v>40.61</v>
      </c>
      <c r="AB574" s="134">
        <v>17.75</v>
      </c>
      <c r="AC574" s="134">
        <v>0.0</v>
      </c>
      <c r="AD574" s="135">
        <v>3.889890228939E11</v>
      </c>
    </row>
    <row r="575">
      <c r="A575" s="10" t="s">
        <v>157</v>
      </c>
      <c r="B575" s="134">
        <v>14.39</v>
      </c>
      <c r="C575" s="10">
        <v>0.0</v>
      </c>
      <c r="D575" s="134">
        <v>50.79</v>
      </c>
      <c r="E575" s="134">
        <v>9.16</v>
      </c>
      <c r="F575" s="134">
        <v>2.75</v>
      </c>
      <c r="G575" s="134">
        <v>34.26</v>
      </c>
      <c r="H575" s="134">
        <v>24.6</v>
      </c>
      <c r="I575" s="134">
        <v>13.34</v>
      </c>
      <c r="J575" s="134">
        <v>27.54</v>
      </c>
      <c r="K575" s="134">
        <v>31.66</v>
      </c>
      <c r="L575" s="134">
        <v>4.04</v>
      </c>
      <c r="M575" s="134">
        <v>1.34</v>
      </c>
      <c r="N575" s="134">
        <v>6.77</v>
      </c>
      <c r="O575" s="134">
        <v>88.9</v>
      </c>
      <c r="P575" s="134">
        <v>-3.58</v>
      </c>
      <c r="Q575" s="134">
        <v>1.15</v>
      </c>
      <c r="R575" s="134">
        <v>18.04</v>
      </c>
      <c r="S575" s="134">
        <v>5.42</v>
      </c>
      <c r="T575" s="134">
        <v>9.76</v>
      </c>
      <c r="U575" s="134">
        <v>0.3</v>
      </c>
      <c r="V575" s="134">
        <v>0.7</v>
      </c>
      <c r="W575" s="134">
        <v>0.41</v>
      </c>
      <c r="X575" s="10">
        <v>0.0</v>
      </c>
      <c r="Y575" s="10">
        <v>0.0</v>
      </c>
      <c r="Z575" s="135">
        <v>5.180726321E7</v>
      </c>
      <c r="AA575" s="134">
        <v>1.57</v>
      </c>
      <c r="AB575" s="134">
        <v>0.28</v>
      </c>
      <c r="AC575" s="134">
        <v>0.59</v>
      </c>
      <c r="AD575" s="135">
        <v>1.40881665274E10</v>
      </c>
    </row>
    <row r="576">
      <c r="A576" s="10" t="s">
        <v>69</v>
      </c>
      <c r="B576" s="134">
        <v>7.9</v>
      </c>
      <c r="C576" s="10">
        <v>0.0</v>
      </c>
      <c r="D576" s="134">
        <v>10.23</v>
      </c>
      <c r="E576" s="134">
        <v>2.01</v>
      </c>
      <c r="F576" s="134">
        <v>0.38</v>
      </c>
      <c r="G576" s="134">
        <v>31.96</v>
      </c>
      <c r="H576" s="134">
        <v>4.5</v>
      </c>
      <c r="I576" s="134">
        <v>3.79</v>
      </c>
      <c r="J576" s="134">
        <v>8.61</v>
      </c>
      <c r="K576" s="134">
        <v>13.52</v>
      </c>
      <c r="L576" s="134">
        <v>4.87</v>
      </c>
      <c r="M576" s="134">
        <v>1.14</v>
      </c>
      <c r="N576" s="134">
        <v>0.39</v>
      </c>
      <c r="O576" s="134">
        <v>-17.62</v>
      </c>
      <c r="P576" s="134">
        <v>-0.87</v>
      </c>
      <c r="Q576" s="134">
        <v>0.96</v>
      </c>
      <c r="R576" s="134">
        <v>19.63</v>
      </c>
      <c r="S576" s="134">
        <v>3.7</v>
      </c>
      <c r="T576" s="134">
        <v>6.32</v>
      </c>
      <c r="U576" s="134">
        <v>0.19</v>
      </c>
      <c r="V576" s="134">
        <v>0.81</v>
      </c>
      <c r="W576" s="134">
        <v>0.98</v>
      </c>
      <c r="X576" s="134">
        <v>8.45</v>
      </c>
      <c r="Y576" s="134">
        <v>145.09</v>
      </c>
      <c r="Z576" s="135">
        <v>3.2592262004E8</v>
      </c>
      <c r="AA576" s="134">
        <v>3.95</v>
      </c>
      <c r="AB576" s="134">
        <v>0.77</v>
      </c>
      <c r="AC576" s="134">
        <v>-0.05</v>
      </c>
      <c r="AD576" s="135">
        <v>1.273399291674E10</v>
      </c>
    </row>
    <row r="577">
      <c r="A577" s="10" t="s">
        <v>302</v>
      </c>
      <c r="B577" s="134">
        <v>9.14</v>
      </c>
      <c r="C577" s="10">
        <v>0.0</v>
      </c>
      <c r="D577" s="10">
        <v>0.0</v>
      </c>
      <c r="E577" s="10">
        <v>0.0</v>
      </c>
      <c r="F577" s="10">
        <v>0.0</v>
      </c>
      <c r="G577" s="10">
        <v>0.0</v>
      </c>
      <c r="H577" s="10">
        <v>0.0</v>
      </c>
      <c r="I577" s="10">
        <v>0.0</v>
      </c>
      <c r="J577" s="10">
        <v>0.0</v>
      </c>
      <c r="K577" s="10">
        <v>0.0</v>
      </c>
      <c r="L577" s="10">
        <v>0.0</v>
      </c>
      <c r="M577" s="10">
        <v>0.0</v>
      </c>
      <c r="N577" s="10">
        <v>0.0</v>
      </c>
      <c r="O577" s="10">
        <v>0.0</v>
      </c>
      <c r="P577" s="10">
        <v>0.0</v>
      </c>
      <c r="Q577" s="10">
        <v>0.0</v>
      </c>
      <c r="R577" s="10">
        <v>0.0</v>
      </c>
      <c r="S577" s="10">
        <v>0.0</v>
      </c>
      <c r="T577" s="10">
        <v>0.0</v>
      </c>
      <c r="U577" s="10">
        <v>0.0</v>
      </c>
      <c r="V577" s="10">
        <v>0.0</v>
      </c>
      <c r="W577" s="10">
        <v>0.0</v>
      </c>
      <c r="X577" s="10">
        <v>0.0</v>
      </c>
      <c r="Y577" s="10">
        <v>0.0</v>
      </c>
      <c r="Z577" s="135">
        <v>2727580.43</v>
      </c>
      <c r="AA577" s="10">
        <v>0.0</v>
      </c>
      <c r="AB577" s="134">
        <v>0.0</v>
      </c>
      <c r="AC577" s="10">
        <v>0.0</v>
      </c>
      <c r="AD577" s="135">
        <v>1.25691664922E9</v>
      </c>
    </row>
    <row r="578">
      <c r="A578" s="10" t="s">
        <v>165</v>
      </c>
      <c r="B578" s="134">
        <v>28.34</v>
      </c>
      <c r="C578" s="134">
        <v>0.56</v>
      </c>
      <c r="D578" s="134">
        <v>31.14</v>
      </c>
      <c r="E578" s="134">
        <v>5.31</v>
      </c>
      <c r="F578" s="134">
        <v>3.07</v>
      </c>
      <c r="G578" s="134">
        <v>75.06</v>
      </c>
      <c r="H578" s="134">
        <v>23.57</v>
      </c>
      <c r="I578" s="134">
        <v>18.37</v>
      </c>
      <c r="J578" s="134">
        <v>24.26</v>
      </c>
      <c r="K578" s="134">
        <v>23.76</v>
      </c>
      <c r="L578" s="134">
        <v>-0.52</v>
      </c>
      <c r="M578" s="134">
        <v>-0.11</v>
      </c>
      <c r="N578" s="134">
        <v>5.72</v>
      </c>
      <c r="O578" s="134">
        <v>7.8</v>
      </c>
      <c r="P578" s="134">
        <v>-7.76</v>
      </c>
      <c r="Q578" s="134">
        <v>2.87</v>
      </c>
      <c r="R578" s="134">
        <v>17.06</v>
      </c>
      <c r="S578" s="134">
        <v>9.86</v>
      </c>
      <c r="T578" s="134">
        <v>16.21</v>
      </c>
      <c r="U578" s="134">
        <v>0.58</v>
      </c>
      <c r="V578" s="134">
        <v>0.42</v>
      </c>
      <c r="W578" s="134">
        <v>0.54</v>
      </c>
      <c r="X578" s="10">
        <v>0.0</v>
      </c>
      <c r="Y578" s="10">
        <v>0.0</v>
      </c>
      <c r="Z578" s="135">
        <v>3.134084842E7</v>
      </c>
      <c r="AA578" s="134">
        <v>5.32</v>
      </c>
      <c r="AB578" s="134">
        <v>0.91</v>
      </c>
      <c r="AC578" s="134">
        <v>0.72</v>
      </c>
      <c r="AD578" s="135">
        <v>6.68203488501E9</v>
      </c>
    </row>
    <row r="579">
      <c r="A579" s="10" t="s">
        <v>141</v>
      </c>
      <c r="B579" s="134">
        <v>2.41</v>
      </c>
      <c r="C579" s="10">
        <v>0.0</v>
      </c>
      <c r="D579" s="134">
        <v>-2.4</v>
      </c>
      <c r="E579" s="134">
        <v>-1.99</v>
      </c>
      <c r="F579" s="134">
        <v>1.0</v>
      </c>
      <c r="G579" s="134">
        <v>9.57</v>
      </c>
      <c r="H579" s="134">
        <v>-178.52</v>
      </c>
      <c r="I579" s="134">
        <v>-210.34</v>
      </c>
      <c r="J579" s="134">
        <v>-2.83</v>
      </c>
      <c r="K579" s="134">
        <v>-4.04</v>
      </c>
      <c r="L579" s="134">
        <v>-1.19</v>
      </c>
      <c r="M579" s="10">
        <v>0.0</v>
      </c>
      <c r="N579" s="134">
        <v>5.05</v>
      </c>
      <c r="O579" s="134">
        <v>-1.79</v>
      </c>
      <c r="P579" s="134">
        <v>-1.78</v>
      </c>
      <c r="Q579" s="134">
        <v>0.44</v>
      </c>
      <c r="R579" s="134">
        <v>-82.81</v>
      </c>
      <c r="S579" s="134">
        <v>-41.62</v>
      </c>
      <c r="T579" s="134">
        <v>-297.69</v>
      </c>
      <c r="U579" s="134">
        <v>-0.5</v>
      </c>
      <c r="V579" s="134">
        <v>1.5</v>
      </c>
      <c r="W579" s="134">
        <v>0.2</v>
      </c>
      <c r="X579" s="134">
        <v>-17.04</v>
      </c>
      <c r="Y579" s="10">
        <v>0.0</v>
      </c>
      <c r="Z579" s="135">
        <v>5.202796329E7</v>
      </c>
      <c r="AA579" s="134">
        <v>-1.21</v>
      </c>
      <c r="AB579" s="134">
        <v>-1.0</v>
      </c>
      <c r="AC579" s="134">
        <v>0.17</v>
      </c>
      <c r="AD579" s="135">
        <v>3.3984014504E8</v>
      </c>
    </row>
    <row r="580">
      <c r="A580" s="10" t="s">
        <v>115</v>
      </c>
      <c r="B580" s="134">
        <v>43.25</v>
      </c>
      <c r="C580" s="134">
        <v>7.38</v>
      </c>
      <c r="D580" s="134">
        <v>15.26</v>
      </c>
      <c r="E580" s="134">
        <v>1.06</v>
      </c>
      <c r="F580" s="134">
        <v>0.64</v>
      </c>
      <c r="G580" s="134">
        <v>45.48</v>
      </c>
      <c r="H580" s="134">
        <v>15.69</v>
      </c>
      <c r="I580" s="134">
        <v>11.02</v>
      </c>
      <c r="J580" s="134">
        <v>10.72</v>
      </c>
      <c r="K580" s="134">
        <v>11.38</v>
      </c>
      <c r="L580" s="134">
        <v>0.66</v>
      </c>
      <c r="M580" s="134">
        <v>0.07</v>
      </c>
      <c r="N580" s="134">
        <v>1.68</v>
      </c>
      <c r="O580" s="134">
        <v>86.07</v>
      </c>
      <c r="P580" s="134">
        <v>-0.82</v>
      </c>
      <c r="Q580" s="134">
        <v>1.04</v>
      </c>
      <c r="R580" s="134">
        <v>6.97</v>
      </c>
      <c r="S580" s="134">
        <v>4.21</v>
      </c>
      <c r="T580" s="134">
        <v>6.81</v>
      </c>
      <c r="U580" s="134">
        <v>0.6</v>
      </c>
      <c r="V580" s="134">
        <v>0.4</v>
      </c>
      <c r="W580" s="134">
        <v>0.38</v>
      </c>
      <c r="X580" s="134">
        <v>1.37</v>
      </c>
      <c r="Y580" s="134">
        <v>6.97</v>
      </c>
      <c r="Z580" s="135">
        <v>1.1402935504E8</v>
      </c>
      <c r="AA580" s="134">
        <v>40.67</v>
      </c>
      <c r="AB580" s="134">
        <v>2.83</v>
      </c>
      <c r="AC580" s="134">
        <v>2.41</v>
      </c>
      <c r="AD580" s="135">
        <v>7.311818807052E10</v>
      </c>
    </row>
    <row r="581">
      <c r="A581" s="10" t="s">
        <v>664</v>
      </c>
      <c r="B581" s="134">
        <v>45.34</v>
      </c>
      <c r="C581" s="134">
        <v>0.0</v>
      </c>
      <c r="D581" s="134">
        <v>16.0</v>
      </c>
      <c r="E581" s="134">
        <v>1.11</v>
      </c>
      <c r="F581" s="134">
        <v>0.67</v>
      </c>
      <c r="G581" s="134">
        <v>45.48</v>
      </c>
      <c r="H581" s="134">
        <v>15.69</v>
      </c>
      <c r="I581" s="134">
        <v>11.02</v>
      </c>
      <c r="J581" s="134">
        <v>11.24</v>
      </c>
      <c r="K581" s="134">
        <v>11.38</v>
      </c>
      <c r="L581" s="134">
        <v>0.66</v>
      </c>
      <c r="M581" s="134">
        <v>0.07</v>
      </c>
      <c r="N581" s="134">
        <v>1.76</v>
      </c>
      <c r="O581" s="134">
        <v>90.23</v>
      </c>
      <c r="P581" s="134">
        <v>-0.86</v>
      </c>
      <c r="Q581" s="134">
        <v>1.04</v>
      </c>
      <c r="R581" s="134">
        <v>6.97</v>
      </c>
      <c r="S581" s="134">
        <v>4.21</v>
      </c>
      <c r="T581" s="134">
        <v>6.81</v>
      </c>
      <c r="U581" s="134">
        <v>0.6</v>
      </c>
      <c r="V581" s="134">
        <v>0.4</v>
      </c>
      <c r="W581" s="134">
        <v>0.38</v>
      </c>
      <c r="X581" s="134">
        <v>1.37</v>
      </c>
      <c r="Y581" s="134">
        <v>6.97</v>
      </c>
      <c r="Z581" s="135">
        <v>1.1123116393E8</v>
      </c>
      <c r="AA581" s="134">
        <v>40.67</v>
      </c>
      <c r="AB581" s="134">
        <v>2.83</v>
      </c>
      <c r="AC581" s="134">
        <v>2.52</v>
      </c>
      <c r="AD581" s="135">
        <v>7.311818807052E10</v>
      </c>
    </row>
    <row r="582">
      <c r="A582" s="10" t="s">
        <v>295</v>
      </c>
      <c r="B582" s="134">
        <v>8.17</v>
      </c>
      <c r="C582" s="10">
        <v>0.0</v>
      </c>
      <c r="D582" s="134">
        <v>-8.47</v>
      </c>
      <c r="E582" s="134">
        <v>0.6</v>
      </c>
      <c r="F582" s="134">
        <v>0.23</v>
      </c>
      <c r="G582" s="134">
        <v>21.67</v>
      </c>
      <c r="H582" s="134">
        <v>1.68</v>
      </c>
      <c r="I582" s="134">
        <v>-3.78</v>
      </c>
      <c r="J582" s="134">
        <v>19.01</v>
      </c>
      <c r="K582" s="134">
        <v>44.92</v>
      </c>
      <c r="L582" s="134">
        <v>25.75</v>
      </c>
      <c r="M582" s="134">
        <v>0.81</v>
      </c>
      <c r="N582" s="134">
        <v>0.32</v>
      </c>
      <c r="O582" s="134">
        <v>1.44</v>
      </c>
      <c r="P582" s="134">
        <v>-0.4</v>
      </c>
      <c r="Q582" s="134">
        <v>1.63</v>
      </c>
      <c r="R582" s="134">
        <v>-7.03</v>
      </c>
      <c r="S582" s="134">
        <v>-2.73</v>
      </c>
      <c r="T582" s="134">
        <v>1.02</v>
      </c>
      <c r="U582" s="134">
        <v>0.39</v>
      </c>
      <c r="V582" s="134">
        <v>0.6</v>
      </c>
      <c r="W582" s="134">
        <v>0.72</v>
      </c>
      <c r="X582" s="134">
        <v>3.44</v>
      </c>
      <c r="Y582" s="10">
        <v>0.0</v>
      </c>
      <c r="Z582" s="135">
        <v>2657956.79</v>
      </c>
      <c r="AA582" s="134">
        <v>13.7</v>
      </c>
      <c r="AB582" s="134">
        <v>-0.96</v>
      </c>
      <c r="AC582" s="134">
        <v>0.29</v>
      </c>
      <c r="AD582" s="135">
        <v>6.7543928501E8</v>
      </c>
    </row>
    <row r="583">
      <c r="A583" s="10" t="s">
        <v>665</v>
      </c>
      <c r="B583" s="134">
        <v>4.99</v>
      </c>
      <c r="C583" s="10">
        <v>0.0</v>
      </c>
      <c r="D583" s="134">
        <v>-3.63</v>
      </c>
      <c r="E583" s="134">
        <v>0.14</v>
      </c>
      <c r="F583" s="134">
        <v>0.08</v>
      </c>
      <c r="G583" s="134">
        <v>11.72</v>
      </c>
      <c r="H583" s="134">
        <v>2.1</v>
      </c>
      <c r="I583" s="134">
        <v>-7.12</v>
      </c>
      <c r="J583" s="134">
        <v>12.33</v>
      </c>
      <c r="K583" s="134">
        <v>8.19</v>
      </c>
      <c r="L583" s="134">
        <v>-4.14</v>
      </c>
      <c r="M583" s="134">
        <v>-0.05</v>
      </c>
      <c r="N583" s="134">
        <v>0.26</v>
      </c>
      <c r="O583" s="134">
        <v>-1.35</v>
      </c>
      <c r="P583" s="134">
        <v>-0.09</v>
      </c>
      <c r="Q583" s="134">
        <v>0.57</v>
      </c>
      <c r="R583" s="134">
        <v>-3.96</v>
      </c>
      <c r="S583" s="134">
        <v>-2.28</v>
      </c>
      <c r="T583" s="134">
        <v>0.86</v>
      </c>
      <c r="U583" s="134">
        <v>0.58</v>
      </c>
      <c r="V583" s="134">
        <v>0.42</v>
      </c>
      <c r="W583" s="134">
        <v>0.32</v>
      </c>
      <c r="X583" s="134">
        <v>10.22</v>
      </c>
      <c r="Y583" s="10">
        <v>0.0</v>
      </c>
      <c r="Z583" s="138">
        <v>0.0</v>
      </c>
      <c r="AA583" s="134">
        <v>34.73</v>
      </c>
      <c r="AB583" s="134">
        <v>-1.37</v>
      </c>
      <c r="AC583" s="134">
        <v>-0.05</v>
      </c>
      <c r="AD583" s="135">
        <v>7.1261084216E8</v>
      </c>
    </row>
    <row r="584">
      <c r="A584" s="10" t="s">
        <v>666</v>
      </c>
      <c r="B584" s="134">
        <v>0.0</v>
      </c>
      <c r="C584" s="10">
        <v>0.0</v>
      </c>
      <c r="D584" s="134">
        <v>0.0</v>
      </c>
      <c r="E584" s="134">
        <v>0.0</v>
      </c>
      <c r="F584" s="134">
        <v>0.0</v>
      </c>
      <c r="G584" s="134">
        <v>11.72</v>
      </c>
      <c r="H584" s="134">
        <v>2.1</v>
      </c>
      <c r="I584" s="134">
        <v>-7.12</v>
      </c>
      <c r="J584" s="134">
        <v>0.0</v>
      </c>
      <c r="K584" s="134">
        <v>8.19</v>
      </c>
      <c r="L584" s="134">
        <v>-4.14</v>
      </c>
      <c r="M584" s="134">
        <v>-0.05</v>
      </c>
      <c r="N584" s="134">
        <v>0.0</v>
      </c>
      <c r="O584" s="134">
        <v>0.0</v>
      </c>
      <c r="P584" s="134">
        <v>0.0</v>
      </c>
      <c r="Q584" s="134">
        <v>0.57</v>
      </c>
      <c r="R584" s="134">
        <v>-3.96</v>
      </c>
      <c r="S584" s="134">
        <v>-2.28</v>
      </c>
      <c r="T584" s="134">
        <v>0.86</v>
      </c>
      <c r="U584" s="134">
        <v>0.58</v>
      </c>
      <c r="V584" s="134">
        <v>0.42</v>
      </c>
      <c r="W584" s="134">
        <v>0.32</v>
      </c>
      <c r="X584" s="134">
        <v>10.22</v>
      </c>
      <c r="Y584" s="10">
        <v>0.0</v>
      </c>
      <c r="Z584" s="138">
        <v>0.0</v>
      </c>
      <c r="AA584" s="134">
        <v>34.73</v>
      </c>
      <c r="AB584" s="134">
        <v>-1.37</v>
      </c>
      <c r="AC584" s="134">
        <v>0.0</v>
      </c>
      <c r="AD584" s="135">
        <v>7.1261084216E8</v>
      </c>
    </row>
    <row r="585">
      <c r="A585" s="10" t="s">
        <v>274</v>
      </c>
      <c r="B585" s="134">
        <v>10.32</v>
      </c>
      <c r="C585" s="10">
        <v>0.0</v>
      </c>
      <c r="D585" s="134">
        <v>12.45</v>
      </c>
      <c r="E585" s="134">
        <v>2.06</v>
      </c>
      <c r="F585" s="134">
        <v>1.33</v>
      </c>
      <c r="G585" s="134">
        <v>31.36</v>
      </c>
      <c r="H585" s="134">
        <v>13.55</v>
      </c>
      <c r="I585" s="134">
        <v>13.14</v>
      </c>
      <c r="J585" s="134">
        <v>12.08</v>
      </c>
      <c r="K585" s="134">
        <v>13.11</v>
      </c>
      <c r="L585" s="134">
        <v>1.01</v>
      </c>
      <c r="M585" s="134">
        <v>0.17</v>
      </c>
      <c r="N585" s="134">
        <v>1.64</v>
      </c>
      <c r="O585" s="134">
        <v>3.25</v>
      </c>
      <c r="P585" s="134">
        <v>-4.16</v>
      </c>
      <c r="Q585" s="134">
        <v>2.53</v>
      </c>
      <c r="R585" s="134">
        <v>16.56</v>
      </c>
      <c r="S585" s="134">
        <v>10.71</v>
      </c>
      <c r="T585" s="134">
        <v>12.15</v>
      </c>
      <c r="U585" s="134">
        <v>0.65</v>
      </c>
      <c r="V585" s="134">
        <v>0.35</v>
      </c>
      <c r="W585" s="134">
        <v>0.81</v>
      </c>
      <c r="X585" s="134">
        <v>4.07</v>
      </c>
      <c r="Y585" s="10">
        <v>0.0</v>
      </c>
      <c r="Z585" s="135">
        <v>9785771.33</v>
      </c>
      <c r="AA585" s="134">
        <v>5.01</v>
      </c>
      <c r="AB585" s="134">
        <v>0.83</v>
      </c>
      <c r="AC585" s="134">
        <v>0.01</v>
      </c>
      <c r="AD585" s="135">
        <v>2.54603468784E9</v>
      </c>
    </row>
    <row r="586">
      <c r="A586" s="10" t="s">
        <v>267</v>
      </c>
      <c r="B586" s="134">
        <v>21.45</v>
      </c>
      <c r="C586" s="10">
        <v>0.0</v>
      </c>
      <c r="D586" s="134">
        <v>26.31</v>
      </c>
      <c r="E586" s="134">
        <v>4.19</v>
      </c>
      <c r="F586" s="134">
        <v>1.16</v>
      </c>
      <c r="G586" s="134">
        <v>20.24</v>
      </c>
      <c r="H586" s="134">
        <v>13.87</v>
      </c>
      <c r="I586" s="134">
        <v>9.27</v>
      </c>
      <c r="J586" s="134">
        <v>17.57</v>
      </c>
      <c r="K586" s="134">
        <v>18.97</v>
      </c>
      <c r="L586" s="134">
        <v>1.31</v>
      </c>
      <c r="M586" s="134">
        <v>0.31</v>
      </c>
      <c r="N586" s="134">
        <v>2.44</v>
      </c>
      <c r="O586" s="134">
        <v>3.89</v>
      </c>
      <c r="P586" s="134">
        <v>-3.32</v>
      </c>
      <c r="Q586" s="134">
        <v>1.84</v>
      </c>
      <c r="R586" s="134">
        <v>15.91</v>
      </c>
      <c r="S586" s="134">
        <v>4.4</v>
      </c>
      <c r="T586" s="134">
        <v>7.98</v>
      </c>
      <c r="U586" s="134">
        <v>0.28</v>
      </c>
      <c r="V586" s="134">
        <v>0.72</v>
      </c>
      <c r="W586" s="134">
        <v>0.47</v>
      </c>
      <c r="X586" s="10">
        <v>0.0</v>
      </c>
      <c r="Y586" s="10">
        <v>0.0</v>
      </c>
      <c r="Z586" s="135">
        <v>8542988.29</v>
      </c>
      <c r="AA586" s="134">
        <v>5.17</v>
      </c>
      <c r="AB586" s="134">
        <v>0.82</v>
      </c>
      <c r="AC586" s="10">
        <v>0.0</v>
      </c>
      <c r="AD586" s="135">
        <v>6.2289055472E9</v>
      </c>
    </row>
    <row r="587">
      <c r="A587" s="10" t="s">
        <v>73</v>
      </c>
      <c r="B587" s="134">
        <v>38.16</v>
      </c>
      <c r="C587" s="134">
        <v>1.07</v>
      </c>
      <c r="D587" s="134">
        <v>48.92</v>
      </c>
      <c r="E587" s="134">
        <v>13.43</v>
      </c>
      <c r="F587" s="134">
        <v>7.51</v>
      </c>
      <c r="G587" s="134">
        <v>31.56</v>
      </c>
      <c r="H587" s="134">
        <v>18.7</v>
      </c>
      <c r="I587" s="134">
        <v>16.01</v>
      </c>
      <c r="J587" s="134">
        <v>41.88</v>
      </c>
      <c r="K587" s="134">
        <v>41.3</v>
      </c>
      <c r="L587" s="134">
        <v>-0.6</v>
      </c>
      <c r="M587" s="134">
        <v>-0.19</v>
      </c>
      <c r="N587" s="134">
        <v>7.83</v>
      </c>
      <c r="O587" s="134">
        <v>24.41</v>
      </c>
      <c r="P587" s="134">
        <v>-21.66</v>
      </c>
      <c r="Q587" s="134">
        <v>1.89</v>
      </c>
      <c r="R587" s="134">
        <v>27.45</v>
      </c>
      <c r="S587" s="134">
        <v>15.34</v>
      </c>
      <c r="T587" s="134">
        <v>23.29</v>
      </c>
      <c r="U587" s="134">
        <v>0.56</v>
      </c>
      <c r="V587" s="134">
        <v>0.42</v>
      </c>
      <c r="W587" s="134">
        <v>0.96</v>
      </c>
      <c r="X587" s="134">
        <v>12.35</v>
      </c>
      <c r="Y587" s="134">
        <v>23.23</v>
      </c>
      <c r="Z587" s="135">
        <v>3.3960604521E8</v>
      </c>
      <c r="AA587" s="134">
        <v>2.85</v>
      </c>
      <c r="AB587" s="134">
        <v>0.78</v>
      </c>
      <c r="AC587" s="134">
        <v>0.65</v>
      </c>
      <c r="AD587" s="135">
        <v>1.6079925250338E11</v>
      </c>
    </row>
    <row r="588">
      <c r="A588" s="10" t="s">
        <v>287</v>
      </c>
      <c r="B588" s="134">
        <v>4.65</v>
      </c>
      <c r="C588" s="10">
        <v>0.0</v>
      </c>
      <c r="D588" s="134">
        <v>-29.11</v>
      </c>
      <c r="E588" s="134">
        <v>1.27</v>
      </c>
      <c r="F588" s="134">
        <v>0.96</v>
      </c>
      <c r="G588" s="134">
        <v>45.17</v>
      </c>
      <c r="H588" s="134">
        <v>-8.66</v>
      </c>
      <c r="I588" s="134">
        <v>-5.9</v>
      </c>
      <c r="J588" s="134">
        <v>-19.82</v>
      </c>
      <c r="K588" s="134">
        <v>-7.54</v>
      </c>
      <c r="L588" s="134">
        <v>12.41</v>
      </c>
      <c r="M588" s="134">
        <v>-0.8</v>
      </c>
      <c r="N588" s="134">
        <v>1.72</v>
      </c>
      <c r="O588" s="134">
        <v>1.52</v>
      </c>
      <c r="P588" s="134">
        <v>-4.96</v>
      </c>
      <c r="Q588" s="134">
        <v>4.7</v>
      </c>
      <c r="R588" s="134">
        <v>-4.37</v>
      </c>
      <c r="S588" s="134">
        <v>-3.3</v>
      </c>
      <c r="T588" s="134">
        <v>-7.7</v>
      </c>
      <c r="U588" s="134">
        <v>0.76</v>
      </c>
      <c r="V588" s="134">
        <v>0.24</v>
      </c>
      <c r="W588" s="134">
        <v>0.56</v>
      </c>
      <c r="X588" s="10">
        <v>0.0</v>
      </c>
      <c r="Y588" s="10">
        <v>0.0</v>
      </c>
      <c r="Z588" s="135">
        <v>5012479.58</v>
      </c>
      <c r="AA588" s="134">
        <v>3.67</v>
      </c>
      <c r="AB588" s="134">
        <v>-0.16</v>
      </c>
      <c r="AC588" s="134">
        <v>0.13</v>
      </c>
      <c r="AD588" s="135">
        <v>5.172211209E8</v>
      </c>
    </row>
    <row r="589">
      <c r="A589" s="10" t="s">
        <v>401</v>
      </c>
      <c r="B589" s="134">
        <v>6.78</v>
      </c>
      <c r="C589" s="134">
        <v>6.57</v>
      </c>
      <c r="D589" s="134">
        <v>10.35</v>
      </c>
      <c r="E589" s="134">
        <v>5.02</v>
      </c>
      <c r="F589" s="134">
        <v>1.27</v>
      </c>
      <c r="G589" s="134">
        <v>19.61</v>
      </c>
      <c r="H589" s="134">
        <v>11.66</v>
      </c>
      <c r="I589" s="134">
        <v>8.83</v>
      </c>
      <c r="J589" s="134">
        <v>7.84</v>
      </c>
      <c r="K589" s="134">
        <v>7.42</v>
      </c>
      <c r="L589" s="134">
        <v>-1.06</v>
      </c>
      <c r="M589" s="134">
        <v>-0.68</v>
      </c>
      <c r="N589" s="134">
        <v>0.91</v>
      </c>
      <c r="O589" s="134">
        <v>13.59</v>
      </c>
      <c r="P589" s="134">
        <v>-5.74</v>
      </c>
      <c r="Q589" s="134">
        <v>1.14</v>
      </c>
      <c r="R589" s="134">
        <v>48.54</v>
      </c>
      <c r="S589" s="134">
        <v>12.25</v>
      </c>
      <c r="T589" s="134">
        <v>33.12</v>
      </c>
      <c r="U589" s="134">
        <v>0.25</v>
      </c>
      <c r="V589" s="134">
        <v>0.75</v>
      </c>
      <c r="W589" s="134">
        <v>1.39</v>
      </c>
      <c r="X589" s="134">
        <v>-0.28</v>
      </c>
      <c r="Y589" s="134">
        <v>27.6</v>
      </c>
      <c r="Z589" s="135">
        <v>138570.29</v>
      </c>
      <c r="AA589" s="134">
        <v>1.33</v>
      </c>
      <c r="AB589" s="134">
        <v>0.65</v>
      </c>
      <c r="AC589" s="134">
        <v>-0.33</v>
      </c>
      <c r="AD589" s="135">
        <v>1.086825946958E10</v>
      </c>
    </row>
    <row r="590">
      <c r="A590" s="10" t="s">
        <v>387</v>
      </c>
      <c r="B590" s="134">
        <v>8.43</v>
      </c>
      <c r="C590" s="134">
        <v>5.72</v>
      </c>
      <c r="D590" s="134">
        <v>13.06</v>
      </c>
      <c r="E590" s="134">
        <v>6.34</v>
      </c>
      <c r="F590" s="134">
        <v>1.6</v>
      </c>
      <c r="G590" s="134">
        <v>19.61</v>
      </c>
      <c r="H590" s="134">
        <v>11.66</v>
      </c>
      <c r="I590" s="134">
        <v>8.83</v>
      </c>
      <c r="J590" s="134">
        <v>9.89</v>
      </c>
      <c r="K590" s="134">
        <v>7.42</v>
      </c>
      <c r="L590" s="134">
        <v>-1.06</v>
      </c>
      <c r="M590" s="134">
        <v>-0.68</v>
      </c>
      <c r="N590" s="134">
        <v>1.15</v>
      </c>
      <c r="O590" s="134">
        <v>17.15</v>
      </c>
      <c r="P590" s="134">
        <v>-7.25</v>
      </c>
      <c r="Q590" s="134">
        <v>1.14</v>
      </c>
      <c r="R590" s="134">
        <v>48.54</v>
      </c>
      <c r="S590" s="134">
        <v>12.25</v>
      </c>
      <c r="T590" s="134">
        <v>33.12</v>
      </c>
      <c r="U590" s="134">
        <v>0.25</v>
      </c>
      <c r="V590" s="134">
        <v>0.75</v>
      </c>
      <c r="W590" s="134">
        <v>1.39</v>
      </c>
      <c r="X590" s="134">
        <v>-0.28</v>
      </c>
      <c r="Y590" s="134">
        <v>27.6</v>
      </c>
      <c r="Z590" s="135">
        <v>89847.17</v>
      </c>
      <c r="AA590" s="134">
        <v>1.33</v>
      </c>
      <c r="AB590" s="134">
        <v>0.65</v>
      </c>
      <c r="AC590" s="134">
        <v>-0.41</v>
      </c>
      <c r="AD590" s="135">
        <v>1.086825946958E10</v>
      </c>
    </row>
    <row r="591">
      <c r="A591" s="10" t="s">
        <v>147</v>
      </c>
      <c r="B591" s="134">
        <v>11.73</v>
      </c>
      <c r="C591" s="134">
        <v>5.19</v>
      </c>
      <c r="D591" s="134">
        <v>7.78</v>
      </c>
      <c r="E591" s="134">
        <v>4.52</v>
      </c>
      <c r="F591" s="134">
        <v>1.87</v>
      </c>
      <c r="G591" s="134">
        <v>72.28</v>
      </c>
      <c r="H591" s="134">
        <v>42.97</v>
      </c>
      <c r="I591" s="134">
        <v>25.97</v>
      </c>
      <c r="J591" s="134">
        <v>4.7</v>
      </c>
      <c r="K591" s="134">
        <v>4.02</v>
      </c>
      <c r="L591" s="134">
        <v>-0.72</v>
      </c>
      <c r="M591" s="134">
        <v>-0.7</v>
      </c>
      <c r="N591" s="134">
        <v>2.02</v>
      </c>
      <c r="O591" s="134">
        <v>31.37</v>
      </c>
      <c r="P591" s="134">
        <v>-3.17</v>
      </c>
      <c r="Q591" s="134">
        <v>1.17</v>
      </c>
      <c r="R591" s="134">
        <v>58.08</v>
      </c>
      <c r="S591" s="134">
        <v>24.02</v>
      </c>
      <c r="T591" s="134">
        <v>63.72</v>
      </c>
      <c r="U591" s="134">
        <v>0.41</v>
      </c>
      <c r="V591" s="134">
        <v>0.57</v>
      </c>
      <c r="W591" s="134">
        <v>0.92</v>
      </c>
      <c r="X591" s="134">
        <v>17.16</v>
      </c>
      <c r="Y591" s="134">
        <v>19.97</v>
      </c>
      <c r="Z591" s="135">
        <v>5.780281804E7</v>
      </c>
      <c r="AA591" s="134">
        <v>2.6</v>
      </c>
      <c r="AB591" s="134">
        <v>1.51</v>
      </c>
      <c r="AC591" s="134">
        <v>0.31</v>
      </c>
      <c r="AD591" s="135">
        <v>1.89330221888E9</v>
      </c>
    </row>
    <row r="592">
      <c r="A592" s="10" t="s">
        <v>470</v>
      </c>
      <c r="B592" s="134">
        <v>34.0</v>
      </c>
      <c r="C592" s="134">
        <v>1.46</v>
      </c>
      <c r="D592" s="134">
        <v>13.43</v>
      </c>
      <c r="E592" s="134">
        <v>2.41</v>
      </c>
      <c r="F592" s="134">
        <v>1.93</v>
      </c>
      <c r="G592" s="134">
        <v>13.56</v>
      </c>
      <c r="H592" s="134">
        <v>8.09</v>
      </c>
      <c r="I592" s="134">
        <v>5.87</v>
      </c>
      <c r="J592" s="134">
        <v>9.74</v>
      </c>
      <c r="K592" s="134">
        <v>9.79</v>
      </c>
      <c r="L592" s="134">
        <v>-0.89</v>
      </c>
      <c r="M592" s="134">
        <v>-0.22</v>
      </c>
      <c r="N592" s="134">
        <v>0.79</v>
      </c>
      <c r="O592" s="134">
        <v>5.23</v>
      </c>
      <c r="P592" s="134">
        <v>-3.73</v>
      </c>
      <c r="Q592" s="134">
        <v>4.29</v>
      </c>
      <c r="R592" s="134">
        <v>17.97</v>
      </c>
      <c r="S592" s="134">
        <v>14.39</v>
      </c>
      <c r="T592" s="134">
        <v>16.73</v>
      </c>
      <c r="U592" s="134">
        <v>0.8</v>
      </c>
      <c r="V592" s="134">
        <v>0.2</v>
      </c>
      <c r="W592" s="134">
        <v>2.45</v>
      </c>
      <c r="X592" s="134">
        <v>14.81</v>
      </c>
      <c r="Y592" s="134">
        <v>87.64</v>
      </c>
      <c r="Z592" s="136">
        <v>24839.75</v>
      </c>
      <c r="AA592" s="134">
        <v>14.09</v>
      </c>
      <c r="AB592" s="134">
        <v>2.53</v>
      </c>
      <c r="AC592" s="134">
        <v>0.19</v>
      </c>
      <c r="AD592" s="135">
        <v>1.35715948E9</v>
      </c>
    </row>
    <row r="593">
      <c r="A593" s="10" t="s">
        <v>415</v>
      </c>
      <c r="B593" s="134">
        <v>40.0</v>
      </c>
      <c r="C593" s="134">
        <v>1.36</v>
      </c>
      <c r="D593" s="134">
        <v>15.8</v>
      </c>
      <c r="E593" s="134">
        <v>2.84</v>
      </c>
      <c r="F593" s="134">
        <v>2.27</v>
      </c>
      <c r="G593" s="134">
        <v>13.56</v>
      </c>
      <c r="H593" s="134">
        <v>8.09</v>
      </c>
      <c r="I593" s="134">
        <v>5.87</v>
      </c>
      <c r="J593" s="134">
        <v>11.46</v>
      </c>
      <c r="K593" s="134">
        <v>9.79</v>
      </c>
      <c r="L593" s="134">
        <v>-0.89</v>
      </c>
      <c r="M593" s="134">
        <v>-0.22</v>
      </c>
      <c r="N593" s="134">
        <v>0.93</v>
      </c>
      <c r="O593" s="134">
        <v>6.15</v>
      </c>
      <c r="P593" s="134">
        <v>-4.39</v>
      </c>
      <c r="Q593" s="134">
        <v>4.29</v>
      </c>
      <c r="R593" s="134">
        <v>17.97</v>
      </c>
      <c r="S593" s="134">
        <v>14.39</v>
      </c>
      <c r="T593" s="134">
        <v>16.73</v>
      </c>
      <c r="U593" s="134">
        <v>0.8</v>
      </c>
      <c r="V593" s="134">
        <v>0.2</v>
      </c>
      <c r="W593" s="134">
        <v>2.45</v>
      </c>
      <c r="X593" s="134">
        <v>14.81</v>
      </c>
      <c r="Y593" s="134">
        <v>87.64</v>
      </c>
      <c r="Z593" s="136">
        <v>72783.7</v>
      </c>
      <c r="AA593" s="134">
        <v>14.09</v>
      </c>
      <c r="AB593" s="134">
        <v>2.53</v>
      </c>
      <c r="AC593" s="134">
        <v>0.22</v>
      </c>
      <c r="AD593" s="135">
        <v>1.35715948E9</v>
      </c>
    </row>
    <row r="594">
      <c r="A594" s="10" t="s">
        <v>317</v>
      </c>
      <c r="B594" s="134">
        <v>65.32</v>
      </c>
      <c r="C594" s="134">
        <v>7.29</v>
      </c>
      <c r="D594" s="134">
        <v>18.19</v>
      </c>
      <c r="E594" s="134">
        <v>2.21</v>
      </c>
      <c r="F594" s="134">
        <v>0.9</v>
      </c>
      <c r="G594" s="134">
        <v>52.58</v>
      </c>
      <c r="H594" s="134">
        <v>25.2</v>
      </c>
      <c r="I594" s="134">
        <v>13.21</v>
      </c>
      <c r="J594" s="134">
        <v>9.54</v>
      </c>
      <c r="K594" s="134">
        <v>14.28</v>
      </c>
      <c r="L594" s="134">
        <v>4.67</v>
      </c>
      <c r="M594" s="134">
        <v>1.08</v>
      </c>
      <c r="N594" s="134">
        <v>2.4</v>
      </c>
      <c r="O594" s="134">
        <v>30.22</v>
      </c>
      <c r="P594" s="134">
        <v>-1.05</v>
      </c>
      <c r="Q594" s="134">
        <v>1.26</v>
      </c>
      <c r="R594" s="134">
        <v>12.17</v>
      </c>
      <c r="S594" s="134">
        <v>4.96</v>
      </c>
      <c r="T594" s="134">
        <v>7.71</v>
      </c>
      <c r="U594" s="134">
        <v>0.41</v>
      </c>
      <c r="V594" s="134">
        <v>0.59</v>
      </c>
      <c r="W594" s="134">
        <v>0.38</v>
      </c>
      <c r="X594" s="134">
        <v>1.54</v>
      </c>
      <c r="Y594" s="134">
        <v>19.99</v>
      </c>
      <c r="Z594" s="135">
        <v>1640306.13</v>
      </c>
      <c r="AA594" s="134">
        <v>29.49</v>
      </c>
      <c r="AB594" s="134">
        <v>3.59</v>
      </c>
      <c r="AC594" s="134">
        <v>0.06</v>
      </c>
      <c r="AD594" s="135">
        <v>4.794185368E9</v>
      </c>
    </row>
    <row r="595">
      <c r="A595" s="10" t="s">
        <v>135</v>
      </c>
      <c r="B595" s="134">
        <v>23.81</v>
      </c>
      <c r="C595" s="134">
        <v>1.97</v>
      </c>
      <c r="D595" s="134">
        <v>43.41</v>
      </c>
      <c r="E595" s="134">
        <v>2.26</v>
      </c>
      <c r="F595" s="134">
        <v>0.76</v>
      </c>
      <c r="G595" s="134">
        <v>54.33</v>
      </c>
      <c r="H595" s="134">
        <v>11.36</v>
      </c>
      <c r="I595" s="134">
        <v>4.05</v>
      </c>
      <c r="J595" s="134">
        <v>15.49</v>
      </c>
      <c r="K595" s="134">
        <v>22.11</v>
      </c>
      <c r="L595" s="134">
        <v>6.6</v>
      </c>
      <c r="M595" s="134">
        <v>0.96</v>
      </c>
      <c r="N595" s="134">
        <v>1.76</v>
      </c>
      <c r="O595" s="134">
        <v>6.7</v>
      </c>
      <c r="P595" s="134">
        <v>-1.12</v>
      </c>
      <c r="Q595" s="134">
        <v>1.56</v>
      </c>
      <c r="R595" s="134">
        <v>5.2</v>
      </c>
      <c r="S595" s="134">
        <v>1.76</v>
      </c>
      <c r="T595" s="134">
        <v>4.84</v>
      </c>
      <c r="U595" s="134">
        <v>0.34</v>
      </c>
      <c r="V595" s="134">
        <v>0.66</v>
      </c>
      <c r="W595" s="134">
        <v>0.43</v>
      </c>
      <c r="X595" s="134">
        <v>5.62</v>
      </c>
      <c r="Y595" s="134">
        <v>-17.38</v>
      </c>
      <c r="Z595" s="135">
        <v>5.846059633E7</v>
      </c>
      <c r="AA595" s="134">
        <v>10.55</v>
      </c>
      <c r="AB595" s="134">
        <v>0.55</v>
      </c>
      <c r="AC595" s="134">
        <v>-1.0</v>
      </c>
      <c r="AD595" s="135">
        <v>7.37176909635E9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10.86"/>
    <col customWidth="1" min="3" max="3" width="30.71"/>
    <col customWidth="1" min="4" max="4" width="37.0"/>
    <col customWidth="1" min="5" max="5" width="40.71"/>
  </cols>
  <sheetData>
    <row r="1">
      <c r="A1" s="141" t="s">
        <v>667</v>
      </c>
      <c r="B1" s="141" t="s">
        <v>668</v>
      </c>
      <c r="C1" s="141" t="s">
        <v>669</v>
      </c>
      <c r="D1" s="141" t="s">
        <v>670</v>
      </c>
      <c r="E1" s="141" t="s">
        <v>668</v>
      </c>
    </row>
    <row r="2">
      <c r="A2" s="10" t="s">
        <v>671</v>
      </c>
      <c r="B2" s="10" t="s">
        <v>672</v>
      </c>
      <c r="C2" s="10" t="s">
        <v>673</v>
      </c>
      <c r="D2" s="10" t="s">
        <v>673</v>
      </c>
      <c r="E2" s="10" t="s">
        <v>674</v>
      </c>
    </row>
    <row r="3">
      <c r="A3" s="10" t="s">
        <v>675</v>
      </c>
      <c r="B3" s="10"/>
      <c r="C3" s="10" t="s">
        <v>673</v>
      </c>
      <c r="D3" s="10" t="s">
        <v>673</v>
      </c>
      <c r="E3" s="10" t="s">
        <v>674</v>
      </c>
    </row>
    <row r="4">
      <c r="A4" s="10" t="s">
        <v>676</v>
      </c>
      <c r="B4" s="10" t="s">
        <v>672</v>
      </c>
      <c r="C4" s="10" t="s">
        <v>673</v>
      </c>
      <c r="D4" s="10" t="s">
        <v>673</v>
      </c>
      <c r="E4" s="10" t="s">
        <v>674</v>
      </c>
    </row>
    <row r="5">
      <c r="A5" s="10" t="s">
        <v>677</v>
      </c>
      <c r="B5" s="10"/>
      <c r="C5" s="10" t="s">
        <v>673</v>
      </c>
      <c r="D5" s="10" t="s">
        <v>673</v>
      </c>
      <c r="E5" s="10" t="s">
        <v>674</v>
      </c>
    </row>
    <row r="6">
      <c r="A6" s="10" t="s">
        <v>678</v>
      </c>
      <c r="B6" s="10" t="s">
        <v>679</v>
      </c>
      <c r="C6" s="10" t="s">
        <v>673</v>
      </c>
      <c r="D6" s="10" t="s">
        <v>673</v>
      </c>
      <c r="E6" s="10" t="s">
        <v>674</v>
      </c>
    </row>
    <row r="7">
      <c r="A7" s="10" t="s">
        <v>680</v>
      </c>
      <c r="B7" s="10" t="s">
        <v>672</v>
      </c>
      <c r="C7" s="10" t="s">
        <v>673</v>
      </c>
      <c r="D7" s="10" t="s">
        <v>673</v>
      </c>
      <c r="E7" s="10" t="s">
        <v>674</v>
      </c>
    </row>
    <row r="8">
      <c r="A8" s="10" t="s">
        <v>681</v>
      </c>
      <c r="B8" s="10" t="s">
        <v>672</v>
      </c>
      <c r="C8" s="10" t="s">
        <v>673</v>
      </c>
      <c r="D8" s="10" t="s">
        <v>673</v>
      </c>
      <c r="E8" s="10" t="s">
        <v>674</v>
      </c>
    </row>
    <row r="9">
      <c r="A9" s="10" t="s">
        <v>682</v>
      </c>
      <c r="B9" s="10" t="s">
        <v>672</v>
      </c>
      <c r="C9" s="10" t="s">
        <v>673</v>
      </c>
      <c r="D9" s="10" t="s">
        <v>673</v>
      </c>
      <c r="E9" s="10" t="s">
        <v>674</v>
      </c>
    </row>
    <row r="10">
      <c r="A10" s="10" t="s">
        <v>683</v>
      </c>
      <c r="B10" s="10" t="s">
        <v>672</v>
      </c>
      <c r="C10" s="10" t="s">
        <v>673</v>
      </c>
      <c r="D10" s="10" t="s">
        <v>673</v>
      </c>
      <c r="E10" s="10" t="s">
        <v>684</v>
      </c>
    </row>
    <row r="11">
      <c r="A11" s="10" t="s">
        <v>685</v>
      </c>
      <c r="B11" s="10" t="s">
        <v>672</v>
      </c>
      <c r="C11" s="10" t="s">
        <v>673</v>
      </c>
      <c r="D11" s="10" t="s">
        <v>673</v>
      </c>
      <c r="E11" s="10" t="s">
        <v>684</v>
      </c>
    </row>
    <row r="12">
      <c r="A12" s="10" t="s">
        <v>686</v>
      </c>
      <c r="B12" s="10" t="s">
        <v>687</v>
      </c>
      <c r="C12" s="10" t="s">
        <v>688</v>
      </c>
      <c r="D12" s="10" t="s">
        <v>689</v>
      </c>
      <c r="E12" s="10" t="s">
        <v>690</v>
      </c>
    </row>
    <row r="13">
      <c r="A13" s="10" t="s">
        <v>691</v>
      </c>
      <c r="B13" s="10" t="s">
        <v>692</v>
      </c>
      <c r="C13" s="10" t="s">
        <v>688</v>
      </c>
      <c r="D13" s="10" t="s">
        <v>689</v>
      </c>
      <c r="E13" s="10" t="s">
        <v>690</v>
      </c>
    </row>
    <row r="14">
      <c r="A14" s="10" t="s">
        <v>693</v>
      </c>
      <c r="B14" s="10" t="s">
        <v>692</v>
      </c>
      <c r="C14" s="10" t="s">
        <v>688</v>
      </c>
      <c r="D14" s="10" t="s">
        <v>689</v>
      </c>
      <c r="E14" s="10" t="s">
        <v>690</v>
      </c>
    </row>
    <row r="15">
      <c r="A15" s="10" t="s">
        <v>694</v>
      </c>
      <c r="B15" s="10" t="s">
        <v>672</v>
      </c>
      <c r="C15" s="10" t="s">
        <v>688</v>
      </c>
      <c r="D15" s="10" t="s">
        <v>689</v>
      </c>
      <c r="E15" s="10" t="s">
        <v>690</v>
      </c>
    </row>
    <row r="16">
      <c r="A16" s="10" t="s">
        <v>695</v>
      </c>
      <c r="B16" s="10" t="s">
        <v>672</v>
      </c>
      <c r="C16" s="10" t="s">
        <v>688</v>
      </c>
      <c r="D16" s="10" t="s">
        <v>689</v>
      </c>
      <c r="E16" s="10" t="s">
        <v>690</v>
      </c>
    </row>
    <row r="17">
      <c r="A17" s="10" t="s">
        <v>696</v>
      </c>
      <c r="B17" s="10" t="s">
        <v>687</v>
      </c>
      <c r="C17" s="10" t="s">
        <v>688</v>
      </c>
      <c r="D17" s="10" t="s">
        <v>697</v>
      </c>
      <c r="E17" s="10" t="s">
        <v>698</v>
      </c>
    </row>
    <row r="18">
      <c r="A18" s="10" t="s">
        <v>699</v>
      </c>
      <c r="B18" s="10" t="s">
        <v>687</v>
      </c>
      <c r="C18" s="10" t="s">
        <v>688</v>
      </c>
      <c r="D18" s="10" t="s">
        <v>697</v>
      </c>
      <c r="E18" s="10" t="s">
        <v>698</v>
      </c>
    </row>
    <row r="19">
      <c r="A19" s="10" t="s">
        <v>700</v>
      </c>
      <c r="B19" s="10" t="s">
        <v>687</v>
      </c>
      <c r="C19" s="10" t="s">
        <v>688</v>
      </c>
      <c r="D19" s="10" t="s">
        <v>697</v>
      </c>
      <c r="E19" s="10" t="s">
        <v>698</v>
      </c>
    </row>
    <row r="20">
      <c r="A20" s="10" t="s">
        <v>701</v>
      </c>
      <c r="B20" s="10"/>
      <c r="C20" s="10" t="s">
        <v>688</v>
      </c>
      <c r="D20" s="10" t="s">
        <v>697</v>
      </c>
      <c r="E20" s="10" t="s">
        <v>698</v>
      </c>
    </row>
    <row r="21">
      <c r="A21" s="10" t="s">
        <v>702</v>
      </c>
      <c r="B21" s="10" t="s">
        <v>687</v>
      </c>
      <c r="C21" s="10" t="s">
        <v>688</v>
      </c>
      <c r="D21" s="10" t="s">
        <v>697</v>
      </c>
      <c r="E21" s="10" t="s">
        <v>698</v>
      </c>
    </row>
    <row r="22">
      <c r="A22" s="10" t="s">
        <v>703</v>
      </c>
      <c r="B22" s="10"/>
      <c r="C22" s="10" t="s">
        <v>688</v>
      </c>
      <c r="D22" s="10" t="s">
        <v>697</v>
      </c>
      <c r="E22" s="10" t="s">
        <v>704</v>
      </c>
    </row>
    <row r="23">
      <c r="A23" s="10" t="s">
        <v>705</v>
      </c>
      <c r="B23" s="10"/>
      <c r="C23" s="10" t="s">
        <v>688</v>
      </c>
      <c r="D23" s="10" t="s">
        <v>697</v>
      </c>
      <c r="E23" s="10" t="s">
        <v>704</v>
      </c>
    </row>
    <row r="24">
      <c r="A24" s="10" t="s">
        <v>706</v>
      </c>
      <c r="B24" s="10"/>
      <c r="C24" s="10" t="s">
        <v>688</v>
      </c>
      <c r="D24" s="10" t="s">
        <v>697</v>
      </c>
      <c r="E24" s="10" t="s">
        <v>704</v>
      </c>
    </row>
    <row r="25">
      <c r="A25" s="10" t="s">
        <v>707</v>
      </c>
      <c r="B25" s="10" t="s">
        <v>672</v>
      </c>
      <c r="C25" s="10" t="s">
        <v>688</v>
      </c>
      <c r="D25" s="10" t="s">
        <v>697</v>
      </c>
      <c r="E25" s="10" t="s">
        <v>708</v>
      </c>
    </row>
    <row r="26">
      <c r="A26" s="10" t="s">
        <v>709</v>
      </c>
      <c r="B26" s="10" t="s">
        <v>687</v>
      </c>
      <c r="C26" s="10" t="s">
        <v>688</v>
      </c>
      <c r="D26" s="10" t="s">
        <v>710</v>
      </c>
      <c r="E26" s="10" t="s">
        <v>711</v>
      </c>
    </row>
    <row r="27">
      <c r="A27" s="10" t="s">
        <v>712</v>
      </c>
      <c r="B27" s="10"/>
      <c r="C27" s="10" t="s">
        <v>688</v>
      </c>
      <c r="D27" s="10" t="s">
        <v>710</v>
      </c>
      <c r="E27" s="10" t="s">
        <v>711</v>
      </c>
    </row>
    <row r="28">
      <c r="A28" s="10" t="s">
        <v>713</v>
      </c>
      <c r="B28" s="10"/>
      <c r="C28" s="10" t="s">
        <v>688</v>
      </c>
      <c r="D28" s="10" t="s">
        <v>710</v>
      </c>
      <c r="E28" s="10" t="s">
        <v>711</v>
      </c>
    </row>
    <row r="29">
      <c r="A29" s="10" t="s">
        <v>714</v>
      </c>
      <c r="B29" s="10" t="s">
        <v>672</v>
      </c>
      <c r="C29" s="10" t="s">
        <v>688</v>
      </c>
      <c r="D29" s="10" t="s">
        <v>710</v>
      </c>
      <c r="E29" s="10" t="s">
        <v>715</v>
      </c>
    </row>
    <row r="30">
      <c r="A30" s="10" t="s">
        <v>716</v>
      </c>
      <c r="B30" s="10" t="s">
        <v>717</v>
      </c>
      <c r="C30" s="10" t="s">
        <v>688</v>
      </c>
      <c r="D30" s="10" t="s">
        <v>710</v>
      </c>
      <c r="E30" s="10" t="s">
        <v>715</v>
      </c>
    </row>
    <row r="31">
      <c r="A31" s="10" t="s">
        <v>718</v>
      </c>
      <c r="B31" s="10"/>
      <c r="C31" s="10" t="s">
        <v>688</v>
      </c>
      <c r="D31" s="10" t="s">
        <v>710</v>
      </c>
      <c r="E31" s="10" t="s">
        <v>719</v>
      </c>
    </row>
    <row r="32">
      <c r="A32" s="10" t="s">
        <v>720</v>
      </c>
      <c r="B32" s="10"/>
      <c r="C32" s="10" t="s">
        <v>688</v>
      </c>
      <c r="D32" s="10" t="s">
        <v>710</v>
      </c>
      <c r="E32" s="10" t="s">
        <v>719</v>
      </c>
    </row>
    <row r="33">
      <c r="A33" s="10" t="s">
        <v>721</v>
      </c>
      <c r="B33" s="10" t="s">
        <v>672</v>
      </c>
      <c r="C33" s="10" t="s">
        <v>688</v>
      </c>
      <c r="D33" s="10" t="s">
        <v>722</v>
      </c>
      <c r="E33" s="10" t="s">
        <v>723</v>
      </c>
    </row>
    <row r="34">
      <c r="A34" s="10" t="s">
        <v>724</v>
      </c>
      <c r="B34" s="10" t="s">
        <v>687</v>
      </c>
      <c r="C34" s="10" t="s">
        <v>688</v>
      </c>
      <c r="D34" s="10" t="s">
        <v>722</v>
      </c>
      <c r="E34" s="10" t="s">
        <v>723</v>
      </c>
    </row>
    <row r="35">
      <c r="A35" s="10" t="s">
        <v>725</v>
      </c>
      <c r="B35" s="10"/>
      <c r="C35" s="10" t="s">
        <v>688</v>
      </c>
      <c r="D35" s="10" t="s">
        <v>722</v>
      </c>
      <c r="E35" s="10" t="s">
        <v>726</v>
      </c>
    </row>
    <row r="36">
      <c r="A36" s="10" t="s">
        <v>727</v>
      </c>
      <c r="B36" s="10" t="s">
        <v>679</v>
      </c>
      <c r="C36" s="10" t="s">
        <v>688</v>
      </c>
      <c r="D36" s="10" t="s">
        <v>722</v>
      </c>
      <c r="E36" s="10" t="s">
        <v>726</v>
      </c>
    </row>
    <row r="37">
      <c r="A37" s="10" t="s">
        <v>728</v>
      </c>
      <c r="B37" s="10"/>
      <c r="C37" s="10" t="s">
        <v>688</v>
      </c>
      <c r="D37" s="10" t="s">
        <v>722</v>
      </c>
      <c r="E37" s="10" t="s">
        <v>726</v>
      </c>
    </row>
    <row r="38">
      <c r="A38" s="10" t="s">
        <v>729</v>
      </c>
      <c r="B38" s="10"/>
      <c r="C38" s="10" t="s">
        <v>688</v>
      </c>
      <c r="D38" s="10" t="s">
        <v>722</v>
      </c>
      <c r="E38" s="10" t="s">
        <v>726</v>
      </c>
    </row>
    <row r="39">
      <c r="A39" s="10" t="s">
        <v>730</v>
      </c>
      <c r="B39" s="10"/>
      <c r="C39" s="10" t="s">
        <v>688</v>
      </c>
      <c r="D39" s="10" t="s">
        <v>722</v>
      </c>
      <c r="E39" s="10" t="s">
        <v>726</v>
      </c>
    </row>
    <row r="40">
      <c r="A40" s="10" t="s">
        <v>731</v>
      </c>
      <c r="B40" s="10" t="s">
        <v>672</v>
      </c>
      <c r="C40" s="10" t="s">
        <v>688</v>
      </c>
      <c r="D40" s="10" t="s">
        <v>722</v>
      </c>
      <c r="E40" s="10" t="s">
        <v>726</v>
      </c>
    </row>
    <row r="41">
      <c r="A41" s="10" t="s">
        <v>732</v>
      </c>
      <c r="B41" s="10"/>
      <c r="C41" s="10" t="s">
        <v>688</v>
      </c>
      <c r="D41" s="10" t="s">
        <v>733</v>
      </c>
      <c r="E41" s="10" t="s">
        <v>733</v>
      </c>
    </row>
    <row r="42">
      <c r="A42" s="10" t="s">
        <v>734</v>
      </c>
      <c r="B42" s="10"/>
      <c r="C42" s="10" t="s">
        <v>688</v>
      </c>
      <c r="D42" s="10" t="s">
        <v>735</v>
      </c>
      <c r="E42" s="10" t="s">
        <v>735</v>
      </c>
    </row>
    <row r="43">
      <c r="A43" s="10" t="s">
        <v>736</v>
      </c>
      <c r="B43" s="10" t="s">
        <v>672</v>
      </c>
      <c r="C43" s="10" t="s">
        <v>737</v>
      </c>
      <c r="D43" s="10" t="s">
        <v>738</v>
      </c>
      <c r="E43" s="10" t="s">
        <v>739</v>
      </c>
    </row>
    <row r="44">
      <c r="A44" s="10" t="s">
        <v>740</v>
      </c>
      <c r="B44" s="10"/>
      <c r="C44" s="10" t="s">
        <v>737</v>
      </c>
      <c r="D44" s="10" t="s">
        <v>738</v>
      </c>
      <c r="E44" s="10" t="s">
        <v>739</v>
      </c>
    </row>
    <row r="45">
      <c r="A45" s="10" t="s">
        <v>741</v>
      </c>
      <c r="B45" s="10" t="s">
        <v>672</v>
      </c>
      <c r="C45" s="10" t="s">
        <v>737</v>
      </c>
      <c r="D45" s="10" t="s">
        <v>738</v>
      </c>
      <c r="E45" s="10" t="s">
        <v>739</v>
      </c>
    </row>
    <row r="46">
      <c r="A46" s="10" t="s">
        <v>742</v>
      </c>
      <c r="B46" s="10"/>
      <c r="C46" s="10" t="s">
        <v>737</v>
      </c>
      <c r="D46" s="10" t="s">
        <v>738</v>
      </c>
      <c r="E46" s="10" t="s">
        <v>743</v>
      </c>
    </row>
    <row r="47">
      <c r="A47" s="10" t="s">
        <v>744</v>
      </c>
      <c r="B47" s="10"/>
      <c r="C47" s="10" t="s">
        <v>737</v>
      </c>
      <c r="D47" s="10" t="s">
        <v>738</v>
      </c>
      <c r="E47" s="10" t="s">
        <v>745</v>
      </c>
    </row>
    <row r="48">
      <c r="A48" s="10" t="s">
        <v>746</v>
      </c>
      <c r="B48" s="10"/>
      <c r="C48" s="10" t="s">
        <v>737</v>
      </c>
      <c r="D48" s="10" t="s">
        <v>738</v>
      </c>
      <c r="E48" s="10" t="s">
        <v>745</v>
      </c>
    </row>
    <row r="49">
      <c r="A49" s="10" t="s">
        <v>747</v>
      </c>
      <c r="B49" s="10" t="s">
        <v>672</v>
      </c>
      <c r="C49" s="10" t="s">
        <v>737</v>
      </c>
      <c r="D49" s="10" t="s">
        <v>738</v>
      </c>
      <c r="E49" s="10" t="s">
        <v>748</v>
      </c>
    </row>
    <row r="50">
      <c r="A50" s="10" t="s">
        <v>749</v>
      </c>
      <c r="B50" s="10" t="s">
        <v>672</v>
      </c>
      <c r="C50" s="10" t="s">
        <v>737</v>
      </c>
      <c r="D50" s="10" t="s">
        <v>750</v>
      </c>
      <c r="E50" s="10" t="s">
        <v>751</v>
      </c>
    </row>
    <row r="51">
      <c r="A51" s="10" t="s">
        <v>752</v>
      </c>
      <c r="B51" s="10" t="s">
        <v>687</v>
      </c>
      <c r="C51" s="10" t="s">
        <v>737</v>
      </c>
      <c r="D51" s="10" t="s">
        <v>750</v>
      </c>
      <c r="E51" s="10" t="s">
        <v>753</v>
      </c>
    </row>
    <row r="52">
      <c r="A52" s="10" t="s">
        <v>754</v>
      </c>
      <c r="B52" s="10" t="s">
        <v>679</v>
      </c>
      <c r="C52" s="10" t="s">
        <v>737</v>
      </c>
      <c r="D52" s="10" t="s">
        <v>750</v>
      </c>
      <c r="E52" s="10" t="s">
        <v>753</v>
      </c>
    </row>
    <row r="53">
      <c r="A53" s="10" t="s">
        <v>755</v>
      </c>
      <c r="B53" s="10" t="s">
        <v>687</v>
      </c>
      <c r="C53" s="10" t="s">
        <v>737</v>
      </c>
      <c r="D53" s="10" t="s">
        <v>750</v>
      </c>
      <c r="E53" s="10" t="s">
        <v>753</v>
      </c>
    </row>
    <row r="54">
      <c r="A54" s="10" t="s">
        <v>756</v>
      </c>
      <c r="B54" s="10"/>
      <c r="C54" s="10" t="s">
        <v>737</v>
      </c>
      <c r="D54" s="10" t="s">
        <v>750</v>
      </c>
      <c r="E54" s="10" t="s">
        <v>753</v>
      </c>
    </row>
    <row r="55">
      <c r="A55" s="10" t="s">
        <v>757</v>
      </c>
      <c r="B55" s="10"/>
      <c r="C55" s="10" t="s">
        <v>737</v>
      </c>
      <c r="D55" s="10" t="s">
        <v>750</v>
      </c>
      <c r="E55" s="10" t="s">
        <v>753</v>
      </c>
    </row>
    <row r="56">
      <c r="A56" s="10" t="s">
        <v>758</v>
      </c>
      <c r="B56" s="10" t="s">
        <v>672</v>
      </c>
      <c r="C56" s="10" t="s">
        <v>737</v>
      </c>
      <c r="D56" s="10" t="s">
        <v>750</v>
      </c>
      <c r="E56" s="10" t="s">
        <v>753</v>
      </c>
    </row>
    <row r="57">
      <c r="A57" s="10" t="s">
        <v>759</v>
      </c>
      <c r="B57" s="10"/>
      <c r="C57" s="10" t="s">
        <v>737</v>
      </c>
      <c r="D57" s="10" t="s">
        <v>750</v>
      </c>
      <c r="E57" s="10" t="s">
        <v>753</v>
      </c>
    </row>
    <row r="58">
      <c r="A58" s="10" t="s">
        <v>760</v>
      </c>
      <c r="B58" s="10"/>
      <c r="C58" s="10" t="s">
        <v>737</v>
      </c>
      <c r="D58" s="10" t="s">
        <v>761</v>
      </c>
      <c r="E58" s="10" t="s">
        <v>762</v>
      </c>
    </row>
    <row r="59">
      <c r="A59" s="10" t="s">
        <v>763</v>
      </c>
      <c r="B59" s="10" t="s">
        <v>672</v>
      </c>
      <c r="C59" s="10" t="s">
        <v>737</v>
      </c>
      <c r="D59" s="10" t="s">
        <v>761</v>
      </c>
      <c r="E59" s="10" t="s">
        <v>762</v>
      </c>
    </row>
    <row r="60">
      <c r="A60" s="10" t="s">
        <v>764</v>
      </c>
      <c r="B60" s="10"/>
      <c r="C60" s="10" t="s">
        <v>737</v>
      </c>
      <c r="D60" s="10" t="s">
        <v>761</v>
      </c>
      <c r="E60" s="10" t="s">
        <v>765</v>
      </c>
    </row>
    <row r="61">
      <c r="A61" s="10" t="s">
        <v>766</v>
      </c>
      <c r="B61" s="10"/>
      <c r="C61" s="10" t="s">
        <v>737</v>
      </c>
      <c r="D61" s="10" t="s">
        <v>761</v>
      </c>
      <c r="E61" s="10" t="s">
        <v>765</v>
      </c>
    </row>
    <row r="62">
      <c r="A62" s="10" t="s">
        <v>767</v>
      </c>
      <c r="B62" s="10" t="s">
        <v>672</v>
      </c>
      <c r="C62" s="10" t="s">
        <v>737</v>
      </c>
      <c r="D62" s="10" t="s">
        <v>761</v>
      </c>
      <c r="E62" s="10" t="s">
        <v>765</v>
      </c>
    </row>
    <row r="63">
      <c r="A63" s="10" t="s">
        <v>768</v>
      </c>
      <c r="B63" s="10"/>
      <c r="C63" s="10" t="s">
        <v>737</v>
      </c>
      <c r="D63" s="10" t="s">
        <v>761</v>
      </c>
      <c r="E63" s="10" t="s">
        <v>765</v>
      </c>
    </row>
    <row r="64">
      <c r="A64" s="10" t="s">
        <v>769</v>
      </c>
      <c r="B64" s="10"/>
      <c r="C64" s="10" t="s">
        <v>737</v>
      </c>
      <c r="D64" s="10" t="s">
        <v>761</v>
      </c>
      <c r="E64" s="10" t="s">
        <v>765</v>
      </c>
    </row>
    <row r="65">
      <c r="A65" s="10" t="s">
        <v>770</v>
      </c>
      <c r="B65" s="10" t="s">
        <v>672</v>
      </c>
      <c r="C65" s="10" t="s">
        <v>737</v>
      </c>
      <c r="D65" s="10" t="s">
        <v>761</v>
      </c>
      <c r="E65" s="10" t="s">
        <v>765</v>
      </c>
    </row>
    <row r="66">
      <c r="A66" s="10" t="s">
        <v>771</v>
      </c>
      <c r="B66" s="10"/>
      <c r="C66" s="10" t="s">
        <v>737</v>
      </c>
      <c r="D66" s="10" t="s">
        <v>761</v>
      </c>
      <c r="E66" s="10" t="s">
        <v>765</v>
      </c>
    </row>
    <row r="67">
      <c r="A67" s="10" t="s">
        <v>772</v>
      </c>
      <c r="B67" s="10" t="s">
        <v>773</v>
      </c>
      <c r="C67" s="10" t="s">
        <v>737</v>
      </c>
      <c r="D67" s="10" t="s">
        <v>761</v>
      </c>
      <c r="E67" s="10" t="s">
        <v>765</v>
      </c>
    </row>
    <row r="68">
      <c r="A68" s="10" t="s">
        <v>774</v>
      </c>
      <c r="B68" s="10"/>
      <c r="C68" s="10" t="s">
        <v>737</v>
      </c>
      <c r="D68" s="10" t="s">
        <v>761</v>
      </c>
      <c r="E68" s="10" t="s">
        <v>775</v>
      </c>
    </row>
    <row r="69">
      <c r="A69" s="10" t="s">
        <v>776</v>
      </c>
      <c r="B69" s="10" t="s">
        <v>717</v>
      </c>
      <c r="C69" s="10" t="s">
        <v>737</v>
      </c>
      <c r="D69" s="10" t="s">
        <v>761</v>
      </c>
      <c r="E69" s="10" t="s">
        <v>775</v>
      </c>
    </row>
    <row r="70">
      <c r="A70" s="10" t="s">
        <v>777</v>
      </c>
      <c r="B70" s="10" t="s">
        <v>679</v>
      </c>
      <c r="C70" s="10" t="s">
        <v>737</v>
      </c>
      <c r="D70" s="10" t="s">
        <v>761</v>
      </c>
      <c r="E70" s="10" t="s">
        <v>778</v>
      </c>
    </row>
    <row r="71">
      <c r="A71" s="10" t="s">
        <v>779</v>
      </c>
      <c r="B71" s="10" t="s">
        <v>679</v>
      </c>
      <c r="C71" s="10" t="s">
        <v>737</v>
      </c>
      <c r="D71" s="10" t="s">
        <v>780</v>
      </c>
      <c r="E71" s="10" t="s">
        <v>781</v>
      </c>
    </row>
    <row r="72">
      <c r="A72" s="10" t="s">
        <v>782</v>
      </c>
      <c r="B72" s="10" t="s">
        <v>679</v>
      </c>
      <c r="C72" s="10" t="s">
        <v>737</v>
      </c>
      <c r="D72" s="10" t="s">
        <v>780</v>
      </c>
      <c r="E72" s="10" t="s">
        <v>781</v>
      </c>
    </row>
    <row r="73">
      <c r="A73" s="10" t="s">
        <v>783</v>
      </c>
      <c r="B73" s="10" t="s">
        <v>692</v>
      </c>
      <c r="C73" s="10" t="s">
        <v>737</v>
      </c>
      <c r="D73" s="10" t="s">
        <v>780</v>
      </c>
      <c r="E73" s="10" t="s">
        <v>784</v>
      </c>
    </row>
    <row r="74">
      <c r="A74" s="10" t="s">
        <v>785</v>
      </c>
      <c r="B74" s="10" t="s">
        <v>692</v>
      </c>
      <c r="C74" s="10" t="s">
        <v>737</v>
      </c>
      <c r="D74" s="10" t="s">
        <v>780</v>
      </c>
      <c r="E74" s="10" t="s">
        <v>784</v>
      </c>
    </row>
    <row r="75">
      <c r="A75" s="10" t="s">
        <v>786</v>
      </c>
      <c r="B75" s="10" t="s">
        <v>672</v>
      </c>
      <c r="C75" s="10" t="s">
        <v>737</v>
      </c>
      <c r="D75" s="10" t="s">
        <v>780</v>
      </c>
      <c r="E75" s="10" t="s">
        <v>784</v>
      </c>
    </row>
    <row r="76">
      <c r="A76" s="10" t="s">
        <v>787</v>
      </c>
      <c r="B76" s="10"/>
      <c r="C76" s="10" t="s">
        <v>737</v>
      </c>
      <c r="D76" s="10" t="s">
        <v>780</v>
      </c>
      <c r="E76" s="10" t="s">
        <v>784</v>
      </c>
    </row>
    <row r="77">
      <c r="A77" s="10" t="s">
        <v>788</v>
      </c>
      <c r="B77" s="10" t="s">
        <v>692</v>
      </c>
      <c r="C77" s="10" t="s">
        <v>737</v>
      </c>
      <c r="D77" s="10" t="s">
        <v>780</v>
      </c>
      <c r="E77" s="10" t="s">
        <v>784</v>
      </c>
    </row>
    <row r="78">
      <c r="A78" s="10" t="s">
        <v>789</v>
      </c>
      <c r="B78" s="10" t="s">
        <v>672</v>
      </c>
      <c r="C78" s="10" t="s">
        <v>737</v>
      </c>
      <c r="D78" s="10" t="s">
        <v>780</v>
      </c>
      <c r="E78" s="10" t="s">
        <v>784</v>
      </c>
    </row>
    <row r="79">
      <c r="A79" s="10" t="s">
        <v>790</v>
      </c>
      <c r="B79" s="10" t="s">
        <v>672</v>
      </c>
      <c r="C79" s="10" t="s">
        <v>737</v>
      </c>
      <c r="D79" s="10" t="s">
        <v>780</v>
      </c>
      <c r="E79" s="10" t="s">
        <v>791</v>
      </c>
    </row>
    <row r="80">
      <c r="A80" s="10" t="s">
        <v>792</v>
      </c>
      <c r="B80" s="10"/>
      <c r="C80" s="10" t="s">
        <v>737</v>
      </c>
      <c r="D80" s="10" t="s">
        <v>780</v>
      </c>
      <c r="E80" s="10" t="s">
        <v>791</v>
      </c>
    </row>
    <row r="81">
      <c r="A81" s="10" t="s">
        <v>160</v>
      </c>
      <c r="B81" s="10" t="s">
        <v>672</v>
      </c>
      <c r="C81" s="10" t="s">
        <v>737</v>
      </c>
      <c r="D81" s="10" t="s">
        <v>780</v>
      </c>
      <c r="E81" s="10" t="s">
        <v>793</v>
      </c>
    </row>
    <row r="82">
      <c r="A82" s="10" t="s">
        <v>794</v>
      </c>
      <c r="B82" s="10" t="s">
        <v>672</v>
      </c>
      <c r="C82" s="10" t="s">
        <v>737</v>
      </c>
      <c r="D82" s="10" t="s">
        <v>780</v>
      </c>
      <c r="E82" s="10" t="s">
        <v>793</v>
      </c>
    </row>
    <row r="83">
      <c r="A83" s="10" t="s">
        <v>795</v>
      </c>
      <c r="B83" s="10"/>
      <c r="C83" s="10" t="s">
        <v>737</v>
      </c>
      <c r="D83" s="10" t="s">
        <v>780</v>
      </c>
      <c r="E83" s="10" t="s">
        <v>796</v>
      </c>
    </row>
    <row r="84">
      <c r="A84" s="10" t="s">
        <v>797</v>
      </c>
      <c r="B84" s="10" t="s">
        <v>672</v>
      </c>
      <c r="C84" s="10" t="s">
        <v>737</v>
      </c>
      <c r="D84" s="10" t="s">
        <v>780</v>
      </c>
      <c r="E84" s="10" t="s">
        <v>796</v>
      </c>
    </row>
    <row r="85">
      <c r="A85" s="10" t="s">
        <v>798</v>
      </c>
      <c r="B85" s="10"/>
      <c r="C85" s="10" t="s">
        <v>737</v>
      </c>
      <c r="D85" s="10" t="s">
        <v>780</v>
      </c>
      <c r="E85" s="10" t="s">
        <v>796</v>
      </c>
    </row>
    <row r="86">
      <c r="A86" s="10" t="s">
        <v>799</v>
      </c>
      <c r="B86" s="10" t="s">
        <v>692</v>
      </c>
      <c r="C86" s="10" t="s">
        <v>737</v>
      </c>
      <c r="D86" s="10" t="s">
        <v>780</v>
      </c>
      <c r="E86" s="10" t="s">
        <v>796</v>
      </c>
    </row>
    <row r="87">
      <c r="A87" s="10" t="s">
        <v>800</v>
      </c>
      <c r="B87" s="10"/>
      <c r="C87" s="10" t="s">
        <v>737</v>
      </c>
      <c r="D87" s="10" t="s">
        <v>780</v>
      </c>
      <c r="E87" s="10" t="s">
        <v>796</v>
      </c>
    </row>
    <row r="88">
      <c r="A88" s="10" t="s">
        <v>801</v>
      </c>
      <c r="B88" s="10"/>
      <c r="C88" s="10" t="s">
        <v>737</v>
      </c>
      <c r="D88" s="10" t="s">
        <v>780</v>
      </c>
      <c r="E88" s="10" t="s">
        <v>796</v>
      </c>
    </row>
    <row r="89">
      <c r="A89" s="10" t="s">
        <v>802</v>
      </c>
      <c r="B89" s="10"/>
      <c r="C89" s="10" t="s">
        <v>737</v>
      </c>
      <c r="D89" s="10" t="s">
        <v>780</v>
      </c>
      <c r="E89" s="10" t="s">
        <v>796</v>
      </c>
    </row>
    <row r="90">
      <c r="A90" s="10" t="s">
        <v>803</v>
      </c>
      <c r="B90" s="10" t="s">
        <v>672</v>
      </c>
      <c r="C90" s="10" t="s">
        <v>737</v>
      </c>
      <c r="D90" s="10" t="s">
        <v>780</v>
      </c>
      <c r="E90" s="10" t="s">
        <v>796</v>
      </c>
    </row>
    <row r="91">
      <c r="A91" s="10" t="s">
        <v>804</v>
      </c>
      <c r="B91" s="10"/>
      <c r="C91" s="10" t="s">
        <v>737</v>
      </c>
      <c r="D91" s="10" t="s">
        <v>780</v>
      </c>
      <c r="E91" s="10" t="s">
        <v>796</v>
      </c>
    </row>
    <row r="92">
      <c r="A92" s="10" t="s">
        <v>805</v>
      </c>
      <c r="B92" s="10"/>
      <c r="C92" s="10" t="s">
        <v>737</v>
      </c>
      <c r="D92" s="10" t="s">
        <v>780</v>
      </c>
      <c r="E92" s="10" t="s">
        <v>796</v>
      </c>
    </row>
    <row r="93">
      <c r="A93" s="10" t="s">
        <v>806</v>
      </c>
      <c r="B93" s="10"/>
      <c r="C93" s="10" t="s">
        <v>737</v>
      </c>
      <c r="D93" s="10" t="s">
        <v>780</v>
      </c>
      <c r="E93" s="10" t="s">
        <v>796</v>
      </c>
    </row>
    <row r="94">
      <c r="A94" s="10" t="s">
        <v>807</v>
      </c>
      <c r="B94" s="10"/>
      <c r="C94" s="10" t="s">
        <v>737</v>
      </c>
      <c r="D94" s="10" t="s">
        <v>780</v>
      </c>
      <c r="E94" s="10" t="s">
        <v>796</v>
      </c>
    </row>
    <row r="95">
      <c r="A95" s="10" t="s">
        <v>808</v>
      </c>
      <c r="B95" s="10"/>
      <c r="C95" s="10" t="s">
        <v>737</v>
      </c>
      <c r="D95" s="10" t="s">
        <v>780</v>
      </c>
      <c r="E95" s="10" t="s">
        <v>796</v>
      </c>
    </row>
    <row r="96">
      <c r="A96" s="10" t="s">
        <v>809</v>
      </c>
      <c r="B96" s="10" t="s">
        <v>672</v>
      </c>
      <c r="C96" s="10" t="s">
        <v>737</v>
      </c>
      <c r="D96" s="10" t="s">
        <v>780</v>
      </c>
      <c r="E96" s="10" t="s">
        <v>796</v>
      </c>
    </row>
    <row r="97">
      <c r="A97" s="10" t="s">
        <v>810</v>
      </c>
      <c r="B97" s="10"/>
      <c r="C97" s="10" t="s">
        <v>737</v>
      </c>
      <c r="D97" s="10" t="s">
        <v>780</v>
      </c>
      <c r="E97" s="10" t="s">
        <v>796</v>
      </c>
    </row>
    <row r="98">
      <c r="A98" s="10" t="s">
        <v>811</v>
      </c>
      <c r="B98" s="10" t="s">
        <v>692</v>
      </c>
      <c r="C98" s="10" t="s">
        <v>737</v>
      </c>
      <c r="D98" s="10" t="s">
        <v>780</v>
      </c>
      <c r="E98" s="10" t="s">
        <v>812</v>
      </c>
    </row>
    <row r="99">
      <c r="A99" s="10" t="s">
        <v>813</v>
      </c>
      <c r="B99" s="10"/>
      <c r="C99" s="10" t="s">
        <v>737</v>
      </c>
      <c r="D99" s="10" t="s">
        <v>780</v>
      </c>
      <c r="E99" s="10" t="s">
        <v>812</v>
      </c>
    </row>
    <row r="100">
      <c r="A100" s="10" t="s">
        <v>814</v>
      </c>
      <c r="B100" s="10" t="s">
        <v>692</v>
      </c>
      <c r="C100" s="10" t="s">
        <v>737</v>
      </c>
      <c r="D100" s="10" t="s">
        <v>780</v>
      </c>
      <c r="E100" s="10" t="s">
        <v>812</v>
      </c>
    </row>
    <row r="101">
      <c r="A101" s="10" t="s">
        <v>815</v>
      </c>
      <c r="B101" s="10"/>
      <c r="C101" s="10" t="s">
        <v>737</v>
      </c>
      <c r="D101" s="10" t="s">
        <v>780</v>
      </c>
      <c r="E101" s="10" t="s">
        <v>812</v>
      </c>
    </row>
    <row r="102">
      <c r="A102" s="10" t="s">
        <v>816</v>
      </c>
      <c r="B102" s="10" t="s">
        <v>679</v>
      </c>
      <c r="C102" s="10" t="s">
        <v>737</v>
      </c>
      <c r="D102" s="10" t="s">
        <v>780</v>
      </c>
      <c r="E102" s="10" t="s">
        <v>812</v>
      </c>
    </row>
    <row r="103">
      <c r="A103" s="10" t="s">
        <v>817</v>
      </c>
      <c r="B103" s="10" t="s">
        <v>818</v>
      </c>
      <c r="C103" s="10" t="s">
        <v>737</v>
      </c>
      <c r="D103" s="10" t="s">
        <v>780</v>
      </c>
      <c r="E103" s="10" t="s">
        <v>812</v>
      </c>
    </row>
    <row r="104">
      <c r="A104" s="10" t="s">
        <v>819</v>
      </c>
      <c r="B104" s="10" t="s">
        <v>672</v>
      </c>
      <c r="C104" s="10" t="s">
        <v>737</v>
      </c>
      <c r="D104" s="10" t="s">
        <v>748</v>
      </c>
      <c r="E104" s="10" t="s">
        <v>748</v>
      </c>
    </row>
    <row r="105">
      <c r="A105" s="10" t="s">
        <v>820</v>
      </c>
      <c r="B105" s="10" t="s">
        <v>717</v>
      </c>
      <c r="C105" s="10" t="s">
        <v>737</v>
      </c>
      <c r="D105" s="10" t="s">
        <v>748</v>
      </c>
      <c r="E105" s="10" t="s">
        <v>748</v>
      </c>
    </row>
    <row r="106">
      <c r="A106" s="10" t="s">
        <v>821</v>
      </c>
      <c r="B106" s="10" t="s">
        <v>672</v>
      </c>
      <c r="C106" s="10" t="s">
        <v>737</v>
      </c>
      <c r="D106" s="10" t="s">
        <v>748</v>
      </c>
      <c r="E106" s="10" t="s">
        <v>748</v>
      </c>
    </row>
    <row r="107">
      <c r="A107" s="10" t="s">
        <v>822</v>
      </c>
      <c r="B107" s="10"/>
      <c r="C107" s="10" t="s">
        <v>737</v>
      </c>
      <c r="D107" s="10" t="s">
        <v>748</v>
      </c>
      <c r="E107" s="10" t="s">
        <v>748</v>
      </c>
    </row>
    <row r="108">
      <c r="A108" s="10" t="s">
        <v>823</v>
      </c>
      <c r="B108" s="10" t="s">
        <v>717</v>
      </c>
      <c r="C108" s="10" t="s">
        <v>737</v>
      </c>
      <c r="D108" s="10" t="s">
        <v>748</v>
      </c>
      <c r="E108" s="10" t="s">
        <v>748</v>
      </c>
    </row>
    <row r="109">
      <c r="A109" s="10" t="s">
        <v>824</v>
      </c>
      <c r="B109" s="10" t="s">
        <v>717</v>
      </c>
      <c r="C109" s="10" t="s">
        <v>737</v>
      </c>
      <c r="D109" s="10" t="s">
        <v>748</v>
      </c>
      <c r="E109" s="10" t="s">
        <v>748</v>
      </c>
    </row>
    <row r="110">
      <c r="A110" s="10" t="s">
        <v>825</v>
      </c>
      <c r="B110" s="10" t="s">
        <v>672</v>
      </c>
      <c r="C110" s="10" t="s">
        <v>737</v>
      </c>
      <c r="D110" s="10" t="s">
        <v>748</v>
      </c>
      <c r="E110" s="10" t="s">
        <v>748</v>
      </c>
    </row>
    <row r="111">
      <c r="A111" s="10" t="s">
        <v>826</v>
      </c>
      <c r="B111" s="10"/>
      <c r="C111" s="10" t="s">
        <v>737</v>
      </c>
      <c r="D111" s="10" t="s">
        <v>827</v>
      </c>
      <c r="E111" s="10" t="s">
        <v>750</v>
      </c>
    </row>
    <row r="112">
      <c r="A112" s="10" t="s">
        <v>828</v>
      </c>
      <c r="B112" s="10"/>
      <c r="C112" s="10" t="s">
        <v>737</v>
      </c>
      <c r="D112" s="10" t="s">
        <v>827</v>
      </c>
      <c r="E112" s="10" t="s">
        <v>750</v>
      </c>
    </row>
    <row r="113">
      <c r="A113" s="10" t="s">
        <v>829</v>
      </c>
      <c r="B113" s="10"/>
      <c r="C113" s="10" t="s">
        <v>737</v>
      </c>
      <c r="D113" s="10" t="s">
        <v>827</v>
      </c>
      <c r="E113" s="10" t="s">
        <v>750</v>
      </c>
    </row>
    <row r="114">
      <c r="A114" s="10" t="s">
        <v>830</v>
      </c>
      <c r="B114" s="10"/>
      <c r="C114" s="10" t="s">
        <v>831</v>
      </c>
      <c r="D114" s="10" t="s">
        <v>832</v>
      </c>
      <c r="E114" s="10" t="s">
        <v>833</v>
      </c>
    </row>
    <row r="115">
      <c r="A115" s="10" t="s">
        <v>834</v>
      </c>
      <c r="B115" s="10" t="s">
        <v>672</v>
      </c>
      <c r="C115" s="10" t="s">
        <v>831</v>
      </c>
      <c r="D115" s="10" t="s">
        <v>832</v>
      </c>
      <c r="E115" s="10" t="s">
        <v>833</v>
      </c>
    </row>
    <row r="116">
      <c r="A116" s="10" t="s">
        <v>835</v>
      </c>
      <c r="B116" s="10" t="s">
        <v>672</v>
      </c>
      <c r="C116" s="10" t="s">
        <v>831</v>
      </c>
      <c r="D116" s="10" t="s">
        <v>832</v>
      </c>
      <c r="E116" s="10" t="s">
        <v>833</v>
      </c>
    </row>
    <row r="117">
      <c r="A117" s="10" t="s">
        <v>836</v>
      </c>
      <c r="B117" s="10" t="s">
        <v>672</v>
      </c>
      <c r="C117" s="10" t="s">
        <v>831</v>
      </c>
      <c r="D117" s="10" t="s">
        <v>832</v>
      </c>
      <c r="E117" s="10" t="s">
        <v>833</v>
      </c>
    </row>
    <row r="118">
      <c r="A118" s="10" t="s">
        <v>837</v>
      </c>
      <c r="B118" s="10" t="s">
        <v>672</v>
      </c>
      <c r="C118" s="10" t="s">
        <v>831</v>
      </c>
      <c r="D118" s="10" t="s">
        <v>832</v>
      </c>
      <c r="E118" s="10" t="s">
        <v>833</v>
      </c>
    </row>
    <row r="119">
      <c r="A119" s="10" t="s">
        <v>838</v>
      </c>
      <c r="B119" s="10" t="s">
        <v>672</v>
      </c>
      <c r="C119" s="10" t="s">
        <v>831</v>
      </c>
      <c r="D119" s="10" t="s">
        <v>839</v>
      </c>
      <c r="E119" s="10" t="s">
        <v>840</v>
      </c>
    </row>
    <row r="120">
      <c r="A120" s="10" t="s">
        <v>841</v>
      </c>
      <c r="B120" s="10"/>
      <c r="C120" s="10" t="s">
        <v>831</v>
      </c>
      <c r="D120" s="10" t="s">
        <v>839</v>
      </c>
      <c r="E120" s="10" t="s">
        <v>840</v>
      </c>
    </row>
    <row r="121">
      <c r="A121" s="10" t="s">
        <v>842</v>
      </c>
      <c r="B121" s="10" t="s">
        <v>672</v>
      </c>
      <c r="C121" s="10" t="s">
        <v>831</v>
      </c>
      <c r="D121" s="10" t="s">
        <v>839</v>
      </c>
      <c r="E121" s="10" t="s">
        <v>840</v>
      </c>
    </row>
    <row r="122">
      <c r="A122" s="10" t="s">
        <v>843</v>
      </c>
      <c r="B122" s="10" t="s">
        <v>672</v>
      </c>
      <c r="C122" s="10" t="s">
        <v>831</v>
      </c>
      <c r="D122" s="10" t="s">
        <v>839</v>
      </c>
      <c r="E122" s="10" t="s">
        <v>844</v>
      </c>
    </row>
    <row r="123">
      <c r="A123" s="10" t="s">
        <v>845</v>
      </c>
      <c r="B123" s="10"/>
      <c r="C123" s="10" t="s">
        <v>831</v>
      </c>
      <c r="D123" s="10" t="s">
        <v>839</v>
      </c>
      <c r="E123" s="10" t="s">
        <v>844</v>
      </c>
    </row>
    <row r="124">
      <c r="A124" s="10" t="s">
        <v>846</v>
      </c>
      <c r="B124" s="10" t="s">
        <v>672</v>
      </c>
      <c r="C124" s="10" t="s">
        <v>831</v>
      </c>
      <c r="D124" s="10" t="s">
        <v>839</v>
      </c>
      <c r="E124" s="10" t="s">
        <v>844</v>
      </c>
    </row>
    <row r="125">
      <c r="A125" s="10" t="s">
        <v>847</v>
      </c>
      <c r="B125" s="10" t="s">
        <v>672</v>
      </c>
      <c r="C125" s="10" t="s">
        <v>831</v>
      </c>
      <c r="D125" s="10" t="s">
        <v>839</v>
      </c>
      <c r="E125" s="10" t="s">
        <v>844</v>
      </c>
    </row>
    <row r="126">
      <c r="A126" s="10" t="s">
        <v>848</v>
      </c>
      <c r="B126" s="10" t="s">
        <v>672</v>
      </c>
      <c r="C126" s="10" t="s">
        <v>831</v>
      </c>
      <c r="D126" s="10" t="s">
        <v>839</v>
      </c>
      <c r="E126" s="10" t="s">
        <v>844</v>
      </c>
    </row>
    <row r="127">
      <c r="A127" s="10" t="s">
        <v>849</v>
      </c>
      <c r="B127" s="10"/>
      <c r="C127" s="10" t="s">
        <v>831</v>
      </c>
      <c r="D127" s="10" t="s">
        <v>839</v>
      </c>
      <c r="E127" s="10" t="s">
        <v>844</v>
      </c>
    </row>
    <row r="128">
      <c r="A128" s="10" t="s">
        <v>850</v>
      </c>
      <c r="B128" s="10" t="s">
        <v>672</v>
      </c>
      <c r="C128" s="10" t="s">
        <v>831</v>
      </c>
      <c r="D128" s="10" t="s">
        <v>839</v>
      </c>
      <c r="E128" s="10" t="s">
        <v>851</v>
      </c>
    </row>
    <row r="129">
      <c r="A129" s="10" t="s">
        <v>852</v>
      </c>
      <c r="B129" s="10"/>
      <c r="C129" s="10" t="s">
        <v>831</v>
      </c>
      <c r="D129" s="10" t="s">
        <v>839</v>
      </c>
      <c r="E129" s="10" t="s">
        <v>851</v>
      </c>
    </row>
    <row r="130">
      <c r="A130" s="10" t="s">
        <v>853</v>
      </c>
      <c r="B130" s="10"/>
      <c r="C130" s="10" t="s">
        <v>831</v>
      </c>
      <c r="D130" s="10" t="s">
        <v>839</v>
      </c>
      <c r="E130" s="10" t="s">
        <v>851</v>
      </c>
    </row>
    <row r="131">
      <c r="A131" s="10" t="s">
        <v>854</v>
      </c>
      <c r="B131" s="10" t="s">
        <v>672</v>
      </c>
      <c r="C131" s="10" t="s">
        <v>831</v>
      </c>
      <c r="D131" s="10" t="s">
        <v>839</v>
      </c>
      <c r="E131" s="10" t="s">
        <v>851</v>
      </c>
    </row>
    <row r="132">
      <c r="A132" s="10" t="s">
        <v>855</v>
      </c>
      <c r="B132" s="10"/>
      <c r="C132" s="10" t="s">
        <v>831</v>
      </c>
      <c r="D132" s="10" t="s">
        <v>839</v>
      </c>
      <c r="E132" s="10" t="s">
        <v>851</v>
      </c>
    </row>
    <row r="133">
      <c r="A133" s="10" t="s">
        <v>856</v>
      </c>
      <c r="B133" s="10"/>
      <c r="C133" s="10" t="s">
        <v>831</v>
      </c>
      <c r="D133" s="10" t="s">
        <v>857</v>
      </c>
      <c r="E133" s="10" t="s">
        <v>858</v>
      </c>
    </row>
    <row r="134">
      <c r="A134" s="10" t="s">
        <v>859</v>
      </c>
      <c r="B134" s="10" t="s">
        <v>672</v>
      </c>
      <c r="C134" s="10" t="s">
        <v>831</v>
      </c>
      <c r="D134" s="10" t="s">
        <v>860</v>
      </c>
      <c r="E134" s="10" t="s">
        <v>861</v>
      </c>
    </row>
    <row r="135">
      <c r="A135" s="10" t="s">
        <v>862</v>
      </c>
      <c r="B135" s="10"/>
      <c r="C135" s="10" t="s">
        <v>831</v>
      </c>
      <c r="D135" s="10" t="s">
        <v>860</v>
      </c>
      <c r="E135" s="10" t="s">
        <v>863</v>
      </c>
    </row>
    <row r="136">
      <c r="A136" s="10" t="s">
        <v>864</v>
      </c>
      <c r="B136" s="10" t="s">
        <v>672</v>
      </c>
      <c r="C136" s="10" t="s">
        <v>831</v>
      </c>
      <c r="D136" s="10" t="s">
        <v>865</v>
      </c>
      <c r="E136" s="10" t="s">
        <v>866</v>
      </c>
    </row>
    <row r="137">
      <c r="A137" s="10" t="s">
        <v>867</v>
      </c>
      <c r="B137" s="10" t="s">
        <v>687</v>
      </c>
      <c r="C137" s="10" t="s">
        <v>831</v>
      </c>
      <c r="D137" s="10" t="s">
        <v>865</v>
      </c>
      <c r="E137" s="10" t="s">
        <v>866</v>
      </c>
    </row>
    <row r="138">
      <c r="A138" s="10" t="s">
        <v>868</v>
      </c>
      <c r="B138" s="10"/>
      <c r="C138" s="10" t="s">
        <v>869</v>
      </c>
      <c r="D138" s="10" t="s">
        <v>870</v>
      </c>
      <c r="E138" s="10" t="s">
        <v>871</v>
      </c>
    </row>
    <row r="139">
      <c r="A139" s="10" t="s">
        <v>872</v>
      </c>
      <c r="B139" s="10" t="s">
        <v>672</v>
      </c>
      <c r="C139" s="10" t="s">
        <v>869</v>
      </c>
      <c r="D139" s="10" t="s">
        <v>870</v>
      </c>
      <c r="E139" s="10" t="s">
        <v>871</v>
      </c>
    </row>
    <row r="140">
      <c r="A140" s="10" t="s">
        <v>873</v>
      </c>
      <c r="B140" s="10" t="s">
        <v>672</v>
      </c>
      <c r="C140" s="10" t="s">
        <v>869</v>
      </c>
      <c r="D140" s="10" t="s">
        <v>870</v>
      </c>
      <c r="E140" s="10" t="s">
        <v>871</v>
      </c>
    </row>
    <row r="141">
      <c r="A141" s="10" t="s">
        <v>874</v>
      </c>
      <c r="B141" s="10" t="s">
        <v>672</v>
      </c>
      <c r="C141" s="10" t="s">
        <v>869</v>
      </c>
      <c r="D141" s="10" t="s">
        <v>870</v>
      </c>
      <c r="E141" s="10" t="s">
        <v>871</v>
      </c>
    </row>
    <row r="142">
      <c r="A142" s="10" t="s">
        <v>875</v>
      </c>
      <c r="B142" s="10" t="s">
        <v>672</v>
      </c>
      <c r="C142" s="10" t="s">
        <v>869</v>
      </c>
      <c r="D142" s="10" t="s">
        <v>870</v>
      </c>
      <c r="E142" s="10" t="s">
        <v>871</v>
      </c>
    </row>
    <row r="143">
      <c r="A143" s="10" t="s">
        <v>876</v>
      </c>
      <c r="B143" s="10" t="s">
        <v>672</v>
      </c>
      <c r="C143" s="10" t="s">
        <v>869</v>
      </c>
      <c r="D143" s="10" t="s">
        <v>870</v>
      </c>
      <c r="E143" s="10" t="s">
        <v>871</v>
      </c>
    </row>
    <row r="144">
      <c r="A144" s="10" t="s">
        <v>877</v>
      </c>
      <c r="B144" s="10" t="s">
        <v>672</v>
      </c>
      <c r="C144" s="10" t="s">
        <v>869</v>
      </c>
      <c r="D144" s="10" t="s">
        <v>870</v>
      </c>
      <c r="E144" s="10" t="s">
        <v>871</v>
      </c>
    </row>
    <row r="145">
      <c r="A145" s="10" t="s">
        <v>878</v>
      </c>
      <c r="B145" s="10" t="s">
        <v>672</v>
      </c>
      <c r="C145" s="10" t="s">
        <v>869</v>
      </c>
      <c r="D145" s="10" t="s">
        <v>870</v>
      </c>
      <c r="E145" s="10" t="s">
        <v>871</v>
      </c>
    </row>
    <row r="146">
      <c r="A146" s="10" t="s">
        <v>879</v>
      </c>
      <c r="B146" s="10" t="s">
        <v>717</v>
      </c>
      <c r="C146" s="10" t="s">
        <v>869</v>
      </c>
      <c r="D146" s="10" t="s">
        <v>870</v>
      </c>
      <c r="E146" s="10" t="s">
        <v>871</v>
      </c>
    </row>
    <row r="147">
      <c r="A147" s="10" t="s">
        <v>880</v>
      </c>
      <c r="B147" s="10" t="s">
        <v>672</v>
      </c>
      <c r="C147" s="10" t="s">
        <v>869</v>
      </c>
      <c r="D147" s="10" t="s">
        <v>870</v>
      </c>
      <c r="E147" s="10" t="s">
        <v>871</v>
      </c>
    </row>
    <row r="148">
      <c r="A148" s="10" t="s">
        <v>881</v>
      </c>
      <c r="B148" s="10"/>
      <c r="C148" s="10" t="s">
        <v>869</v>
      </c>
      <c r="D148" s="10" t="s">
        <v>870</v>
      </c>
      <c r="E148" s="10" t="s">
        <v>871</v>
      </c>
    </row>
    <row r="149">
      <c r="A149" s="10" t="s">
        <v>882</v>
      </c>
      <c r="B149" s="10" t="s">
        <v>672</v>
      </c>
      <c r="C149" s="10" t="s">
        <v>869</v>
      </c>
      <c r="D149" s="10" t="s">
        <v>870</v>
      </c>
      <c r="E149" s="10" t="s">
        <v>871</v>
      </c>
    </row>
    <row r="150">
      <c r="A150" s="10" t="s">
        <v>883</v>
      </c>
      <c r="B150" s="10" t="s">
        <v>672</v>
      </c>
      <c r="C150" s="10" t="s">
        <v>869</v>
      </c>
      <c r="D150" s="10" t="s">
        <v>870</v>
      </c>
      <c r="E150" s="10" t="s">
        <v>871</v>
      </c>
    </row>
    <row r="151">
      <c r="A151" s="10" t="s">
        <v>884</v>
      </c>
      <c r="B151" s="10" t="s">
        <v>672</v>
      </c>
      <c r="C151" s="10" t="s">
        <v>869</v>
      </c>
      <c r="D151" s="10" t="s">
        <v>870</v>
      </c>
      <c r="E151" s="10" t="s">
        <v>871</v>
      </c>
    </row>
    <row r="152">
      <c r="A152" s="10" t="s">
        <v>885</v>
      </c>
      <c r="B152" s="10" t="s">
        <v>672</v>
      </c>
      <c r="C152" s="10" t="s">
        <v>869</v>
      </c>
      <c r="D152" s="10" t="s">
        <v>870</v>
      </c>
      <c r="E152" s="10" t="s">
        <v>871</v>
      </c>
    </row>
    <row r="153">
      <c r="A153" s="10" t="s">
        <v>886</v>
      </c>
      <c r="B153" s="10" t="s">
        <v>672</v>
      </c>
      <c r="C153" s="10" t="s">
        <v>869</v>
      </c>
      <c r="D153" s="10" t="s">
        <v>870</v>
      </c>
      <c r="E153" s="10" t="s">
        <v>871</v>
      </c>
    </row>
    <row r="154">
      <c r="A154" s="10" t="s">
        <v>887</v>
      </c>
      <c r="B154" s="10" t="s">
        <v>672</v>
      </c>
      <c r="C154" s="10" t="s">
        <v>869</v>
      </c>
      <c r="D154" s="10" t="s">
        <v>870</v>
      </c>
      <c r="E154" s="10" t="s">
        <v>871</v>
      </c>
    </row>
    <row r="155">
      <c r="A155" s="10" t="s">
        <v>888</v>
      </c>
      <c r="B155" s="10" t="s">
        <v>672</v>
      </c>
      <c r="C155" s="10" t="s">
        <v>869</v>
      </c>
      <c r="D155" s="10" t="s">
        <v>870</v>
      </c>
      <c r="E155" s="10" t="s">
        <v>871</v>
      </c>
    </row>
    <row r="156">
      <c r="A156" s="10" t="s">
        <v>889</v>
      </c>
      <c r="B156" s="10" t="s">
        <v>672</v>
      </c>
      <c r="C156" s="10" t="s">
        <v>869</v>
      </c>
      <c r="D156" s="10" t="s">
        <v>870</v>
      </c>
      <c r="E156" s="10" t="s">
        <v>871</v>
      </c>
    </row>
    <row r="157">
      <c r="A157" s="10" t="s">
        <v>890</v>
      </c>
      <c r="B157" s="10" t="s">
        <v>672</v>
      </c>
      <c r="C157" s="10" t="s">
        <v>869</v>
      </c>
      <c r="D157" s="10" t="s">
        <v>870</v>
      </c>
      <c r="E157" s="10" t="s">
        <v>871</v>
      </c>
    </row>
    <row r="158">
      <c r="A158" s="10" t="s">
        <v>891</v>
      </c>
      <c r="B158" s="10" t="s">
        <v>672</v>
      </c>
      <c r="C158" s="10" t="s">
        <v>869</v>
      </c>
      <c r="D158" s="10" t="s">
        <v>870</v>
      </c>
      <c r="E158" s="10" t="s">
        <v>871</v>
      </c>
    </row>
    <row r="159">
      <c r="A159" s="10" t="s">
        <v>892</v>
      </c>
      <c r="B159" s="10" t="s">
        <v>687</v>
      </c>
      <c r="C159" s="10" t="s">
        <v>869</v>
      </c>
      <c r="D159" s="10" t="s">
        <v>893</v>
      </c>
      <c r="E159" s="10" t="s">
        <v>894</v>
      </c>
    </row>
    <row r="160">
      <c r="A160" s="10" t="s">
        <v>895</v>
      </c>
      <c r="B160" s="10"/>
      <c r="C160" s="10" t="s">
        <v>869</v>
      </c>
      <c r="D160" s="10" t="s">
        <v>893</v>
      </c>
      <c r="E160" s="10" t="s">
        <v>894</v>
      </c>
    </row>
    <row r="161">
      <c r="A161" s="10" t="s">
        <v>896</v>
      </c>
      <c r="B161" s="10"/>
      <c r="C161" s="10" t="s">
        <v>869</v>
      </c>
      <c r="D161" s="10" t="s">
        <v>893</v>
      </c>
      <c r="E161" s="10" t="s">
        <v>894</v>
      </c>
    </row>
    <row r="162">
      <c r="A162" s="10" t="s">
        <v>897</v>
      </c>
      <c r="B162" s="10"/>
      <c r="C162" s="10" t="s">
        <v>869</v>
      </c>
      <c r="D162" s="10" t="s">
        <v>893</v>
      </c>
      <c r="E162" s="10" t="s">
        <v>894</v>
      </c>
    </row>
    <row r="163">
      <c r="A163" s="10" t="s">
        <v>898</v>
      </c>
      <c r="B163" s="10"/>
      <c r="C163" s="10" t="s">
        <v>869</v>
      </c>
      <c r="D163" s="10" t="s">
        <v>893</v>
      </c>
      <c r="E163" s="10" t="s">
        <v>894</v>
      </c>
    </row>
    <row r="164">
      <c r="A164" s="10" t="s">
        <v>899</v>
      </c>
      <c r="B164" s="10"/>
      <c r="C164" s="10" t="s">
        <v>869</v>
      </c>
      <c r="D164" s="10" t="s">
        <v>893</v>
      </c>
      <c r="E164" s="10" t="s">
        <v>894</v>
      </c>
    </row>
    <row r="165">
      <c r="A165" s="10" t="s">
        <v>900</v>
      </c>
      <c r="B165" s="10"/>
      <c r="C165" s="10" t="s">
        <v>869</v>
      </c>
      <c r="D165" s="10" t="s">
        <v>893</v>
      </c>
      <c r="E165" s="10" t="s">
        <v>894</v>
      </c>
    </row>
    <row r="166">
      <c r="A166" s="10" t="s">
        <v>901</v>
      </c>
      <c r="B166" s="10"/>
      <c r="C166" s="10" t="s">
        <v>869</v>
      </c>
      <c r="D166" s="10" t="s">
        <v>893</v>
      </c>
      <c r="E166" s="10" t="s">
        <v>894</v>
      </c>
    </row>
    <row r="167">
      <c r="A167" s="10" t="s">
        <v>902</v>
      </c>
      <c r="B167" s="10" t="s">
        <v>672</v>
      </c>
      <c r="C167" s="10" t="s">
        <v>869</v>
      </c>
      <c r="D167" s="10" t="s">
        <v>893</v>
      </c>
      <c r="E167" s="10" t="s">
        <v>894</v>
      </c>
    </row>
    <row r="168">
      <c r="A168" s="10" t="s">
        <v>903</v>
      </c>
      <c r="B168" s="10"/>
      <c r="C168" s="10" t="s">
        <v>869</v>
      </c>
      <c r="D168" s="10" t="s">
        <v>893</v>
      </c>
      <c r="E168" s="10" t="s">
        <v>894</v>
      </c>
    </row>
    <row r="169">
      <c r="A169" s="10" t="s">
        <v>904</v>
      </c>
      <c r="B169" s="10"/>
      <c r="C169" s="10" t="s">
        <v>869</v>
      </c>
      <c r="D169" s="10" t="s">
        <v>893</v>
      </c>
      <c r="E169" s="10" t="s">
        <v>894</v>
      </c>
    </row>
    <row r="170">
      <c r="A170" s="10" t="s">
        <v>905</v>
      </c>
      <c r="B170" s="10" t="s">
        <v>672</v>
      </c>
      <c r="C170" s="10" t="s">
        <v>869</v>
      </c>
      <c r="D170" s="10" t="s">
        <v>893</v>
      </c>
      <c r="E170" s="10" t="s">
        <v>906</v>
      </c>
    </row>
    <row r="171">
      <c r="A171" s="10" t="s">
        <v>907</v>
      </c>
      <c r="B171" s="10" t="s">
        <v>687</v>
      </c>
      <c r="C171" s="10" t="s">
        <v>869</v>
      </c>
      <c r="D171" s="10" t="s">
        <v>893</v>
      </c>
      <c r="E171" s="10" t="s">
        <v>908</v>
      </c>
    </row>
    <row r="172">
      <c r="A172" s="10" t="s">
        <v>909</v>
      </c>
      <c r="B172" s="10"/>
      <c r="C172" s="10" t="s">
        <v>869</v>
      </c>
      <c r="D172" s="10" t="s">
        <v>893</v>
      </c>
      <c r="E172" s="10" t="s">
        <v>908</v>
      </c>
    </row>
    <row r="173">
      <c r="A173" s="10" t="s">
        <v>910</v>
      </c>
      <c r="B173" s="10" t="s">
        <v>672</v>
      </c>
      <c r="C173" s="10" t="s">
        <v>869</v>
      </c>
      <c r="D173" s="10" t="s">
        <v>893</v>
      </c>
      <c r="E173" s="10" t="s">
        <v>908</v>
      </c>
    </row>
    <row r="174">
      <c r="A174" s="10" t="s">
        <v>911</v>
      </c>
      <c r="B174" s="10" t="s">
        <v>672</v>
      </c>
      <c r="C174" s="10" t="s">
        <v>869</v>
      </c>
      <c r="D174" s="10" t="s">
        <v>893</v>
      </c>
      <c r="E174" s="10" t="s">
        <v>908</v>
      </c>
    </row>
    <row r="175">
      <c r="A175" s="10" t="s">
        <v>912</v>
      </c>
      <c r="B175" s="10"/>
      <c r="C175" s="10" t="s">
        <v>869</v>
      </c>
      <c r="D175" s="10" t="s">
        <v>893</v>
      </c>
      <c r="E175" s="10" t="s">
        <v>913</v>
      </c>
    </row>
    <row r="176">
      <c r="A176" s="10" t="s">
        <v>914</v>
      </c>
      <c r="B176" s="10" t="s">
        <v>672</v>
      </c>
      <c r="C176" s="10" t="s">
        <v>869</v>
      </c>
      <c r="D176" s="10" t="s">
        <v>893</v>
      </c>
      <c r="E176" s="10" t="s">
        <v>913</v>
      </c>
    </row>
    <row r="177">
      <c r="A177" s="10" t="s">
        <v>915</v>
      </c>
      <c r="B177" s="10" t="s">
        <v>672</v>
      </c>
      <c r="C177" s="10" t="s">
        <v>869</v>
      </c>
      <c r="D177" s="10" t="s">
        <v>893</v>
      </c>
      <c r="E177" s="10" t="s">
        <v>913</v>
      </c>
    </row>
    <row r="178">
      <c r="A178" s="10" t="s">
        <v>916</v>
      </c>
      <c r="B178" s="10"/>
      <c r="C178" s="10" t="s">
        <v>869</v>
      </c>
      <c r="D178" s="10" t="s">
        <v>917</v>
      </c>
      <c r="E178" s="10" t="s">
        <v>918</v>
      </c>
    </row>
    <row r="179">
      <c r="A179" s="10" t="s">
        <v>919</v>
      </c>
      <c r="B179" s="10" t="s">
        <v>672</v>
      </c>
      <c r="C179" s="10" t="s">
        <v>869</v>
      </c>
      <c r="D179" s="10" t="s">
        <v>917</v>
      </c>
      <c r="E179" s="10" t="s">
        <v>920</v>
      </c>
    </row>
    <row r="180">
      <c r="A180" s="10" t="s">
        <v>921</v>
      </c>
      <c r="B180" s="10"/>
      <c r="C180" s="10" t="s">
        <v>869</v>
      </c>
      <c r="D180" s="10" t="s">
        <v>917</v>
      </c>
      <c r="E180" s="10" t="s">
        <v>922</v>
      </c>
    </row>
    <row r="181">
      <c r="A181" s="10" t="s">
        <v>923</v>
      </c>
      <c r="B181" s="10"/>
      <c r="C181" s="10" t="s">
        <v>869</v>
      </c>
      <c r="D181" s="10" t="s">
        <v>917</v>
      </c>
      <c r="E181" s="10" t="s">
        <v>922</v>
      </c>
    </row>
    <row r="182">
      <c r="A182" s="10" t="s">
        <v>924</v>
      </c>
      <c r="B182" s="10" t="s">
        <v>672</v>
      </c>
      <c r="C182" s="10" t="s">
        <v>869</v>
      </c>
      <c r="D182" s="10" t="s">
        <v>925</v>
      </c>
      <c r="E182" s="10" t="s">
        <v>925</v>
      </c>
    </row>
    <row r="183">
      <c r="A183" s="10" t="s">
        <v>926</v>
      </c>
      <c r="B183" s="10" t="s">
        <v>672</v>
      </c>
      <c r="C183" s="10" t="s">
        <v>869</v>
      </c>
      <c r="D183" s="10" t="s">
        <v>925</v>
      </c>
      <c r="E183" s="10" t="s">
        <v>925</v>
      </c>
    </row>
    <row r="184">
      <c r="A184" s="10" t="s">
        <v>927</v>
      </c>
      <c r="B184" s="10"/>
      <c r="C184" s="10" t="s">
        <v>869</v>
      </c>
      <c r="D184" s="10" t="s">
        <v>925</v>
      </c>
      <c r="E184" s="10" t="s">
        <v>925</v>
      </c>
    </row>
    <row r="185">
      <c r="A185" s="10" t="s">
        <v>928</v>
      </c>
      <c r="B185" s="10"/>
      <c r="C185" s="10" t="s">
        <v>869</v>
      </c>
      <c r="D185" s="10" t="s">
        <v>929</v>
      </c>
      <c r="E185" s="10" t="s">
        <v>930</v>
      </c>
    </row>
    <row r="186">
      <c r="A186" s="10" t="s">
        <v>931</v>
      </c>
      <c r="B186" s="10" t="s">
        <v>672</v>
      </c>
      <c r="C186" s="10" t="s">
        <v>869</v>
      </c>
      <c r="D186" s="10" t="s">
        <v>929</v>
      </c>
      <c r="E186" s="10" t="s">
        <v>932</v>
      </c>
    </row>
    <row r="187">
      <c r="A187" s="10" t="s">
        <v>933</v>
      </c>
      <c r="B187" s="10" t="s">
        <v>672</v>
      </c>
      <c r="C187" s="10" t="s">
        <v>869</v>
      </c>
      <c r="D187" s="10" t="s">
        <v>929</v>
      </c>
      <c r="E187" s="10" t="s">
        <v>932</v>
      </c>
    </row>
    <row r="188">
      <c r="A188" s="10" t="s">
        <v>934</v>
      </c>
      <c r="B188" s="10"/>
      <c r="C188" s="10" t="s">
        <v>869</v>
      </c>
      <c r="D188" s="10" t="s">
        <v>935</v>
      </c>
      <c r="E188" s="10" t="s">
        <v>936</v>
      </c>
    </row>
    <row r="189">
      <c r="A189" s="10" t="s">
        <v>937</v>
      </c>
      <c r="B189" s="10"/>
      <c r="C189" s="10" t="s">
        <v>869</v>
      </c>
      <c r="D189" s="10" t="s">
        <v>935</v>
      </c>
      <c r="E189" s="10" t="s">
        <v>938</v>
      </c>
    </row>
    <row r="190">
      <c r="A190" s="10" t="s">
        <v>939</v>
      </c>
      <c r="B190" s="10"/>
      <c r="C190" s="10" t="s">
        <v>869</v>
      </c>
      <c r="D190" s="10" t="s">
        <v>935</v>
      </c>
      <c r="E190" s="10" t="s">
        <v>940</v>
      </c>
    </row>
    <row r="191">
      <c r="A191" s="10" t="s">
        <v>941</v>
      </c>
      <c r="B191" s="10" t="s">
        <v>672</v>
      </c>
      <c r="C191" s="10" t="s">
        <v>869</v>
      </c>
      <c r="D191" s="10" t="s">
        <v>935</v>
      </c>
      <c r="E191" s="10" t="s">
        <v>940</v>
      </c>
    </row>
    <row r="192">
      <c r="A192" s="10" t="s">
        <v>942</v>
      </c>
      <c r="B192" s="10" t="s">
        <v>672</v>
      </c>
      <c r="C192" s="10" t="s">
        <v>869</v>
      </c>
      <c r="D192" s="10" t="s">
        <v>935</v>
      </c>
      <c r="E192" s="10" t="s">
        <v>943</v>
      </c>
    </row>
    <row r="193">
      <c r="A193" s="10" t="s">
        <v>944</v>
      </c>
      <c r="B193" s="10" t="s">
        <v>773</v>
      </c>
      <c r="C193" s="10" t="s">
        <v>869</v>
      </c>
      <c r="D193" s="10" t="s">
        <v>935</v>
      </c>
      <c r="E193" s="10" t="s">
        <v>945</v>
      </c>
    </row>
    <row r="194">
      <c r="A194" s="10" t="s">
        <v>946</v>
      </c>
      <c r="B194" s="10" t="s">
        <v>672</v>
      </c>
      <c r="C194" s="10" t="s">
        <v>869</v>
      </c>
      <c r="D194" s="10" t="s">
        <v>947</v>
      </c>
      <c r="E194" s="10" t="s">
        <v>948</v>
      </c>
    </row>
    <row r="195">
      <c r="A195" s="10" t="s">
        <v>949</v>
      </c>
      <c r="B195" s="10" t="s">
        <v>717</v>
      </c>
      <c r="C195" s="10" t="s">
        <v>869</v>
      </c>
      <c r="D195" s="10" t="s">
        <v>947</v>
      </c>
      <c r="E195" s="10" t="s">
        <v>948</v>
      </c>
    </row>
    <row r="196">
      <c r="A196" s="10" t="s">
        <v>950</v>
      </c>
      <c r="B196" s="10" t="s">
        <v>672</v>
      </c>
      <c r="C196" s="10" t="s">
        <v>869</v>
      </c>
      <c r="D196" s="10" t="s">
        <v>947</v>
      </c>
      <c r="E196" s="10" t="s">
        <v>948</v>
      </c>
    </row>
    <row r="197">
      <c r="A197" s="10" t="s">
        <v>951</v>
      </c>
      <c r="B197" s="10" t="s">
        <v>672</v>
      </c>
      <c r="C197" s="10" t="s">
        <v>869</v>
      </c>
      <c r="D197" s="10" t="s">
        <v>947</v>
      </c>
      <c r="E197" s="10" t="s">
        <v>948</v>
      </c>
    </row>
    <row r="198">
      <c r="A198" s="10" t="s">
        <v>952</v>
      </c>
      <c r="B198" s="10" t="s">
        <v>672</v>
      </c>
      <c r="C198" s="10" t="s">
        <v>869</v>
      </c>
      <c r="D198" s="10" t="s">
        <v>947</v>
      </c>
      <c r="E198" s="10" t="s">
        <v>948</v>
      </c>
    </row>
    <row r="199">
      <c r="A199" s="10" t="s">
        <v>953</v>
      </c>
      <c r="B199" s="10" t="s">
        <v>672</v>
      </c>
      <c r="C199" s="10" t="s">
        <v>869</v>
      </c>
      <c r="D199" s="10" t="s">
        <v>947</v>
      </c>
      <c r="E199" s="10" t="s">
        <v>954</v>
      </c>
    </row>
    <row r="200">
      <c r="A200" s="10" t="s">
        <v>955</v>
      </c>
      <c r="B200" s="10" t="s">
        <v>672</v>
      </c>
      <c r="C200" s="10" t="s">
        <v>869</v>
      </c>
      <c r="D200" s="10" t="s">
        <v>947</v>
      </c>
      <c r="E200" s="10" t="s">
        <v>954</v>
      </c>
    </row>
    <row r="201">
      <c r="A201" s="10" t="s">
        <v>956</v>
      </c>
      <c r="B201" s="10" t="s">
        <v>773</v>
      </c>
      <c r="C201" s="10" t="s">
        <v>869</v>
      </c>
      <c r="D201" s="10" t="s">
        <v>947</v>
      </c>
      <c r="E201" s="10" t="s">
        <v>954</v>
      </c>
    </row>
    <row r="202">
      <c r="A202" s="10" t="s">
        <v>957</v>
      </c>
      <c r="B202" s="10" t="s">
        <v>672</v>
      </c>
      <c r="C202" s="10" t="s">
        <v>869</v>
      </c>
      <c r="D202" s="10" t="s">
        <v>947</v>
      </c>
      <c r="E202" s="10" t="s">
        <v>954</v>
      </c>
    </row>
    <row r="203">
      <c r="A203" s="10" t="s">
        <v>958</v>
      </c>
      <c r="B203" s="10"/>
      <c r="C203" s="10" t="s">
        <v>869</v>
      </c>
      <c r="D203" s="10" t="s">
        <v>947</v>
      </c>
      <c r="E203" s="10" t="s">
        <v>954</v>
      </c>
    </row>
    <row r="204">
      <c r="A204" s="10" t="s">
        <v>959</v>
      </c>
      <c r="B204" s="10" t="s">
        <v>672</v>
      </c>
      <c r="C204" s="10" t="s">
        <v>869</v>
      </c>
      <c r="D204" s="10" t="s">
        <v>947</v>
      </c>
      <c r="E204" s="10" t="s">
        <v>960</v>
      </c>
    </row>
    <row r="205">
      <c r="A205" s="10" t="s">
        <v>961</v>
      </c>
      <c r="B205" s="10" t="s">
        <v>672</v>
      </c>
      <c r="C205" s="10" t="s">
        <v>869</v>
      </c>
      <c r="D205" s="10" t="s">
        <v>827</v>
      </c>
      <c r="E205" s="10" t="s">
        <v>893</v>
      </c>
    </row>
    <row r="206">
      <c r="A206" s="10" t="s">
        <v>962</v>
      </c>
      <c r="B206" s="10" t="s">
        <v>672</v>
      </c>
      <c r="C206" s="10" t="s">
        <v>869</v>
      </c>
      <c r="D206" s="10" t="s">
        <v>827</v>
      </c>
      <c r="E206" s="10" t="s">
        <v>893</v>
      </c>
    </row>
    <row r="207">
      <c r="A207" s="10" t="s">
        <v>963</v>
      </c>
      <c r="B207" s="10"/>
      <c r="C207" s="10" t="s">
        <v>869</v>
      </c>
      <c r="D207" s="10" t="s">
        <v>827</v>
      </c>
      <c r="E207" s="10" t="s">
        <v>893</v>
      </c>
    </row>
    <row r="208">
      <c r="A208" s="10" t="s">
        <v>964</v>
      </c>
      <c r="B208" s="10"/>
      <c r="C208" s="10" t="s">
        <v>869</v>
      </c>
      <c r="D208" s="10" t="s">
        <v>827</v>
      </c>
      <c r="E208" s="10" t="s">
        <v>893</v>
      </c>
    </row>
    <row r="209">
      <c r="A209" s="10" t="s">
        <v>965</v>
      </c>
      <c r="B209" s="10" t="s">
        <v>672</v>
      </c>
      <c r="C209" s="10" t="s">
        <v>869</v>
      </c>
      <c r="D209" s="10" t="s">
        <v>827</v>
      </c>
      <c r="E209" s="10" t="s">
        <v>893</v>
      </c>
    </row>
    <row r="210">
      <c r="A210" s="10" t="s">
        <v>966</v>
      </c>
      <c r="B210" s="10" t="s">
        <v>672</v>
      </c>
      <c r="C210" s="10" t="s">
        <v>869</v>
      </c>
      <c r="D210" s="10" t="s">
        <v>827</v>
      </c>
      <c r="E210" s="10" t="s">
        <v>893</v>
      </c>
    </row>
    <row r="211">
      <c r="A211" s="10" t="s">
        <v>967</v>
      </c>
      <c r="B211" s="10" t="s">
        <v>672</v>
      </c>
      <c r="C211" s="10" t="s">
        <v>869</v>
      </c>
      <c r="D211" s="10" t="s">
        <v>827</v>
      </c>
      <c r="E211" s="10" t="s">
        <v>893</v>
      </c>
    </row>
    <row r="212">
      <c r="A212" s="10" t="s">
        <v>968</v>
      </c>
      <c r="B212" s="10" t="s">
        <v>672</v>
      </c>
      <c r="C212" s="10" t="s">
        <v>869</v>
      </c>
      <c r="D212" s="10" t="s">
        <v>827</v>
      </c>
      <c r="E212" s="10" t="s">
        <v>918</v>
      </c>
    </row>
    <row r="213">
      <c r="A213" s="10" t="s">
        <v>969</v>
      </c>
      <c r="B213" s="10" t="s">
        <v>672</v>
      </c>
      <c r="C213" s="10" t="s">
        <v>869</v>
      </c>
      <c r="D213" s="10" t="s">
        <v>827</v>
      </c>
      <c r="E213" s="10" t="s">
        <v>918</v>
      </c>
    </row>
    <row r="214">
      <c r="A214" s="10" t="s">
        <v>970</v>
      </c>
      <c r="B214" s="10" t="s">
        <v>672</v>
      </c>
      <c r="C214" s="10" t="s">
        <v>869</v>
      </c>
      <c r="D214" s="10" t="s">
        <v>827</v>
      </c>
      <c r="E214" s="10" t="s">
        <v>971</v>
      </c>
    </row>
    <row r="215">
      <c r="A215" s="10" t="s">
        <v>972</v>
      </c>
      <c r="B215" s="10" t="s">
        <v>672</v>
      </c>
      <c r="C215" s="10" t="s">
        <v>869</v>
      </c>
      <c r="D215" s="10" t="s">
        <v>827</v>
      </c>
      <c r="E215" s="10" t="s">
        <v>971</v>
      </c>
    </row>
    <row r="216">
      <c r="A216" s="10" t="s">
        <v>973</v>
      </c>
      <c r="B216" s="10" t="s">
        <v>687</v>
      </c>
      <c r="C216" s="10" t="s">
        <v>869</v>
      </c>
      <c r="D216" s="10" t="s">
        <v>827</v>
      </c>
      <c r="E216" s="10" t="s">
        <v>971</v>
      </c>
    </row>
    <row r="217">
      <c r="A217" s="10" t="s">
        <v>974</v>
      </c>
      <c r="B217" s="10" t="s">
        <v>679</v>
      </c>
      <c r="C217" s="10" t="s">
        <v>869</v>
      </c>
      <c r="D217" s="10" t="s">
        <v>827</v>
      </c>
      <c r="E217" s="10" t="s">
        <v>971</v>
      </c>
    </row>
    <row r="218">
      <c r="A218" s="10" t="s">
        <v>975</v>
      </c>
      <c r="B218" s="10" t="s">
        <v>717</v>
      </c>
      <c r="C218" s="10" t="s">
        <v>976</v>
      </c>
      <c r="D218" s="10" t="s">
        <v>977</v>
      </c>
      <c r="E218" s="10" t="s">
        <v>977</v>
      </c>
    </row>
    <row r="219">
      <c r="A219" s="10" t="s">
        <v>978</v>
      </c>
      <c r="B219" s="10" t="s">
        <v>818</v>
      </c>
      <c r="C219" s="10" t="s">
        <v>976</v>
      </c>
      <c r="D219" s="10" t="s">
        <v>977</v>
      </c>
      <c r="E219" s="10" t="s">
        <v>977</v>
      </c>
    </row>
    <row r="220">
      <c r="A220" s="10" t="s">
        <v>979</v>
      </c>
      <c r="B220" s="10" t="s">
        <v>717</v>
      </c>
      <c r="C220" s="10" t="s">
        <v>976</v>
      </c>
      <c r="D220" s="10" t="s">
        <v>977</v>
      </c>
      <c r="E220" s="10" t="s">
        <v>977</v>
      </c>
    </row>
    <row r="221">
      <c r="A221" s="10" t="s">
        <v>980</v>
      </c>
      <c r="B221" s="10" t="s">
        <v>672</v>
      </c>
      <c r="C221" s="10" t="s">
        <v>976</v>
      </c>
      <c r="D221" s="10" t="s">
        <v>977</v>
      </c>
      <c r="E221" s="10" t="s">
        <v>977</v>
      </c>
    </row>
    <row r="222">
      <c r="A222" s="10" t="s">
        <v>981</v>
      </c>
      <c r="B222" s="10"/>
      <c r="C222" s="10" t="s">
        <v>976</v>
      </c>
      <c r="D222" s="10" t="s">
        <v>982</v>
      </c>
      <c r="E222" s="10" t="s">
        <v>982</v>
      </c>
    </row>
    <row r="223">
      <c r="A223" s="10" t="s">
        <v>983</v>
      </c>
      <c r="B223" s="10" t="s">
        <v>672</v>
      </c>
      <c r="C223" s="10" t="s">
        <v>976</v>
      </c>
      <c r="D223" s="10" t="s">
        <v>982</v>
      </c>
      <c r="E223" s="10" t="s">
        <v>982</v>
      </c>
    </row>
    <row r="224">
      <c r="A224" s="10" t="s">
        <v>984</v>
      </c>
      <c r="B224" s="10"/>
      <c r="C224" s="10" t="s">
        <v>976</v>
      </c>
      <c r="D224" s="10" t="s">
        <v>982</v>
      </c>
      <c r="E224" s="10" t="s">
        <v>982</v>
      </c>
    </row>
    <row r="225">
      <c r="A225" s="10" t="s">
        <v>985</v>
      </c>
      <c r="B225" s="10" t="s">
        <v>672</v>
      </c>
      <c r="C225" s="10" t="s">
        <v>976</v>
      </c>
      <c r="D225" s="10" t="s">
        <v>982</v>
      </c>
      <c r="E225" s="10" t="s">
        <v>982</v>
      </c>
    </row>
    <row r="226">
      <c r="A226" s="10" t="s">
        <v>986</v>
      </c>
      <c r="B226" s="10" t="s">
        <v>672</v>
      </c>
      <c r="C226" s="10" t="s">
        <v>976</v>
      </c>
      <c r="D226" s="10" t="s">
        <v>982</v>
      </c>
      <c r="E226" s="10" t="s">
        <v>982</v>
      </c>
    </row>
    <row r="227">
      <c r="A227" s="10" t="s">
        <v>987</v>
      </c>
      <c r="B227" s="10" t="s">
        <v>672</v>
      </c>
      <c r="C227" s="10" t="s">
        <v>976</v>
      </c>
      <c r="D227" s="10" t="s">
        <v>982</v>
      </c>
      <c r="E227" s="10" t="s">
        <v>982</v>
      </c>
    </row>
    <row r="228">
      <c r="A228" s="10" t="s">
        <v>988</v>
      </c>
      <c r="B228" s="10" t="s">
        <v>672</v>
      </c>
      <c r="C228" s="10" t="s">
        <v>976</v>
      </c>
      <c r="D228" s="10" t="s">
        <v>982</v>
      </c>
      <c r="E228" s="10" t="s">
        <v>982</v>
      </c>
    </row>
    <row r="229">
      <c r="A229" s="10" t="s">
        <v>989</v>
      </c>
      <c r="B229" s="10" t="s">
        <v>672</v>
      </c>
      <c r="C229" s="10" t="s">
        <v>976</v>
      </c>
      <c r="D229" s="10" t="s">
        <v>982</v>
      </c>
      <c r="E229" s="10" t="s">
        <v>982</v>
      </c>
    </row>
    <row r="230">
      <c r="A230" s="10" t="s">
        <v>990</v>
      </c>
      <c r="B230" s="10" t="s">
        <v>672</v>
      </c>
      <c r="C230" s="10" t="s">
        <v>976</v>
      </c>
      <c r="D230" s="10" t="s">
        <v>982</v>
      </c>
      <c r="E230" s="10" t="s">
        <v>982</v>
      </c>
    </row>
    <row r="231">
      <c r="A231" s="10" t="s">
        <v>991</v>
      </c>
      <c r="B231" s="10"/>
      <c r="C231" s="10" t="s">
        <v>976</v>
      </c>
      <c r="D231" s="10" t="s">
        <v>992</v>
      </c>
      <c r="E231" s="10" t="s">
        <v>992</v>
      </c>
    </row>
    <row r="232">
      <c r="A232" s="10" t="s">
        <v>993</v>
      </c>
      <c r="B232" s="10" t="s">
        <v>717</v>
      </c>
      <c r="C232" s="10" t="s">
        <v>976</v>
      </c>
      <c r="D232" s="10" t="s">
        <v>992</v>
      </c>
      <c r="E232" s="10" t="s">
        <v>992</v>
      </c>
    </row>
    <row r="233">
      <c r="A233" s="10" t="s">
        <v>994</v>
      </c>
      <c r="B233" s="10"/>
      <c r="C233" s="10" t="s">
        <v>976</v>
      </c>
      <c r="D233" s="10" t="s">
        <v>865</v>
      </c>
      <c r="E233" s="10" t="s">
        <v>977</v>
      </c>
    </row>
    <row r="234">
      <c r="A234" s="10" t="s">
        <v>995</v>
      </c>
      <c r="B234" s="10" t="s">
        <v>672</v>
      </c>
      <c r="C234" s="10" t="s">
        <v>976</v>
      </c>
      <c r="D234" s="10" t="s">
        <v>865</v>
      </c>
      <c r="E234" s="10" t="s">
        <v>977</v>
      </c>
    </row>
    <row r="235">
      <c r="A235" s="10" t="s">
        <v>996</v>
      </c>
      <c r="B235" s="10" t="s">
        <v>672</v>
      </c>
      <c r="C235" s="10" t="s">
        <v>976</v>
      </c>
      <c r="D235" s="10" t="s">
        <v>865</v>
      </c>
      <c r="E235" s="10" t="s">
        <v>977</v>
      </c>
    </row>
    <row r="236">
      <c r="A236" s="10" t="s">
        <v>997</v>
      </c>
      <c r="B236" s="10" t="s">
        <v>672</v>
      </c>
      <c r="C236" s="10" t="s">
        <v>976</v>
      </c>
      <c r="D236" s="10" t="s">
        <v>865</v>
      </c>
      <c r="E236" s="10" t="s">
        <v>977</v>
      </c>
    </row>
    <row r="237">
      <c r="A237" s="10" t="s">
        <v>998</v>
      </c>
      <c r="B237" s="10" t="s">
        <v>672</v>
      </c>
      <c r="C237" s="10" t="s">
        <v>999</v>
      </c>
      <c r="D237" s="10" t="s">
        <v>1000</v>
      </c>
      <c r="E237" s="10" t="s">
        <v>1000</v>
      </c>
    </row>
    <row r="238">
      <c r="A238" s="10" t="s">
        <v>1001</v>
      </c>
      <c r="B238" s="10" t="s">
        <v>717</v>
      </c>
      <c r="C238" s="10" t="s">
        <v>999</v>
      </c>
      <c r="D238" s="10" t="s">
        <v>1002</v>
      </c>
      <c r="E238" s="10" t="s">
        <v>1002</v>
      </c>
    </row>
    <row r="239">
      <c r="A239" s="10" t="s">
        <v>1003</v>
      </c>
      <c r="B239" s="10" t="s">
        <v>672</v>
      </c>
      <c r="C239" s="10" t="s">
        <v>999</v>
      </c>
      <c r="D239" s="10" t="s">
        <v>1002</v>
      </c>
      <c r="E239" s="10" t="s">
        <v>1002</v>
      </c>
    </row>
    <row r="240">
      <c r="A240" s="10" t="s">
        <v>1004</v>
      </c>
      <c r="B240" s="10" t="s">
        <v>672</v>
      </c>
      <c r="C240" s="10" t="s">
        <v>999</v>
      </c>
      <c r="D240" s="10" t="s">
        <v>1002</v>
      </c>
      <c r="E240" s="10" t="s">
        <v>1002</v>
      </c>
    </row>
    <row r="241">
      <c r="A241" s="10" t="s">
        <v>1005</v>
      </c>
      <c r="B241" s="10" t="s">
        <v>717</v>
      </c>
      <c r="C241" s="10" t="s">
        <v>999</v>
      </c>
      <c r="D241" s="10" t="s">
        <v>1002</v>
      </c>
      <c r="E241" s="10" t="s">
        <v>1002</v>
      </c>
    </row>
    <row r="242">
      <c r="A242" s="10" t="s">
        <v>1006</v>
      </c>
      <c r="B242" s="10" t="s">
        <v>672</v>
      </c>
      <c r="C242" s="10" t="s">
        <v>999</v>
      </c>
      <c r="D242" s="10" t="s">
        <v>1002</v>
      </c>
      <c r="E242" s="10" t="s">
        <v>1002</v>
      </c>
    </row>
    <row r="243">
      <c r="A243" s="10" t="s">
        <v>1007</v>
      </c>
      <c r="B243" s="10" t="s">
        <v>672</v>
      </c>
      <c r="C243" s="10" t="s">
        <v>999</v>
      </c>
      <c r="D243" s="10" t="s">
        <v>1002</v>
      </c>
      <c r="E243" s="10" t="s">
        <v>1002</v>
      </c>
    </row>
    <row r="244">
      <c r="A244" s="10" t="s">
        <v>1008</v>
      </c>
      <c r="B244" s="10"/>
      <c r="C244" s="10" t="s">
        <v>1009</v>
      </c>
      <c r="D244" s="10" t="s">
        <v>1010</v>
      </c>
      <c r="E244" s="10" t="s">
        <v>1010</v>
      </c>
    </row>
    <row r="245">
      <c r="A245" s="10" t="s">
        <v>1011</v>
      </c>
      <c r="B245" s="10" t="s">
        <v>687</v>
      </c>
      <c r="C245" s="10" t="s">
        <v>1009</v>
      </c>
      <c r="D245" s="10" t="s">
        <v>1010</v>
      </c>
      <c r="E245" s="10" t="s">
        <v>1010</v>
      </c>
    </row>
    <row r="246">
      <c r="A246" s="10" t="s">
        <v>1012</v>
      </c>
      <c r="B246" s="10"/>
      <c r="C246" s="10" t="s">
        <v>1009</v>
      </c>
      <c r="D246" s="10" t="s">
        <v>1010</v>
      </c>
      <c r="E246" s="10" t="s">
        <v>1010</v>
      </c>
    </row>
    <row r="247">
      <c r="A247" s="10" t="s">
        <v>1013</v>
      </c>
      <c r="B247" s="10"/>
      <c r="C247" s="10" t="s">
        <v>1009</v>
      </c>
      <c r="D247" s="10" t="s">
        <v>1010</v>
      </c>
      <c r="E247" s="10" t="s">
        <v>1010</v>
      </c>
    </row>
    <row r="248">
      <c r="A248" s="10" t="s">
        <v>1014</v>
      </c>
      <c r="B248" s="10" t="s">
        <v>672</v>
      </c>
      <c r="C248" s="10" t="s">
        <v>1009</v>
      </c>
      <c r="D248" s="10" t="s">
        <v>1010</v>
      </c>
      <c r="E248" s="10" t="s">
        <v>1010</v>
      </c>
    </row>
    <row r="249">
      <c r="A249" s="10" t="s">
        <v>1015</v>
      </c>
      <c r="B249" s="10" t="s">
        <v>717</v>
      </c>
      <c r="C249" s="10" t="s">
        <v>1009</v>
      </c>
      <c r="D249" s="10" t="s">
        <v>1016</v>
      </c>
      <c r="E249" s="10" t="s">
        <v>1017</v>
      </c>
    </row>
    <row r="250">
      <c r="A250" s="10" t="s">
        <v>1018</v>
      </c>
      <c r="B250" s="10"/>
      <c r="C250" s="10" t="s">
        <v>1019</v>
      </c>
      <c r="D250" s="10" t="s">
        <v>1020</v>
      </c>
      <c r="E250" s="10" t="s">
        <v>1020</v>
      </c>
    </row>
    <row r="251">
      <c r="A251" s="10" t="s">
        <v>1021</v>
      </c>
      <c r="B251" s="10" t="s">
        <v>679</v>
      </c>
      <c r="C251" s="10" t="s">
        <v>1019</v>
      </c>
      <c r="D251" s="10" t="s">
        <v>1020</v>
      </c>
      <c r="E251" s="10" t="s">
        <v>1020</v>
      </c>
    </row>
    <row r="252">
      <c r="A252" s="10" t="s">
        <v>1022</v>
      </c>
      <c r="B252" s="10"/>
      <c r="C252" s="10" t="s">
        <v>1019</v>
      </c>
      <c r="D252" s="10" t="s">
        <v>1020</v>
      </c>
      <c r="E252" s="10" t="s">
        <v>1020</v>
      </c>
    </row>
    <row r="253">
      <c r="A253" s="10" t="s">
        <v>1023</v>
      </c>
      <c r="B253" s="10" t="s">
        <v>679</v>
      </c>
      <c r="C253" s="10" t="s">
        <v>1019</v>
      </c>
      <c r="D253" s="10" t="s">
        <v>1020</v>
      </c>
      <c r="E253" s="10" t="s">
        <v>1020</v>
      </c>
    </row>
    <row r="254">
      <c r="A254" s="10" t="s">
        <v>1024</v>
      </c>
      <c r="B254" s="10"/>
      <c r="C254" s="10" t="s">
        <v>1019</v>
      </c>
      <c r="D254" s="10" t="s">
        <v>1020</v>
      </c>
      <c r="E254" s="10" t="s">
        <v>1020</v>
      </c>
    </row>
    <row r="255">
      <c r="A255" s="10" t="s">
        <v>1025</v>
      </c>
      <c r="B255" s="10" t="s">
        <v>692</v>
      </c>
      <c r="C255" s="10" t="s">
        <v>1019</v>
      </c>
      <c r="D255" s="10" t="s">
        <v>1020</v>
      </c>
      <c r="E255" s="10" t="s">
        <v>1020</v>
      </c>
    </row>
    <row r="256">
      <c r="A256" s="10" t="s">
        <v>1026</v>
      </c>
      <c r="B256" s="10"/>
      <c r="C256" s="10" t="s">
        <v>1019</v>
      </c>
      <c r="D256" s="10" t="s">
        <v>1020</v>
      </c>
      <c r="E256" s="10" t="s">
        <v>1020</v>
      </c>
    </row>
    <row r="257">
      <c r="A257" s="10" t="s">
        <v>1027</v>
      </c>
      <c r="B257" s="10" t="s">
        <v>687</v>
      </c>
      <c r="C257" s="10" t="s">
        <v>1019</v>
      </c>
      <c r="D257" s="10" t="s">
        <v>1020</v>
      </c>
      <c r="E257" s="10" t="s">
        <v>1020</v>
      </c>
    </row>
    <row r="258">
      <c r="A258" s="10" t="s">
        <v>1028</v>
      </c>
      <c r="B258" s="10" t="s">
        <v>687</v>
      </c>
      <c r="C258" s="10" t="s">
        <v>1019</v>
      </c>
      <c r="D258" s="10" t="s">
        <v>1020</v>
      </c>
      <c r="E258" s="10" t="s">
        <v>1020</v>
      </c>
    </row>
    <row r="259">
      <c r="A259" s="10" t="s">
        <v>1029</v>
      </c>
      <c r="B259" s="10" t="s">
        <v>679</v>
      </c>
      <c r="C259" s="10" t="s">
        <v>1019</v>
      </c>
      <c r="D259" s="10" t="s">
        <v>1020</v>
      </c>
      <c r="E259" s="10" t="s">
        <v>1020</v>
      </c>
    </row>
    <row r="260">
      <c r="A260" s="10" t="s">
        <v>1030</v>
      </c>
      <c r="B260" s="10"/>
      <c r="C260" s="10" t="s">
        <v>1019</v>
      </c>
      <c r="D260" s="10" t="s">
        <v>1020</v>
      </c>
      <c r="E260" s="10" t="s">
        <v>1020</v>
      </c>
    </row>
    <row r="261">
      <c r="A261" s="10" t="s">
        <v>1031</v>
      </c>
      <c r="B261" s="10"/>
      <c r="C261" s="10" t="s">
        <v>1019</v>
      </c>
      <c r="D261" s="10" t="s">
        <v>1020</v>
      </c>
      <c r="E261" s="10" t="s">
        <v>1020</v>
      </c>
    </row>
    <row r="262">
      <c r="A262" s="10" t="s">
        <v>1032</v>
      </c>
      <c r="B262" s="10" t="s">
        <v>687</v>
      </c>
      <c r="C262" s="10" t="s">
        <v>1019</v>
      </c>
      <c r="D262" s="10" t="s">
        <v>1020</v>
      </c>
      <c r="E262" s="10" t="s">
        <v>1020</v>
      </c>
    </row>
    <row r="263">
      <c r="A263" s="10" t="s">
        <v>1033</v>
      </c>
      <c r="B263" s="10"/>
      <c r="C263" s="10" t="s">
        <v>1019</v>
      </c>
      <c r="D263" s="10" t="s">
        <v>1020</v>
      </c>
      <c r="E263" s="10" t="s">
        <v>1020</v>
      </c>
    </row>
    <row r="264">
      <c r="A264" s="10" t="s">
        <v>1034</v>
      </c>
      <c r="B264" s="10"/>
      <c r="C264" s="10" t="s">
        <v>1019</v>
      </c>
      <c r="D264" s="10" t="s">
        <v>1020</v>
      </c>
      <c r="E264" s="10" t="s">
        <v>1020</v>
      </c>
    </row>
    <row r="265">
      <c r="A265" s="10" t="s">
        <v>1035</v>
      </c>
      <c r="B265" s="10" t="s">
        <v>687</v>
      </c>
      <c r="C265" s="10" t="s">
        <v>1019</v>
      </c>
      <c r="D265" s="10" t="s">
        <v>1020</v>
      </c>
      <c r="E265" s="10" t="s">
        <v>1020</v>
      </c>
    </row>
    <row r="266">
      <c r="A266" s="10" t="s">
        <v>1036</v>
      </c>
      <c r="B266" s="10"/>
      <c r="C266" s="10" t="s">
        <v>1019</v>
      </c>
      <c r="D266" s="10" t="s">
        <v>1020</v>
      </c>
      <c r="E266" s="10" t="s">
        <v>1020</v>
      </c>
    </row>
    <row r="267">
      <c r="A267" s="10" t="s">
        <v>1037</v>
      </c>
      <c r="B267" s="10"/>
      <c r="C267" s="10" t="s">
        <v>1019</v>
      </c>
      <c r="D267" s="10" t="s">
        <v>1020</v>
      </c>
      <c r="E267" s="10" t="s">
        <v>1020</v>
      </c>
    </row>
    <row r="268">
      <c r="A268" s="10" t="s">
        <v>1038</v>
      </c>
      <c r="B268" s="10" t="s">
        <v>687</v>
      </c>
      <c r="C268" s="10" t="s">
        <v>1019</v>
      </c>
      <c r="D268" s="10" t="s">
        <v>1020</v>
      </c>
      <c r="E268" s="10" t="s">
        <v>1020</v>
      </c>
    </row>
    <row r="269">
      <c r="A269" s="10" t="s">
        <v>1039</v>
      </c>
      <c r="B269" s="10"/>
      <c r="C269" s="10" t="s">
        <v>1019</v>
      </c>
      <c r="D269" s="10" t="s">
        <v>1020</v>
      </c>
      <c r="E269" s="10" t="s">
        <v>1020</v>
      </c>
    </row>
    <row r="270">
      <c r="A270" s="10" t="s">
        <v>1040</v>
      </c>
      <c r="B270" s="10" t="s">
        <v>672</v>
      </c>
      <c r="C270" s="10" t="s">
        <v>1019</v>
      </c>
      <c r="D270" s="10" t="s">
        <v>1020</v>
      </c>
      <c r="E270" s="10" t="s">
        <v>1020</v>
      </c>
    </row>
    <row r="271">
      <c r="A271" s="10" t="s">
        <v>1041</v>
      </c>
      <c r="B271" s="10"/>
      <c r="C271" s="10" t="s">
        <v>1019</v>
      </c>
      <c r="D271" s="10" t="s">
        <v>1020</v>
      </c>
      <c r="E271" s="10" t="s">
        <v>1020</v>
      </c>
    </row>
    <row r="272">
      <c r="A272" s="10" t="s">
        <v>1042</v>
      </c>
      <c r="B272" s="10"/>
      <c r="C272" s="10" t="s">
        <v>1019</v>
      </c>
      <c r="D272" s="10" t="s">
        <v>1020</v>
      </c>
      <c r="E272" s="10" t="s">
        <v>1020</v>
      </c>
    </row>
    <row r="273">
      <c r="A273" s="10" t="s">
        <v>1043</v>
      </c>
      <c r="B273" s="10" t="s">
        <v>672</v>
      </c>
      <c r="C273" s="10" t="s">
        <v>1019</v>
      </c>
      <c r="D273" s="10" t="s">
        <v>1020</v>
      </c>
      <c r="E273" s="10" t="s">
        <v>1020</v>
      </c>
    </row>
    <row r="274">
      <c r="A274" s="10" t="s">
        <v>1044</v>
      </c>
      <c r="B274" s="10"/>
      <c r="C274" s="10" t="s">
        <v>1019</v>
      </c>
      <c r="D274" s="10" t="s">
        <v>1020</v>
      </c>
      <c r="E274" s="10" t="s">
        <v>1020</v>
      </c>
    </row>
    <row r="275">
      <c r="A275" s="10" t="s">
        <v>1045</v>
      </c>
      <c r="B275" s="10"/>
      <c r="C275" s="10" t="s">
        <v>1019</v>
      </c>
      <c r="D275" s="10" t="s">
        <v>1020</v>
      </c>
      <c r="E275" s="10" t="s">
        <v>1020</v>
      </c>
    </row>
    <row r="276">
      <c r="A276" s="10" t="s">
        <v>1046</v>
      </c>
      <c r="B276" s="10" t="s">
        <v>687</v>
      </c>
      <c r="C276" s="10" t="s">
        <v>1019</v>
      </c>
      <c r="D276" s="10" t="s">
        <v>1020</v>
      </c>
      <c r="E276" s="10" t="s">
        <v>1020</v>
      </c>
    </row>
    <row r="277">
      <c r="A277" s="10" t="s">
        <v>1047</v>
      </c>
      <c r="B277" s="10"/>
      <c r="C277" s="10" t="s">
        <v>1019</v>
      </c>
      <c r="D277" s="10" t="s">
        <v>1020</v>
      </c>
      <c r="E277" s="10" t="s">
        <v>1020</v>
      </c>
    </row>
    <row r="278">
      <c r="A278" s="10" t="s">
        <v>1048</v>
      </c>
      <c r="B278" s="10"/>
      <c r="C278" s="10" t="s">
        <v>1019</v>
      </c>
      <c r="D278" s="10" t="s">
        <v>1020</v>
      </c>
      <c r="E278" s="10" t="s">
        <v>1020</v>
      </c>
    </row>
    <row r="279">
      <c r="A279" s="10" t="s">
        <v>1049</v>
      </c>
      <c r="B279" s="10" t="s">
        <v>672</v>
      </c>
      <c r="C279" s="10" t="s">
        <v>1019</v>
      </c>
      <c r="D279" s="10" t="s">
        <v>1020</v>
      </c>
      <c r="E279" s="10" t="s">
        <v>1020</v>
      </c>
    </row>
    <row r="280">
      <c r="A280" s="10" t="s">
        <v>1050</v>
      </c>
      <c r="B280" s="10" t="s">
        <v>679</v>
      </c>
      <c r="C280" s="10" t="s">
        <v>1019</v>
      </c>
      <c r="D280" s="10" t="s">
        <v>1020</v>
      </c>
      <c r="E280" s="10" t="s">
        <v>1020</v>
      </c>
    </row>
    <row r="281">
      <c r="A281" s="10" t="s">
        <v>1051</v>
      </c>
      <c r="B281" s="10"/>
      <c r="C281" s="10" t="s">
        <v>1019</v>
      </c>
      <c r="D281" s="10" t="s">
        <v>1020</v>
      </c>
      <c r="E281" s="10" t="s">
        <v>1020</v>
      </c>
    </row>
    <row r="282">
      <c r="A282" s="10" t="s">
        <v>1052</v>
      </c>
      <c r="B282" s="10"/>
      <c r="C282" s="10" t="s">
        <v>1019</v>
      </c>
      <c r="D282" s="10" t="s">
        <v>1020</v>
      </c>
      <c r="E282" s="10" t="s">
        <v>1020</v>
      </c>
    </row>
    <row r="283">
      <c r="A283" s="10" t="s">
        <v>1053</v>
      </c>
      <c r="B283" s="10" t="s">
        <v>672</v>
      </c>
      <c r="C283" s="10" t="s">
        <v>1019</v>
      </c>
      <c r="D283" s="10" t="s">
        <v>1020</v>
      </c>
      <c r="E283" s="10" t="s">
        <v>1020</v>
      </c>
    </row>
    <row r="284">
      <c r="A284" s="10" t="s">
        <v>1054</v>
      </c>
      <c r="B284" s="10" t="s">
        <v>672</v>
      </c>
      <c r="C284" s="10" t="s">
        <v>1019</v>
      </c>
      <c r="D284" s="10" t="s">
        <v>1020</v>
      </c>
      <c r="E284" s="10" t="s">
        <v>1020</v>
      </c>
    </row>
    <row r="285">
      <c r="A285" s="10" t="s">
        <v>1055</v>
      </c>
      <c r="B285" s="10"/>
      <c r="C285" s="10" t="s">
        <v>1019</v>
      </c>
      <c r="D285" s="10" t="s">
        <v>1020</v>
      </c>
      <c r="E285" s="10" t="s">
        <v>1020</v>
      </c>
    </row>
    <row r="286">
      <c r="A286" s="10" t="s">
        <v>1056</v>
      </c>
      <c r="B286" s="10" t="s">
        <v>692</v>
      </c>
      <c r="C286" s="10" t="s">
        <v>1019</v>
      </c>
      <c r="D286" s="10" t="s">
        <v>1020</v>
      </c>
      <c r="E286" s="10" t="s">
        <v>1020</v>
      </c>
    </row>
    <row r="287">
      <c r="A287" s="10" t="s">
        <v>1057</v>
      </c>
      <c r="B287" s="10" t="s">
        <v>672</v>
      </c>
      <c r="C287" s="10" t="s">
        <v>1019</v>
      </c>
      <c r="D287" s="10" t="s">
        <v>1020</v>
      </c>
      <c r="E287" s="10" t="s">
        <v>1020</v>
      </c>
    </row>
    <row r="288">
      <c r="A288" s="10" t="s">
        <v>1058</v>
      </c>
      <c r="B288" s="10"/>
      <c r="C288" s="10" t="s">
        <v>1019</v>
      </c>
      <c r="D288" s="10" t="s">
        <v>1020</v>
      </c>
      <c r="E288" s="10" t="s">
        <v>1020</v>
      </c>
    </row>
    <row r="289">
      <c r="A289" s="10" t="s">
        <v>1059</v>
      </c>
      <c r="B289" s="10"/>
      <c r="C289" s="10" t="s">
        <v>1019</v>
      </c>
      <c r="D289" s="10" t="s">
        <v>1020</v>
      </c>
      <c r="E289" s="10" t="s">
        <v>1020</v>
      </c>
    </row>
    <row r="290">
      <c r="A290" s="10" t="s">
        <v>1060</v>
      </c>
      <c r="B290" s="10"/>
      <c r="C290" s="10" t="s">
        <v>1019</v>
      </c>
      <c r="D290" s="10" t="s">
        <v>1020</v>
      </c>
      <c r="E290" s="10" t="s">
        <v>1020</v>
      </c>
    </row>
    <row r="291">
      <c r="A291" s="10" t="s">
        <v>1061</v>
      </c>
      <c r="B291" s="10"/>
      <c r="C291" s="10" t="s">
        <v>1019</v>
      </c>
      <c r="D291" s="10" t="s">
        <v>1020</v>
      </c>
      <c r="E291" s="10" t="s">
        <v>1020</v>
      </c>
    </row>
    <row r="292">
      <c r="A292" s="10" t="s">
        <v>1062</v>
      </c>
      <c r="B292" s="10"/>
      <c r="C292" s="10" t="s">
        <v>1019</v>
      </c>
      <c r="D292" s="10" t="s">
        <v>1020</v>
      </c>
      <c r="E292" s="10" t="s">
        <v>1020</v>
      </c>
    </row>
    <row r="293">
      <c r="A293" s="10" t="s">
        <v>1063</v>
      </c>
      <c r="B293" s="10" t="s">
        <v>672</v>
      </c>
      <c r="C293" s="10" t="s">
        <v>1019</v>
      </c>
      <c r="D293" s="10" t="s">
        <v>1020</v>
      </c>
      <c r="E293" s="10" t="s">
        <v>1020</v>
      </c>
    </row>
    <row r="294">
      <c r="A294" s="10" t="s">
        <v>1064</v>
      </c>
      <c r="B294" s="10" t="s">
        <v>672</v>
      </c>
      <c r="C294" s="10" t="s">
        <v>1019</v>
      </c>
      <c r="D294" s="10" t="s">
        <v>1020</v>
      </c>
      <c r="E294" s="10" t="s">
        <v>1020</v>
      </c>
    </row>
    <row r="295">
      <c r="A295" s="10" t="s">
        <v>1065</v>
      </c>
      <c r="B295" s="10" t="s">
        <v>672</v>
      </c>
      <c r="C295" s="10" t="s">
        <v>1019</v>
      </c>
      <c r="D295" s="10" t="s">
        <v>1020</v>
      </c>
      <c r="E295" s="10" t="s">
        <v>1020</v>
      </c>
    </row>
    <row r="296">
      <c r="A296" s="10" t="s">
        <v>1066</v>
      </c>
      <c r="B296" s="10"/>
      <c r="C296" s="10" t="s">
        <v>1019</v>
      </c>
      <c r="D296" s="10" t="s">
        <v>1020</v>
      </c>
      <c r="E296" s="10" t="s">
        <v>1020</v>
      </c>
    </row>
    <row r="297">
      <c r="A297" s="10" t="s">
        <v>1067</v>
      </c>
      <c r="B297" s="10" t="s">
        <v>692</v>
      </c>
      <c r="C297" s="10" t="s">
        <v>1019</v>
      </c>
      <c r="D297" s="10" t="s">
        <v>1020</v>
      </c>
      <c r="E297" s="10" t="s">
        <v>1020</v>
      </c>
    </row>
    <row r="298">
      <c r="A298" s="10" t="s">
        <v>1068</v>
      </c>
      <c r="B298" s="10"/>
      <c r="C298" s="10" t="s">
        <v>1019</v>
      </c>
      <c r="D298" s="10" t="s">
        <v>1020</v>
      </c>
      <c r="E298" s="10" t="s">
        <v>1020</v>
      </c>
    </row>
    <row r="299">
      <c r="A299" s="10" t="s">
        <v>1069</v>
      </c>
      <c r="B299" s="10" t="s">
        <v>679</v>
      </c>
      <c r="C299" s="10" t="s">
        <v>1019</v>
      </c>
      <c r="D299" s="10" t="s">
        <v>1020</v>
      </c>
      <c r="E299" s="10" t="s">
        <v>1020</v>
      </c>
    </row>
    <row r="300">
      <c r="A300" s="10" t="s">
        <v>1070</v>
      </c>
      <c r="B300" s="10"/>
      <c r="C300" s="10" t="s">
        <v>1019</v>
      </c>
      <c r="D300" s="10" t="s">
        <v>1020</v>
      </c>
      <c r="E300" s="10" t="s">
        <v>1020</v>
      </c>
    </row>
    <row r="301">
      <c r="A301" s="10" t="s">
        <v>1071</v>
      </c>
      <c r="B301" s="10"/>
      <c r="C301" s="10" t="s">
        <v>1019</v>
      </c>
      <c r="D301" s="10" t="s">
        <v>1020</v>
      </c>
      <c r="E301" s="10" t="s">
        <v>1020</v>
      </c>
    </row>
    <row r="302">
      <c r="A302" s="10" t="s">
        <v>1072</v>
      </c>
      <c r="B302" s="10" t="s">
        <v>679</v>
      </c>
      <c r="C302" s="10" t="s">
        <v>1019</v>
      </c>
      <c r="D302" s="10" t="s">
        <v>1020</v>
      </c>
      <c r="E302" s="10" t="s">
        <v>1020</v>
      </c>
    </row>
    <row r="303">
      <c r="A303" s="10" t="s">
        <v>1073</v>
      </c>
      <c r="B303" s="10"/>
      <c r="C303" s="10" t="s">
        <v>1019</v>
      </c>
      <c r="D303" s="10" t="s">
        <v>1020</v>
      </c>
      <c r="E303" s="10" t="s">
        <v>1020</v>
      </c>
    </row>
    <row r="304">
      <c r="A304" s="10" t="s">
        <v>1074</v>
      </c>
      <c r="B304" s="10"/>
      <c r="C304" s="10" t="s">
        <v>1019</v>
      </c>
      <c r="D304" s="10" t="s">
        <v>1020</v>
      </c>
      <c r="E304" s="10" t="s">
        <v>1020</v>
      </c>
    </row>
    <row r="305">
      <c r="A305" s="10" t="s">
        <v>1075</v>
      </c>
      <c r="B305" s="10" t="s">
        <v>687</v>
      </c>
      <c r="C305" s="10" t="s">
        <v>1019</v>
      </c>
      <c r="D305" s="10" t="s">
        <v>1020</v>
      </c>
      <c r="E305" s="10" t="s">
        <v>1020</v>
      </c>
    </row>
    <row r="306">
      <c r="A306" s="10" t="s">
        <v>1076</v>
      </c>
      <c r="B306" s="10" t="s">
        <v>692</v>
      </c>
      <c r="C306" s="10" t="s">
        <v>1019</v>
      </c>
      <c r="D306" s="10" t="s">
        <v>1020</v>
      </c>
      <c r="E306" s="10" t="s">
        <v>1020</v>
      </c>
    </row>
    <row r="307">
      <c r="A307" s="10" t="s">
        <v>1077</v>
      </c>
      <c r="B307" s="10"/>
      <c r="C307" s="10" t="s">
        <v>1019</v>
      </c>
      <c r="D307" s="10" t="s">
        <v>1078</v>
      </c>
      <c r="E307" s="10" t="s">
        <v>1078</v>
      </c>
    </row>
    <row r="308">
      <c r="A308" s="10" t="s">
        <v>1079</v>
      </c>
      <c r="B308" s="10" t="s">
        <v>672</v>
      </c>
      <c r="C308" s="10" t="s">
        <v>1019</v>
      </c>
      <c r="D308" s="10" t="s">
        <v>1078</v>
      </c>
      <c r="E308" s="10" t="s">
        <v>1078</v>
      </c>
    </row>
    <row r="309">
      <c r="A309" s="10" t="s">
        <v>1080</v>
      </c>
      <c r="B309" s="10" t="s">
        <v>717</v>
      </c>
      <c r="C309" s="10" t="s">
        <v>1019</v>
      </c>
      <c r="D309" s="10" t="s">
        <v>1078</v>
      </c>
      <c r="E309" s="10" t="s">
        <v>1078</v>
      </c>
    </row>
    <row r="310">
      <c r="A310" s="10" t="s">
        <v>1081</v>
      </c>
      <c r="B310" s="10" t="s">
        <v>672</v>
      </c>
      <c r="C310" s="10" t="s">
        <v>1019</v>
      </c>
      <c r="D310" s="10" t="s">
        <v>1078</v>
      </c>
      <c r="E310" s="10" t="s">
        <v>1078</v>
      </c>
    </row>
    <row r="311">
      <c r="A311" s="10" t="s">
        <v>1082</v>
      </c>
      <c r="B311" s="10" t="s">
        <v>679</v>
      </c>
      <c r="C311" s="10" t="s">
        <v>1019</v>
      </c>
      <c r="D311" s="10" t="s">
        <v>1078</v>
      </c>
      <c r="E311" s="10" t="s">
        <v>1078</v>
      </c>
    </row>
    <row r="312">
      <c r="A312" s="10" t="s">
        <v>1083</v>
      </c>
      <c r="B312" s="10"/>
      <c r="C312" s="10" t="s">
        <v>1019</v>
      </c>
      <c r="D312" s="10" t="s">
        <v>1078</v>
      </c>
      <c r="E312" s="10" t="s">
        <v>1078</v>
      </c>
    </row>
    <row r="313">
      <c r="A313" s="10" t="s">
        <v>1084</v>
      </c>
      <c r="B313" s="10"/>
      <c r="C313" s="10" t="s">
        <v>1019</v>
      </c>
      <c r="D313" s="10" t="s">
        <v>1085</v>
      </c>
      <c r="E313" s="10" t="s">
        <v>1085</v>
      </c>
    </row>
    <row r="314">
      <c r="A314" s="10" t="s">
        <v>1086</v>
      </c>
      <c r="B314" s="10"/>
      <c r="C314" s="10" t="s">
        <v>1019</v>
      </c>
      <c r="D314" s="10" t="s">
        <v>1085</v>
      </c>
      <c r="E314" s="10" t="s">
        <v>1085</v>
      </c>
    </row>
    <row r="315">
      <c r="A315" s="10" t="s">
        <v>1087</v>
      </c>
      <c r="B315" s="10" t="s">
        <v>679</v>
      </c>
      <c r="C315" s="10" t="s">
        <v>1088</v>
      </c>
      <c r="D315" s="10" t="s">
        <v>1089</v>
      </c>
      <c r="E315" s="10" t="s">
        <v>1090</v>
      </c>
    </row>
    <row r="316">
      <c r="A316" s="10" t="s">
        <v>1091</v>
      </c>
      <c r="B316" s="10"/>
      <c r="C316" s="10" t="s">
        <v>1088</v>
      </c>
      <c r="D316" s="10" t="s">
        <v>1089</v>
      </c>
      <c r="E316" s="10" t="s">
        <v>1090</v>
      </c>
    </row>
    <row r="317">
      <c r="A317" s="10" t="s">
        <v>1092</v>
      </c>
      <c r="B317" s="10"/>
      <c r="C317" s="10" t="s">
        <v>1088</v>
      </c>
      <c r="D317" s="10" t="s">
        <v>1089</v>
      </c>
      <c r="E317" s="10" t="s">
        <v>1090</v>
      </c>
    </row>
    <row r="318">
      <c r="A318" s="10" t="s">
        <v>1093</v>
      </c>
      <c r="B318" s="10"/>
      <c r="C318" s="10" t="s">
        <v>1088</v>
      </c>
      <c r="D318" s="10" t="s">
        <v>1089</v>
      </c>
      <c r="E318" s="10" t="s">
        <v>1090</v>
      </c>
    </row>
    <row r="319">
      <c r="A319" s="10" t="s">
        <v>1094</v>
      </c>
      <c r="B319" s="10" t="s">
        <v>687</v>
      </c>
      <c r="C319" s="10" t="s">
        <v>1088</v>
      </c>
      <c r="D319" s="10" t="s">
        <v>1089</v>
      </c>
      <c r="E319" s="10" t="s">
        <v>1090</v>
      </c>
    </row>
    <row r="320">
      <c r="A320" s="10" t="s">
        <v>1095</v>
      </c>
      <c r="B320" s="10" t="s">
        <v>679</v>
      </c>
      <c r="C320" s="10" t="s">
        <v>1088</v>
      </c>
      <c r="D320" s="10" t="s">
        <v>1089</v>
      </c>
      <c r="E320" s="10" t="s">
        <v>1090</v>
      </c>
    </row>
    <row r="321">
      <c r="A321" s="10" t="s">
        <v>1096</v>
      </c>
      <c r="B321" s="10" t="s">
        <v>687</v>
      </c>
      <c r="C321" s="10" t="s">
        <v>1088</v>
      </c>
      <c r="D321" s="10" t="s">
        <v>1089</v>
      </c>
      <c r="E321" s="10" t="s">
        <v>1090</v>
      </c>
    </row>
    <row r="322">
      <c r="A322" s="10" t="s">
        <v>1097</v>
      </c>
      <c r="B322" s="10"/>
      <c r="C322" s="10" t="s">
        <v>1088</v>
      </c>
      <c r="D322" s="10" t="s">
        <v>1089</v>
      </c>
      <c r="E322" s="10" t="s">
        <v>1090</v>
      </c>
    </row>
    <row r="323">
      <c r="A323" s="10" t="s">
        <v>1098</v>
      </c>
      <c r="B323" s="10"/>
      <c r="C323" s="10" t="s">
        <v>1088</v>
      </c>
      <c r="D323" s="10" t="s">
        <v>1089</v>
      </c>
      <c r="E323" s="10" t="s">
        <v>1090</v>
      </c>
    </row>
    <row r="324">
      <c r="A324" s="10" t="s">
        <v>1099</v>
      </c>
      <c r="B324" s="10"/>
      <c r="C324" s="10" t="s">
        <v>1088</v>
      </c>
      <c r="D324" s="10" t="s">
        <v>1089</v>
      </c>
      <c r="E324" s="10" t="s">
        <v>1090</v>
      </c>
    </row>
    <row r="325">
      <c r="A325" s="10" t="s">
        <v>1100</v>
      </c>
      <c r="B325" s="10" t="s">
        <v>687</v>
      </c>
      <c r="C325" s="10" t="s">
        <v>1088</v>
      </c>
      <c r="D325" s="10" t="s">
        <v>1089</v>
      </c>
      <c r="E325" s="10" t="s">
        <v>1090</v>
      </c>
    </row>
    <row r="326">
      <c r="A326" s="10" t="s">
        <v>1101</v>
      </c>
      <c r="B326" s="10" t="s">
        <v>687</v>
      </c>
      <c r="C326" s="10" t="s">
        <v>1088</v>
      </c>
      <c r="D326" s="10" t="s">
        <v>1089</v>
      </c>
      <c r="E326" s="10" t="s">
        <v>1090</v>
      </c>
    </row>
    <row r="327">
      <c r="A327" s="10" t="s">
        <v>1102</v>
      </c>
      <c r="B327" s="10" t="s">
        <v>672</v>
      </c>
      <c r="C327" s="10" t="s">
        <v>1088</v>
      </c>
      <c r="D327" s="10" t="s">
        <v>1089</v>
      </c>
      <c r="E327" s="10" t="s">
        <v>1090</v>
      </c>
    </row>
    <row r="328">
      <c r="A328" s="10" t="s">
        <v>1103</v>
      </c>
      <c r="B328" s="10"/>
      <c r="C328" s="10" t="s">
        <v>1088</v>
      </c>
      <c r="D328" s="10" t="s">
        <v>1089</v>
      </c>
      <c r="E328" s="10" t="s">
        <v>1090</v>
      </c>
    </row>
    <row r="329">
      <c r="A329" s="10" t="s">
        <v>1104</v>
      </c>
      <c r="B329" s="10"/>
      <c r="C329" s="10" t="s">
        <v>1088</v>
      </c>
      <c r="D329" s="10" t="s">
        <v>1089</v>
      </c>
      <c r="E329" s="10" t="s">
        <v>1090</v>
      </c>
    </row>
    <row r="330">
      <c r="A330" s="10" t="s">
        <v>1105</v>
      </c>
      <c r="B330" s="10" t="s">
        <v>679</v>
      </c>
      <c r="C330" s="10" t="s">
        <v>1088</v>
      </c>
      <c r="D330" s="10" t="s">
        <v>1089</v>
      </c>
      <c r="E330" s="10" t="s">
        <v>1090</v>
      </c>
    </row>
    <row r="331">
      <c r="A331" s="10" t="s">
        <v>1106</v>
      </c>
      <c r="B331" s="10" t="s">
        <v>687</v>
      </c>
      <c r="C331" s="10" t="s">
        <v>1088</v>
      </c>
      <c r="D331" s="10" t="s">
        <v>1089</v>
      </c>
      <c r="E331" s="10" t="s">
        <v>1090</v>
      </c>
    </row>
    <row r="332">
      <c r="A332" s="10" t="s">
        <v>1107</v>
      </c>
      <c r="B332" s="10" t="s">
        <v>687</v>
      </c>
      <c r="C332" s="10" t="s">
        <v>1088</v>
      </c>
      <c r="D332" s="10" t="s">
        <v>1089</v>
      </c>
      <c r="E332" s="10" t="s">
        <v>1090</v>
      </c>
    </row>
    <row r="333">
      <c r="A333" s="10" t="s">
        <v>1108</v>
      </c>
      <c r="B333" s="10"/>
      <c r="C333" s="10" t="s">
        <v>1088</v>
      </c>
      <c r="D333" s="10" t="s">
        <v>1089</v>
      </c>
      <c r="E333" s="10" t="s">
        <v>1090</v>
      </c>
    </row>
    <row r="334">
      <c r="A334" s="10" t="s">
        <v>1109</v>
      </c>
      <c r="B334" s="10"/>
      <c r="C334" s="10" t="s">
        <v>1088</v>
      </c>
      <c r="D334" s="10" t="s">
        <v>1089</v>
      </c>
      <c r="E334" s="10" t="s">
        <v>1090</v>
      </c>
    </row>
    <row r="335">
      <c r="A335" s="10" t="s">
        <v>1110</v>
      </c>
      <c r="B335" s="10"/>
      <c r="C335" s="10" t="s">
        <v>1088</v>
      </c>
      <c r="D335" s="10" t="s">
        <v>1089</v>
      </c>
      <c r="E335" s="10" t="s">
        <v>1090</v>
      </c>
    </row>
    <row r="336">
      <c r="A336" s="10" t="s">
        <v>1111</v>
      </c>
      <c r="B336" s="10"/>
      <c r="C336" s="10" t="s">
        <v>1088</v>
      </c>
      <c r="D336" s="10" t="s">
        <v>1089</v>
      </c>
      <c r="E336" s="10" t="s">
        <v>1090</v>
      </c>
    </row>
    <row r="337">
      <c r="A337" s="10" t="s">
        <v>1112</v>
      </c>
      <c r="B337" s="10" t="s">
        <v>679</v>
      </c>
      <c r="C337" s="10" t="s">
        <v>1088</v>
      </c>
      <c r="D337" s="10" t="s">
        <v>1089</v>
      </c>
      <c r="E337" s="10" t="s">
        <v>1090</v>
      </c>
    </row>
    <row r="338">
      <c r="A338" s="10" t="s">
        <v>1113</v>
      </c>
      <c r="B338" s="10"/>
      <c r="C338" s="10" t="s">
        <v>1088</v>
      </c>
      <c r="D338" s="10" t="s">
        <v>1089</v>
      </c>
      <c r="E338" s="10" t="s">
        <v>1090</v>
      </c>
    </row>
    <row r="339">
      <c r="A339" s="10" t="s">
        <v>1114</v>
      </c>
      <c r="B339" s="10"/>
      <c r="C339" s="10" t="s">
        <v>1088</v>
      </c>
      <c r="D339" s="10" t="s">
        <v>1089</v>
      </c>
      <c r="E339" s="10" t="s">
        <v>1115</v>
      </c>
    </row>
    <row r="340">
      <c r="A340" s="10" t="s">
        <v>1116</v>
      </c>
      <c r="B340" s="10"/>
      <c r="C340" s="10" t="s">
        <v>1088</v>
      </c>
      <c r="D340" s="10" t="s">
        <v>1089</v>
      </c>
      <c r="E340" s="10" t="s">
        <v>1115</v>
      </c>
    </row>
    <row r="341">
      <c r="A341" s="10" t="s">
        <v>1117</v>
      </c>
      <c r="B341" s="10"/>
      <c r="C341" s="10" t="s">
        <v>1088</v>
      </c>
      <c r="D341" s="10" t="s">
        <v>1089</v>
      </c>
      <c r="E341" s="10" t="s">
        <v>1115</v>
      </c>
    </row>
    <row r="342">
      <c r="A342" s="10" t="s">
        <v>1118</v>
      </c>
      <c r="B342" s="10"/>
      <c r="C342" s="10" t="s">
        <v>1088</v>
      </c>
      <c r="D342" s="10" t="s">
        <v>1089</v>
      </c>
      <c r="E342" s="10" t="s">
        <v>1119</v>
      </c>
    </row>
    <row r="343">
      <c r="A343" s="10" t="s">
        <v>1120</v>
      </c>
      <c r="B343" s="10"/>
      <c r="C343" s="10" t="s">
        <v>1088</v>
      </c>
      <c r="D343" s="10" t="s">
        <v>1089</v>
      </c>
      <c r="E343" s="10" t="s">
        <v>1119</v>
      </c>
    </row>
    <row r="344">
      <c r="A344" s="10" t="s">
        <v>1121</v>
      </c>
      <c r="B344" s="10"/>
      <c r="C344" s="10" t="s">
        <v>1088</v>
      </c>
      <c r="D344" s="10" t="s">
        <v>1089</v>
      </c>
      <c r="E344" s="10" t="s">
        <v>1119</v>
      </c>
    </row>
    <row r="345">
      <c r="A345" s="10" t="s">
        <v>1122</v>
      </c>
      <c r="B345" s="10"/>
      <c r="C345" s="10" t="s">
        <v>1088</v>
      </c>
      <c r="D345" s="10" t="s">
        <v>1123</v>
      </c>
      <c r="E345" s="10" t="s">
        <v>1123</v>
      </c>
    </row>
    <row r="346">
      <c r="A346" s="10" t="s">
        <v>1124</v>
      </c>
      <c r="B346" s="10"/>
      <c r="C346" s="10" t="s">
        <v>1088</v>
      </c>
      <c r="D346" s="10" t="s">
        <v>1123</v>
      </c>
      <c r="E346" s="10" t="s">
        <v>1123</v>
      </c>
    </row>
    <row r="347">
      <c r="A347" s="10" t="s">
        <v>1125</v>
      </c>
      <c r="B347" s="10"/>
      <c r="C347" s="10" t="s">
        <v>1088</v>
      </c>
      <c r="D347" s="10" t="s">
        <v>1123</v>
      </c>
      <c r="E347" s="10" t="s">
        <v>1123</v>
      </c>
    </row>
    <row r="348">
      <c r="A348" s="10" t="s">
        <v>1126</v>
      </c>
      <c r="B348" s="10"/>
      <c r="C348" s="10" t="s">
        <v>1088</v>
      </c>
      <c r="D348" s="10" t="s">
        <v>1123</v>
      </c>
      <c r="E348" s="10" t="s">
        <v>1123</v>
      </c>
    </row>
    <row r="349">
      <c r="A349" s="10" t="s">
        <v>1127</v>
      </c>
      <c r="B349" s="10"/>
      <c r="C349" s="10" t="s">
        <v>1088</v>
      </c>
      <c r="D349" s="10" t="s">
        <v>1123</v>
      </c>
      <c r="E349" s="10" t="s">
        <v>1123</v>
      </c>
    </row>
    <row r="350">
      <c r="A350" s="10" t="s">
        <v>1128</v>
      </c>
      <c r="B350" s="10" t="s">
        <v>692</v>
      </c>
      <c r="C350" s="10" t="s">
        <v>1088</v>
      </c>
      <c r="D350" s="10" t="s">
        <v>1123</v>
      </c>
      <c r="E350" s="10" t="s">
        <v>1123</v>
      </c>
    </row>
    <row r="351">
      <c r="A351" s="10" t="s">
        <v>1129</v>
      </c>
      <c r="B351" s="10"/>
      <c r="C351" s="10" t="s">
        <v>1088</v>
      </c>
      <c r="D351" s="10" t="s">
        <v>1123</v>
      </c>
      <c r="E351" s="10" t="s">
        <v>1123</v>
      </c>
    </row>
    <row r="352">
      <c r="A352" s="10" t="s">
        <v>1130</v>
      </c>
      <c r="B352" s="10" t="s">
        <v>692</v>
      </c>
      <c r="C352" s="10" t="s">
        <v>1088</v>
      </c>
      <c r="D352" s="10" t="s">
        <v>1123</v>
      </c>
      <c r="E352" s="10" t="s">
        <v>1123</v>
      </c>
    </row>
    <row r="353">
      <c r="A353" s="10" t="s">
        <v>1131</v>
      </c>
      <c r="B353" s="10"/>
      <c r="C353" s="10" t="s">
        <v>1088</v>
      </c>
      <c r="D353" s="10" t="s">
        <v>1123</v>
      </c>
      <c r="E353" s="10" t="s">
        <v>1123</v>
      </c>
    </row>
    <row r="354">
      <c r="A354" s="10" t="s">
        <v>1132</v>
      </c>
      <c r="B354" s="10"/>
      <c r="C354" s="10" t="s">
        <v>1088</v>
      </c>
      <c r="D354" s="10" t="s">
        <v>1123</v>
      </c>
      <c r="E354" s="10" t="s">
        <v>1123</v>
      </c>
    </row>
    <row r="355">
      <c r="A355" s="10" t="s">
        <v>1133</v>
      </c>
      <c r="B355" s="10"/>
      <c r="C355" s="10" t="s">
        <v>1088</v>
      </c>
      <c r="D355" s="10" t="s">
        <v>1123</v>
      </c>
      <c r="E355" s="10" t="s">
        <v>1123</v>
      </c>
    </row>
    <row r="356">
      <c r="A356" s="10" t="s">
        <v>1134</v>
      </c>
      <c r="B356" s="10" t="s">
        <v>692</v>
      </c>
      <c r="C356" s="10" t="s">
        <v>1088</v>
      </c>
      <c r="D356" s="10" t="s">
        <v>1123</v>
      </c>
      <c r="E356" s="10" t="s">
        <v>1123</v>
      </c>
    </row>
    <row r="357">
      <c r="A357" s="10" t="s">
        <v>1135</v>
      </c>
      <c r="B357" s="10"/>
      <c r="C357" s="10" t="s">
        <v>1088</v>
      </c>
      <c r="D357" s="10" t="s">
        <v>1123</v>
      </c>
      <c r="E357" s="10" t="s">
        <v>1123</v>
      </c>
    </row>
    <row r="358">
      <c r="A358" s="10" t="s">
        <v>1136</v>
      </c>
      <c r="B358" s="10"/>
      <c r="C358" s="10" t="s">
        <v>1088</v>
      </c>
      <c r="D358" s="10" t="s">
        <v>1123</v>
      </c>
      <c r="E358" s="10" t="s">
        <v>1123</v>
      </c>
    </row>
    <row r="359">
      <c r="A359" s="10" t="s">
        <v>1137</v>
      </c>
      <c r="B359" s="10"/>
      <c r="C359" s="10" t="s">
        <v>1088</v>
      </c>
      <c r="D359" s="10" t="s">
        <v>1123</v>
      </c>
      <c r="E359" s="10" t="s">
        <v>1123</v>
      </c>
    </row>
    <row r="360">
      <c r="A360" s="10" t="s">
        <v>1138</v>
      </c>
      <c r="B360" s="10" t="s">
        <v>692</v>
      </c>
      <c r="C360" s="10" t="s">
        <v>1088</v>
      </c>
      <c r="D360" s="10" t="s">
        <v>1139</v>
      </c>
      <c r="E360" s="10" t="s">
        <v>1140</v>
      </c>
    </row>
    <row r="361">
      <c r="A361" s="10" t="s">
        <v>1141</v>
      </c>
      <c r="B361" s="10"/>
      <c r="C361" s="10" t="s">
        <v>1088</v>
      </c>
      <c r="D361" s="10" t="s">
        <v>1139</v>
      </c>
      <c r="E361" s="10" t="s">
        <v>1140</v>
      </c>
    </row>
    <row r="362">
      <c r="A362" s="10" t="s">
        <v>1142</v>
      </c>
      <c r="B362" s="10" t="s">
        <v>818</v>
      </c>
      <c r="C362" s="10" t="s">
        <v>1088</v>
      </c>
      <c r="D362" s="10" t="s">
        <v>1139</v>
      </c>
      <c r="E362" s="10" t="s">
        <v>1140</v>
      </c>
    </row>
    <row r="363">
      <c r="A363" s="10" t="s">
        <v>1143</v>
      </c>
      <c r="B363" s="10"/>
      <c r="C363" s="10" t="s">
        <v>1088</v>
      </c>
      <c r="D363" s="10" t="s">
        <v>1139</v>
      </c>
      <c r="E363" s="10" t="s">
        <v>1140</v>
      </c>
    </row>
    <row r="364">
      <c r="A364" s="10" t="s">
        <v>1144</v>
      </c>
      <c r="B364" s="10" t="s">
        <v>818</v>
      </c>
      <c r="C364" s="10" t="s">
        <v>1088</v>
      </c>
      <c r="D364" s="10" t="s">
        <v>1139</v>
      </c>
      <c r="E364" s="10" t="s">
        <v>1140</v>
      </c>
    </row>
    <row r="365">
      <c r="A365" s="10" t="s">
        <v>1145</v>
      </c>
      <c r="B365" s="10" t="s">
        <v>672</v>
      </c>
      <c r="C365" s="10" t="s">
        <v>1088</v>
      </c>
      <c r="D365" s="10" t="s">
        <v>1139</v>
      </c>
      <c r="E365" s="10" t="s">
        <v>1139</v>
      </c>
    </row>
    <row r="366">
      <c r="A366" s="10" t="s">
        <v>1146</v>
      </c>
      <c r="B366" s="10" t="s">
        <v>672</v>
      </c>
      <c r="C366" s="10" t="s">
        <v>1088</v>
      </c>
      <c r="D366" s="10" t="s">
        <v>1139</v>
      </c>
      <c r="E366" s="10" t="s">
        <v>1139</v>
      </c>
    </row>
    <row r="367">
      <c r="A367" s="10" t="s">
        <v>1147</v>
      </c>
      <c r="B367" s="10"/>
      <c r="C367" s="10" t="s">
        <v>1088</v>
      </c>
      <c r="D367" s="10" t="s">
        <v>1148</v>
      </c>
      <c r="E367" s="10" t="s">
        <v>1149</v>
      </c>
    </row>
    <row r="368">
      <c r="A368" s="10" t="s">
        <v>1150</v>
      </c>
      <c r="B368" s="10" t="s">
        <v>672</v>
      </c>
      <c r="C368" s="10" t="s">
        <v>1088</v>
      </c>
      <c r="D368" s="10" t="s">
        <v>1148</v>
      </c>
      <c r="E368" s="10" t="s">
        <v>1149</v>
      </c>
    </row>
    <row r="369">
      <c r="A369" s="10" t="s">
        <v>1151</v>
      </c>
      <c r="B369" s="10" t="s">
        <v>672</v>
      </c>
      <c r="C369" s="10" t="s">
        <v>1088</v>
      </c>
      <c r="D369" s="10" t="s">
        <v>1148</v>
      </c>
      <c r="E369" s="10" t="s">
        <v>1149</v>
      </c>
    </row>
    <row r="370">
      <c r="A370" s="10" t="s">
        <v>1152</v>
      </c>
      <c r="B370" s="10" t="s">
        <v>672</v>
      </c>
      <c r="C370" s="10" t="s">
        <v>1088</v>
      </c>
      <c r="D370" s="10" t="s">
        <v>1148</v>
      </c>
      <c r="E370" s="10" t="s">
        <v>1149</v>
      </c>
    </row>
    <row r="371">
      <c r="A371" s="10" t="s">
        <v>1153</v>
      </c>
      <c r="B371" s="10"/>
      <c r="C371" s="10" t="s">
        <v>1088</v>
      </c>
      <c r="D371" s="10" t="s">
        <v>1148</v>
      </c>
      <c r="E371" s="10" t="s">
        <v>1149</v>
      </c>
    </row>
    <row r="372">
      <c r="A372" s="10" t="s">
        <v>1154</v>
      </c>
      <c r="B372" s="10" t="s">
        <v>679</v>
      </c>
      <c r="C372" s="10" t="s">
        <v>1088</v>
      </c>
      <c r="D372" s="10" t="s">
        <v>1148</v>
      </c>
      <c r="E372" s="10" t="s">
        <v>1149</v>
      </c>
    </row>
    <row r="373">
      <c r="A373" s="10" t="s">
        <v>1155</v>
      </c>
      <c r="B373" s="10" t="s">
        <v>672</v>
      </c>
      <c r="C373" s="10" t="s">
        <v>1088</v>
      </c>
      <c r="D373" s="10" t="s">
        <v>1148</v>
      </c>
      <c r="E373" s="10" t="s">
        <v>1156</v>
      </c>
    </row>
    <row r="374">
      <c r="A374" s="10" t="s">
        <v>1157</v>
      </c>
      <c r="B374" s="10" t="s">
        <v>672</v>
      </c>
      <c r="C374" s="10" t="s">
        <v>1088</v>
      </c>
      <c r="D374" s="10" t="s">
        <v>1148</v>
      </c>
      <c r="E374" s="10" t="s">
        <v>1156</v>
      </c>
    </row>
    <row r="375">
      <c r="A375" s="10" t="s">
        <v>1158</v>
      </c>
      <c r="B375" s="10" t="s">
        <v>672</v>
      </c>
      <c r="C375" s="10" t="s">
        <v>1088</v>
      </c>
      <c r="D375" s="10" t="s">
        <v>1159</v>
      </c>
      <c r="E375" s="10" t="s">
        <v>1159</v>
      </c>
    </row>
    <row r="376">
      <c r="A376" s="10" t="s">
        <v>1160</v>
      </c>
      <c r="B376" s="10" t="s">
        <v>672</v>
      </c>
      <c r="C376" s="10" t="s">
        <v>1088</v>
      </c>
      <c r="D376" s="10" t="s">
        <v>1159</v>
      </c>
      <c r="E376" s="10" t="s">
        <v>1159</v>
      </c>
    </row>
    <row r="377">
      <c r="A377" s="10" t="s">
        <v>1161</v>
      </c>
      <c r="B377" s="10" t="s">
        <v>672</v>
      </c>
      <c r="C377" s="10" t="s">
        <v>1088</v>
      </c>
      <c r="D377" s="10" t="s">
        <v>1159</v>
      </c>
      <c r="E377" s="10" t="s">
        <v>1159</v>
      </c>
    </row>
    <row r="378">
      <c r="A378" s="10" t="s">
        <v>1162</v>
      </c>
      <c r="B378" s="10"/>
      <c r="C378" s="10" t="s">
        <v>1088</v>
      </c>
      <c r="D378" s="10" t="s">
        <v>1159</v>
      </c>
      <c r="E378" s="10" t="s">
        <v>1159</v>
      </c>
    </row>
    <row r="379">
      <c r="A379" s="10" t="s">
        <v>1163</v>
      </c>
      <c r="B379" s="10" t="s">
        <v>672</v>
      </c>
      <c r="C379" s="10" t="s">
        <v>1088</v>
      </c>
      <c r="D379" s="10" t="s">
        <v>1159</v>
      </c>
      <c r="E379" s="10" t="s">
        <v>1159</v>
      </c>
    </row>
    <row r="380">
      <c r="A380" s="10" t="s">
        <v>1164</v>
      </c>
      <c r="B380" s="10" t="s">
        <v>672</v>
      </c>
      <c r="C380" s="10" t="s">
        <v>1088</v>
      </c>
      <c r="D380" s="10" t="s">
        <v>1159</v>
      </c>
      <c r="E380" s="10" t="s">
        <v>1159</v>
      </c>
    </row>
    <row r="381">
      <c r="A381" s="10" t="s">
        <v>1165</v>
      </c>
      <c r="B381" s="10"/>
      <c r="C381" s="10" t="s">
        <v>1088</v>
      </c>
      <c r="D381" s="10" t="s">
        <v>1159</v>
      </c>
      <c r="E381" s="10" t="s">
        <v>1159</v>
      </c>
    </row>
    <row r="382">
      <c r="A382" s="10" t="s">
        <v>1166</v>
      </c>
      <c r="B382" s="10"/>
      <c r="C382" s="10" t="s">
        <v>1088</v>
      </c>
      <c r="D382" s="10" t="s">
        <v>1159</v>
      </c>
      <c r="E382" s="10" t="s">
        <v>1159</v>
      </c>
    </row>
    <row r="383">
      <c r="A383" s="10" t="s">
        <v>1167</v>
      </c>
      <c r="B383" s="10" t="s">
        <v>672</v>
      </c>
      <c r="C383" s="10" t="s">
        <v>1088</v>
      </c>
      <c r="D383" s="10" t="s">
        <v>1159</v>
      </c>
      <c r="E383" s="10" t="s">
        <v>1159</v>
      </c>
    </row>
    <row r="384">
      <c r="A384" s="10" t="s">
        <v>1168</v>
      </c>
      <c r="B384" s="10"/>
      <c r="C384" s="10" t="s">
        <v>1088</v>
      </c>
      <c r="D384" s="10" t="s">
        <v>1159</v>
      </c>
      <c r="E384" s="10" t="s">
        <v>1159</v>
      </c>
    </row>
    <row r="385">
      <c r="A385" s="10" t="s">
        <v>1169</v>
      </c>
      <c r="B385" s="10" t="s">
        <v>672</v>
      </c>
      <c r="C385" s="10" t="s">
        <v>1088</v>
      </c>
      <c r="D385" s="10" t="s">
        <v>1159</v>
      </c>
      <c r="E385" s="10" t="s">
        <v>1159</v>
      </c>
    </row>
    <row r="386">
      <c r="A386" s="10" t="s">
        <v>1170</v>
      </c>
      <c r="B386" s="10" t="s">
        <v>692</v>
      </c>
      <c r="C386" s="10" t="s">
        <v>1088</v>
      </c>
      <c r="D386" s="10" t="s">
        <v>1159</v>
      </c>
      <c r="E386" s="10" t="s">
        <v>1159</v>
      </c>
    </row>
    <row r="387">
      <c r="A387" s="10" t="s">
        <v>1171</v>
      </c>
      <c r="B387" s="10" t="s">
        <v>679</v>
      </c>
      <c r="C387" s="10" t="s">
        <v>1088</v>
      </c>
      <c r="D387" s="10" t="s">
        <v>1159</v>
      </c>
      <c r="E387" s="10" t="s">
        <v>1159</v>
      </c>
    </row>
    <row r="388">
      <c r="A388" s="10" t="s">
        <v>1172</v>
      </c>
      <c r="B388" s="10" t="s">
        <v>672</v>
      </c>
      <c r="C388" s="10" t="s">
        <v>1088</v>
      </c>
      <c r="D388" s="10" t="s">
        <v>1159</v>
      </c>
      <c r="E388" s="10" t="s">
        <v>1159</v>
      </c>
    </row>
    <row r="389">
      <c r="A389" s="10" t="s">
        <v>1173</v>
      </c>
      <c r="B389" s="10" t="s">
        <v>672</v>
      </c>
      <c r="C389" s="10" t="s">
        <v>1088</v>
      </c>
      <c r="D389" s="10" t="s">
        <v>1159</v>
      </c>
      <c r="E389" s="10" t="s">
        <v>1174</v>
      </c>
    </row>
    <row r="390">
      <c r="A390" s="10" t="s">
        <v>1175</v>
      </c>
      <c r="B390" s="10" t="s">
        <v>672</v>
      </c>
      <c r="C390" s="10" t="s">
        <v>1088</v>
      </c>
      <c r="D390" s="10" t="s">
        <v>1159</v>
      </c>
      <c r="E390" s="10" t="s">
        <v>1174</v>
      </c>
    </row>
    <row r="391">
      <c r="A391" s="10" t="s">
        <v>1176</v>
      </c>
      <c r="B391" s="10"/>
      <c r="C391" s="10" t="s">
        <v>1088</v>
      </c>
      <c r="D391" s="10" t="s">
        <v>1177</v>
      </c>
      <c r="E391" s="10" t="s">
        <v>1177</v>
      </c>
    </row>
    <row r="392">
      <c r="A392" s="10" t="s">
        <v>1178</v>
      </c>
      <c r="B392" s="10"/>
      <c r="C392" s="10" t="s">
        <v>1088</v>
      </c>
      <c r="D392" s="10" t="s">
        <v>1177</v>
      </c>
      <c r="E392" s="10" t="s">
        <v>1177</v>
      </c>
    </row>
    <row r="393">
      <c r="A393" s="10" t="s">
        <v>1179</v>
      </c>
      <c r="B393" s="10"/>
      <c r="C393" s="10" t="s">
        <v>1088</v>
      </c>
      <c r="D393" s="10" t="s">
        <v>1177</v>
      </c>
      <c r="E393" s="10" t="s">
        <v>1177</v>
      </c>
    </row>
    <row r="394">
      <c r="A394" s="10" t="s">
        <v>1180</v>
      </c>
      <c r="B394" s="10" t="s">
        <v>692</v>
      </c>
      <c r="C394" s="10" t="s">
        <v>1088</v>
      </c>
      <c r="D394" s="10" t="s">
        <v>1181</v>
      </c>
      <c r="E394" s="10" t="s">
        <v>1181</v>
      </c>
    </row>
    <row r="395">
      <c r="A395" s="10" t="s">
        <v>1182</v>
      </c>
      <c r="B395" s="10" t="s">
        <v>692</v>
      </c>
      <c r="C395" s="10" t="s">
        <v>1088</v>
      </c>
      <c r="D395" s="10" t="s">
        <v>1181</v>
      </c>
      <c r="E395" s="10" t="s">
        <v>1181</v>
      </c>
    </row>
    <row r="396">
      <c r="A396" s="10" t="s">
        <v>1183</v>
      </c>
      <c r="B396" s="10" t="s">
        <v>692</v>
      </c>
      <c r="C396" s="10" t="s">
        <v>1088</v>
      </c>
      <c r="D396" s="10" t="s">
        <v>1181</v>
      </c>
      <c r="E396" s="10" t="s">
        <v>1181</v>
      </c>
    </row>
    <row r="397">
      <c r="A397" s="10" t="s">
        <v>1184</v>
      </c>
      <c r="B397" s="10" t="s">
        <v>692</v>
      </c>
      <c r="C397" s="10" t="s">
        <v>1185</v>
      </c>
      <c r="D397" s="10" t="s">
        <v>1185</v>
      </c>
      <c r="E397" s="10" t="s">
        <v>1185</v>
      </c>
    </row>
    <row r="398">
      <c r="A398" s="10" t="s">
        <v>1186</v>
      </c>
      <c r="B398" s="10" t="s">
        <v>692</v>
      </c>
      <c r="C398" s="10" t="s">
        <v>1185</v>
      </c>
      <c r="D398" s="10" t="s">
        <v>1185</v>
      </c>
      <c r="E398" s="10" t="s">
        <v>1185</v>
      </c>
    </row>
    <row r="399">
      <c r="A399" s="10" t="s">
        <v>1187</v>
      </c>
      <c r="B399" s="10"/>
      <c r="C399" s="10" t="s">
        <v>1185</v>
      </c>
      <c r="D399" s="10" t="s">
        <v>1185</v>
      </c>
      <c r="E399" s="10" t="s">
        <v>1185</v>
      </c>
    </row>
    <row r="400">
      <c r="A400" s="10" t="s">
        <v>1188</v>
      </c>
      <c r="B400" s="10" t="s">
        <v>692</v>
      </c>
      <c r="C400" s="10" t="s">
        <v>1185</v>
      </c>
      <c r="D400" s="10" t="s">
        <v>1185</v>
      </c>
      <c r="E400" s="10" t="s">
        <v>1185</v>
      </c>
    </row>
    <row r="401">
      <c r="A401" s="10" t="s">
        <v>1189</v>
      </c>
      <c r="B401" s="10" t="s">
        <v>692</v>
      </c>
      <c r="C401" s="10" t="s">
        <v>1185</v>
      </c>
      <c r="D401" s="10" t="s">
        <v>1185</v>
      </c>
      <c r="E401" s="10" t="s">
        <v>1185</v>
      </c>
    </row>
    <row r="402">
      <c r="A402" s="10" t="s">
        <v>1190</v>
      </c>
      <c r="B402" s="10" t="s">
        <v>692</v>
      </c>
      <c r="C402" s="10" t="s">
        <v>1185</v>
      </c>
      <c r="D402" s="10" t="s">
        <v>1185</v>
      </c>
      <c r="E402" s="10" t="s">
        <v>1185</v>
      </c>
    </row>
    <row r="403">
      <c r="A403" s="10" t="s">
        <v>1191</v>
      </c>
      <c r="B403" s="10" t="s">
        <v>692</v>
      </c>
      <c r="C403" s="10" t="s">
        <v>1185</v>
      </c>
      <c r="D403" s="10" t="s">
        <v>1185</v>
      </c>
      <c r="E403" s="10" t="s">
        <v>1185</v>
      </c>
    </row>
    <row r="404">
      <c r="A404" s="10" t="s">
        <v>1192</v>
      </c>
      <c r="B404" s="10"/>
      <c r="C404" s="10" t="s">
        <v>1185</v>
      </c>
      <c r="D404" s="10" t="s">
        <v>1185</v>
      </c>
      <c r="E404" s="10" t="s">
        <v>1185</v>
      </c>
    </row>
    <row r="405">
      <c r="A405" s="10" t="s">
        <v>1193</v>
      </c>
      <c r="B405" s="10"/>
      <c r="C405" s="10" t="s">
        <v>1185</v>
      </c>
      <c r="D405" s="10" t="s">
        <v>1185</v>
      </c>
      <c r="E405" s="10" t="s">
        <v>1185</v>
      </c>
    </row>
    <row r="406">
      <c r="A406" s="10" t="s">
        <v>1194</v>
      </c>
      <c r="B406" s="10" t="s">
        <v>692</v>
      </c>
      <c r="C406" s="10" t="s">
        <v>1185</v>
      </c>
      <c r="D406" s="10" t="s">
        <v>1185</v>
      </c>
      <c r="E406" s="10" t="s">
        <v>1185</v>
      </c>
    </row>
    <row r="407">
      <c r="A407" s="10" t="s">
        <v>1195</v>
      </c>
      <c r="B407" s="10"/>
      <c r="C407" s="10" t="s">
        <v>1185</v>
      </c>
      <c r="D407" s="10" t="s">
        <v>1185</v>
      </c>
      <c r="E407" s="10" t="s">
        <v>1185</v>
      </c>
    </row>
    <row r="408">
      <c r="A408" s="10" t="s">
        <v>1196</v>
      </c>
      <c r="B408" s="10"/>
      <c r="C408" s="10" t="s">
        <v>1185</v>
      </c>
      <c r="D408" s="10" t="s">
        <v>1185</v>
      </c>
      <c r="E408" s="10" t="s">
        <v>1185</v>
      </c>
    </row>
    <row r="409">
      <c r="A409" s="10" t="s">
        <v>1197</v>
      </c>
      <c r="B409" s="10" t="s">
        <v>692</v>
      </c>
      <c r="C409" s="10" t="s">
        <v>1185</v>
      </c>
      <c r="D409" s="10" t="s">
        <v>1185</v>
      </c>
      <c r="E409" s="10" t="s">
        <v>1185</v>
      </c>
    </row>
    <row r="410">
      <c r="A410" s="10" t="s">
        <v>1198</v>
      </c>
      <c r="B410" s="10"/>
      <c r="C410" s="10" t="s">
        <v>1185</v>
      </c>
      <c r="D410" s="10" t="s">
        <v>1185</v>
      </c>
      <c r="E410" s="10" t="s">
        <v>1185</v>
      </c>
    </row>
    <row r="411">
      <c r="A411" s="10" t="s">
        <v>1199</v>
      </c>
      <c r="B411" s="10" t="s">
        <v>692</v>
      </c>
      <c r="C411" s="10" t="s">
        <v>1185</v>
      </c>
      <c r="D411" s="10" t="s">
        <v>1185</v>
      </c>
      <c r="E411" s="10" t="s">
        <v>1185</v>
      </c>
    </row>
    <row r="412">
      <c r="A412" s="10" t="s">
        <v>1200</v>
      </c>
      <c r="B412" s="10"/>
      <c r="C412" s="10" t="s">
        <v>1185</v>
      </c>
      <c r="D412" s="10" t="s">
        <v>1185</v>
      </c>
      <c r="E412" s="10" t="s">
        <v>1185</v>
      </c>
    </row>
    <row r="413">
      <c r="A413" s="10" t="s">
        <v>1201</v>
      </c>
      <c r="B413" s="10" t="s">
        <v>692</v>
      </c>
      <c r="C413" s="10" t="s">
        <v>1185</v>
      </c>
      <c r="D413" s="10" t="s">
        <v>1185</v>
      </c>
      <c r="E413" s="10" t="s">
        <v>1185</v>
      </c>
    </row>
    <row r="414">
      <c r="A414" s="10" t="s">
        <v>1202</v>
      </c>
      <c r="B414" s="10" t="s">
        <v>692</v>
      </c>
      <c r="C414" s="10" t="s">
        <v>1185</v>
      </c>
      <c r="D414" s="10" t="s">
        <v>1185</v>
      </c>
      <c r="E414" s="10" t="s">
        <v>1185</v>
      </c>
    </row>
    <row r="415">
      <c r="A415" s="10" t="s">
        <v>1203</v>
      </c>
      <c r="B415" s="10" t="s">
        <v>692</v>
      </c>
      <c r="C415" s="10" t="s">
        <v>1185</v>
      </c>
      <c r="D415" s="10" t="s">
        <v>1185</v>
      </c>
      <c r="E415" s="10" t="s">
        <v>1185</v>
      </c>
    </row>
    <row r="416">
      <c r="A416" s="10" t="s">
        <v>1204</v>
      </c>
      <c r="B416" s="10" t="s">
        <v>692</v>
      </c>
      <c r="C416" s="10" t="s">
        <v>1185</v>
      </c>
      <c r="D416" s="10" t="s">
        <v>1185</v>
      </c>
      <c r="E416" s="10" t="s">
        <v>1185</v>
      </c>
    </row>
    <row r="417">
      <c r="A417" s="119" t="s">
        <v>1205</v>
      </c>
      <c r="B417" s="119" t="s">
        <v>672</v>
      </c>
      <c r="C417" s="119" t="s">
        <v>831</v>
      </c>
      <c r="D417" s="119" t="s">
        <v>865</v>
      </c>
      <c r="E417" s="119" t="s">
        <v>866</v>
      </c>
    </row>
    <row r="418">
      <c r="A418" s="119" t="s">
        <v>1206</v>
      </c>
      <c r="B418" s="119" t="s">
        <v>672</v>
      </c>
      <c r="C418" s="119" t="s">
        <v>869</v>
      </c>
      <c r="D418" s="119" t="s">
        <v>827</v>
      </c>
      <c r="E418" s="123" t="s">
        <v>971</v>
      </c>
    </row>
    <row r="419">
      <c r="A419" s="119" t="s">
        <v>1207</v>
      </c>
      <c r="B419" s="119" t="s">
        <v>672</v>
      </c>
      <c r="C419" s="119" t="s">
        <v>999</v>
      </c>
      <c r="D419" s="119" t="s">
        <v>1002</v>
      </c>
      <c r="E419" s="119" t="s">
        <v>1002</v>
      </c>
    </row>
    <row r="420">
      <c r="A420" s="119" t="s">
        <v>1208</v>
      </c>
      <c r="B420" s="119" t="s">
        <v>672</v>
      </c>
      <c r="C420" s="119" t="s">
        <v>869</v>
      </c>
      <c r="D420" s="119" t="s">
        <v>827</v>
      </c>
      <c r="E420" s="119" t="s">
        <v>971</v>
      </c>
    </row>
    <row r="421">
      <c r="A421" s="119" t="s">
        <v>553</v>
      </c>
      <c r="B421" s="119" t="s">
        <v>672</v>
      </c>
      <c r="C421" s="119" t="s">
        <v>869</v>
      </c>
      <c r="D421" s="119" t="s">
        <v>827</v>
      </c>
      <c r="E421" s="119" t="s">
        <v>893</v>
      </c>
    </row>
    <row r="422">
      <c r="A422" s="119" t="s">
        <v>1209</v>
      </c>
      <c r="B422" s="119" t="s">
        <v>672</v>
      </c>
      <c r="C422" s="119" t="s">
        <v>737</v>
      </c>
      <c r="D422" s="119" t="s">
        <v>780</v>
      </c>
      <c r="E422" s="119" t="s">
        <v>791</v>
      </c>
    </row>
    <row r="423">
      <c r="A423" s="119" t="s">
        <v>1210</v>
      </c>
      <c r="B423" s="119" t="s">
        <v>672</v>
      </c>
      <c r="C423" s="119" t="s">
        <v>999</v>
      </c>
      <c r="D423" s="119" t="s">
        <v>1002</v>
      </c>
      <c r="E423" s="119" t="s">
        <v>1002</v>
      </c>
    </row>
    <row r="424">
      <c r="A424" s="119" t="s">
        <v>1211</v>
      </c>
      <c r="B424" s="119" t="s">
        <v>672</v>
      </c>
      <c r="C424" s="119" t="s">
        <v>1088</v>
      </c>
      <c r="D424" s="119" t="s">
        <v>1139</v>
      </c>
      <c r="E424" s="119" t="s">
        <v>1139</v>
      </c>
    </row>
    <row r="425">
      <c r="A425" s="119" t="s">
        <v>1212</v>
      </c>
      <c r="B425" s="119" t="s">
        <v>672</v>
      </c>
      <c r="C425" s="119" t="s">
        <v>737</v>
      </c>
      <c r="D425" s="119" t="s">
        <v>748</v>
      </c>
      <c r="E425" s="119" t="s">
        <v>748</v>
      </c>
    </row>
    <row r="426">
      <c r="A426" s="119" t="s">
        <v>1213</v>
      </c>
      <c r="B426" s="119" t="s">
        <v>672</v>
      </c>
      <c r="C426" s="119" t="s">
        <v>869</v>
      </c>
      <c r="D426" s="119" t="s">
        <v>870</v>
      </c>
      <c r="E426" s="119" t="s">
        <v>871</v>
      </c>
    </row>
    <row r="427">
      <c r="A427" s="119" t="s">
        <v>1214</v>
      </c>
      <c r="B427" s="119" t="s">
        <v>672</v>
      </c>
      <c r="C427" s="119" t="s">
        <v>1088</v>
      </c>
      <c r="D427" s="119" t="s">
        <v>1177</v>
      </c>
      <c r="E427" s="119" t="s">
        <v>1177</v>
      </c>
    </row>
    <row r="428">
      <c r="A428" s="119" t="s">
        <v>1215</v>
      </c>
      <c r="B428" s="119" t="s">
        <v>672</v>
      </c>
      <c r="C428" s="119" t="s">
        <v>869</v>
      </c>
      <c r="D428" s="119" t="s">
        <v>870</v>
      </c>
      <c r="E428" s="119" t="s">
        <v>871</v>
      </c>
    </row>
    <row r="429">
      <c r="A429" s="119" t="s">
        <v>1216</v>
      </c>
      <c r="B429" s="119" t="s">
        <v>672</v>
      </c>
      <c r="C429" s="119" t="s">
        <v>976</v>
      </c>
      <c r="D429" s="119" t="s">
        <v>865</v>
      </c>
      <c r="E429" s="119" t="s">
        <v>977</v>
      </c>
    </row>
    <row r="430">
      <c r="A430" s="119" t="s">
        <v>1217</v>
      </c>
      <c r="B430" s="119" t="s">
        <v>672</v>
      </c>
      <c r="C430" s="119" t="s">
        <v>869</v>
      </c>
      <c r="D430" s="119" t="s">
        <v>870</v>
      </c>
      <c r="E430" s="119" t="s">
        <v>871</v>
      </c>
    </row>
    <row r="431">
      <c r="A431" s="119" t="s">
        <v>1218</v>
      </c>
      <c r="B431" s="119" t="s">
        <v>672</v>
      </c>
      <c r="C431" s="119" t="s">
        <v>976</v>
      </c>
      <c r="D431" s="119" t="s">
        <v>865</v>
      </c>
      <c r="E431" s="119" t="s">
        <v>977</v>
      </c>
    </row>
    <row r="432">
      <c r="A432" s="119" t="s">
        <v>1219</v>
      </c>
      <c r="B432" s="119" t="s">
        <v>672</v>
      </c>
      <c r="C432" s="119" t="s">
        <v>869</v>
      </c>
      <c r="D432" s="119" t="s">
        <v>870</v>
      </c>
      <c r="E432" s="119" t="s">
        <v>871</v>
      </c>
    </row>
    <row r="433">
      <c r="A433" s="119" t="s">
        <v>1220</v>
      </c>
      <c r="B433" s="119" t="s">
        <v>672</v>
      </c>
      <c r="C433" s="119" t="s">
        <v>737</v>
      </c>
      <c r="D433" s="119" t="s">
        <v>748</v>
      </c>
      <c r="E433" s="119" t="s">
        <v>748</v>
      </c>
    </row>
    <row r="434">
      <c r="A434" s="119" t="s">
        <v>1221</v>
      </c>
      <c r="B434" s="119" t="s">
        <v>672</v>
      </c>
      <c r="C434" s="119" t="s">
        <v>1088</v>
      </c>
      <c r="D434" s="119" t="s">
        <v>1139</v>
      </c>
      <c r="E434" s="119" t="s">
        <v>1140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8.14"/>
  </cols>
  <sheetData>
    <row r="1">
      <c r="A1" s="119" t="s">
        <v>1222</v>
      </c>
    </row>
    <row r="7">
      <c r="A7" s="119" t="s">
        <v>669</v>
      </c>
      <c r="B7" s="119" t="s">
        <v>670</v>
      </c>
      <c r="C7" s="119" t="s">
        <v>668</v>
      </c>
      <c r="D7" s="119" t="s">
        <v>1223</v>
      </c>
    </row>
    <row r="8">
      <c r="D8" s="119" t="s">
        <v>667</v>
      </c>
      <c r="E8" s="119" t="s">
        <v>668</v>
      </c>
    </row>
    <row r="9">
      <c r="A9" s="119" t="s">
        <v>673</v>
      </c>
      <c r="B9" s="119" t="s">
        <v>673</v>
      </c>
      <c r="C9" s="119" t="s">
        <v>674</v>
      </c>
    </row>
    <row r="10">
      <c r="C10" s="119" t="s">
        <v>1224</v>
      </c>
      <c r="D10" s="119" t="s">
        <v>1225</v>
      </c>
      <c r="E10" s="119" t="s">
        <v>672</v>
      </c>
    </row>
    <row r="11">
      <c r="C11" s="119" t="s">
        <v>1226</v>
      </c>
      <c r="D11" s="119" t="s">
        <v>671</v>
      </c>
      <c r="E11" s="119" t="s">
        <v>672</v>
      </c>
    </row>
    <row r="12">
      <c r="C12" s="119" t="s">
        <v>1227</v>
      </c>
      <c r="D12" s="119" t="s">
        <v>675</v>
      </c>
    </row>
    <row r="13">
      <c r="C13" s="119" t="s">
        <v>1228</v>
      </c>
      <c r="D13" s="119" t="s">
        <v>676</v>
      </c>
      <c r="E13" s="119" t="s">
        <v>672</v>
      </c>
    </row>
    <row r="14">
      <c r="C14" s="119" t="s">
        <v>1229</v>
      </c>
      <c r="D14" s="119" t="s">
        <v>677</v>
      </c>
    </row>
    <row r="15">
      <c r="C15" s="119" t="s">
        <v>1230</v>
      </c>
      <c r="D15" s="119" t="s">
        <v>678</v>
      </c>
      <c r="E15" s="119" t="s">
        <v>679</v>
      </c>
    </row>
    <row r="16">
      <c r="C16" s="119" t="s">
        <v>1231</v>
      </c>
      <c r="D16" s="119" t="s">
        <v>680</v>
      </c>
      <c r="E16" s="119" t="s">
        <v>672</v>
      </c>
    </row>
    <row r="17">
      <c r="C17" s="119" t="s">
        <v>1232</v>
      </c>
      <c r="D17" s="119" t="s">
        <v>681</v>
      </c>
      <c r="E17" s="119" t="s">
        <v>672</v>
      </c>
    </row>
    <row r="18">
      <c r="C18" s="119" t="s">
        <v>1233</v>
      </c>
      <c r="D18" s="119" t="s">
        <v>682</v>
      </c>
      <c r="E18" s="119" t="s">
        <v>672</v>
      </c>
    </row>
    <row r="19">
      <c r="C19" s="119" t="s">
        <v>684</v>
      </c>
    </row>
    <row r="20">
      <c r="C20" s="119" t="s">
        <v>1234</v>
      </c>
      <c r="D20" s="119" t="s">
        <v>683</v>
      </c>
      <c r="E20" s="119" t="s">
        <v>672</v>
      </c>
    </row>
    <row r="21">
      <c r="C21" s="119" t="s">
        <v>1235</v>
      </c>
      <c r="D21" s="119" t="s">
        <v>685</v>
      </c>
      <c r="E21" s="119" t="s">
        <v>672</v>
      </c>
    </row>
    <row r="23">
      <c r="A23" s="119" t="s">
        <v>669</v>
      </c>
      <c r="B23" s="119" t="s">
        <v>670</v>
      </c>
      <c r="C23" s="119" t="s">
        <v>668</v>
      </c>
      <c r="D23" s="119" t="s">
        <v>1223</v>
      </c>
    </row>
    <row r="24">
      <c r="D24" s="119" t="s">
        <v>667</v>
      </c>
      <c r="E24" s="119" t="s">
        <v>668</v>
      </c>
    </row>
    <row r="25">
      <c r="A25" s="119" t="s">
        <v>688</v>
      </c>
      <c r="B25" s="119" t="s">
        <v>689</v>
      </c>
      <c r="C25" s="119" t="s">
        <v>690</v>
      </c>
    </row>
    <row r="26">
      <c r="C26" s="119" t="s">
        <v>1236</v>
      </c>
      <c r="D26" s="119" t="s">
        <v>686</v>
      </c>
      <c r="E26" s="119" t="s">
        <v>687</v>
      </c>
    </row>
    <row r="27">
      <c r="C27" s="119" t="s">
        <v>1237</v>
      </c>
      <c r="D27" s="119" t="s">
        <v>691</v>
      </c>
      <c r="E27" s="119" t="s">
        <v>692</v>
      </c>
    </row>
    <row r="28">
      <c r="C28" s="119" t="s">
        <v>1238</v>
      </c>
      <c r="D28" s="119" t="s">
        <v>693</v>
      </c>
      <c r="E28" s="119" t="s">
        <v>692</v>
      </c>
    </row>
    <row r="29">
      <c r="C29" s="119" t="s">
        <v>1239</v>
      </c>
      <c r="D29" s="119" t="s">
        <v>694</v>
      </c>
      <c r="E29" s="119" t="s">
        <v>672</v>
      </c>
    </row>
    <row r="30">
      <c r="C30" s="119" t="s">
        <v>695</v>
      </c>
      <c r="D30" s="119" t="s">
        <v>695</v>
      </c>
      <c r="E30" s="119" t="s">
        <v>672</v>
      </c>
    </row>
    <row r="31">
      <c r="B31" s="119" t="s">
        <v>697</v>
      </c>
      <c r="C31" s="119" t="s">
        <v>698</v>
      </c>
    </row>
    <row r="32">
      <c r="C32" s="119" t="s">
        <v>1240</v>
      </c>
      <c r="D32" s="119" t="s">
        <v>696</v>
      </c>
      <c r="E32" s="119" t="s">
        <v>687</v>
      </c>
    </row>
    <row r="33">
      <c r="C33" s="119" t="s">
        <v>1241</v>
      </c>
      <c r="D33" s="119" t="s">
        <v>699</v>
      </c>
      <c r="E33" s="119" t="s">
        <v>687</v>
      </c>
    </row>
    <row r="34">
      <c r="C34" s="119" t="s">
        <v>1242</v>
      </c>
      <c r="D34" s="119" t="s">
        <v>700</v>
      </c>
      <c r="E34" s="119" t="s">
        <v>687</v>
      </c>
    </row>
    <row r="35">
      <c r="C35" s="119" t="s">
        <v>1243</v>
      </c>
      <c r="D35" s="119" t="s">
        <v>701</v>
      </c>
    </row>
    <row r="36">
      <c r="C36" s="119" t="s">
        <v>1244</v>
      </c>
      <c r="D36" s="119" t="s">
        <v>702</v>
      </c>
      <c r="E36" s="119" t="s">
        <v>687</v>
      </c>
    </row>
    <row r="37">
      <c r="C37" s="119" t="s">
        <v>704</v>
      </c>
    </row>
    <row r="38">
      <c r="C38" s="119" t="s">
        <v>1245</v>
      </c>
      <c r="D38" s="119" t="s">
        <v>703</v>
      </c>
    </row>
    <row r="39">
      <c r="C39" s="119" t="s">
        <v>1246</v>
      </c>
      <c r="D39" s="119" t="s">
        <v>705</v>
      </c>
    </row>
    <row r="40">
      <c r="C40" s="119" t="s">
        <v>1247</v>
      </c>
      <c r="D40" s="119" t="s">
        <v>706</v>
      </c>
    </row>
    <row r="41">
      <c r="C41" s="119" t="s">
        <v>708</v>
      </c>
    </row>
    <row r="42">
      <c r="C42" s="119" t="s">
        <v>1248</v>
      </c>
      <c r="D42" s="119" t="s">
        <v>707</v>
      </c>
      <c r="E42" s="119" t="s">
        <v>672</v>
      </c>
    </row>
    <row r="43">
      <c r="B43" s="119" t="s">
        <v>710</v>
      </c>
      <c r="C43" s="119" t="s">
        <v>711</v>
      </c>
    </row>
    <row r="44">
      <c r="C44" s="119" t="s">
        <v>1249</v>
      </c>
      <c r="D44" s="119" t="s">
        <v>709</v>
      </c>
      <c r="E44" s="119" t="s">
        <v>687</v>
      </c>
    </row>
    <row r="45">
      <c r="C45" s="119" t="s">
        <v>1250</v>
      </c>
      <c r="D45" s="119" t="s">
        <v>713</v>
      </c>
    </row>
    <row r="46">
      <c r="C46" s="119" t="s">
        <v>715</v>
      </c>
    </row>
    <row r="47">
      <c r="C47" s="119" t="s">
        <v>1251</v>
      </c>
      <c r="D47" s="119" t="s">
        <v>714</v>
      </c>
      <c r="E47" s="119" t="s">
        <v>672</v>
      </c>
    </row>
    <row r="48">
      <c r="C48" s="119" t="s">
        <v>1252</v>
      </c>
      <c r="D48" s="119" t="s">
        <v>716</v>
      </c>
      <c r="E48" s="119" t="s">
        <v>717</v>
      </c>
    </row>
    <row r="49">
      <c r="C49" s="119" t="s">
        <v>719</v>
      </c>
    </row>
    <row r="50">
      <c r="C50" s="119" t="s">
        <v>1253</v>
      </c>
      <c r="D50" s="119" t="s">
        <v>718</v>
      </c>
    </row>
    <row r="51">
      <c r="C51" s="119" t="s">
        <v>1254</v>
      </c>
      <c r="D51" s="119" t="s">
        <v>720</v>
      </c>
    </row>
    <row r="52">
      <c r="B52" s="119" t="s">
        <v>722</v>
      </c>
      <c r="C52" s="119" t="s">
        <v>723</v>
      </c>
    </row>
    <row r="53">
      <c r="C53" s="119" t="s">
        <v>1255</v>
      </c>
      <c r="D53" s="119" t="s">
        <v>721</v>
      </c>
      <c r="E53" s="119" t="s">
        <v>672</v>
      </c>
    </row>
    <row r="54">
      <c r="C54" s="119" t="s">
        <v>1256</v>
      </c>
      <c r="D54" s="119" t="s">
        <v>724</v>
      </c>
      <c r="E54" s="119" t="s">
        <v>687</v>
      </c>
    </row>
    <row r="55">
      <c r="C55" s="119" t="s">
        <v>726</v>
      </c>
    </row>
    <row r="56">
      <c r="C56" s="119" t="s">
        <v>1257</v>
      </c>
      <c r="D56" s="119" t="s">
        <v>725</v>
      </c>
    </row>
    <row r="57">
      <c r="C57" s="119" t="s">
        <v>1258</v>
      </c>
      <c r="D57" s="119" t="s">
        <v>727</v>
      </c>
      <c r="E57" s="119" t="s">
        <v>679</v>
      </c>
    </row>
    <row r="58">
      <c r="C58" s="119" t="s">
        <v>1259</v>
      </c>
      <c r="D58" s="119" t="s">
        <v>728</v>
      </c>
    </row>
    <row r="59">
      <c r="C59" s="119" t="s">
        <v>1260</v>
      </c>
      <c r="D59" s="119" t="s">
        <v>729</v>
      </c>
    </row>
    <row r="60">
      <c r="C60" s="119" t="s">
        <v>1261</v>
      </c>
      <c r="D60" s="119" t="s">
        <v>730</v>
      </c>
    </row>
    <row r="61">
      <c r="C61" s="119" t="s">
        <v>1262</v>
      </c>
      <c r="D61" s="119" t="s">
        <v>731</v>
      </c>
      <c r="E61" s="119" t="s">
        <v>672</v>
      </c>
    </row>
    <row r="62">
      <c r="B62" s="119" t="s">
        <v>733</v>
      </c>
      <c r="C62" s="119" t="s">
        <v>733</v>
      </c>
    </row>
    <row r="63">
      <c r="C63" s="119" t="s">
        <v>1263</v>
      </c>
      <c r="D63" s="119" t="s">
        <v>732</v>
      </c>
    </row>
    <row r="64">
      <c r="B64" s="119" t="s">
        <v>735</v>
      </c>
      <c r="C64" s="119" t="s">
        <v>735</v>
      </c>
    </row>
    <row r="65">
      <c r="C65" s="119" t="s">
        <v>1264</v>
      </c>
      <c r="D65" s="119" t="s">
        <v>734</v>
      </c>
    </row>
    <row r="67">
      <c r="A67" s="119" t="s">
        <v>669</v>
      </c>
      <c r="B67" s="119" t="s">
        <v>670</v>
      </c>
      <c r="C67" s="119" t="s">
        <v>668</v>
      </c>
      <c r="D67" s="119" t="s">
        <v>1223</v>
      </c>
    </row>
    <row r="68">
      <c r="D68" s="119" t="s">
        <v>667</v>
      </c>
      <c r="E68" s="119" t="s">
        <v>668</v>
      </c>
    </row>
    <row r="69">
      <c r="A69" s="119" t="s">
        <v>737</v>
      </c>
      <c r="B69" s="119" t="s">
        <v>738</v>
      </c>
      <c r="C69" s="119" t="s">
        <v>739</v>
      </c>
    </row>
    <row r="70">
      <c r="C70" s="119" t="s">
        <v>1265</v>
      </c>
      <c r="D70" s="119" t="s">
        <v>736</v>
      </c>
      <c r="E70" s="119" t="s">
        <v>672</v>
      </c>
    </row>
    <row r="71">
      <c r="C71" s="119" t="s">
        <v>1266</v>
      </c>
      <c r="D71" s="119" t="s">
        <v>740</v>
      </c>
    </row>
    <row r="72">
      <c r="C72" s="119" t="s">
        <v>1267</v>
      </c>
      <c r="D72" s="119" t="s">
        <v>741</v>
      </c>
      <c r="E72" s="119" t="s">
        <v>672</v>
      </c>
    </row>
    <row r="73">
      <c r="C73" s="119" t="s">
        <v>743</v>
      </c>
    </row>
    <row r="74">
      <c r="C74" s="119" t="s">
        <v>1268</v>
      </c>
      <c r="D74" s="119" t="s">
        <v>742</v>
      </c>
    </row>
    <row r="75">
      <c r="C75" s="119" t="s">
        <v>745</v>
      </c>
    </row>
    <row r="76">
      <c r="C76" s="119" t="s">
        <v>1269</v>
      </c>
      <c r="D76" s="119" t="s">
        <v>744</v>
      </c>
    </row>
    <row r="77">
      <c r="C77" s="119" t="s">
        <v>1270</v>
      </c>
      <c r="D77" s="119" t="s">
        <v>746</v>
      </c>
    </row>
    <row r="78">
      <c r="C78" s="119" t="s">
        <v>748</v>
      </c>
    </row>
    <row r="79">
      <c r="C79" s="119" t="s">
        <v>1271</v>
      </c>
      <c r="D79" s="119" t="s">
        <v>747</v>
      </c>
      <c r="E79" s="119" t="s">
        <v>672</v>
      </c>
    </row>
    <row r="80">
      <c r="B80" s="119" t="s">
        <v>750</v>
      </c>
      <c r="C80" s="119" t="s">
        <v>751</v>
      </c>
    </row>
    <row r="81">
      <c r="C81" s="119" t="s">
        <v>1272</v>
      </c>
      <c r="D81" s="119" t="s">
        <v>749</v>
      </c>
      <c r="E81" s="119" t="s">
        <v>672</v>
      </c>
    </row>
    <row r="82">
      <c r="C82" s="119" t="s">
        <v>753</v>
      </c>
    </row>
    <row r="83">
      <c r="C83" s="119" t="s">
        <v>1273</v>
      </c>
      <c r="D83" s="119" t="s">
        <v>752</v>
      </c>
      <c r="E83" s="119" t="s">
        <v>687</v>
      </c>
    </row>
    <row r="84">
      <c r="C84" s="119" t="s">
        <v>1274</v>
      </c>
      <c r="D84" s="119" t="s">
        <v>754</v>
      </c>
      <c r="E84" s="119" t="s">
        <v>679</v>
      </c>
    </row>
    <row r="85">
      <c r="C85" s="119" t="s">
        <v>1275</v>
      </c>
      <c r="D85" s="119" t="s">
        <v>755</v>
      </c>
      <c r="E85" s="119" t="s">
        <v>687</v>
      </c>
    </row>
    <row r="86">
      <c r="C86" s="119" t="s">
        <v>1276</v>
      </c>
      <c r="D86" s="119" t="s">
        <v>756</v>
      </c>
    </row>
    <row r="87">
      <c r="C87" s="119" t="s">
        <v>1277</v>
      </c>
      <c r="D87" s="119" t="s">
        <v>757</v>
      </c>
    </row>
    <row r="88">
      <c r="C88" s="119" t="s">
        <v>758</v>
      </c>
      <c r="D88" s="119" t="s">
        <v>758</v>
      </c>
      <c r="E88" s="119" t="s">
        <v>672</v>
      </c>
    </row>
    <row r="89">
      <c r="C89" s="119" t="s">
        <v>1278</v>
      </c>
      <c r="D89" s="119" t="s">
        <v>759</v>
      </c>
    </row>
    <row r="90">
      <c r="B90" s="119" t="s">
        <v>761</v>
      </c>
      <c r="C90" s="119" t="s">
        <v>762</v>
      </c>
    </row>
    <row r="91">
      <c r="C91" s="119" t="s">
        <v>1279</v>
      </c>
      <c r="D91" s="119" t="s">
        <v>760</v>
      </c>
    </row>
    <row r="92">
      <c r="C92" s="119" t="s">
        <v>1280</v>
      </c>
      <c r="D92" s="119" t="s">
        <v>763</v>
      </c>
      <c r="E92" s="119" t="s">
        <v>672</v>
      </c>
    </row>
    <row r="93">
      <c r="C93" s="119" t="s">
        <v>765</v>
      </c>
    </row>
    <row r="94">
      <c r="C94" s="119" t="s">
        <v>1281</v>
      </c>
      <c r="D94" s="119" t="s">
        <v>764</v>
      </c>
    </row>
    <row r="95">
      <c r="C95" s="119" t="s">
        <v>1282</v>
      </c>
      <c r="D95" s="119" t="s">
        <v>1283</v>
      </c>
      <c r="E95" s="119" t="s">
        <v>672</v>
      </c>
    </row>
    <row r="96">
      <c r="C96" s="119" t="s">
        <v>1284</v>
      </c>
      <c r="D96" s="119" t="s">
        <v>766</v>
      </c>
    </row>
    <row r="97">
      <c r="C97" s="119" t="s">
        <v>1285</v>
      </c>
      <c r="D97" s="119" t="s">
        <v>767</v>
      </c>
      <c r="E97" s="119" t="s">
        <v>672</v>
      </c>
    </row>
    <row r="98">
      <c r="C98" s="119" t="s">
        <v>1286</v>
      </c>
      <c r="D98" s="119" t="s">
        <v>768</v>
      </c>
    </row>
    <row r="99">
      <c r="C99" s="119" t="s">
        <v>1287</v>
      </c>
      <c r="D99" s="119" t="s">
        <v>769</v>
      </c>
    </row>
    <row r="100">
      <c r="C100" s="119" t="s">
        <v>1288</v>
      </c>
      <c r="D100" s="119" t="s">
        <v>770</v>
      </c>
      <c r="E100" s="119" t="s">
        <v>672</v>
      </c>
    </row>
    <row r="101">
      <c r="C101" s="119" t="s">
        <v>1289</v>
      </c>
      <c r="D101" s="119" t="s">
        <v>771</v>
      </c>
    </row>
    <row r="102">
      <c r="C102" s="119" t="s">
        <v>1290</v>
      </c>
      <c r="D102" s="119" t="s">
        <v>772</v>
      </c>
      <c r="E102" s="119" t="s">
        <v>773</v>
      </c>
    </row>
    <row r="103">
      <c r="C103" s="119" t="s">
        <v>775</v>
      </c>
    </row>
    <row r="104">
      <c r="C104" s="119" t="s">
        <v>1291</v>
      </c>
      <c r="D104" s="119" t="s">
        <v>774</v>
      </c>
    </row>
    <row r="105">
      <c r="C105" s="119" t="s">
        <v>1292</v>
      </c>
      <c r="D105" s="119" t="s">
        <v>776</v>
      </c>
      <c r="E105" s="119" t="s">
        <v>717</v>
      </c>
    </row>
    <row r="106">
      <c r="C106" s="119" t="s">
        <v>778</v>
      </c>
    </row>
    <row r="107">
      <c r="C107" s="119" t="s">
        <v>1293</v>
      </c>
      <c r="D107" s="119" t="s">
        <v>777</v>
      </c>
      <c r="E107" s="119" t="s">
        <v>679</v>
      </c>
    </row>
    <row r="108">
      <c r="B108" s="119" t="s">
        <v>780</v>
      </c>
      <c r="C108" s="119" t="s">
        <v>781</v>
      </c>
    </row>
    <row r="109">
      <c r="C109" s="119" t="s">
        <v>779</v>
      </c>
      <c r="D109" s="119" t="s">
        <v>779</v>
      </c>
      <c r="E109" s="119" t="s">
        <v>679</v>
      </c>
    </row>
    <row r="110">
      <c r="C110" s="119" t="s">
        <v>1294</v>
      </c>
      <c r="D110" s="119" t="s">
        <v>782</v>
      </c>
      <c r="E110" s="119" t="s">
        <v>679</v>
      </c>
    </row>
    <row r="111">
      <c r="C111" s="119" t="s">
        <v>784</v>
      </c>
    </row>
    <row r="112">
      <c r="C112" s="119" t="s">
        <v>1295</v>
      </c>
      <c r="D112" s="119" t="s">
        <v>783</v>
      </c>
      <c r="E112" s="119" t="s">
        <v>692</v>
      </c>
    </row>
    <row r="113">
      <c r="C113" s="119" t="s">
        <v>1296</v>
      </c>
      <c r="D113" s="119" t="s">
        <v>785</v>
      </c>
      <c r="E113" s="119" t="s">
        <v>692</v>
      </c>
    </row>
    <row r="114">
      <c r="C114" s="119" t="s">
        <v>1297</v>
      </c>
      <c r="D114" s="119" t="s">
        <v>786</v>
      </c>
      <c r="E114" s="119" t="s">
        <v>672</v>
      </c>
    </row>
    <row r="115">
      <c r="C115" s="119" t="s">
        <v>1298</v>
      </c>
      <c r="D115" s="119" t="s">
        <v>787</v>
      </c>
    </row>
    <row r="116">
      <c r="C116" s="119" t="s">
        <v>1299</v>
      </c>
      <c r="D116" s="119" t="s">
        <v>788</v>
      </c>
      <c r="E116" s="119" t="s">
        <v>692</v>
      </c>
    </row>
    <row r="117">
      <c r="C117" s="119" t="s">
        <v>1300</v>
      </c>
      <c r="D117" s="119" t="s">
        <v>789</v>
      </c>
      <c r="E117" s="119" t="s">
        <v>672</v>
      </c>
    </row>
    <row r="118">
      <c r="C118" s="119" t="s">
        <v>791</v>
      </c>
    </row>
    <row r="119">
      <c r="C119" s="119" t="s">
        <v>1301</v>
      </c>
      <c r="D119" s="119" t="s">
        <v>1209</v>
      </c>
      <c r="E119" s="119" t="s">
        <v>672</v>
      </c>
    </row>
    <row r="120">
      <c r="C120" s="119" t="s">
        <v>1302</v>
      </c>
      <c r="D120" s="119" t="s">
        <v>790</v>
      </c>
      <c r="E120" s="119" t="s">
        <v>672</v>
      </c>
    </row>
    <row r="121">
      <c r="C121" s="119" t="s">
        <v>1303</v>
      </c>
      <c r="D121" s="119" t="s">
        <v>792</v>
      </c>
    </row>
    <row r="122">
      <c r="C122" s="119" t="s">
        <v>793</v>
      </c>
    </row>
    <row r="123">
      <c r="C123" s="119" t="s">
        <v>1304</v>
      </c>
      <c r="D123" s="119" t="s">
        <v>1305</v>
      </c>
      <c r="E123" s="119" t="s">
        <v>672</v>
      </c>
    </row>
    <row r="124">
      <c r="C124" s="119" t="s">
        <v>1306</v>
      </c>
      <c r="D124" s="119" t="s">
        <v>794</v>
      </c>
      <c r="E124" s="119" t="s">
        <v>672</v>
      </c>
    </row>
    <row r="125">
      <c r="C125" s="119" t="s">
        <v>796</v>
      </c>
    </row>
    <row r="126">
      <c r="C126" s="119" t="s">
        <v>1307</v>
      </c>
      <c r="D126" s="119" t="s">
        <v>795</v>
      </c>
    </row>
    <row r="127">
      <c r="C127" s="119" t="s">
        <v>1308</v>
      </c>
      <c r="D127" s="119" t="s">
        <v>797</v>
      </c>
      <c r="E127" s="119" t="s">
        <v>672</v>
      </c>
    </row>
    <row r="128">
      <c r="C128" s="119" t="s">
        <v>1309</v>
      </c>
      <c r="D128" s="119" t="s">
        <v>798</v>
      </c>
    </row>
    <row r="129">
      <c r="C129" s="119" t="s">
        <v>1310</v>
      </c>
      <c r="D129" s="119" t="s">
        <v>799</v>
      </c>
      <c r="E129" s="119" t="s">
        <v>692</v>
      </c>
    </row>
    <row r="130">
      <c r="C130" s="119" t="s">
        <v>1311</v>
      </c>
      <c r="D130" s="119" t="s">
        <v>800</v>
      </c>
    </row>
    <row r="131">
      <c r="C131" s="119" t="s">
        <v>1312</v>
      </c>
      <c r="D131" s="119" t="s">
        <v>801</v>
      </c>
    </row>
    <row r="132">
      <c r="C132" s="119" t="s">
        <v>1313</v>
      </c>
      <c r="D132" s="119" t="s">
        <v>802</v>
      </c>
    </row>
    <row r="133">
      <c r="C133" s="119" t="s">
        <v>1314</v>
      </c>
      <c r="D133" s="119" t="s">
        <v>803</v>
      </c>
      <c r="E133" s="119" t="s">
        <v>672</v>
      </c>
    </row>
    <row r="134">
      <c r="C134" s="119" t="s">
        <v>1315</v>
      </c>
      <c r="D134" s="119" t="s">
        <v>804</v>
      </c>
    </row>
    <row r="135">
      <c r="C135" s="119" t="s">
        <v>1316</v>
      </c>
      <c r="D135" s="119" t="s">
        <v>805</v>
      </c>
    </row>
    <row r="136">
      <c r="C136" s="119" t="s">
        <v>1317</v>
      </c>
      <c r="D136" s="119" t="s">
        <v>806</v>
      </c>
    </row>
    <row r="137">
      <c r="C137" s="119" t="s">
        <v>1318</v>
      </c>
      <c r="D137" s="119" t="s">
        <v>807</v>
      </c>
    </row>
    <row r="138">
      <c r="C138" s="119" t="s">
        <v>1319</v>
      </c>
      <c r="D138" s="119" t="s">
        <v>808</v>
      </c>
    </row>
    <row r="139">
      <c r="C139" s="119" t="s">
        <v>1320</v>
      </c>
      <c r="D139" s="119" t="s">
        <v>809</v>
      </c>
      <c r="E139" s="119" t="s">
        <v>672</v>
      </c>
    </row>
    <row r="140">
      <c r="C140" s="119" t="s">
        <v>1321</v>
      </c>
      <c r="D140" s="119" t="s">
        <v>810</v>
      </c>
    </row>
    <row r="141">
      <c r="C141" s="119" t="s">
        <v>812</v>
      </c>
    </row>
    <row r="142">
      <c r="C142" s="119" t="s">
        <v>1322</v>
      </c>
      <c r="D142" s="119" t="s">
        <v>811</v>
      </c>
      <c r="E142" s="119" t="s">
        <v>692</v>
      </c>
    </row>
    <row r="143">
      <c r="C143" s="119" t="s">
        <v>1323</v>
      </c>
      <c r="D143" s="119" t="s">
        <v>813</v>
      </c>
    </row>
    <row r="144">
      <c r="C144" s="119" t="s">
        <v>1324</v>
      </c>
      <c r="D144" s="119" t="s">
        <v>814</v>
      </c>
      <c r="E144" s="119" t="s">
        <v>692</v>
      </c>
    </row>
    <row r="145">
      <c r="C145" s="119" t="s">
        <v>1325</v>
      </c>
      <c r="D145" s="119" t="s">
        <v>815</v>
      </c>
    </row>
    <row r="146">
      <c r="C146" s="119" t="s">
        <v>1326</v>
      </c>
      <c r="D146" s="119" t="s">
        <v>816</v>
      </c>
      <c r="E146" s="119" t="s">
        <v>679</v>
      </c>
    </row>
    <row r="147">
      <c r="C147" s="119" t="s">
        <v>1327</v>
      </c>
      <c r="D147" s="119" t="s">
        <v>817</v>
      </c>
      <c r="E147" s="119" t="s">
        <v>818</v>
      </c>
    </row>
    <row r="148">
      <c r="B148" s="119" t="s">
        <v>748</v>
      </c>
      <c r="C148" s="119" t="s">
        <v>748</v>
      </c>
    </row>
    <row r="149">
      <c r="C149" s="119" t="s">
        <v>1328</v>
      </c>
      <c r="D149" s="119" t="s">
        <v>819</v>
      </c>
      <c r="E149" s="119" t="s">
        <v>672</v>
      </c>
    </row>
    <row r="150">
      <c r="C150" s="119" t="s">
        <v>1329</v>
      </c>
      <c r="D150" s="119" t="s">
        <v>1212</v>
      </c>
      <c r="E150" s="119" t="s">
        <v>672</v>
      </c>
    </row>
    <row r="151">
      <c r="C151" s="119" t="s">
        <v>1330</v>
      </c>
      <c r="D151" s="119" t="s">
        <v>820</v>
      </c>
      <c r="E151" s="119" t="s">
        <v>717</v>
      </c>
    </row>
    <row r="152">
      <c r="C152" s="119" t="s">
        <v>1331</v>
      </c>
      <c r="D152" s="119" t="s">
        <v>821</v>
      </c>
      <c r="E152" s="119" t="s">
        <v>672</v>
      </c>
    </row>
    <row r="153">
      <c r="C153" s="119" t="s">
        <v>1332</v>
      </c>
      <c r="D153" s="119" t="s">
        <v>822</v>
      </c>
    </row>
    <row r="154">
      <c r="C154" s="119" t="s">
        <v>1333</v>
      </c>
      <c r="D154" s="119" t="s">
        <v>1220</v>
      </c>
      <c r="E154" s="119" t="s">
        <v>672</v>
      </c>
    </row>
    <row r="155">
      <c r="C155" s="119" t="s">
        <v>1334</v>
      </c>
      <c r="D155" s="119" t="s">
        <v>823</v>
      </c>
      <c r="E155" s="119" t="s">
        <v>717</v>
      </c>
    </row>
    <row r="156">
      <c r="C156" s="119" t="s">
        <v>1335</v>
      </c>
      <c r="D156" s="119" t="s">
        <v>824</v>
      </c>
      <c r="E156" s="119" t="s">
        <v>717</v>
      </c>
    </row>
    <row r="157">
      <c r="C157" s="119" t="s">
        <v>1336</v>
      </c>
      <c r="D157" s="119" t="s">
        <v>1337</v>
      </c>
      <c r="E157" s="119" t="s">
        <v>672</v>
      </c>
    </row>
    <row r="158">
      <c r="C158" s="119" t="s">
        <v>1338</v>
      </c>
      <c r="D158" s="119" t="s">
        <v>825</v>
      </c>
      <c r="E158" s="119" t="s">
        <v>672</v>
      </c>
    </row>
    <row r="159">
      <c r="B159" s="119" t="s">
        <v>827</v>
      </c>
      <c r="C159" s="119" t="s">
        <v>750</v>
      </c>
    </row>
    <row r="160">
      <c r="C160" s="119" t="s">
        <v>1339</v>
      </c>
      <c r="D160" s="119" t="s">
        <v>826</v>
      </c>
    </row>
    <row r="161">
      <c r="C161" s="119" t="s">
        <v>1340</v>
      </c>
      <c r="D161" s="119" t="s">
        <v>828</v>
      </c>
    </row>
    <row r="162">
      <c r="C162" s="119" t="s">
        <v>1341</v>
      </c>
      <c r="D162" s="119" t="s">
        <v>829</v>
      </c>
    </row>
    <row r="164">
      <c r="A164" s="119" t="s">
        <v>669</v>
      </c>
      <c r="B164" s="119" t="s">
        <v>670</v>
      </c>
      <c r="C164" s="119" t="s">
        <v>668</v>
      </c>
      <c r="D164" s="119" t="s">
        <v>1223</v>
      </c>
    </row>
    <row r="165">
      <c r="D165" s="119" t="s">
        <v>667</v>
      </c>
      <c r="E165" s="119" t="s">
        <v>668</v>
      </c>
    </row>
    <row r="166">
      <c r="A166" s="119" t="s">
        <v>831</v>
      </c>
      <c r="B166" s="119" t="s">
        <v>832</v>
      </c>
      <c r="C166" s="119" t="s">
        <v>833</v>
      </c>
    </row>
    <row r="167">
      <c r="C167" s="119" t="s">
        <v>1342</v>
      </c>
      <c r="D167" s="119" t="s">
        <v>830</v>
      </c>
    </row>
    <row r="168">
      <c r="C168" s="119" t="s">
        <v>1343</v>
      </c>
      <c r="D168" s="119" t="s">
        <v>834</v>
      </c>
      <c r="E168" s="119" t="s">
        <v>672</v>
      </c>
    </row>
    <row r="169">
      <c r="C169" s="119" t="s">
        <v>1344</v>
      </c>
      <c r="D169" s="119" t="s">
        <v>835</v>
      </c>
      <c r="E169" s="119" t="s">
        <v>672</v>
      </c>
    </row>
    <row r="170">
      <c r="C170" s="119" t="s">
        <v>1345</v>
      </c>
      <c r="D170" s="119" t="s">
        <v>836</v>
      </c>
      <c r="E170" s="119" t="s">
        <v>672</v>
      </c>
    </row>
    <row r="171">
      <c r="C171" s="119" t="s">
        <v>1346</v>
      </c>
      <c r="D171" s="119" t="s">
        <v>837</v>
      </c>
      <c r="E171" s="119" t="s">
        <v>672</v>
      </c>
    </row>
    <row r="172">
      <c r="B172" s="119" t="s">
        <v>839</v>
      </c>
      <c r="C172" s="119" t="s">
        <v>840</v>
      </c>
    </row>
    <row r="173">
      <c r="C173" s="119" t="s">
        <v>1347</v>
      </c>
      <c r="D173" s="119" t="s">
        <v>838</v>
      </c>
      <c r="E173" s="119" t="s">
        <v>672</v>
      </c>
    </row>
    <row r="174">
      <c r="C174" s="119" t="s">
        <v>1348</v>
      </c>
      <c r="D174" s="119" t="s">
        <v>841</v>
      </c>
    </row>
    <row r="175">
      <c r="C175" s="119" t="s">
        <v>1349</v>
      </c>
      <c r="D175" s="119" t="s">
        <v>842</v>
      </c>
      <c r="E175" s="119" t="s">
        <v>672</v>
      </c>
    </row>
    <row r="176">
      <c r="C176" s="119" t="s">
        <v>844</v>
      </c>
    </row>
    <row r="177">
      <c r="C177" s="119" t="s">
        <v>1350</v>
      </c>
      <c r="D177" s="119" t="s">
        <v>843</v>
      </c>
      <c r="E177" s="119" t="s">
        <v>672</v>
      </c>
    </row>
    <row r="178">
      <c r="C178" s="119" t="s">
        <v>1351</v>
      </c>
      <c r="D178" s="119" t="s">
        <v>845</v>
      </c>
    </row>
    <row r="179">
      <c r="C179" s="119" t="s">
        <v>1352</v>
      </c>
      <c r="D179" s="119" t="s">
        <v>846</v>
      </c>
      <c r="E179" s="119" t="s">
        <v>672</v>
      </c>
    </row>
    <row r="180">
      <c r="C180" s="119" t="s">
        <v>1353</v>
      </c>
      <c r="D180" s="119" t="s">
        <v>847</v>
      </c>
      <c r="E180" s="119" t="s">
        <v>672</v>
      </c>
    </row>
    <row r="181">
      <c r="C181" s="119" t="s">
        <v>1354</v>
      </c>
      <c r="D181" s="119" t="s">
        <v>848</v>
      </c>
      <c r="E181" s="119" t="s">
        <v>672</v>
      </c>
    </row>
    <row r="182">
      <c r="C182" s="119" t="s">
        <v>1355</v>
      </c>
      <c r="D182" s="119" t="s">
        <v>849</v>
      </c>
    </row>
    <row r="183">
      <c r="C183" s="119" t="s">
        <v>851</v>
      </c>
    </row>
    <row r="184">
      <c r="C184" s="119" t="s">
        <v>1356</v>
      </c>
      <c r="D184" s="119" t="s">
        <v>850</v>
      </c>
      <c r="E184" s="119" t="s">
        <v>672</v>
      </c>
    </row>
    <row r="185">
      <c r="C185" s="119" t="s">
        <v>1357</v>
      </c>
      <c r="D185" s="119" t="s">
        <v>852</v>
      </c>
    </row>
    <row r="186">
      <c r="C186" s="119" t="s">
        <v>1358</v>
      </c>
      <c r="D186" s="119" t="s">
        <v>853</v>
      </c>
    </row>
    <row r="187">
      <c r="C187" s="119" t="s">
        <v>1359</v>
      </c>
      <c r="D187" s="119" t="s">
        <v>854</v>
      </c>
      <c r="E187" s="119" t="s">
        <v>672</v>
      </c>
    </row>
    <row r="188">
      <c r="C188" s="119" t="s">
        <v>1360</v>
      </c>
      <c r="D188" s="119" t="s">
        <v>855</v>
      </c>
    </row>
    <row r="189">
      <c r="B189" s="119" t="s">
        <v>857</v>
      </c>
      <c r="C189" s="119" t="s">
        <v>858</v>
      </c>
    </row>
    <row r="190">
      <c r="C190" s="119" t="s">
        <v>1361</v>
      </c>
      <c r="D190" s="119" t="s">
        <v>856</v>
      </c>
    </row>
    <row r="191">
      <c r="B191" s="119" t="s">
        <v>860</v>
      </c>
      <c r="C191" s="119" t="s">
        <v>861</v>
      </c>
    </row>
    <row r="192">
      <c r="C192" s="119" t="s">
        <v>1362</v>
      </c>
      <c r="D192" s="119" t="s">
        <v>859</v>
      </c>
      <c r="E192" s="119" t="s">
        <v>672</v>
      </c>
    </row>
    <row r="193">
      <c r="C193" s="119" t="s">
        <v>863</v>
      </c>
    </row>
    <row r="194">
      <c r="C194" s="119" t="s">
        <v>1363</v>
      </c>
      <c r="D194" s="119" t="s">
        <v>862</v>
      </c>
    </row>
    <row r="195">
      <c r="B195" s="119" t="s">
        <v>865</v>
      </c>
      <c r="C195" s="119" t="s">
        <v>866</v>
      </c>
    </row>
    <row r="196">
      <c r="C196" s="119" t="s">
        <v>1364</v>
      </c>
      <c r="D196" s="119" t="s">
        <v>864</v>
      </c>
      <c r="E196" s="119" t="s">
        <v>672</v>
      </c>
    </row>
    <row r="197">
      <c r="C197" s="119" t="s">
        <v>1365</v>
      </c>
      <c r="D197" s="119" t="s">
        <v>1205</v>
      </c>
      <c r="E197" s="119" t="s">
        <v>672</v>
      </c>
    </row>
    <row r="198">
      <c r="C198" s="119" t="s">
        <v>1366</v>
      </c>
      <c r="D198" s="119" t="s">
        <v>867</v>
      </c>
      <c r="E198" s="119" t="s">
        <v>687</v>
      </c>
    </row>
    <row r="200">
      <c r="A200" s="119" t="s">
        <v>669</v>
      </c>
      <c r="B200" s="119" t="s">
        <v>670</v>
      </c>
      <c r="C200" s="119" t="s">
        <v>668</v>
      </c>
      <c r="D200" s="119" t="s">
        <v>1223</v>
      </c>
    </row>
    <row r="201">
      <c r="D201" s="119" t="s">
        <v>667</v>
      </c>
      <c r="E201" s="119" t="s">
        <v>668</v>
      </c>
    </row>
    <row r="202">
      <c r="A202" s="119" t="s">
        <v>869</v>
      </c>
      <c r="B202" s="119" t="s">
        <v>870</v>
      </c>
      <c r="C202" s="119" t="s">
        <v>871</v>
      </c>
    </row>
    <row r="203">
      <c r="C203" s="119" t="s">
        <v>1367</v>
      </c>
      <c r="D203" s="119" t="s">
        <v>868</v>
      </c>
    </row>
    <row r="204">
      <c r="C204" s="119" t="s">
        <v>1368</v>
      </c>
      <c r="D204" s="119" t="s">
        <v>872</v>
      </c>
      <c r="E204" s="119" t="s">
        <v>672</v>
      </c>
    </row>
    <row r="205">
      <c r="C205" s="119" t="s">
        <v>1369</v>
      </c>
      <c r="D205" s="119" t="s">
        <v>1215</v>
      </c>
      <c r="E205" s="119" t="s">
        <v>672</v>
      </c>
    </row>
    <row r="206">
      <c r="C206" s="119" t="s">
        <v>1370</v>
      </c>
      <c r="D206" s="119" t="s">
        <v>873</v>
      </c>
      <c r="E206" s="119" t="s">
        <v>672</v>
      </c>
    </row>
    <row r="207">
      <c r="C207" s="119" t="s">
        <v>1371</v>
      </c>
      <c r="D207" s="119" t="s">
        <v>874</v>
      </c>
      <c r="E207" s="119" t="s">
        <v>672</v>
      </c>
    </row>
    <row r="208">
      <c r="C208" s="119" t="s">
        <v>875</v>
      </c>
      <c r="D208" s="119" t="s">
        <v>875</v>
      </c>
      <c r="E208" s="119" t="s">
        <v>672</v>
      </c>
    </row>
    <row r="209">
      <c r="C209" s="119" t="s">
        <v>1372</v>
      </c>
      <c r="D209" s="119" t="s">
        <v>876</v>
      </c>
      <c r="E209" s="119" t="s">
        <v>672</v>
      </c>
    </row>
    <row r="210">
      <c r="C210" s="119" t="s">
        <v>1373</v>
      </c>
      <c r="D210" s="119" t="s">
        <v>877</v>
      </c>
      <c r="E210" s="119" t="s">
        <v>672</v>
      </c>
    </row>
    <row r="211">
      <c r="C211" s="119" t="s">
        <v>1374</v>
      </c>
      <c r="D211" s="119" t="s">
        <v>878</v>
      </c>
      <c r="E211" s="119" t="s">
        <v>672</v>
      </c>
    </row>
    <row r="212">
      <c r="C212" s="119" t="s">
        <v>1375</v>
      </c>
      <c r="D212" s="119" t="s">
        <v>879</v>
      </c>
      <c r="E212" s="119" t="s">
        <v>717</v>
      </c>
    </row>
    <row r="213">
      <c r="C213" s="119" t="s">
        <v>1376</v>
      </c>
      <c r="D213" s="119" t="s">
        <v>880</v>
      </c>
      <c r="E213" s="119" t="s">
        <v>672</v>
      </c>
    </row>
    <row r="214">
      <c r="C214" s="119" t="s">
        <v>1377</v>
      </c>
      <c r="D214" s="119" t="s">
        <v>881</v>
      </c>
    </row>
    <row r="215">
      <c r="C215" s="119" t="s">
        <v>1378</v>
      </c>
      <c r="D215" s="119" t="s">
        <v>1213</v>
      </c>
      <c r="E215" s="119" t="s">
        <v>672</v>
      </c>
    </row>
    <row r="216">
      <c r="C216" s="119" t="s">
        <v>1379</v>
      </c>
      <c r="D216" s="119" t="s">
        <v>1219</v>
      </c>
      <c r="E216" s="119" t="s">
        <v>672</v>
      </c>
    </row>
    <row r="217">
      <c r="C217" s="119" t="s">
        <v>1380</v>
      </c>
      <c r="D217" s="119" t="s">
        <v>882</v>
      </c>
      <c r="E217" s="119" t="s">
        <v>672</v>
      </c>
    </row>
    <row r="218">
      <c r="C218" s="119" t="s">
        <v>1381</v>
      </c>
      <c r="D218" s="119" t="s">
        <v>883</v>
      </c>
      <c r="E218" s="119" t="s">
        <v>672</v>
      </c>
    </row>
    <row r="219">
      <c r="C219" s="119" t="s">
        <v>1382</v>
      </c>
      <c r="D219" s="119" t="s">
        <v>884</v>
      </c>
      <c r="E219" s="119" t="s">
        <v>672</v>
      </c>
    </row>
    <row r="220">
      <c r="C220" s="119" t="s">
        <v>1383</v>
      </c>
      <c r="D220" s="119" t="s">
        <v>885</v>
      </c>
      <c r="E220" s="119" t="s">
        <v>672</v>
      </c>
    </row>
    <row r="221">
      <c r="C221" s="119" t="s">
        <v>1384</v>
      </c>
      <c r="D221" s="119" t="s">
        <v>1217</v>
      </c>
      <c r="E221" s="119" t="s">
        <v>672</v>
      </c>
    </row>
    <row r="222">
      <c r="C222" s="119" t="s">
        <v>1385</v>
      </c>
      <c r="D222" s="119" t="s">
        <v>886</v>
      </c>
      <c r="E222" s="119" t="s">
        <v>672</v>
      </c>
    </row>
    <row r="223">
      <c r="C223" s="119" t="s">
        <v>1386</v>
      </c>
      <c r="D223" s="119" t="s">
        <v>887</v>
      </c>
      <c r="E223" s="119" t="s">
        <v>672</v>
      </c>
    </row>
    <row r="224">
      <c r="C224" s="119" t="s">
        <v>1387</v>
      </c>
      <c r="D224" s="119" t="s">
        <v>888</v>
      </c>
      <c r="E224" s="119" t="s">
        <v>672</v>
      </c>
    </row>
    <row r="225">
      <c r="C225" s="119" t="s">
        <v>1388</v>
      </c>
      <c r="D225" s="119" t="s">
        <v>889</v>
      </c>
      <c r="E225" s="119" t="s">
        <v>672</v>
      </c>
    </row>
    <row r="226">
      <c r="C226" s="119" t="s">
        <v>1389</v>
      </c>
      <c r="D226" s="119" t="s">
        <v>890</v>
      </c>
      <c r="E226" s="119" t="s">
        <v>672</v>
      </c>
    </row>
    <row r="227">
      <c r="C227" s="119" t="s">
        <v>1390</v>
      </c>
      <c r="D227" s="119" t="s">
        <v>891</v>
      </c>
      <c r="E227" s="119" t="s">
        <v>672</v>
      </c>
    </row>
    <row r="228">
      <c r="B228" s="119" t="s">
        <v>893</v>
      </c>
      <c r="C228" s="119" t="s">
        <v>894</v>
      </c>
    </row>
    <row r="229">
      <c r="C229" s="119" t="s">
        <v>1391</v>
      </c>
      <c r="D229" s="119" t="s">
        <v>892</v>
      </c>
      <c r="E229" s="119" t="s">
        <v>687</v>
      </c>
    </row>
    <row r="230">
      <c r="C230" s="119" t="s">
        <v>1392</v>
      </c>
      <c r="D230" s="119" t="s">
        <v>895</v>
      </c>
    </row>
    <row r="231">
      <c r="C231" s="119" t="s">
        <v>1393</v>
      </c>
      <c r="D231" s="119" t="s">
        <v>896</v>
      </c>
    </row>
    <row r="232">
      <c r="C232" s="119" t="s">
        <v>1394</v>
      </c>
      <c r="D232" s="119" t="s">
        <v>897</v>
      </c>
    </row>
    <row r="233">
      <c r="C233" s="119" t="s">
        <v>1395</v>
      </c>
      <c r="D233" s="119" t="s">
        <v>898</v>
      </c>
    </row>
    <row r="234">
      <c r="C234" s="119" t="s">
        <v>1396</v>
      </c>
      <c r="D234" s="119" t="s">
        <v>899</v>
      </c>
    </row>
    <row r="235">
      <c r="C235" s="119" t="s">
        <v>1397</v>
      </c>
      <c r="D235" s="119" t="s">
        <v>900</v>
      </c>
    </row>
    <row r="236">
      <c r="C236" s="119" t="s">
        <v>1398</v>
      </c>
      <c r="D236" s="119" t="s">
        <v>901</v>
      </c>
    </row>
    <row r="237">
      <c r="C237" s="119" t="s">
        <v>1399</v>
      </c>
      <c r="D237" s="119" t="s">
        <v>902</v>
      </c>
      <c r="E237" s="119" t="s">
        <v>672</v>
      </c>
    </row>
    <row r="238">
      <c r="C238" s="119" t="s">
        <v>903</v>
      </c>
      <c r="D238" s="119" t="s">
        <v>903</v>
      </c>
    </row>
    <row r="239">
      <c r="C239" s="119" t="s">
        <v>1400</v>
      </c>
      <c r="D239" s="119" t="s">
        <v>904</v>
      </c>
    </row>
    <row r="240">
      <c r="C240" s="119" t="s">
        <v>906</v>
      </c>
    </row>
    <row r="241">
      <c r="C241" s="119" t="s">
        <v>1401</v>
      </c>
      <c r="D241" s="119" t="s">
        <v>905</v>
      </c>
      <c r="E241" s="119" t="s">
        <v>672</v>
      </c>
    </row>
    <row r="242">
      <c r="C242" s="119" t="s">
        <v>1402</v>
      </c>
      <c r="D242" s="119" t="s">
        <v>1403</v>
      </c>
      <c r="E242" s="119" t="s">
        <v>679</v>
      </c>
    </row>
    <row r="243">
      <c r="C243" s="119" t="s">
        <v>908</v>
      </c>
    </row>
    <row r="244">
      <c r="C244" s="119" t="s">
        <v>1404</v>
      </c>
      <c r="D244" s="119" t="s">
        <v>907</v>
      </c>
      <c r="E244" s="119" t="s">
        <v>687</v>
      </c>
    </row>
    <row r="245">
      <c r="C245" s="119" t="s">
        <v>1405</v>
      </c>
      <c r="D245" s="119" t="s">
        <v>909</v>
      </c>
    </row>
    <row r="246">
      <c r="C246" s="119" t="s">
        <v>1406</v>
      </c>
      <c r="D246" s="119" t="s">
        <v>910</v>
      </c>
      <c r="E246" s="119" t="s">
        <v>672</v>
      </c>
    </row>
    <row r="247">
      <c r="C247" s="119" t="s">
        <v>1407</v>
      </c>
      <c r="D247" s="119" t="s">
        <v>911</v>
      </c>
      <c r="E247" s="119" t="s">
        <v>672</v>
      </c>
    </row>
    <row r="248">
      <c r="C248" s="119" t="s">
        <v>913</v>
      </c>
    </row>
    <row r="249">
      <c r="C249" s="119" t="s">
        <v>1408</v>
      </c>
      <c r="D249" s="119" t="s">
        <v>912</v>
      </c>
    </row>
    <row r="250">
      <c r="C250" s="119" t="s">
        <v>1409</v>
      </c>
      <c r="D250" s="119" t="s">
        <v>914</v>
      </c>
      <c r="E250" s="119" t="s">
        <v>672</v>
      </c>
    </row>
    <row r="251">
      <c r="C251" s="119" t="s">
        <v>1410</v>
      </c>
      <c r="D251" s="119" t="s">
        <v>915</v>
      </c>
      <c r="E251" s="119" t="s">
        <v>672</v>
      </c>
    </row>
    <row r="253">
      <c r="A253" s="119" t="s">
        <v>669</v>
      </c>
      <c r="B253" s="119" t="s">
        <v>670</v>
      </c>
      <c r="C253" s="119" t="s">
        <v>668</v>
      </c>
      <c r="D253" s="119" t="s">
        <v>1223</v>
      </c>
    </row>
    <row r="254">
      <c r="D254" s="119" t="s">
        <v>667</v>
      </c>
      <c r="E254" s="119" t="s">
        <v>668</v>
      </c>
    </row>
    <row r="255">
      <c r="A255" s="119" t="s">
        <v>869</v>
      </c>
      <c r="B255" s="119" t="s">
        <v>917</v>
      </c>
      <c r="C255" s="119" t="s">
        <v>918</v>
      </c>
    </row>
    <row r="256">
      <c r="C256" s="119" t="s">
        <v>1411</v>
      </c>
      <c r="D256" s="119" t="s">
        <v>916</v>
      </c>
    </row>
    <row r="257">
      <c r="C257" s="119" t="s">
        <v>920</v>
      </c>
    </row>
    <row r="258">
      <c r="C258" s="119" t="s">
        <v>1412</v>
      </c>
      <c r="D258" s="119" t="s">
        <v>919</v>
      </c>
      <c r="E258" s="119" t="s">
        <v>672</v>
      </c>
    </row>
    <row r="259">
      <c r="C259" s="119" t="s">
        <v>922</v>
      </c>
    </row>
    <row r="260">
      <c r="C260" s="119" t="s">
        <v>1413</v>
      </c>
      <c r="D260" s="119" t="s">
        <v>921</v>
      </c>
    </row>
    <row r="261">
      <c r="B261" s="119" t="s">
        <v>925</v>
      </c>
      <c r="C261" s="119" t="s">
        <v>925</v>
      </c>
    </row>
    <row r="262">
      <c r="C262" s="119" t="s">
        <v>1414</v>
      </c>
      <c r="D262" s="119" t="s">
        <v>924</v>
      </c>
      <c r="E262" s="119" t="s">
        <v>672</v>
      </c>
    </row>
    <row r="263">
      <c r="C263" s="119" t="s">
        <v>1415</v>
      </c>
      <c r="D263" s="119" t="s">
        <v>926</v>
      </c>
      <c r="E263" s="119" t="s">
        <v>672</v>
      </c>
    </row>
    <row r="264">
      <c r="C264" s="119" t="s">
        <v>1416</v>
      </c>
      <c r="D264" s="119" t="s">
        <v>927</v>
      </c>
    </row>
    <row r="265">
      <c r="B265" s="119" t="s">
        <v>929</v>
      </c>
      <c r="C265" s="119" t="s">
        <v>930</v>
      </c>
    </row>
    <row r="266">
      <c r="C266" s="119" t="s">
        <v>1417</v>
      </c>
      <c r="D266" s="119" t="s">
        <v>928</v>
      </c>
    </row>
    <row r="267">
      <c r="C267" s="119" t="s">
        <v>932</v>
      </c>
    </row>
    <row r="268">
      <c r="C268" s="119" t="s">
        <v>1418</v>
      </c>
      <c r="D268" s="119" t="s">
        <v>931</v>
      </c>
      <c r="E268" s="119" t="s">
        <v>672</v>
      </c>
    </row>
    <row r="269">
      <c r="C269" s="119" t="s">
        <v>1419</v>
      </c>
      <c r="D269" s="119" t="s">
        <v>933</v>
      </c>
      <c r="E269" s="119" t="s">
        <v>672</v>
      </c>
    </row>
    <row r="270">
      <c r="B270" s="119" t="s">
        <v>935</v>
      </c>
      <c r="C270" s="119" t="s">
        <v>936</v>
      </c>
    </row>
    <row r="271">
      <c r="C271" s="119" t="s">
        <v>1420</v>
      </c>
      <c r="D271" s="119" t="s">
        <v>934</v>
      </c>
    </row>
    <row r="272">
      <c r="C272" s="119" t="s">
        <v>938</v>
      </c>
    </row>
    <row r="273">
      <c r="C273" s="119" t="s">
        <v>1421</v>
      </c>
      <c r="D273" s="119" t="s">
        <v>937</v>
      </c>
    </row>
    <row r="274">
      <c r="C274" s="119" t="s">
        <v>940</v>
      </c>
    </row>
    <row r="275">
      <c r="C275" s="119" t="s">
        <v>1422</v>
      </c>
      <c r="D275" s="119" t="s">
        <v>939</v>
      </c>
    </row>
    <row r="276">
      <c r="C276" s="119" t="s">
        <v>1423</v>
      </c>
      <c r="D276" s="119" t="s">
        <v>941</v>
      </c>
      <c r="E276" s="119" t="s">
        <v>672</v>
      </c>
    </row>
    <row r="277">
      <c r="C277" s="119" t="s">
        <v>943</v>
      </c>
    </row>
    <row r="278">
      <c r="C278" s="119" t="s">
        <v>1424</v>
      </c>
      <c r="D278" s="119" t="s">
        <v>942</v>
      </c>
      <c r="E278" s="119" t="s">
        <v>672</v>
      </c>
    </row>
    <row r="279">
      <c r="C279" s="119" t="s">
        <v>945</v>
      </c>
    </row>
    <row r="280">
      <c r="C280" s="119" t="s">
        <v>1425</v>
      </c>
      <c r="D280" s="119" t="s">
        <v>944</v>
      </c>
      <c r="E280" s="119" t="s">
        <v>773</v>
      </c>
    </row>
    <row r="281">
      <c r="B281" s="119" t="s">
        <v>947</v>
      </c>
      <c r="C281" s="119" t="s">
        <v>948</v>
      </c>
    </row>
    <row r="282">
      <c r="C282" s="119" t="s">
        <v>1426</v>
      </c>
      <c r="D282" s="119" t="s">
        <v>946</v>
      </c>
      <c r="E282" s="119" t="s">
        <v>672</v>
      </c>
    </row>
    <row r="283">
      <c r="C283" s="119" t="s">
        <v>1427</v>
      </c>
      <c r="D283" s="119" t="s">
        <v>949</v>
      </c>
      <c r="E283" s="119" t="s">
        <v>717</v>
      </c>
    </row>
    <row r="284">
      <c r="C284" s="119" t="s">
        <v>1428</v>
      </c>
      <c r="D284" s="119" t="s">
        <v>950</v>
      </c>
      <c r="E284" s="119" t="s">
        <v>672</v>
      </c>
    </row>
    <row r="285">
      <c r="C285" s="119" t="s">
        <v>1429</v>
      </c>
      <c r="D285" s="119" t="s">
        <v>951</v>
      </c>
      <c r="E285" s="119" t="s">
        <v>672</v>
      </c>
    </row>
    <row r="286">
      <c r="C286" s="119" t="s">
        <v>1430</v>
      </c>
      <c r="D286" s="119" t="s">
        <v>952</v>
      </c>
      <c r="E286" s="119" t="s">
        <v>672</v>
      </c>
    </row>
    <row r="287">
      <c r="C287" s="119" t="s">
        <v>954</v>
      </c>
    </row>
    <row r="288">
      <c r="C288" s="119" t="s">
        <v>1431</v>
      </c>
      <c r="D288" s="119" t="s">
        <v>953</v>
      </c>
      <c r="E288" s="119" t="s">
        <v>672</v>
      </c>
    </row>
    <row r="289">
      <c r="C289" s="119" t="s">
        <v>1432</v>
      </c>
      <c r="D289" s="119" t="s">
        <v>955</v>
      </c>
      <c r="E289" s="119" t="s">
        <v>672</v>
      </c>
    </row>
    <row r="290">
      <c r="C290" s="119" t="s">
        <v>1433</v>
      </c>
      <c r="D290" s="119" t="s">
        <v>956</v>
      </c>
      <c r="E290" s="119" t="s">
        <v>773</v>
      </c>
    </row>
    <row r="291">
      <c r="C291" s="119" t="s">
        <v>1434</v>
      </c>
      <c r="D291" s="119" t="s">
        <v>957</v>
      </c>
      <c r="E291" s="119" t="s">
        <v>672</v>
      </c>
    </row>
    <row r="292">
      <c r="C292" s="119" t="s">
        <v>1435</v>
      </c>
      <c r="D292" s="119" t="s">
        <v>958</v>
      </c>
    </row>
    <row r="293">
      <c r="C293" s="119" t="s">
        <v>960</v>
      </c>
    </row>
    <row r="294">
      <c r="C294" s="119" t="s">
        <v>1436</v>
      </c>
      <c r="D294" s="119" t="s">
        <v>959</v>
      </c>
      <c r="E294" s="119" t="s">
        <v>672</v>
      </c>
    </row>
    <row r="295">
      <c r="B295" s="119" t="s">
        <v>827</v>
      </c>
      <c r="C295" s="119" t="s">
        <v>893</v>
      </c>
    </row>
    <row r="296">
      <c r="C296" s="119" t="s">
        <v>1437</v>
      </c>
      <c r="D296" s="119" t="s">
        <v>961</v>
      </c>
      <c r="E296" s="119" t="s">
        <v>672</v>
      </c>
    </row>
    <row r="297">
      <c r="C297" s="119" t="s">
        <v>1438</v>
      </c>
      <c r="D297" s="119" t="s">
        <v>962</v>
      </c>
      <c r="E297" s="119" t="s">
        <v>672</v>
      </c>
    </row>
    <row r="298">
      <c r="C298" s="119" t="s">
        <v>1439</v>
      </c>
      <c r="D298" s="119" t="s">
        <v>963</v>
      </c>
    </row>
    <row r="299">
      <c r="C299" s="119" t="s">
        <v>1440</v>
      </c>
      <c r="D299" s="119" t="s">
        <v>553</v>
      </c>
      <c r="E299" s="119" t="s">
        <v>672</v>
      </c>
    </row>
    <row r="300">
      <c r="C300" s="119" t="s">
        <v>1441</v>
      </c>
      <c r="D300" s="119" t="s">
        <v>964</v>
      </c>
    </row>
    <row r="301">
      <c r="C301" s="119" t="s">
        <v>1442</v>
      </c>
      <c r="D301" s="119" t="s">
        <v>965</v>
      </c>
      <c r="E301" s="119" t="s">
        <v>672</v>
      </c>
    </row>
    <row r="302">
      <c r="C302" s="119" t="s">
        <v>1443</v>
      </c>
      <c r="D302" s="119" t="s">
        <v>966</v>
      </c>
      <c r="E302" s="119" t="s">
        <v>672</v>
      </c>
    </row>
    <row r="303">
      <c r="C303" s="119" t="s">
        <v>1444</v>
      </c>
      <c r="D303" s="119" t="s">
        <v>967</v>
      </c>
      <c r="E303" s="119" t="s">
        <v>672</v>
      </c>
    </row>
    <row r="304">
      <c r="C304" s="119" t="s">
        <v>918</v>
      </c>
    </row>
    <row r="305">
      <c r="C305" s="119" t="s">
        <v>1445</v>
      </c>
      <c r="D305" s="119" t="s">
        <v>968</v>
      </c>
      <c r="E305" s="119" t="s">
        <v>672</v>
      </c>
    </row>
    <row r="306">
      <c r="C306" s="119" t="s">
        <v>1446</v>
      </c>
      <c r="D306" s="119" t="s">
        <v>969</v>
      </c>
      <c r="E306" s="119" t="s">
        <v>672</v>
      </c>
    </row>
    <row r="307">
      <c r="C307" s="119" t="s">
        <v>971</v>
      </c>
    </row>
    <row r="308">
      <c r="C308" s="119" t="s">
        <v>1447</v>
      </c>
      <c r="D308" s="119" t="s">
        <v>970</v>
      </c>
      <c r="E308" s="119" t="s">
        <v>672</v>
      </c>
    </row>
    <row r="309">
      <c r="C309" s="119" t="s">
        <v>1448</v>
      </c>
      <c r="D309" s="119" t="s">
        <v>972</v>
      </c>
      <c r="E309" s="119" t="s">
        <v>672</v>
      </c>
    </row>
    <row r="310">
      <c r="C310" s="119" t="s">
        <v>1449</v>
      </c>
      <c r="D310" s="119" t="s">
        <v>973</v>
      </c>
      <c r="E310" s="119" t="s">
        <v>687</v>
      </c>
    </row>
    <row r="311">
      <c r="C311" s="119" t="s">
        <v>1206</v>
      </c>
      <c r="D311" s="119" t="s">
        <v>1206</v>
      </c>
      <c r="E311" s="119" t="s">
        <v>672</v>
      </c>
    </row>
    <row r="312">
      <c r="C312" s="119" t="s">
        <v>1450</v>
      </c>
      <c r="D312" s="119" t="s">
        <v>1208</v>
      </c>
      <c r="E312" s="119" t="s">
        <v>672</v>
      </c>
    </row>
    <row r="313">
      <c r="C313" s="119" t="s">
        <v>1451</v>
      </c>
      <c r="D313" s="119" t="s">
        <v>974</v>
      </c>
      <c r="E313" s="119" t="s">
        <v>679</v>
      </c>
    </row>
    <row r="315">
      <c r="A315" s="119" t="s">
        <v>669</v>
      </c>
      <c r="B315" s="119" t="s">
        <v>670</v>
      </c>
      <c r="C315" s="119" t="s">
        <v>668</v>
      </c>
      <c r="D315" s="119" t="s">
        <v>1223</v>
      </c>
    </row>
    <row r="316">
      <c r="D316" s="119" t="s">
        <v>667</v>
      </c>
      <c r="E316" s="119" t="s">
        <v>668</v>
      </c>
    </row>
    <row r="317">
      <c r="A317" s="119" t="s">
        <v>976</v>
      </c>
      <c r="B317" s="119" t="s">
        <v>977</v>
      </c>
      <c r="C317" s="119" t="s">
        <v>977</v>
      </c>
    </row>
    <row r="318">
      <c r="C318" s="119" t="s">
        <v>1452</v>
      </c>
      <c r="D318" s="119" t="s">
        <v>975</v>
      </c>
      <c r="E318" s="119" t="s">
        <v>717</v>
      </c>
    </row>
    <row r="319">
      <c r="C319" s="119" t="s">
        <v>1453</v>
      </c>
      <c r="D319" s="119" t="s">
        <v>978</v>
      </c>
      <c r="E319" s="119" t="s">
        <v>818</v>
      </c>
    </row>
    <row r="320">
      <c r="C320" s="119" t="s">
        <v>1454</v>
      </c>
      <c r="D320" s="119" t="s">
        <v>979</v>
      </c>
      <c r="E320" s="119" t="s">
        <v>717</v>
      </c>
    </row>
    <row r="321">
      <c r="C321" s="119" t="s">
        <v>1455</v>
      </c>
      <c r="D321" s="119" t="s">
        <v>980</v>
      </c>
      <c r="E321" s="119" t="s">
        <v>672</v>
      </c>
    </row>
    <row r="322">
      <c r="B322" s="119" t="s">
        <v>1456</v>
      </c>
      <c r="C322" s="119" t="s">
        <v>1456</v>
      </c>
    </row>
    <row r="323">
      <c r="B323" s="119" t="s">
        <v>982</v>
      </c>
      <c r="C323" s="119" t="s">
        <v>982</v>
      </c>
    </row>
    <row r="324">
      <c r="C324" s="119" t="s">
        <v>1457</v>
      </c>
      <c r="D324" s="119" t="s">
        <v>981</v>
      </c>
    </row>
    <row r="325">
      <c r="C325" s="119" t="s">
        <v>1458</v>
      </c>
      <c r="D325" s="119" t="s">
        <v>983</v>
      </c>
      <c r="E325" s="119" t="s">
        <v>672</v>
      </c>
    </row>
    <row r="326">
      <c r="C326" s="119" t="s">
        <v>984</v>
      </c>
      <c r="D326" s="119" t="s">
        <v>984</v>
      </c>
    </row>
    <row r="327">
      <c r="C327" s="119" t="s">
        <v>1459</v>
      </c>
      <c r="D327" s="119" t="s">
        <v>985</v>
      </c>
      <c r="E327" s="119" t="s">
        <v>672</v>
      </c>
    </row>
    <row r="328">
      <c r="C328" s="119" t="s">
        <v>1460</v>
      </c>
      <c r="D328" s="119" t="s">
        <v>986</v>
      </c>
      <c r="E328" s="119" t="s">
        <v>672</v>
      </c>
    </row>
    <row r="329">
      <c r="C329" s="119" t="s">
        <v>1461</v>
      </c>
      <c r="D329" s="119" t="s">
        <v>987</v>
      </c>
      <c r="E329" s="119" t="s">
        <v>672</v>
      </c>
    </row>
    <row r="330">
      <c r="C330" s="119" t="s">
        <v>1462</v>
      </c>
      <c r="D330" s="119" t="s">
        <v>988</v>
      </c>
      <c r="E330" s="119" t="s">
        <v>672</v>
      </c>
    </row>
    <row r="331">
      <c r="C331" s="119" t="s">
        <v>1463</v>
      </c>
      <c r="D331" s="119" t="s">
        <v>989</v>
      </c>
      <c r="E331" s="119" t="s">
        <v>672</v>
      </c>
    </row>
    <row r="332">
      <c r="C332" s="119" t="s">
        <v>1464</v>
      </c>
      <c r="D332" s="119" t="s">
        <v>990</v>
      </c>
      <c r="E332" s="119" t="s">
        <v>672</v>
      </c>
    </row>
    <row r="333">
      <c r="B333" s="119" t="s">
        <v>992</v>
      </c>
      <c r="C333" s="119" t="s">
        <v>992</v>
      </c>
    </row>
    <row r="334">
      <c r="C334" s="119" t="s">
        <v>1465</v>
      </c>
      <c r="D334" s="119" t="s">
        <v>991</v>
      </c>
    </row>
    <row r="335">
      <c r="C335" s="119" t="s">
        <v>1466</v>
      </c>
      <c r="D335" s="119" t="s">
        <v>993</v>
      </c>
      <c r="E335" s="119" t="s">
        <v>717</v>
      </c>
    </row>
    <row r="336">
      <c r="B336" s="119" t="s">
        <v>865</v>
      </c>
      <c r="C336" s="119" t="s">
        <v>977</v>
      </c>
    </row>
    <row r="337">
      <c r="C337" s="119" t="s">
        <v>1467</v>
      </c>
      <c r="D337" s="119" t="s">
        <v>994</v>
      </c>
    </row>
    <row r="338">
      <c r="C338" s="119" t="s">
        <v>1468</v>
      </c>
      <c r="D338" s="119" t="s">
        <v>1218</v>
      </c>
      <c r="E338" s="119" t="s">
        <v>672</v>
      </c>
    </row>
    <row r="339">
      <c r="C339" s="119" t="s">
        <v>1469</v>
      </c>
      <c r="D339" s="119" t="s">
        <v>995</v>
      </c>
      <c r="E339" s="119" t="s">
        <v>672</v>
      </c>
    </row>
    <row r="340">
      <c r="C340" s="119" t="s">
        <v>1470</v>
      </c>
      <c r="D340" s="119" t="s">
        <v>1216</v>
      </c>
      <c r="E340" s="119" t="s">
        <v>672</v>
      </c>
    </row>
    <row r="341">
      <c r="C341" s="119" t="s">
        <v>1471</v>
      </c>
      <c r="D341" s="119" t="s">
        <v>996</v>
      </c>
      <c r="E341" s="119" t="s">
        <v>672</v>
      </c>
    </row>
    <row r="342">
      <c r="C342" s="119" t="s">
        <v>1472</v>
      </c>
      <c r="D342" s="119" t="s">
        <v>997</v>
      </c>
      <c r="E342" s="119" t="s">
        <v>672</v>
      </c>
    </row>
    <row r="344">
      <c r="A344" s="119" t="s">
        <v>669</v>
      </c>
      <c r="B344" s="119" t="s">
        <v>670</v>
      </c>
      <c r="C344" s="119" t="s">
        <v>668</v>
      </c>
      <c r="D344" s="119" t="s">
        <v>1223</v>
      </c>
    </row>
    <row r="345">
      <c r="D345" s="119" t="s">
        <v>667</v>
      </c>
      <c r="E345" s="119" t="s">
        <v>668</v>
      </c>
    </row>
    <row r="346">
      <c r="A346" s="119" t="s">
        <v>999</v>
      </c>
      <c r="B346" s="119" t="s">
        <v>1000</v>
      </c>
      <c r="C346" s="119" t="s">
        <v>1000</v>
      </c>
    </row>
    <row r="347">
      <c r="C347" s="119" t="s">
        <v>1473</v>
      </c>
      <c r="D347" s="119" t="s">
        <v>998</v>
      </c>
      <c r="E347" s="119" t="s">
        <v>672</v>
      </c>
    </row>
    <row r="348">
      <c r="B348" s="119" t="s">
        <v>1002</v>
      </c>
      <c r="C348" s="119" t="s">
        <v>1002</v>
      </c>
    </row>
    <row r="349">
      <c r="C349" s="119" t="s">
        <v>1474</v>
      </c>
      <c r="D349" s="119" t="s">
        <v>1001</v>
      </c>
      <c r="E349" s="119" t="s">
        <v>717</v>
      </c>
    </row>
    <row r="350">
      <c r="C350" s="119" t="s">
        <v>1475</v>
      </c>
      <c r="D350" s="119" t="s">
        <v>1207</v>
      </c>
      <c r="E350" s="119" t="s">
        <v>672</v>
      </c>
    </row>
    <row r="351">
      <c r="C351" s="119" t="s">
        <v>1003</v>
      </c>
      <c r="D351" s="119" t="s">
        <v>1003</v>
      </c>
      <c r="E351" s="119" t="s">
        <v>672</v>
      </c>
    </row>
    <row r="352">
      <c r="C352" s="119" t="s">
        <v>1476</v>
      </c>
      <c r="D352" s="119" t="s">
        <v>1004</v>
      </c>
      <c r="E352" s="119" t="s">
        <v>672</v>
      </c>
    </row>
    <row r="353">
      <c r="C353" s="119" t="s">
        <v>1477</v>
      </c>
      <c r="D353" s="119" t="s">
        <v>1210</v>
      </c>
      <c r="E353" s="119" t="s">
        <v>672</v>
      </c>
    </row>
    <row r="354">
      <c r="C354" s="119" t="s">
        <v>1478</v>
      </c>
      <c r="D354" s="119" t="s">
        <v>1005</v>
      </c>
      <c r="E354" s="119" t="s">
        <v>717</v>
      </c>
    </row>
    <row r="355">
      <c r="C355" s="119" t="s">
        <v>1479</v>
      </c>
      <c r="D355" s="119" t="s">
        <v>1006</v>
      </c>
      <c r="E355" s="119" t="s">
        <v>672</v>
      </c>
    </row>
    <row r="356">
      <c r="C356" s="119" t="s">
        <v>1480</v>
      </c>
      <c r="D356" s="119" t="s">
        <v>1007</v>
      </c>
      <c r="E356" s="119" t="s">
        <v>672</v>
      </c>
    </row>
    <row r="358">
      <c r="A358" s="119" t="s">
        <v>669</v>
      </c>
      <c r="B358" s="119" t="s">
        <v>670</v>
      </c>
      <c r="C358" s="119" t="s">
        <v>668</v>
      </c>
      <c r="D358" s="119" t="s">
        <v>1223</v>
      </c>
    </row>
    <row r="359">
      <c r="D359" s="119" t="s">
        <v>667</v>
      </c>
      <c r="E359" s="119" t="s">
        <v>668</v>
      </c>
    </row>
    <row r="360">
      <c r="A360" s="119" t="s">
        <v>1009</v>
      </c>
      <c r="B360" s="119" t="s">
        <v>1010</v>
      </c>
      <c r="C360" s="119" t="s">
        <v>1010</v>
      </c>
    </row>
    <row r="361">
      <c r="C361" s="119" t="s">
        <v>1481</v>
      </c>
      <c r="D361" s="119" t="s">
        <v>1008</v>
      </c>
    </row>
    <row r="362">
      <c r="C362" s="119" t="s">
        <v>1482</v>
      </c>
      <c r="D362" s="119" t="s">
        <v>1011</v>
      </c>
      <c r="E362" s="119" t="s">
        <v>687</v>
      </c>
    </row>
    <row r="363">
      <c r="C363" s="119" t="s">
        <v>1483</v>
      </c>
      <c r="D363" s="119" t="s">
        <v>1012</v>
      </c>
    </row>
    <row r="364">
      <c r="C364" s="119" t="s">
        <v>1484</v>
      </c>
      <c r="D364" s="119" t="s">
        <v>1013</v>
      </c>
    </row>
    <row r="365">
      <c r="C365" s="119" t="s">
        <v>1485</v>
      </c>
      <c r="D365" s="119" t="s">
        <v>1014</v>
      </c>
      <c r="E365" s="119" t="s">
        <v>672</v>
      </c>
    </row>
    <row r="366">
      <c r="C366" s="119" t="s">
        <v>1486</v>
      </c>
      <c r="D366" s="119" t="s">
        <v>1487</v>
      </c>
      <c r="E366" s="119" t="s">
        <v>672</v>
      </c>
    </row>
    <row r="367">
      <c r="B367" s="119" t="s">
        <v>1016</v>
      </c>
      <c r="C367" s="119" t="s">
        <v>1017</v>
      </c>
    </row>
    <row r="368">
      <c r="C368" s="119" t="s">
        <v>1488</v>
      </c>
      <c r="D368" s="119" t="s">
        <v>1015</v>
      </c>
      <c r="E368" s="119" t="s">
        <v>717</v>
      </c>
    </row>
    <row r="370">
      <c r="A370" s="119" t="s">
        <v>669</v>
      </c>
      <c r="B370" s="119" t="s">
        <v>670</v>
      </c>
      <c r="C370" s="119" t="s">
        <v>668</v>
      </c>
      <c r="D370" s="119" t="s">
        <v>1223</v>
      </c>
    </row>
    <row r="371">
      <c r="D371" s="119" t="s">
        <v>667</v>
      </c>
      <c r="E371" s="119" t="s">
        <v>668</v>
      </c>
    </row>
    <row r="372">
      <c r="A372" s="119" t="s">
        <v>1019</v>
      </c>
      <c r="B372" s="119" t="s">
        <v>1020</v>
      </c>
      <c r="C372" s="119" t="s">
        <v>1020</v>
      </c>
    </row>
    <row r="373">
      <c r="C373" s="119" t="s">
        <v>1489</v>
      </c>
      <c r="D373" s="119" t="s">
        <v>1018</v>
      </c>
    </row>
    <row r="374">
      <c r="C374" s="119" t="s">
        <v>1490</v>
      </c>
      <c r="D374" s="119" t="s">
        <v>1021</v>
      </c>
      <c r="E374" s="119" t="s">
        <v>679</v>
      </c>
    </row>
    <row r="375">
      <c r="C375" s="119" t="s">
        <v>1491</v>
      </c>
      <c r="D375" s="119" t="s">
        <v>1022</v>
      </c>
    </row>
    <row r="376">
      <c r="C376" s="119" t="s">
        <v>1492</v>
      </c>
      <c r="D376" s="119" t="s">
        <v>1023</v>
      </c>
      <c r="E376" s="119" t="s">
        <v>679</v>
      </c>
    </row>
    <row r="377">
      <c r="C377" s="119" t="s">
        <v>1493</v>
      </c>
      <c r="D377" s="119" t="s">
        <v>1024</v>
      </c>
    </row>
    <row r="378">
      <c r="C378" s="119" t="s">
        <v>1494</v>
      </c>
      <c r="D378" s="119" t="s">
        <v>1025</v>
      </c>
      <c r="E378" s="119" t="s">
        <v>692</v>
      </c>
    </row>
    <row r="379">
      <c r="C379" s="119" t="s">
        <v>1495</v>
      </c>
      <c r="D379" s="119" t="s">
        <v>1026</v>
      </c>
    </row>
    <row r="380">
      <c r="C380" s="119" t="s">
        <v>1496</v>
      </c>
      <c r="D380" s="119" t="s">
        <v>1027</v>
      </c>
      <c r="E380" s="119" t="s">
        <v>687</v>
      </c>
    </row>
    <row r="381">
      <c r="C381" s="119" t="s">
        <v>1497</v>
      </c>
      <c r="D381" s="119" t="s">
        <v>1028</v>
      </c>
      <c r="E381" s="119" t="s">
        <v>687</v>
      </c>
    </row>
    <row r="382">
      <c r="C382" s="119" t="s">
        <v>1498</v>
      </c>
      <c r="D382" s="119" t="s">
        <v>1029</v>
      </c>
      <c r="E382" s="119" t="s">
        <v>679</v>
      </c>
    </row>
    <row r="383">
      <c r="C383" s="119" t="s">
        <v>1499</v>
      </c>
      <c r="D383" s="119" t="s">
        <v>1030</v>
      </c>
    </row>
    <row r="384">
      <c r="C384" s="119" t="s">
        <v>1500</v>
      </c>
      <c r="D384" s="119" t="s">
        <v>1031</v>
      </c>
    </row>
    <row r="385">
      <c r="C385" s="119" t="s">
        <v>1501</v>
      </c>
      <c r="D385" s="119" t="s">
        <v>1032</v>
      </c>
      <c r="E385" s="119" t="s">
        <v>687</v>
      </c>
    </row>
    <row r="386">
      <c r="C386" s="119" t="s">
        <v>1502</v>
      </c>
      <c r="D386" s="119" t="s">
        <v>1033</v>
      </c>
    </row>
    <row r="387">
      <c r="C387" s="119" t="s">
        <v>1503</v>
      </c>
      <c r="D387" s="119" t="s">
        <v>1034</v>
      </c>
    </row>
    <row r="388">
      <c r="C388" s="119" t="s">
        <v>1035</v>
      </c>
      <c r="D388" s="119" t="s">
        <v>1035</v>
      </c>
      <c r="E388" s="119" t="s">
        <v>687</v>
      </c>
    </row>
    <row r="389">
      <c r="C389" s="119" t="s">
        <v>1504</v>
      </c>
      <c r="D389" s="119" t="s">
        <v>1036</v>
      </c>
    </row>
    <row r="390">
      <c r="C390" s="119" t="s">
        <v>1505</v>
      </c>
      <c r="D390" s="119" t="s">
        <v>1037</v>
      </c>
    </row>
    <row r="391">
      <c r="C391" s="119" t="s">
        <v>1506</v>
      </c>
      <c r="D391" s="119" t="s">
        <v>1038</v>
      </c>
      <c r="E391" s="119" t="s">
        <v>687</v>
      </c>
    </row>
    <row r="392">
      <c r="C392" s="119" t="s">
        <v>1507</v>
      </c>
      <c r="D392" s="119" t="s">
        <v>1039</v>
      </c>
    </row>
    <row r="393">
      <c r="C393" s="119" t="s">
        <v>1508</v>
      </c>
      <c r="D393" s="119" t="s">
        <v>1040</v>
      </c>
      <c r="E393" s="119" t="s">
        <v>672</v>
      </c>
    </row>
    <row r="394">
      <c r="C394" s="119" t="s">
        <v>1509</v>
      </c>
      <c r="D394" s="119" t="s">
        <v>1041</v>
      </c>
    </row>
    <row r="395">
      <c r="C395" s="119" t="s">
        <v>1510</v>
      </c>
      <c r="D395" s="119" t="s">
        <v>1042</v>
      </c>
    </row>
    <row r="396">
      <c r="C396" s="119" t="s">
        <v>1511</v>
      </c>
      <c r="D396" s="119" t="s">
        <v>1043</v>
      </c>
    </row>
    <row r="397">
      <c r="C397" s="119" t="s">
        <v>1512</v>
      </c>
      <c r="D397" s="119" t="s">
        <v>1044</v>
      </c>
    </row>
    <row r="398">
      <c r="C398" s="119" t="s">
        <v>1513</v>
      </c>
      <c r="D398" s="119" t="s">
        <v>1045</v>
      </c>
    </row>
    <row r="399">
      <c r="C399" s="119" t="s">
        <v>1514</v>
      </c>
      <c r="D399" s="119" t="s">
        <v>1046</v>
      </c>
      <c r="E399" s="119" t="s">
        <v>687</v>
      </c>
    </row>
    <row r="400">
      <c r="C400" s="119" t="s">
        <v>1515</v>
      </c>
      <c r="D400" s="119" t="s">
        <v>1047</v>
      </c>
    </row>
    <row r="401">
      <c r="C401" s="119" t="s">
        <v>1048</v>
      </c>
      <c r="D401" s="119" t="s">
        <v>1048</v>
      </c>
    </row>
    <row r="402">
      <c r="C402" s="119" t="s">
        <v>1516</v>
      </c>
      <c r="D402" s="119" t="s">
        <v>1049</v>
      </c>
      <c r="E402" s="119" t="s">
        <v>672</v>
      </c>
    </row>
    <row r="403">
      <c r="C403" s="119" t="s">
        <v>1517</v>
      </c>
      <c r="D403" s="119" t="s">
        <v>1050</v>
      </c>
      <c r="E403" s="119" t="s">
        <v>679</v>
      </c>
    </row>
    <row r="404">
      <c r="C404" s="119" t="s">
        <v>1518</v>
      </c>
      <c r="D404" s="119" t="s">
        <v>1051</v>
      </c>
    </row>
    <row r="405">
      <c r="C405" s="119" t="s">
        <v>1519</v>
      </c>
      <c r="D405" s="119" t="s">
        <v>1052</v>
      </c>
    </row>
    <row r="406">
      <c r="C406" s="119" t="s">
        <v>1520</v>
      </c>
      <c r="D406" s="119" t="s">
        <v>1053</v>
      </c>
      <c r="E406" s="119" t="s">
        <v>672</v>
      </c>
    </row>
    <row r="407">
      <c r="C407" s="119" t="s">
        <v>1521</v>
      </c>
      <c r="D407" s="119" t="s">
        <v>1054</v>
      </c>
      <c r="E407" s="119" t="s">
        <v>672</v>
      </c>
    </row>
    <row r="408">
      <c r="C408" s="119" t="s">
        <v>1522</v>
      </c>
      <c r="D408" s="119" t="s">
        <v>1055</v>
      </c>
    </row>
    <row r="409">
      <c r="C409" s="119" t="s">
        <v>1523</v>
      </c>
      <c r="D409" s="119" t="s">
        <v>1056</v>
      </c>
      <c r="E409" s="119" t="s">
        <v>692</v>
      </c>
    </row>
    <row r="410">
      <c r="C410" s="119" t="s">
        <v>1524</v>
      </c>
      <c r="D410" s="119" t="s">
        <v>1057</v>
      </c>
      <c r="E410" s="119" t="s">
        <v>672</v>
      </c>
    </row>
    <row r="411">
      <c r="C411" s="119" t="s">
        <v>1525</v>
      </c>
      <c r="D411" s="119" t="s">
        <v>1058</v>
      </c>
    </row>
    <row r="412">
      <c r="C412" s="119" t="s">
        <v>1526</v>
      </c>
      <c r="D412" s="119" t="s">
        <v>1059</v>
      </c>
    </row>
    <row r="413">
      <c r="C413" s="119" t="s">
        <v>1527</v>
      </c>
      <c r="D413" s="119" t="s">
        <v>1060</v>
      </c>
    </row>
    <row r="414">
      <c r="C414" s="119" t="s">
        <v>1528</v>
      </c>
      <c r="D414" s="119" t="s">
        <v>1061</v>
      </c>
    </row>
    <row r="415">
      <c r="C415" s="119" t="s">
        <v>1529</v>
      </c>
      <c r="D415" s="119" t="s">
        <v>1062</v>
      </c>
    </row>
    <row r="416">
      <c r="C416" s="119" t="s">
        <v>1530</v>
      </c>
      <c r="D416" s="119" t="s">
        <v>1063</v>
      </c>
      <c r="E416" s="119" t="s">
        <v>672</v>
      </c>
    </row>
    <row r="417">
      <c r="C417" s="119" t="s">
        <v>1531</v>
      </c>
      <c r="D417" s="119" t="s">
        <v>1064</v>
      </c>
      <c r="E417" s="119" t="s">
        <v>672</v>
      </c>
    </row>
    <row r="418">
      <c r="C418" s="119" t="s">
        <v>1532</v>
      </c>
      <c r="D418" s="119" t="s">
        <v>1065</v>
      </c>
      <c r="E418" s="119" t="s">
        <v>672</v>
      </c>
    </row>
    <row r="419">
      <c r="C419" s="119" t="s">
        <v>1533</v>
      </c>
      <c r="D419" s="119" t="s">
        <v>1066</v>
      </c>
    </row>
    <row r="420">
      <c r="C420" s="119" t="s">
        <v>1534</v>
      </c>
      <c r="D420" s="119" t="s">
        <v>1067</v>
      </c>
      <c r="E420" s="119" t="s">
        <v>692</v>
      </c>
    </row>
    <row r="421">
      <c r="C421" s="119" t="s">
        <v>1535</v>
      </c>
      <c r="D421" s="119" t="s">
        <v>1068</v>
      </c>
    </row>
    <row r="422">
      <c r="C422" s="119" t="s">
        <v>1536</v>
      </c>
      <c r="D422" s="119" t="s">
        <v>1069</v>
      </c>
      <c r="E422" s="119" t="s">
        <v>679</v>
      </c>
    </row>
    <row r="423">
      <c r="C423" s="119" t="s">
        <v>1537</v>
      </c>
      <c r="D423" s="119" t="s">
        <v>1070</v>
      </c>
    </row>
    <row r="424">
      <c r="C424" s="119" t="s">
        <v>1538</v>
      </c>
      <c r="D424" s="119" t="s">
        <v>1071</v>
      </c>
    </row>
    <row r="425">
      <c r="C425" s="119" t="s">
        <v>1539</v>
      </c>
      <c r="D425" s="119" t="s">
        <v>1072</v>
      </c>
      <c r="E425" s="119" t="s">
        <v>679</v>
      </c>
    </row>
    <row r="426">
      <c r="C426" s="119" t="s">
        <v>1540</v>
      </c>
      <c r="D426" s="119" t="s">
        <v>1073</v>
      </c>
    </row>
    <row r="427">
      <c r="C427" s="119" t="s">
        <v>1541</v>
      </c>
      <c r="D427" s="119" t="s">
        <v>1074</v>
      </c>
    </row>
    <row r="428">
      <c r="C428" s="119" t="s">
        <v>1542</v>
      </c>
      <c r="D428" s="119" t="s">
        <v>1075</v>
      </c>
      <c r="E428" s="119" t="s">
        <v>687</v>
      </c>
    </row>
    <row r="429">
      <c r="C429" s="119" t="s">
        <v>1543</v>
      </c>
      <c r="D429" s="119" t="s">
        <v>1076</v>
      </c>
      <c r="E429" s="119" t="s">
        <v>692</v>
      </c>
    </row>
    <row r="430">
      <c r="B430" s="119" t="s">
        <v>1078</v>
      </c>
      <c r="C430" s="119" t="s">
        <v>1078</v>
      </c>
    </row>
    <row r="431">
      <c r="C431" s="119" t="s">
        <v>1544</v>
      </c>
      <c r="D431" s="119" t="s">
        <v>1077</v>
      </c>
    </row>
    <row r="432">
      <c r="C432" s="119" t="s">
        <v>1545</v>
      </c>
      <c r="D432" s="119" t="s">
        <v>1079</v>
      </c>
      <c r="E432" s="119" t="s">
        <v>672</v>
      </c>
    </row>
    <row r="433">
      <c r="C433" s="119" t="s">
        <v>1546</v>
      </c>
      <c r="D433" s="119" t="s">
        <v>1080</v>
      </c>
      <c r="E433" s="119" t="s">
        <v>717</v>
      </c>
    </row>
    <row r="434">
      <c r="C434" s="119" t="s">
        <v>1547</v>
      </c>
      <c r="D434" s="119" t="s">
        <v>1081</v>
      </c>
      <c r="E434" s="119" t="s">
        <v>672</v>
      </c>
    </row>
    <row r="435">
      <c r="C435" s="119" t="s">
        <v>1548</v>
      </c>
      <c r="D435" s="119" t="s">
        <v>1082</v>
      </c>
      <c r="E435" s="119" t="s">
        <v>679</v>
      </c>
    </row>
    <row r="436">
      <c r="C436" s="119" t="s">
        <v>1549</v>
      </c>
      <c r="D436" s="119" t="s">
        <v>1083</v>
      </c>
    </row>
    <row r="437">
      <c r="B437" s="119" t="s">
        <v>1085</v>
      </c>
      <c r="C437" s="119" t="s">
        <v>1085</v>
      </c>
    </row>
    <row r="438">
      <c r="C438" s="119" t="s">
        <v>1550</v>
      </c>
      <c r="D438" s="119" t="s">
        <v>1084</v>
      </c>
    </row>
    <row r="439">
      <c r="C439" s="119" t="s">
        <v>1551</v>
      </c>
      <c r="D439" s="119" t="s">
        <v>1086</v>
      </c>
    </row>
    <row r="441">
      <c r="A441" s="119" t="s">
        <v>669</v>
      </c>
      <c r="B441" s="119" t="s">
        <v>670</v>
      </c>
      <c r="C441" s="119" t="s">
        <v>668</v>
      </c>
      <c r="D441" s="119" t="s">
        <v>1223</v>
      </c>
    </row>
    <row r="442">
      <c r="D442" s="119" t="s">
        <v>667</v>
      </c>
      <c r="E442" s="119" t="s">
        <v>668</v>
      </c>
    </row>
    <row r="443">
      <c r="A443" s="119" t="s">
        <v>1088</v>
      </c>
      <c r="B443" s="119" t="s">
        <v>1089</v>
      </c>
      <c r="C443" s="119" t="s">
        <v>1090</v>
      </c>
    </row>
    <row r="444">
      <c r="C444" s="119" t="s">
        <v>1552</v>
      </c>
      <c r="D444" s="119" t="s">
        <v>1087</v>
      </c>
      <c r="E444" s="119" t="s">
        <v>679</v>
      </c>
    </row>
    <row r="445">
      <c r="C445" s="119" t="s">
        <v>1553</v>
      </c>
      <c r="D445" s="119" t="s">
        <v>1091</v>
      </c>
    </row>
    <row r="446">
      <c r="C446" s="119" t="s">
        <v>1554</v>
      </c>
      <c r="D446" s="119" t="s">
        <v>1092</v>
      </c>
    </row>
    <row r="447">
      <c r="C447" s="119" t="s">
        <v>1555</v>
      </c>
      <c r="D447" s="119" t="s">
        <v>1093</v>
      </c>
    </row>
    <row r="448">
      <c r="C448" s="119" t="s">
        <v>1556</v>
      </c>
      <c r="D448" s="119" t="s">
        <v>1094</v>
      </c>
      <c r="E448" s="119" t="s">
        <v>687</v>
      </c>
    </row>
    <row r="449">
      <c r="C449" s="119" t="s">
        <v>1557</v>
      </c>
      <c r="D449" s="119" t="s">
        <v>1095</v>
      </c>
      <c r="E449" s="119" t="s">
        <v>679</v>
      </c>
    </row>
    <row r="450">
      <c r="C450" s="119" t="s">
        <v>1558</v>
      </c>
      <c r="D450" s="119" t="s">
        <v>1096</v>
      </c>
      <c r="E450" s="119" t="s">
        <v>687</v>
      </c>
    </row>
    <row r="451">
      <c r="C451" s="119" t="s">
        <v>1559</v>
      </c>
      <c r="D451" s="119" t="s">
        <v>1097</v>
      </c>
    </row>
    <row r="452">
      <c r="C452" s="119" t="s">
        <v>1560</v>
      </c>
      <c r="D452" s="119" t="s">
        <v>1098</v>
      </c>
    </row>
    <row r="453">
      <c r="C453" s="119" t="s">
        <v>1561</v>
      </c>
      <c r="D453" s="119" t="s">
        <v>1099</v>
      </c>
    </row>
    <row r="454">
      <c r="C454" s="119" t="s">
        <v>1562</v>
      </c>
      <c r="D454" s="119" t="s">
        <v>1100</v>
      </c>
      <c r="E454" s="119" t="s">
        <v>687</v>
      </c>
    </row>
    <row r="455">
      <c r="C455" s="119" t="s">
        <v>1563</v>
      </c>
      <c r="D455" s="119" t="s">
        <v>1101</v>
      </c>
      <c r="E455" s="119" t="s">
        <v>687</v>
      </c>
    </row>
    <row r="456">
      <c r="C456" s="119" t="s">
        <v>1564</v>
      </c>
      <c r="D456" s="119" t="s">
        <v>1102</v>
      </c>
      <c r="E456" s="119" t="s">
        <v>672</v>
      </c>
    </row>
    <row r="457">
      <c r="C457" s="119" t="s">
        <v>1565</v>
      </c>
      <c r="D457" s="119" t="s">
        <v>1103</v>
      </c>
    </row>
    <row r="458">
      <c r="C458" s="119" t="s">
        <v>1566</v>
      </c>
      <c r="D458" s="119" t="s">
        <v>1104</v>
      </c>
    </row>
    <row r="459">
      <c r="C459" s="119" t="s">
        <v>1567</v>
      </c>
      <c r="D459" s="119" t="s">
        <v>1105</v>
      </c>
      <c r="E459" s="119" t="s">
        <v>679</v>
      </c>
    </row>
    <row r="460">
      <c r="C460" s="119" t="s">
        <v>1568</v>
      </c>
      <c r="D460" s="119" t="s">
        <v>1106</v>
      </c>
      <c r="E460" s="119" t="s">
        <v>687</v>
      </c>
    </row>
    <row r="461">
      <c r="C461" s="119" t="s">
        <v>1569</v>
      </c>
      <c r="D461" s="119" t="s">
        <v>1107</v>
      </c>
      <c r="E461" s="119" t="s">
        <v>687</v>
      </c>
    </row>
    <row r="462">
      <c r="C462" s="119" t="s">
        <v>1570</v>
      </c>
      <c r="D462" s="119" t="s">
        <v>1108</v>
      </c>
    </row>
    <row r="463">
      <c r="C463" s="119" t="s">
        <v>1571</v>
      </c>
      <c r="D463" s="119" t="s">
        <v>1109</v>
      </c>
    </row>
    <row r="464">
      <c r="C464" s="119" t="s">
        <v>1572</v>
      </c>
      <c r="D464" s="119" t="s">
        <v>1110</v>
      </c>
    </row>
    <row r="465">
      <c r="C465" s="119" t="s">
        <v>1573</v>
      </c>
      <c r="D465" s="119" t="s">
        <v>1111</v>
      </c>
    </row>
    <row r="466">
      <c r="C466" s="119" t="s">
        <v>1112</v>
      </c>
      <c r="D466" s="119" t="s">
        <v>1112</v>
      </c>
      <c r="E466" s="119" t="s">
        <v>679</v>
      </c>
    </row>
    <row r="467">
      <c r="C467" s="119" t="s">
        <v>1574</v>
      </c>
      <c r="D467" s="119" t="s">
        <v>1113</v>
      </c>
    </row>
    <row r="468">
      <c r="C468" s="119" t="s">
        <v>1115</v>
      </c>
    </row>
    <row r="469">
      <c r="C469" s="119" t="s">
        <v>1575</v>
      </c>
      <c r="D469" s="119" t="s">
        <v>1114</v>
      </c>
    </row>
    <row r="470">
      <c r="C470" s="119" t="s">
        <v>1576</v>
      </c>
      <c r="D470" s="119" t="s">
        <v>1116</v>
      </c>
    </row>
    <row r="471">
      <c r="C471" s="119" t="s">
        <v>1577</v>
      </c>
      <c r="D471" s="119" t="s">
        <v>1117</v>
      </c>
    </row>
    <row r="472">
      <c r="C472" s="119" t="s">
        <v>1119</v>
      </c>
    </row>
    <row r="473">
      <c r="C473" s="119" t="s">
        <v>1578</v>
      </c>
      <c r="D473" s="119" t="s">
        <v>1118</v>
      </c>
    </row>
    <row r="474">
      <c r="C474" s="119" t="s">
        <v>1579</v>
      </c>
      <c r="D474" s="119" t="s">
        <v>1121</v>
      </c>
    </row>
    <row r="475">
      <c r="B475" s="119" t="s">
        <v>1123</v>
      </c>
      <c r="C475" s="119" t="s">
        <v>1123</v>
      </c>
    </row>
    <row r="476">
      <c r="C476" s="119" t="s">
        <v>1580</v>
      </c>
      <c r="D476" s="119" t="s">
        <v>1122</v>
      </c>
    </row>
    <row r="477">
      <c r="C477" s="119" t="s">
        <v>1581</v>
      </c>
      <c r="D477" s="119" t="s">
        <v>1124</v>
      </c>
    </row>
    <row r="478">
      <c r="C478" s="119" t="s">
        <v>1582</v>
      </c>
      <c r="D478" s="119" t="s">
        <v>1126</v>
      </c>
    </row>
    <row r="479">
      <c r="C479" s="119" t="s">
        <v>1583</v>
      </c>
      <c r="D479" s="119" t="s">
        <v>1127</v>
      </c>
    </row>
    <row r="480">
      <c r="C480" s="119" t="s">
        <v>1584</v>
      </c>
      <c r="D480" s="119" t="s">
        <v>1128</v>
      </c>
      <c r="E480" s="119" t="s">
        <v>692</v>
      </c>
    </row>
    <row r="481">
      <c r="C481" s="119" t="s">
        <v>1585</v>
      </c>
      <c r="D481" s="119" t="s">
        <v>1129</v>
      </c>
    </row>
    <row r="482">
      <c r="C482" s="119" t="s">
        <v>1586</v>
      </c>
      <c r="D482" s="119" t="s">
        <v>1130</v>
      </c>
      <c r="E482" s="119" t="s">
        <v>692</v>
      </c>
    </row>
    <row r="483">
      <c r="C483" s="119" t="s">
        <v>1587</v>
      </c>
      <c r="D483" s="119" t="s">
        <v>1131</v>
      </c>
    </row>
    <row r="484">
      <c r="C484" s="119" t="s">
        <v>1588</v>
      </c>
      <c r="D484" s="119" t="s">
        <v>1132</v>
      </c>
    </row>
    <row r="485">
      <c r="C485" s="119" t="s">
        <v>1589</v>
      </c>
      <c r="D485" s="119" t="s">
        <v>1133</v>
      </c>
    </row>
    <row r="486">
      <c r="C486" s="119" t="s">
        <v>1590</v>
      </c>
      <c r="D486" s="119" t="s">
        <v>1134</v>
      </c>
      <c r="E486" s="119" t="s">
        <v>692</v>
      </c>
    </row>
    <row r="487">
      <c r="C487" s="119" t="s">
        <v>1591</v>
      </c>
      <c r="D487" s="119" t="s">
        <v>1135</v>
      </c>
    </row>
    <row r="488">
      <c r="C488" s="119" t="s">
        <v>1592</v>
      </c>
      <c r="D488" s="119" t="s">
        <v>1136</v>
      </c>
    </row>
    <row r="489">
      <c r="C489" s="119" t="s">
        <v>1593</v>
      </c>
      <c r="D489" s="119" t="s">
        <v>1137</v>
      </c>
    </row>
    <row r="490">
      <c r="B490" s="119" t="s">
        <v>1139</v>
      </c>
      <c r="C490" s="119" t="s">
        <v>1140</v>
      </c>
    </row>
    <row r="491">
      <c r="C491" s="119" t="s">
        <v>1594</v>
      </c>
      <c r="D491" s="119" t="s">
        <v>1138</v>
      </c>
      <c r="E491" s="119" t="s">
        <v>692</v>
      </c>
    </row>
    <row r="492">
      <c r="C492" s="119" t="s">
        <v>1595</v>
      </c>
      <c r="D492" s="119" t="s">
        <v>1141</v>
      </c>
    </row>
    <row r="493">
      <c r="C493" s="119" t="s">
        <v>1596</v>
      </c>
      <c r="D493" s="119" t="s">
        <v>1142</v>
      </c>
      <c r="E493" s="119" t="s">
        <v>818</v>
      </c>
    </row>
    <row r="494">
      <c r="C494" s="119" t="s">
        <v>1597</v>
      </c>
      <c r="D494" s="119" t="s">
        <v>1221</v>
      </c>
    </row>
    <row r="495">
      <c r="C495" s="119" t="s">
        <v>1144</v>
      </c>
      <c r="D495" s="119" t="s">
        <v>1144</v>
      </c>
      <c r="E495" s="119" t="s">
        <v>818</v>
      </c>
    </row>
    <row r="496">
      <c r="C496" s="119" t="s">
        <v>1139</v>
      </c>
    </row>
    <row r="497">
      <c r="C497" s="119" t="s">
        <v>1598</v>
      </c>
      <c r="D497" s="119" t="s">
        <v>1145</v>
      </c>
      <c r="E497" s="119" t="s">
        <v>672</v>
      </c>
    </row>
    <row r="498">
      <c r="C498" s="119" t="s">
        <v>1599</v>
      </c>
      <c r="D498" s="119" t="s">
        <v>1211</v>
      </c>
      <c r="E498" s="119" t="s">
        <v>672</v>
      </c>
    </row>
    <row r="499">
      <c r="C499" s="119" t="s">
        <v>1600</v>
      </c>
      <c r="D499" s="119" t="s">
        <v>1146</v>
      </c>
      <c r="E499" s="119" t="s">
        <v>672</v>
      </c>
    </row>
    <row r="500">
      <c r="B500" s="119" t="s">
        <v>1148</v>
      </c>
      <c r="C500" s="119" t="s">
        <v>1149</v>
      </c>
    </row>
    <row r="501">
      <c r="C501" s="119" t="s">
        <v>1601</v>
      </c>
      <c r="D501" s="119" t="s">
        <v>1147</v>
      </c>
    </row>
    <row r="502">
      <c r="C502" s="119" t="s">
        <v>1602</v>
      </c>
      <c r="D502" s="119" t="s">
        <v>1150</v>
      </c>
      <c r="E502" s="119" t="s">
        <v>672</v>
      </c>
    </row>
    <row r="503">
      <c r="C503" s="119" t="s">
        <v>1603</v>
      </c>
      <c r="D503" s="119" t="s">
        <v>1151</v>
      </c>
      <c r="E503" s="119" t="s">
        <v>672</v>
      </c>
    </row>
    <row r="504">
      <c r="C504" s="119" t="s">
        <v>1604</v>
      </c>
      <c r="D504" s="119" t="s">
        <v>1152</v>
      </c>
      <c r="E504" s="119" t="s">
        <v>672</v>
      </c>
    </row>
    <row r="505">
      <c r="C505" s="119" t="s">
        <v>1605</v>
      </c>
      <c r="D505" s="119" t="s">
        <v>1153</v>
      </c>
    </row>
    <row r="506">
      <c r="C506" s="119" t="s">
        <v>1606</v>
      </c>
      <c r="D506" s="119" t="s">
        <v>1154</v>
      </c>
      <c r="E506" s="119" t="s">
        <v>679</v>
      </c>
    </row>
    <row r="507">
      <c r="C507" s="119" t="s">
        <v>1156</v>
      </c>
    </row>
    <row r="508">
      <c r="C508" s="119" t="s">
        <v>1607</v>
      </c>
      <c r="D508" s="119" t="s">
        <v>1155</v>
      </c>
      <c r="E508" s="119" t="s">
        <v>672</v>
      </c>
    </row>
    <row r="509">
      <c r="C509" s="119" t="s">
        <v>1608</v>
      </c>
      <c r="D509" s="119" t="s">
        <v>1157</v>
      </c>
      <c r="E509" s="119" t="s">
        <v>672</v>
      </c>
    </row>
    <row r="511">
      <c r="A511" s="119" t="s">
        <v>669</v>
      </c>
      <c r="B511" s="119" t="s">
        <v>670</v>
      </c>
      <c r="C511" s="119" t="s">
        <v>668</v>
      </c>
      <c r="D511" s="119" t="s">
        <v>1223</v>
      </c>
    </row>
    <row r="512">
      <c r="D512" s="119" t="s">
        <v>667</v>
      </c>
      <c r="E512" s="119" t="s">
        <v>668</v>
      </c>
    </row>
    <row r="513">
      <c r="A513" s="119" t="s">
        <v>1088</v>
      </c>
      <c r="B513" s="119" t="s">
        <v>1159</v>
      </c>
      <c r="C513" s="119" t="s">
        <v>1159</v>
      </c>
    </row>
    <row r="514">
      <c r="C514" s="119" t="s">
        <v>1609</v>
      </c>
      <c r="D514" s="119" t="s">
        <v>1158</v>
      </c>
      <c r="E514" s="119" t="s">
        <v>672</v>
      </c>
    </row>
    <row r="515">
      <c r="C515" s="119" t="s">
        <v>1610</v>
      </c>
      <c r="D515" s="119" t="s">
        <v>1160</v>
      </c>
      <c r="E515" s="119" t="s">
        <v>672</v>
      </c>
    </row>
    <row r="516">
      <c r="C516" s="119" t="s">
        <v>1611</v>
      </c>
      <c r="D516" s="119" t="s">
        <v>1161</v>
      </c>
      <c r="E516" s="119" t="s">
        <v>672</v>
      </c>
    </row>
    <row r="517">
      <c r="C517" s="119" t="s">
        <v>1612</v>
      </c>
      <c r="D517" s="119" t="s">
        <v>1162</v>
      </c>
    </row>
    <row r="518">
      <c r="C518" s="119" t="s">
        <v>1613</v>
      </c>
      <c r="D518" s="119" t="s">
        <v>1163</v>
      </c>
      <c r="E518" s="119" t="s">
        <v>672</v>
      </c>
    </row>
    <row r="519">
      <c r="C519" s="119" t="s">
        <v>1614</v>
      </c>
      <c r="D519" s="119" t="s">
        <v>1164</v>
      </c>
      <c r="E519" s="119" t="s">
        <v>672</v>
      </c>
    </row>
    <row r="520">
      <c r="C520" s="119" t="s">
        <v>1615</v>
      </c>
      <c r="D520" s="119" t="s">
        <v>1165</v>
      </c>
    </row>
    <row r="521">
      <c r="C521" s="119" t="s">
        <v>1616</v>
      </c>
      <c r="D521" s="119" t="s">
        <v>1166</v>
      </c>
    </row>
    <row r="522">
      <c r="C522" s="119" t="s">
        <v>1617</v>
      </c>
      <c r="D522" s="119" t="s">
        <v>1167</v>
      </c>
      <c r="E522" s="119" t="s">
        <v>672</v>
      </c>
    </row>
    <row r="523">
      <c r="C523" s="119" t="s">
        <v>1618</v>
      </c>
      <c r="D523" s="119" t="s">
        <v>1168</v>
      </c>
    </row>
    <row r="524">
      <c r="C524" s="119" t="s">
        <v>1619</v>
      </c>
      <c r="D524" s="119" t="s">
        <v>1169</v>
      </c>
      <c r="E524" s="119" t="s">
        <v>672</v>
      </c>
    </row>
    <row r="525">
      <c r="C525" s="119" t="s">
        <v>1620</v>
      </c>
      <c r="D525" s="119" t="s">
        <v>1170</v>
      </c>
      <c r="E525" s="119" t="s">
        <v>692</v>
      </c>
    </row>
    <row r="526">
      <c r="C526" s="119" t="s">
        <v>1621</v>
      </c>
      <c r="D526" s="119" t="s">
        <v>1171</v>
      </c>
      <c r="E526" s="119" t="s">
        <v>679</v>
      </c>
    </row>
    <row r="527">
      <c r="C527" s="119" t="s">
        <v>1622</v>
      </c>
      <c r="D527" s="119" t="s">
        <v>1172</v>
      </c>
      <c r="E527" s="119" t="s">
        <v>672</v>
      </c>
    </row>
    <row r="528">
      <c r="C528" s="119" t="s">
        <v>1174</v>
      </c>
    </row>
    <row r="529">
      <c r="C529" s="119" t="s">
        <v>1623</v>
      </c>
      <c r="D529" s="119" t="s">
        <v>1173</v>
      </c>
      <c r="E529" s="119" t="s">
        <v>672</v>
      </c>
    </row>
    <row r="530">
      <c r="C530" s="119" t="s">
        <v>1624</v>
      </c>
      <c r="D530" s="119" t="s">
        <v>1175</v>
      </c>
      <c r="E530" s="119" t="s">
        <v>672</v>
      </c>
    </row>
    <row r="531">
      <c r="B531" s="119" t="s">
        <v>1177</v>
      </c>
      <c r="C531" s="119" t="s">
        <v>1177</v>
      </c>
    </row>
    <row r="532">
      <c r="C532" s="119" t="s">
        <v>1625</v>
      </c>
      <c r="D532" s="119" t="s">
        <v>1176</v>
      </c>
    </row>
    <row r="533">
      <c r="C533" s="119" t="s">
        <v>1626</v>
      </c>
      <c r="D533" s="119" t="s">
        <v>1178</v>
      </c>
    </row>
    <row r="534">
      <c r="C534" s="119" t="s">
        <v>1627</v>
      </c>
      <c r="D534" s="119" t="s">
        <v>1214</v>
      </c>
      <c r="E534" s="119" t="s">
        <v>672</v>
      </c>
    </row>
    <row r="535">
      <c r="B535" s="119" t="s">
        <v>1181</v>
      </c>
      <c r="C535" s="119" t="s">
        <v>1181</v>
      </c>
    </row>
    <row r="536">
      <c r="C536" s="119" t="s">
        <v>1628</v>
      </c>
      <c r="D536" s="119" t="s">
        <v>1180</v>
      </c>
      <c r="E536" s="119" t="s">
        <v>692</v>
      </c>
    </row>
    <row r="537">
      <c r="C537" s="119" t="s">
        <v>1629</v>
      </c>
      <c r="D537" s="119" t="s">
        <v>1182</v>
      </c>
      <c r="E537" s="119" t="s">
        <v>692</v>
      </c>
    </row>
    <row r="538">
      <c r="C538" s="119" t="s">
        <v>1630</v>
      </c>
      <c r="D538" s="119" t="s">
        <v>1183</v>
      </c>
      <c r="E538" s="119" t="s">
        <v>692</v>
      </c>
    </row>
    <row r="540">
      <c r="A540" s="119" t="s">
        <v>669</v>
      </c>
      <c r="B540" s="119" t="s">
        <v>670</v>
      </c>
      <c r="C540" s="119" t="s">
        <v>668</v>
      </c>
      <c r="D540" s="119" t="s">
        <v>1223</v>
      </c>
    </row>
    <row r="541">
      <c r="D541" s="119" t="s">
        <v>667</v>
      </c>
      <c r="E541" s="119" t="s">
        <v>668</v>
      </c>
    </row>
    <row r="542">
      <c r="A542" s="119" t="s">
        <v>1185</v>
      </c>
      <c r="B542" s="119" t="s">
        <v>1185</v>
      </c>
      <c r="C542" s="119" t="s">
        <v>1185</v>
      </c>
    </row>
    <row r="543">
      <c r="C543" s="119" t="s">
        <v>1631</v>
      </c>
      <c r="D543" s="119" t="s">
        <v>1184</v>
      </c>
      <c r="E543" s="119" t="s">
        <v>692</v>
      </c>
    </row>
    <row r="544">
      <c r="C544" s="119" t="s">
        <v>1632</v>
      </c>
      <c r="D544" s="119" t="s">
        <v>1186</v>
      </c>
      <c r="E544" s="119" t="s">
        <v>692</v>
      </c>
    </row>
    <row r="545">
      <c r="C545" s="119" t="s">
        <v>1633</v>
      </c>
      <c r="D545" s="119" t="s">
        <v>1187</v>
      </c>
    </row>
    <row r="546">
      <c r="C546" s="119" t="s">
        <v>1634</v>
      </c>
      <c r="D546" s="119" t="s">
        <v>1188</v>
      </c>
      <c r="E546" s="119" t="s">
        <v>692</v>
      </c>
    </row>
    <row r="547">
      <c r="C547" s="119" t="s">
        <v>1635</v>
      </c>
      <c r="D547" s="119" t="s">
        <v>1189</v>
      </c>
      <c r="E547" s="119" t="s">
        <v>692</v>
      </c>
    </row>
    <row r="548">
      <c r="C548" s="119" t="s">
        <v>1636</v>
      </c>
      <c r="D548" s="119" t="s">
        <v>1190</v>
      </c>
      <c r="E548" s="119" t="s">
        <v>692</v>
      </c>
    </row>
    <row r="549">
      <c r="C549" s="119" t="s">
        <v>1637</v>
      </c>
      <c r="D549" s="119" t="s">
        <v>1192</v>
      </c>
    </row>
    <row r="550">
      <c r="C550" s="119" t="s">
        <v>1638</v>
      </c>
      <c r="D550" s="119" t="s">
        <v>1193</v>
      </c>
    </row>
    <row r="551">
      <c r="C551" s="119" t="s">
        <v>1639</v>
      </c>
      <c r="D551" s="119" t="s">
        <v>1194</v>
      </c>
      <c r="E551" s="119" t="s">
        <v>692</v>
      </c>
    </row>
    <row r="552">
      <c r="C552" s="119" t="s">
        <v>1640</v>
      </c>
      <c r="D552" s="119" t="s">
        <v>1195</v>
      </c>
    </row>
    <row r="553">
      <c r="C553" s="119" t="s">
        <v>1641</v>
      </c>
      <c r="D553" s="119" t="s">
        <v>1196</v>
      </c>
    </row>
    <row r="554">
      <c r="C554" s="119" t="s">
        <v>1642</v>
      </c>
      <c r="D554" s="119" t="s">
        <v>1198</v>
      </c>
    </row>
    <row r="555">
      <c r="C555" s="119" t="s">
        <v>1643</v>
      </c>
      <c r="D555" s="119" t="s">
        <v>1199</v>
      </c>
      <c r="E555" s="119" t="s">
        <v>692</v>
      </c>
    </row>
    <row r="556">
      <c r="C556" s="119" t="s">
        <v>1644</v>
      </c>
      <c r="D556" s="119" t="s">
        <v>1200</v>
      </c>
    </row>
    <row r="557">
      <c r="C557" s="119" t="s">
        <v>1645</v>
      </c>
      <c r="D557" s="119" t="s">
        <v>1201</v>
      </c>
      <c r="E557" s="119" t="s">
        <v>692</v>
      </c>
    </row>
    <row r="558">
      <c r="C558" s="119" t="s">
        <v>1646</v>
      </c>
      <c r="D558" s="119" t="s">
        <v>1203</v>
      </c>
      <c r="E558" s="119" t="s">
        <v>692</v>
      </c>
    </row>
    <row r="559">
      <c r="C559" s="119" t="s">
        <v>1647</v>
      </c>
      <c r="D559" s="119" t="s">
        <v>1204</v>
      </c>
      <c r="E559" s="119" t="s">
        <v>692</v>
      </c>
    </row>
    <row r="561">
      <c r="A561" s="119" t="s">
        <v>1648</v>
      </c>
    </row>
    <row r="562">
      <c r="A562" s="119" t="s">
        <v>1649</v>
      </c>
    </row>
    <row r="563">
      <c r="A563" s="119" t="s">
        <v>1650</v>
      </c>
    </row>
    <row r="564">
      <c r="A564" s="119" t="s">
        <v>1651</v>
      </c>
    </row>
    <row r="565">
      <c r="A565" s="119" t="s">
        <v>1652</v>
      </c>
    </row>
    <row r="566">
      <c r="A566" s="119" t="s">
        <v>1653</v>
      </c>
    </row>
    <row r="567">
      <c r="A567" s="119" t="s">
        <v>1654</v>
      </c>
    </row>
    <row r="568">
      <c r="A568" s="119" t="s">
        <v>1655</v>
      </c>
    </row>
    <row r="569">
      <c r="A569" s="119" t="s">
        <v>1656</v>
      </c>
    </row>
    <row r="571">
      <c r="A571" s="119" t="s">
        <v>1657</v>
      </c>
    </row>
    <row r="572">
      <c r="A572" s="119" t="s">
        <v>1658</v>
      </c>
    </row>
    <row r="573">
      <c r="A573" s="119" t="s">
        <v>1659</v>
      </c>
    </row>
    <row r="574">
      <c r="A574" s="119" t="s">
        <v>1660</v>
      </c>
    </row>
    <row r="575">
      <c r="A575" s="119" t="s">
        <v>1661</v>
      </c>
    </row>
    <row r="576">
      <c r="A576" s="119" t="s">
        <v>1662</v>
      </c>
    </row>
    <row r="577">
      <c r="A577" s="119" t="s">
        <v>1663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57"/>
    <col customWidth="1" min="2" max="2" width="10.57"/>
    <col customWidth="1" min="3" max="3" width="18.43"/>
    <col customWidth="1" min="4" max="4" width="15.0"/>
    <col customWidth="1" min="5" max="5" width="12.0"/>
    <col customWidth="1" min="6" max="6" width="19.29"/>
    <col customWidth="1" min="7" max="8" width="12.0"/>
    <col customWidth="1" min="9" max="9" width="4.14"/>
    <col customWidth="1" min="10" max="10" width="4.29"/>
    <col customWidth="1" min="11" max="11" width="11.71"/>
    <col customWidth="1" min="12" max="12" width="4.0"/>
    <col customWidth="1" min="13" max="13" width="11.71"/>
    <col customWidth="1" min="14" max="14" width="18.43"/>
    <col customWidth="1" min="15" max="19" width="10.71"/>
    <col customWidth="1" min="20" max="20" width="4.43"/>
    <col customWidth="1" min="21" max="21" width="3.86"/>
    <col customWidth="1" min="22" max="22" width="11.71"/>
  </cols>
  <sheetData>
    <row r="1" ht="5.25" customHeight="1">
      <c r="A1" s="142" t="s">
        <v>1664</v>
      </c>
      <c r="B1" s="143"/>
      <c r="C1" s="144"/>
      <c r="D1" s="93"/>
      <c r="E1" s="93"/>
      <c r="F1" s="145"/>
      <c r="G1" s="93"/>
      <c r="H1" s="93"/>
      <c r="M1" s="143"/>
      <c r="N1" s="146"/>
      <c r="O1" s="147"/>
      <c r="P1" s="147"/>
      <c r="Q1" s="147"/>
      <c r="R1" s="148"/>
      <c r="S1" s="148"/>
    </row>
    <row r="2">
      <c r="A2" s="143"/>
      <c r="B2" s="143"/>
      <c r="C2" s="149" t="s">
        <v>1665</v>
      </c>
      <c r="D2" s="93"/>
      <c r="E2" s="93"/>
      <c r="F2" s="145"/>
      <c r="G2" s="93"/>
      <c r="H2" s="93"/>
      <c r="M2" s="143"/>
      <c r="N2" s="146"/>
      <c r="O2" s="147"/>
      <c r="P2" s="147"/>
      <c r="Q2" s="147"/>
      <c r="R2" s="148"/>
      <c r="S2" s="148"/>
    </row>
    <row r="3">
      <c r="A3" s="143"/>
      <c r="B3" s="150"/>
      <c r="C3" s="151">
        <v>100000.0</v>
      </c>
      <c r="D3" s="152" t="s">
        <v>1666</v>
      </c>
      <c r="E3" s="93"/>
      <c r="F3" s="153" t="s">
        <v>1667</v>
      </c>
      <c r="G3" s="93"/>
      <c r="H3" s="93"/>
      <c r="N3" s="154"/>
      <c r="O3" s="155"/>
      <c r="P3" s="155"/>
      <c r="Q3" s="155"/>
      <c r="R3" s="156"/>
      <c r="S3" s="156"/>
    </row>
    <row r="4" ht="5.25" customHeight="1">
      <c r="A4" s="143"/>
      <c r="C4" s="157"/>
      <c r="F4" s="158"/>
    </row>
    <row r="5">
      <c r="A5" s="143"/>
      <c r="B5" s="159" t="s">
        <v>1668</v>
      </c>
      <c r="C5" s="160" t="s">
        <v>551</v>
      </c>
      <c r="D5" s="161" t="s">
        <v>46</v>
      </c>
      <c r="E5" s="162" t="s">
        <v>1669</v>
      </c>
      <c r="F5" s="163" t="s">
        <v>1670</v>
      </c>
      <c r="G5" s="164" t="s">
        <v>1669</v>
      </c>
      <c r="H5" s="164" t="s">
        <v>1671</v>
      </c>
      <c r="J5" s="165" t="s">
        <v>1672</v>
      </c>
      <c r="K5" s="166"/>
      <c r="M5" s="159" t="s">
        <v>1668</v>
      </c>
      <c r="N5" s="162" t="s">
        <v>551</v>
      </c>
      <c r="O5" s="161" t="s">
        <v>44</v>
      </c>
      <c r="P5" s="162" t="s">
        <v>1669</v>
      </c>
      <c r="Q5" s="161" t="s">
        <v>1673</v>
      </c>
      <c r="R5" s="164" t="s">
        <v>1669</v>
      </c>
      <c r="S5" s="164" t="s">
        <v>1671</v>
      </c>
      <c r="U5" s="165" t="s">
        <v>1672</v>
      </c>
      <c r="V5" s="166"/>
    </row>
    <row r="6">
      <c r="A6" s="143"/>
      <c r="B6" s="167" t="s">
        <v>54</v>
      </c>
      <c r="C6" s="168">
        <f>VLOOKUP(B6,'Dados StatusInvest'!$A:$Z,26,0)</f>
        <v>1987397901</v>
      </c>
      <c r="D6" s="169">
        <f>VLOOKUP(B6,'Dados StatusInvest'!$A:$Z,20,0)/100</f>
        <v>0.2044</v>
      </c>
      <c r="E6" s="93" t="str">
        <f t="shared" ref="E6:E443" si="1">RANK(D6,$D$6:$D$443,0)</f>
        <v>#N/A</v>
      </c>
      <c r="F6" s="170">
        <f>IF(ISERROR(1/VLOOKUP(B6,Capa!A:AC,13,0)),0,1/VLOOKUP(B6,Capa!A:AC,13,0))</f>
        <v>0.0199044586</v>
      </c>
      <c r="G6" s="171">
        <f t="shared" ref="G6:G443" si="2">RANK(F6,$F$6:$F$443,0)+RANK(F6,$F$6:$F$443,0)/1000000</f>
        <v>280.00028</v>
      </c>
      <c r="H6" s="172" t="str">
        <f t="shared" ref="H6:H443" si="3">G6+E6+IF(C6&lt;$C$3,1000,0)</f>
        <v>#N/A</v>
      </c>
      <c r="J6" s="173">
        <v>1.0</v>
      </c>
      <c r="K6" s="174" t="str">
        <f t="shared" ref="K6:K45" si="4">index(B:B,match(SMALL(H:H,J6),H:H,0))</f>
        <v>#N/A</v>
      </c>
      <c r="M6" s="167" t="s">
        <v>54</v>
      </c>
      <c r="N6" s="168">
        <f>VLOOKUP(M6,'Dados StatusInvest'!$A:$Z,26,0)</f>
        <v>1987397901</v>
      </c>
      <c r="O6" s="175">
        <f>VLOOKUP(M6,'Dados StatusInvest'!$A:$Z,18,0)/100</f>
        <v>0.2875</v>
      </c>
      <c r="P6" s="176" t="str">
        <f t="shared" ref="P6:P443" si="5">RANK(O6,$O$6:$O$443,0)</f>
        <v>#N/A</v>
      </c>
      <c r="Q6" s="177">
        <f>IF(ISERROR(1/VLOOKUP(M6,Capa!A:AC,6,0)),0,1/VLOOKUP(M6,Capa!A:AC,6,0))</f>
        <v>0.0314861461</v>
      </c>
      <c r="R6" s="178">
        <f t="shared" ref="R6:R443" si="6">RANK(Q6,$Q$6:$Q$443,0)+RANK(Q6,$Q$6:$Q$443,0)/1000000</f>
        <v>227.000227</v>
      </c>
      <c r="S6" s="179" t="str">
        <f t="shared" ref="S6:S443" si="7">R6+P6+IF(N6&lt;$C$3,1000,0)</f>
        <v>#N/A</v>
      </c>
      <c r="U6" s="173">
        <v>1.0</v>
      </c>
      <c r="V6" s="174" t="str">
        <f t="shared" ref="V6:V45" si="8">index(M:M,match(SMALL(S:S,U6),S:S,0))</f>
        <v>#N/A</v>
      </c>
    </row>
    <row r="7">
      <c r="A7" s="143"/>
      <c r="B7" s="167" t="s">
        <v>53</v>
      </c>
      <c r="C7" s="168">
        <f>VLOOKUP(B7,'Dados StatusInvest'!$A:$Z,26,0)</f>
        <v>2820511501</v>
      </c>
      <c r="D7" s="169">
        <f>VLOOKUP(B7,'Dados StatusInvest'!$A:$Z,20,0)/100</f>
        <v>0.3512</v>
      </c>
      <c r="E7" s="93" t="str">
        <f t="shared" si="1"/>
        <v>#N/A</v>
      </c>
      <c r="F7" s="170">
        <f>IF(ISERROR(1/VLOOKUP(B7,Capa!A:AC,13,0)),0,1/VLOOKUP(B7,Capa!A:AC,13,0))</f>
        <v>0.02351281448</v>
      </c>
      <c r="G7" s="171">
        <f t="shared" si="2"/>
        <v>270.00027</v>
      </c>
      <c r="H7" s="172" t="str">
        <f t="shared" si="3"/>
        <v>#N/A</v>
      </c>
      <c r="J7" s="173">
        <v>2.0</v>
      </c>
      <c r="K7" s="174" t="str">
        <f t="shared" si="4"/>
        <v>#N/A</v>
      </c>
      <c r="M7" s="167" t="s">
        <v>53</v>
      </c>
      <c r="N7" s="168">
        <f>VLOOKUP(M7,'Dados StatusInvest'!$A:$Z,26,0)</f>
        <v>2820511501</v>
      </c>
      <c r="O7" s="175">
        <f>VLOOKUP(M7,'Dados StatusInvest'!$A:$Z,18,0)/100</f>
        <v>0.4371</v>
      </c>
      <c r="P7" s="176" t="str">
        <f t="shared" si="5"/>
        <v>#N/A</v>
      </c>
      <c r="Q7" s="177">
        <f>IF(ISERROR(1/VLOOKUP(M7,Capa!A:AC,6,0)),0,1/VLOOKUP(M7,Capa!A:AC,6,0))</f>
        <v>0.008302200083</v>
      </c>
      <c r="R7" s="178">
        <f t="shared" si="6"/>
        <v>377.000377</v>
      </c>
      <c r="S7" s="179" t="str">
        <f t="shared" si="7"/>
        <v>#N/A</v>
      </c>
      <c r="U7" s="173">
        <v>2.0</v>
      </c>
      <c r="V7" s="174" t="str">
        <f t="shared" si="8"/>
        <v>#N/A</v>
      </c>
    </row>
    <row r="8">
      <c r="A8" s="180"/>
      <c r="B8" s="167" t="s">
        <v>55</v>
      </c>
      <c r="C8" s="168">
        <f>VLOOKUP(B8,'Dados StatusInvest'!$A:$Z,26,0)</f>
        <v>1189784441</v>
      </c>
      <c r="D8" s="169">
        <f>VLOOKUP(B8,'Dados StatusInvest'!$A:$Z,20,0)/100</f>
        <v>0</v>
      </c>
      <c r="E8" s="93" t="str">
        <f t="shared" si="1"/>
        <v>#N/A</v>
      </c>
      <c r="F8" s="170">
        <f>IF(ISERROR(1/VLOOKUP(B8,Capa!A:AC,13,0)),0,1/VLOOKUP(B8,Capa!A:AC,13,0))</f>
        <v>0.04418912947</v>
      </c>
      <c r="G8" s="171">
        <f t="shared" si="2"/>
        <v>187.000187</v>
      </c>
      <c r="H8" s="172" t="str">
        <f t="shared" si="3"/>
        <v>#N/A</v>
      </c>
      <c r="J8" s="173">
        <v>3.0</v>
      </c>
      <c r="K8" s="174" t="str">
        <f t="shared" si="4"/>
        <v>#N/A</v>
      </c>
      <c r="M8" s="167" t="s">
        <v>55</v>
      </c>
      <c r="N8" s="168">
        <f>VLOOKUP(M8,'Dados StatusInvest'!$A:$Z,26,0)</f>
        <v>1189784441</v>
      </c>
      <c r="O8" s="175">
        <f>VLOOKUP(M8,'Dados StatusInvest'!$A:$Z,18,0)/100</f>
        <v>0.1939</v>
      </c>
      <c r="P8" s="176" t="str">
        <f t="shared" si="5"/>
        <v>#N/A</v>
      </c>
      <c r="Q8" s="177">
        <f>IF(ISERROR(1/VLOOKUP(M8,Capa!A:AC,6,0)),0,1/VLOOKUP(M8,Capa!A:AC,6,0))</f>
        <v>0.02912055911</v>
      </c>
      <c r="R8" s="178">
        <f t="shared" si="6"/>
        <v>239.000239</v>
      </c>
      <c r="S8" s="179" t="str">
        <f t="shared" si="7"/>
        <v>#N/A</v>
      </c>
      <c r="U8" s="173">
        <v>3.0</v>
      </c>
      <c r="V8" s="174" t="str">
        <f t="shared" si="8"/>
        <v>#N/A</v>
      </c>
    </row>
    <row r="9">
      <c r="A9" s="180"/>
      <c r="B9" s="167" t="s">
        <v>59</v>
      </c>
      <c r="C9" s="168">
        <f>VLOOKUP(B9,'Dados StatusInvest'!$A:$Z,26,0)</f>
        <v>482490808.3</v>
      </c>
      <c r="D9" s="169">
        <f>VLOOKUP(B9,'Dados StatusInvest'!$A:$Z,20,0)/100</f>
        <v>0.2044</v>
      </c>
      <c r="E9" s="93" t="str">
        <f t="shared" si="1"/>
        <v>#N/A</v>
      </c>
      <c r="F9" s="170">
        <f>IF(ISERROR(1/VLOOKUP(B9,Capa!A:AC,13,0)),0,1/VLOOKUP(B9,Capa!A:AC,13,0))</f>
        <v>0.0199044586</v>
      </c>
      <c r="G9" s="171">
        <f t="shared" si="2"/>
        <v>280.00028</v>
      </c>
      <c r="H9" s="172" t="str">
        <f t="shared" si="3"/>
        <v>#N/A</v>
      </c>
      <c r="J9" s="173">
        <v>4.0</v>
      </c>
      <c r="K9" s="174" t="str">
        <f t="shared" si="4"/>
        <v>#N/A</v>
      </c>
      <c r="M9" s="167" t="s">
        <v>59</v>
      </c>
      <c r="N9" s="168">
        <f>VLOOKUP(M9,'Dados StatusInvest'!$A:$Z,26,0)</f>
        <v>482490808.3</v>
      </c>
      <c r="O9" s="175">
        <f>VLOOKUP(M9,'Dados StatusInvest'!$A:$Z,18,0)/100</f>
        <v>0.2875</v>
      </c>
      <c r="P9" s="176" t="str">
        <f t="shared" si="5"/>
        <v>#N/A</v>
      </c>
      <c r="Q9" s="177">
        <f>IF(ISERROR(1/VLOOKUP(M9,Capa!A:AC,6,0)),0,1/VLOOKUP(M9,Capa!A:AC,6,0))</f>
        <v>0.03092145949</v>
      </c>
      <c r="R9" s="178">
        <f t="shared" si="6"/>
        <v>231.000231</v>
      </c>
      <c r="S9" s="179" t="str">
        <f t="shared" si="7"/>
        <v>#N/A</v>
      </c>
      <c r="U9" s="173">
        <v>4.0</v>
      </c>
      <c r="V9" s="174" t="str">
        <f t="shared" si="8"/>
        <v>#N/A</v>
      </c>
    </row>
    <row r="10">
      <c r="A10" s="180"/>
      <c r="B10" s="167" t="s">
        <v>56</v>
      </c>
      <c r="C10" s="168">
        <f>VLOOKUP(B10,'Dados StatusInvest'!$A:$Z,26,0)</f>
        <v>1033416064</v>
      </c>
      <c r="D10" s="169">
        <f>VLOOKUP(B10,'Dados StatusInvest'!$A:$Z,20,0)/100</f>
        <v>0</v>
      </c>
      <c r="E10" s="93" t="str">
        <f t="shared" si="1"/>
        <v>#N/A</v>
      </c>
      <c r="F10" s="170">
        <f>IF(ISERROR(1/VLOOKUP(B10,Capa!A:AC,13,0)),0,1/VLOOKUP(B10,Capa!A:AC,13,0))</f>
        <v>0.03183699459</v>
      </c>
      <c r="G10" s="171">
        <f t="shared" si="2"/>
        <v>239.000239</v>
      </c>
      <c r="H10" s="172" t="str">
        <f t="shared" si="3"/>
        <v>#N/A</v>
      </c>
      <c r="J10" s="173">
        <v>5.0</v>
      </c>
      <c r="K10" s="174" t="str">
        <f t="shared" si="4"/>
        <v>#N/A</v>
      </c>
      <c r="M10" s="167" t="s">
        <v>56</v>
      </c>
      <c r="N10" s="168">
        <f>VLOOKUP(M10,'Dados StatusInvest'!$A:$Z,26,0)</f>
        <v>1033416064</v>
      </c>
      <c r="O10" s="175">
        <f>VLOOKUP(M10,'Dados StatusInvest'!$A:$Z,18,0)/100</f>
        <v>0.1487</v>
      </c>
      <c r="P10" s="176" t="str">
        <f t="shared" si="5"/>
        <v>#N/A</v>
      </c>
      <c r="Q10" s="177">
        <f>IF(ISERROR(1/VLOOKUP(M10,Capa!A:AC,6,0)),0,1/VLOOKUP(M10,Capa!A:AC,6,0))</f>
        <v>0.03468609088</v>
      </c>
      <c r="R10" s="178">
        <f t="shared" si="6"/>
        <v>200.0002</v>
      </c>
      <c r="S10" s="179" t="str">
        <f t="shared" si="7"/>
        <v>#N/A</v>
      </c>
      <c r="U10" s="173">
        <v>5.0</v>
      </c>
      <c r="V10" s="174" t="str">
        <f t="shared" si="8"/>
        <v>#N/A</v>
      </c>
    </row>
    <row r="11">
      <c r="A11" s="180"/>
      <c r="B11" s="167" t="s">
        <v>57</v>
      </c>
      <c r="C11" s="168">
        <f>VLOOKUP(B11,'Dados StatusInvest'!$A:$Z,26,0)</f>
        <v>676684293.5</v>
      </c>
      <c r="D11" s="169">
        <f>VLOOKUP(B11,'Dados StatusInvest'!$A:$Z,20,0)/100</f>
        <v>0.1391</v>
      </c>
      <c r="E11" s="93" t="str">
        <f t="shared" si="1"/>
        <v>#N/A</v>
      </c>
      <c r="F11" s="170">
        <f>IF(ISERROR(1/VLOOKUP(B11,Capa!A:AC,13,0)),0,1/VLOOKUP(B11,Capa!A:AC,13,0))</f>
        <v>0.01582528881</v>
      </c>
      <c r="G11" s="171">
        <f t="shared" si="2"/>
        <v>291.000291</v>
      </c>
      <c r="H11" s="172" t="str">
        <f t="shared" si="3"/>
        <v>#N/A</v>
      </c>
      <c r="J11" s="173">
        <v>6.0</v>
      </c>
      <c r="K11" s="174" t="str">
        <f t="shared" si="4"/>
        <v>#N/A</v>
      </c>
      <c r="M11" s="167" t="s">
        <v>57</v>
      </c>
      <c r="N11" s="168">
        <f>VLOOKUP(M11,'Dados StatusInvest'!$A:$Z,26,0)</f>
        <v>676684293.5</v>
      </c>
      <c r="O11" s="175">
        <f>VLOOKUP(M11,'Dados StatusInvest'!$A:$Z,18,0)/100</f>
        <v>0.2064</v>
      </c>
      <c r="P11" s="176" t="str">
        <f t="shared" si="5"/>
        <v>#N/A</v>
      </c>
      <c r="Q11" s="177">
        <f>IF(ISERROR(1/VLOOKUP(M11,Capa!A:AC,6,0)),0,1/VLOOKUP(M11,Capa!A:AC,6,0))</f>
        <v>0.04679457183</v>
      </c>
      <c r="R11" s="178">
        <f t="shared" si="6"/>
        <v>153.000153</v>
      </c>
      <c r="S11" s="179" t="str">
        <f t="shared" si="7"/>
        <v>#N/A</v>
      </c>
      <c r="U11" s="173">
        <v>6.0</v>
      </c>
      <c r="V11" s="174" t="str">
        <f t="shared" si="8"/>
        <v>#N/A</v>
      </c>
    </row>
    <row r="12">
      <c r="A12" s="180"/>
      <c r="B12" s="167" t="s">
        <v>65</v>
      </c>
      <c r="C12" s="168">
        <f>VLOOKUP(B12,'Dados StatusInvest'!$A:$Z,26,0)</f>
        <v>394931886.8</v>
      </c>
      <c r="D12" s="169">
        <f>VLOOKUP(B12,'Dados StatusInvest'!$A:$Z,20,0)/100</f>
        <v>0</v>
      </c>
      <c r="E12" s="93" t="str">
        <f t="shared" si="1"/>
        <v>#N/A</v>
      </c>
      <c r="F12" s="170">
        <f>IF(ISERROR(1/VLOOKUP(B12,Capa!A:AC,13,0)),0,1/VLOOKUP(B12,Capa!A:AC,13,0))</f>
        <v>0.05602240896</v>
      </c>
      <c r="G12" s="171">
        <f t="shared" si="2"/>
        <v>136.000136</v>
      </c>
      <c r="H12" s="172" t="str">
        <f t="shared" si="3"/>
        <v>#N/A</v>
      </c>
      <c r="J12" s="173">
        <v>7.0</v>
      </c>
      <c r="K12" s="174" t="str">
        <f t="shared" si="4"/>
        <v>#N/A</v>
      </c>
      <c r="M12" s="167" t="s">
        <v>65</v>
      </c>
      <c r="N12" s="168">
        <f>VLOOKUP(M12,'Dados StatusInvest'!$A:$Z,26,0)</f>
        <v>394931886.8</v>
      </c>
      <c r="O12" s="175">
        <f>VLOOKUP(M12,'Dados StatusInvest'!$A:$Z,18,0)/100</f>
        <v>0.1173</v>
      </c>
      <c r="P12" s="176" t="str">
        <f t="shared" si="5"/>
        <v>#N/A</v>
      </c>
      <c r="Q12" s="177">
        <f>IF(ISERROR(1/VLOOKUP(M12,Capa!A:AC,6,0)),0,1/VLOOKUP(M12,Capa!A:AC,6,0))</f>
        <v>0.02465483235</v>
      </c>
      <c r="R12" s="178">
        <f t="shared" si="6"/>
        <v>257.000257</v>
      </c>
      <c r="S12" s="179" t="str">
        <f t="shared" si="7"/>
        <v>#N/A</v>
      </c>
      <c r="U12" s="173">
        <v>7.0</v>
      </c>
      <c r="V12" s="174" t="str">
        <f t="shared" si="8"/>
        <v>#N/A</v>
      </c>
    </row>
    <row r="13">
      <c r="A13" s="180"/>
      <c r="B13" s="167" t="s">
        <v>58</v>
      </c>
      <c r="C13" s="168">
        <f>VLOOKUP(B13,'Dados StatusInvest'!$A:$Z,26,0)</f>
        <v>598729703.8</v>
      </c>
      <c r="D13" s="169">
        <f>VLOOKUP(B13,'Dados StatusInvest'!$A:$Z,20,0)/100</f>
        <v>0.146</v>
      </c>
      <c r="E13" s="93" t="str">
        <f t="shared" si="1"/>
        <v>#N/A</v>
      </c>
      <c r="F13" s="170">
        <f>IF(ISERROR(1/VLOOKUP(B13,Capa!A:AC,13,0)),0,1/VLOOKUP(B13,Capa!A:AC,13,0))</f>
        <v>0.2421307506</v>
      </c>
      <c r="G13" s="171">
        <f t="shared" si="2"/>
        <v>19.000019</v>
      </c>
      <c r="H13" s="172" t="str">
        <f t="shared" si="3"/>
        <v>#N/A</v>
      </c>
      <c r="J13" s="173">
        <v>8.0</v>
      </c>
      <c r="K13" s="174" t="str">
        <f t="shared" si="4"/>
        <v>#N/A</v>
      </c>
      <c r="M13" s="167" t="s">
        <v>58</v>
      </c>
      <c r="N13" s="168">
        <f>VLOOKUP(M13,'Dados StatusInvest'!$A:$Z,26,0)</f>
        <v>598729703.8</v>
      </c>
      <c r="O13" s="175">
        <f>VLOOKUP(M13,'Dados StatusInvest'!$A:$Z,18,0)/100</f>
        <v>0.1073</v>
      </c>
      <c r="P13" s="176" t="str">
        <f t="shared" si="5"/>
        <v>#N/A</v>
      </c>
      <c r="Q13" s="177">
        <f>IF(ISERROR(1/VLOOKUP(M13,Capa!A:AC,6,0)),0,1/VLOOKUP(M13,Capa!A:AC,6,0))</f>
        <v>0.03532320735</v>
      </c>
      <c r="R13" s="178">
        <f t="shared" si="6"/>
        <v>193.000193</v>
      </c>
      <c r="S13" s="179" t="str">
        <f t="shared" si="7"/>
        <v>#N/A</v>
      </c>
      <c r="U13" s="173">
        <v>8.0</v>
      </c>
      <c r="V13" s="174" t="str">
        <f t="shared" si="8"/>
        <v>#N/A</v>
      </c>
    </row>
    <row r="14">
      <c r="A14" s="180"/>
      <c r="B14" s="167" t="s">
        <v>1674</v>
      </c>
      <c r="C14" s="168" t="str">
        <f>VLOOKUP(B14,'Dados StatusInvest'!$A:$Z,26,0)</f>
        <v>#N/A</v>
      </c>
      <c r="D14" s="169" t="str">
        <f>VLOOKUP(B14,'Dados StatusInvest'!$A:$Z,20,0)/100</f>
        <v>#N/A</v>
      </c>
      <c r="E14" s="93" t="str">
        <f t="shared" si="1"/>
        <v>#N/A</v>
      </c>
      <c r="F14" s="170">
        <f>IF(ISERROR(1/VLOOKUP(B14,Capa!A:AC,13,0)),0,1/VLOOKUP(B14,Capa!A:AC,13,0))</f>
        <v>0</v>
      </c>
      <c r="G14" s="171">
        <f t="shared" si="2"/>
        <v>329.000329</v>
      </c>
      <c r="H14" s="172" t="str">
        <f t="shared" si="3"/>
        <v>#N/A</v>
      </c>
      <c r="J14" s="173">
        <v>9.0</v>
      </c>
      <c r="K14" s="174" t="str">
        <f t="shared" si="4"/>
        <v>#N/A</v>
      </c>
      <c r="M14" s="167" t="s">
        <v>1674</v>
      </c>
      <c r="N14" s="168" t="str">
        <f>VLOOKUP(M14,'Dados StatusInvest'!$A:$Z,26,0)</f>
        <v>#N/A</v>
      </c>
      <c r="O14" s="175" t="str">
        <f>VLOOKUP(M14,'Dados StatusInvest'!$A:$Z,18,0)/100</f>
        <v>#N/A</v>
      </c>
      <c r="P14" s="176" t="str">
        <f t="shared" si="5"/>
        <v>#N/A</v>
      </c>
      <c r="Q14" s="177">
        <f>IF(ISERROR(1/VLOOKUP(M14,Capa!A:AC,6,0)),0,1/VLOOKUP(M14,Capa!A:AC,6,0))</f>
        <v>0</v>
      </c>
      <c r="R14" s="178">
        <f t="shared" si="6"/>
        <v>399.000399</v>
      </c>
      <c r="S14" s="179" t="str">
        <f t="shared" si="7"/>
        <v>#N/A</v>
      </c>
      <c r="U14" s="173">
        <v>9.0</v>
      </c>
      <c r="V14" s="174" t="str">
        <f t="shared" si="8"/>
        <v>#N/A</v>
      </c>
    </row>
    <row r="15">
      <c r="A15" s="180"/>
      <c r="B15" s="167" t="s">
        <v>128</v>
      </c>
      <c r="C15" s="168">
        <f>VLOOKUP(B15,'Dados StatusInvest'!$A:$Z,26,0)</f>
        <v>62307613.58</v>
      </c>
      <c r="D15" s="169">
        <f>VLOOKUP(B15,'Dados StatusInvest'!$A:$Z,20,0)/100</f>
        <v>0</v>
      </c>
      <c r="E15" s="93" t="str">
        <f t="shared" si="1"/>
        <v>#N/A</v>
      </c>
      <c r="F15" s="170">
        <f>IF(ISERROR(1/VLOOKUP(B15,Capa!A:AC,13,0)),0,1/VLOOKUP(B15,Capa!A:AC,13,0))</f>
        <v>-0.06518904824</v>
      </c>
      <c r="G15" s="171">
        <f t="shared" si="2"/>
        <v>424.000424</v>
      </c>
      <c r="H15" s="172" t="str">
        <f t="shared" si="3"/>
        <v>#N/A</v>
      </c>
      <c r="J15" s="173">
        <v>10.0</v>
      </c>
      <c r="K15" s="174" t="str">
        <f t="shared" si="4"/>
        <v>#N/A</v>
      </c>
      <c r="M15" s="167" t="s">
        <v>128</v>
      </c>
      <c r="N15" s="168">
        <f>VLOOKUP(M15,'Dados StatusInvest'!$A:$Z,26,0)</f>
        <v>62307613.58</v>
      </c>
      <c r="O15" s="175">
        <f>VLOOKUP(M15,'Dados StatusInvest'!$A:$Z,18,0)/100</f>
        <v>-0.2389</v>
      </c>
      <c r="P15" s="176" t="str">
        <f t="shared" si="5"/>
        <v>#N/A</v>
      </c>
      <c r="Q15" s="177">
        <f>IF(ISERROR(1/VLOOKUP(M15,Capa!A:AC,6,0)),0,1/VLOOKUP(M15,Capa!A:AC,6,0))</f>
        <v>0.117370892</v>
      </c>
      <c r="R15" s="178">
        <f t="shared" si="6"/>
        <v>49.000049</v>
      </c>
      <c r="S15" s="179" t="str">
        <f t="shared" si="7"/>
        <v>#N/A</v>
      </c>
      <c r="U15" s="173">
        <v>10.0</v>
      </c>
      <c r="V15" s="174" t="str">
        <f t="shared" si="8"/>
        <v>#N/A</v>
      </c>
    </row>
    <row r="16">
      <c r="A16" s="180"/>
      <c r="B16" s="167" t="s">
        <v>71</v>
      </c>
      <c r="C16" s="168">
        <f>VLOOKUP(B16,'Dados StatusInvest'!$A:$Z,26,0)</f>
        <v>389417539.8</v>
      </c>
      <c r="D16" s="169">
        <f>VLOOKUP(B16,'Dados StatusInvest'!$A:$Z,20,0)/100</f>
        <v>0.1969</v>
      </c>
      <c r="E16" s="93" t="str">
        <f t="shared" si="1"/>
        <v>#N/A</v>
      </c>
      <c r="F16" s="170">
        <f>IF(ISERROR(1/VLOOKUP(B16,Capa!A:AC,13,0)),0,1/VLOOKUP(B16,Capa!A:AC,13,0))</f>
        <v>0.03523608175</v>
      </c>
      <c r="G16" s="171">
        <f t="shared" si="2"/>
        <v>226.000226</v>
      </c>
      <c r="H16" s="172" t="str">
        <f t="shared" si="3"/>
        <v>#N/A</v>
      </c>
      <c r="J16" s="173">
        <v>11.0</v>
      </c>
      <c r="K16" s="174" t="str">
        <f t="shared" si="4"/>
        <v>#N/A</v>
      </c>
      <c r="M16" s="167" t="s">
        <v>71</v>
      </c>
      <c r="N16" s="168">
        <f>VLOOKUP(M16,'Dados StatusInvest'!$A:$Z,26,0)</f>
        <v>389417539.8</v>
      </c>
      <c r="O16" s="175">
        <f>VLOOKUP(M16,'Dados StatusInvest'!$A:$Z,18,0)/100</f>
        <v>0.1847</v>
      </c>
      <c r="P16" s="176" t="str">
        <f t="shared" si="5"/>
        <v>#N/A</v>
      </c>
      <c r="Q16" s="177">
        <f>IF(ISERROR(1/VLOOKUP(M16,Capa!A:AC,6,0)),0,1/VLOOKUP(M16,Capa!A:AC,6,0))</f>
        <v>0.05035246727</v>
      </c>
      <c r="R16" s="178">
        <f t="shared" si="6"/>
        <v>147.000147</v>
      </c>
      <c r="S16" s="179" t="str">
        <f t="shared" si="7"/>
        <v>#N/A</v>
      </c>
      <c r="U16" s="173">
        <v>11.0</v>
      </c>
      <c r="V16" s="174" t="str">
        <f t="shared" si="8"/>
        <v>#N/A</v>
      </c>
    </row>
    <row r="17">
      <c r="A17" s="180"/>
      <c r="B17" s="167" t="s">
        <v>62</v>
      </c>
      <c r="C17" s="168">
        <f>VLOOKUP(B17,'Dados StatusInvest'!$A:$Z,26,0)</f>
        <v>434280045.9</v>
      </c>
      <c r="D17" s="169">
        <f>VLOOKUP(B17,'Dados StatusInvest'!$A:$Z,20,0)/100</f>
        <v>0.1359</v>
      </c>
      <c r="E17" s="93" t="str">
        <f t="shared" si="1"/>
        <v>#N/A</v>
      </c>
      <c r="F17" s="170">
        <f>IF(ISERROR(1/VLOOKUP(B17,Capa!A:AC,13,0)),0,1/VLOOKUP(B17,Capa!A:AC,13,0))</f>
        <v>0.1408450704</v>
      </c>
      <c r="G17" s="171">
        <f t="shared" si="2"/>
        <v>47.000047</v>
      </c>
      <c r="H17" s="172" t="str">
        <f t="shared" si="3"/>
        <v>#N/A</v>
      </c>
      <c r="J17" s="173">
        <v>12.0</v>
      </c>
      <c r="K17" s="174" t="str">
        <f t="shared" si="4"/>
        <v>#N/A</v>
      </c>
      <c r="M17" s="167" t="s">
        <v>62</v>
      </c>
      <c r="N17" s="168">
        <f>VLOOKUP(M17,'Dados StatusInvest'!$A:$Z,26,0)</f>
        <v>434280045.9</v>
      </c>
      <c r="O17" s="175">
        <f>VLOOKUP(M17,'Dados StatusInvest'!$A:$Z,18,0)/100</f>
        <v>0.3241</v>
      </c>
      <c r="P17" s="176" t="str">
        <f t="shared" si="5"/>
        <v>#N/A</v>
      </c>
      <c r="Q17" s="177">
        <f>IF(ISERROR(1/VLOOKUP(M17,Capa!A:AC,6,0)),0,1/VLOOKUP(M17,Capa!A:AC,6,0))</f>
        <v>0.02567394095</v>
      </c>
      <c r="R17" s="178">
        <f t="shared" si="6"/>
        <v>253.000253</v>
      </c>
      <c r="S17" s="179" t="str">
        <f t="shared" si="7"/>
        <v>#N/A</v>
      </c>
      <c r="U17" s="173">
        <v>12.0</v>
      </c>
      <c r="V17" s="174" t="str">
        <f t="shared" si="8"/>
        <v>#N/A</v>
      </c>
    </row>
    <row r="18">
      <c r="A18" s="180"/>
      <c r="B18" s="167" t="s">
        <v>75</v>
      </c>
      <c r="C18" s="168">
        <f>VLOOKUP(B18,'Dados StatusInvest'!$A:$Z,26,0)</f>
        <v>295285663.2</v>
      </c>
      <c r="D18" s="169">
        <f>VLOOKUP(B18,'Dados StatusInvest'!$A:$Z,20,0)/100</f>
        <v>0.0349</v>
      </c>
      <c r="E18" s="93" t="str">
        <f t="shared" si="1"/>
        <v>#N/A</v>
      </c>
      <c r="F18" s="170">
        <f>IF(ISERROR(1/VLOOKUP(B18,Capa!A:AC,13,0)),0,1/VLOOKUP(B18,Capa!A:AC,13,0))</f>
        <v>0.1785714286</v>
      </c>
      <c r="G18" s="171">
        <f t="shared" si="2"/>
        <v>31.000031</v>
      </c>
      <c r="H18" s="172" t="str">
        <f t="shared" si="3"/>
        <v>#N/A</v>
      </c>
      <c r="J18" s="173">
        <v>13.0</v>
      </c>
      <c r="K18" s="174" t="str">
        <f t="shared" si="4"/>
        <v>#N/A</v>
      </c>
      <c r="M18" s="167" t="s">
        <v>75</v>
      </c>
      <c r="N18" s="168">
        <f>VLOOKUP(M18,'Dados StatusInvest'!$A:$Z,26,0)</f>
        <v>295285663.2</v>
      </c>
      <c r="O18" s="175">
        <f>VLOOKUP(M18,'Dados StatusInvest'!$A:$Z,18,0)/100</f>
        <v>0.0335</v>
      </c>
      <c r="P18" s="176" t="str">
        <f t="shared" si="5"/>
        <v>#N/A</v>
      </c>
      <c r="Q18" s="177">
        <f>IF(ISERROR(1/VLOOKUP(M18,Capa!A:AC,6,0)),0,1/VLOOKUP(M18,Capa!A:AC,6,0))</f>
        <v>0.02004008016</v>
      </c>
      <c r="R18" s="178">
        <f t="shared" si="6"/>
        <v>293.000293</v>
      </c>
      <c r="S18" s="179" t="str">
        <f t="shared" si="7"/>
        <v>#N/A</v>
      </c>
      <c r="U18" s="173">
        <v>13.0</v>
      </c>
      <c r="V18" s="174" t="str">
        <f t="shared" si="8"/>
        <v>#N/A</v>
      </c>
    </row>
    <row r="19">
      <c r="A19" s="180"/>
      <c r="B19" s="167" t="s">
        <v>68</v>
      </c>
      <c r="C19" s="168">
        <f>VLOOKUP(B19,'Dados StatusInvest'!$A:$Z,26,0)</f>
        <v>468311693.5</v>
      </c>
      <c r="D19" s="169">
        <f>VLOOKUP(B19,'Dados StatusInvest'!$A:$Z,20,0)/100</f>
        <v>0.1623</v>
      </c>
      <c r="E19" s="93" t="str">
        <f t="shared" si="1"/>
        <v>#N/A</v>
      </c>
      <c r="F19" s="170">
        <f>IF(ISERROR(1/VLOOKUP(B19,Capa!A:AC,13,0)),0,1/VLOOKUP(B19,Capa!A:AC,13,0))</f>
        <v>0.005978715772</v>
      </c>
      <c r="G19" s="171">
        <f t="shared" si="2"/>
        <v>310.00031</v>
      </c>
      <c r="H19" s="172" t="str">
        <f t="shared" si="3"/>
        <v>#N/A</v>
      </c>
      <c r="J19" s="173">
        <v>14.0</v>
      </c>
      <c r="K19" s="174" t="str">
        <f t="shared" si="4"/>
        <v>#N/A</v>
      </c>
      <c r="M19" s="167" t="s">
        <v>68</v>
      </c>
      <c r="N19" s="168">
        <f>VLOOKUP(M19,'Dados StatusInvest'!$A:$Z,26,0)</f>
        <v>468311693.5</v>
      </c>
      <c r="O19" s="175">
        <f>VLOOKUP(M19,'Dados StatusInvest'!$A:$Z,18,0)/100</f>
        <v>0.1827</v>
      </c>
      <c r="P19" s="176" t="str">
        <f t="shared" si="5"/>
        <v>#N/A</v>
      </c>
      <c r="Q19" s="177">
        <f>IF(ISERROR(1/VLOOKUP(M19,Capa!A:AC,6,0)),0,1/VLOOKUP(M19,Capa!A:AC,6,0))</f>
        <v>0.08097165992</v>
      </c>
      <c r="R19" s="178">
        <f t="shared" si="6"/>
        <v>85.000085</v>
      </c>
      <c r="S19" s="179" t="str">
        <f t="shared" si="7"/>
        <v>#N/A</v>
      </c>
      <c r="U19" s="173">
        <v>14.0</v>
      </c>
      <c r="V19" s="174" t="str">
        <f t="shared" si="8"/>
        <v>#N/A</v>
      </c>
    </row>
    <row r="20">
      <c r="A20" s="180"/>
      <c r="B20" s="167" t="s">
        <v>66</v>
      </c>
      <c r="C20" s="168">
        <f>VLOOKUP(B20,'Dados StatusInvest'!$A:$Z,26,0)</f>
        <v>358915154.1</v>
      </c>
      <c r="D20" s="169">
        <f>VLOOKUP(B20,'Dados StatusInvest'!$A:$Z,20,0)/100</f>
        <v>0.1024</v>
      </c>
      <c r="E20" s="93" t="str">
        <f t="shared" si="1"/>
        <v>#N/A</v>
      </c>
      <c r="F20" s="170">
        <f>IF(ISERROR(1/VLOOKUP(B20,Capa!A:AC,13,0)),0,1/VLOOKUP(B20,Capa!A:AC,13,0))</f>
        <v>0.04518752824</v>
      </c>
      <c r="G20" s="171">
        <f t="shared" si="2"/>
        <v>186.000186</v>
      </c>
      <c r="H20" s="172" t="str">
        <f t="shared" si="3"/>
        <v>#N/A</v>
      </c>
      <c r="J20" s="173">
        <v>15.0</v>
      </c>
      <c r="K20" s="174" t="str">
        <f t="shared" si="4"/>
        <v>#N/A</v>
      </c>
      <c r="M20" s="167" t="s">
        <v>66</v>
      </c>
      <c r="N20" s="168">
        <f>VLOOKUP(M20,'Dados StatusInvest'!$A:$Z,26,0)</f>
        <v>358915154.1</v>
      </c>
      <c r="O20" s="175">
        <f>VLOOKUP(M20,'Dados StatusInvest'!$A:$Z,18,0)/100</f>
        <v>0.2415</v>
      </c>
      <c r="P20" s="176" t="str">
        <f t="shared" si="5"/>
        <v>#N/A</v>
      </c>
      <c r="Q20" s="177">
        <f>IF(ISERROR(1/VLOOKUP(M20,Capa!A:AC,6,0)),0,1/VLOOKUP(M20,Capa!A:AC,6,0))</f>
        <v>0.01352630867</v>
      </c>
      <c r="R20" s="178">
        <f t="shared" si="6"/>
        <v>338.000338</v>
      </c>
      <c r="S20" s="179" t="str">
        <f t="shared" si="7"/>
        <v>#N/A</v>
      </c>
      <c r="U20" s="173">
        <v>15.0</v>
      </c>
      <c r="V20" s="174" t="str">
        <f t="shared" si="8"/>
        <v>#N/A</v>
      </c>
    </row>
    <row r="21">
      <c r="A21" s="180"/>
      <c r="B21" s="167" t="s">
        <v>73</v>
      </c>
      <c r="C21" s="168">
        <f>VLOOKUP(B21,'Dados StatusInvest'!$A:$Z,26,0)</f>
        <v>339606045.2</v>
      </c>
      <c r="D21" s="169">
        <f>VLOOKUP(B21,'Dados StatusInvest'!$A:$Z,20,0)/100</f>
        <v>0.2329</v>
      </c>
      <c r="E21" s="93" t="str">
        <f t="shared" si="1"/>
        <v>#N/A</v>
      </c>
      <c r="F21" s="170">
        <f>IF(ISERROR(1/VLOOKUP(B21,Capa!A:AC,13,0)),0,1/VLOOKUP(B21,Capa!A:AC,13,0))</f>
        <v>0.05347593583</v>
      </c>
      <c r="G21" s="171">
        <f t="shared" si="2"/>
        <v>152.000152</v>
      </c>
      <c r="H21" s="172" t="str">
        <f t="shared" si="3"/>
        <v>#N/A</v>
      </c>
      <c r="J21" s="173">
        <v>16.0</v>
      </c>
      <c r="K21" s="174" t="str">
        <f t="shared" si="4"/>
        <v>#N/A</v>
      </c>
      <c r="M21" s="167" t="s">
        <v>73</v>
      </c>
      <c r="N21" s="168">
        <f>VLOOKUP(M21,'Dados StatusInvest'!$A:$Z,26,0)</f>
        <v>339606045.2</v>
      </c>
      <c r="O21" s="175">
        <f>VLOOKUP(M21,'Dados StatusInvest'!$A:$Z,18,0)/100</f>
        <v>0.2745</v>
      </c>
      <c r="P21" s="176" t="str">
        <f t="shared" si="5"/>
        <v>#N/A</v>
      </c>
      <c r="Q21" s="177">
        <f>IF(ISERROR(1/VLOOKUP(M21,Capa!A:AC,6,0)),0,1/VLOOKUP(M21,Capa!A:AC,6,0))</f>
        <v>0.02130833156</v>
      </c>
      <c r="R21" s="178">
        <f t="shared" si="6"/>
        <v>279.000279</v>
      </c>
      <c r="S21" s="179" t="str">
        <f t="shared" si="7"/>
        <v>#N/A</v>
      </c>
      <c r="U21" s="173">
        <v>16.0</v>
      </c>
      <c r="V21" s="174" t="str">
        <f t="shared" si="8"/>
        <v>#N/A</v>
      </c>
    </row>
    <row r="22">
      <c r="A22" s="180"/>
      <c r="B22" s="167" t="s">
        <v>78</v>
      </c>
      <c r="C22" s="168">
        <f>VLOOKUP(B22,'Dados StatusInvest'!$A:$Z,26,0)</f>
        <v>277103777.8</v>
      </c>
      <c r="D22" s="169">
        <f>VLOOKUP(B22,'Dados StatusInvest'!$A:$Z,20,0)/100</f>
        <v>0.0277</v>
      </c>
      <c r="E22" s="93" t="str">
        <f t="shared" si="1"/>
        <v>#N/A</v>
      </c>
      <c r="F22" s="170">
        <f>IF(ISERROR(1/VLOOKUP(B22,Capa!A:AC,13,0)),0,1/VLOOKUP(B22,Capa!A:AC,13,0))</f>
        <v>0.2906976744</v>
      </c>
      <c r="G22" s="171">
        <f t="shared" si="2"/>
        <v>16.000016</v>
      </c>
      <c r="H22" s="172" t="str">
        <f t="shared" si="3"/>
        <v>#N/A</v>
      </c>
      <c r="J22" s="173">
        <v>17.0</v>
      </c>
      <c r="K22" s="174" t="str">
        <f t="shared" si="4"/>
        <v>#N/A</v>
      </c>
      <c r="M22" s="167" t="s">
        <v>78</v>
      </c>
      <c r="N22" s="168">
        <f>VLOOKUP(M22,'Dados StatusInvest'!$A:$Z,26,0)</f>
        <v>277103777.8</v>
      </c>
      <c r="O22" s="175">
        <f>VLOOKUP(M22,'Dados StatusInvest'!$A:$Z,18,0)/100</f>
        <v>0.0243</v>
      </c>
      <c r="P22" s="176" t="str">
        <f t="shared" si="5"/>
        <v>#N/A</v>
      </c>
      <c r="Q22" s="177">
        <f>IF(ISERROR(1/VLOOKUP(M22,Capa!A:AC,6,0)),0,1/VLOOKUP(M22,Capa!A:AC,6,0))</f>
        <v>0.01631587535</v>
      </c>
      <c r="R22" s="178">
        <f t="shared" si="6"/>
        <v>318.000318</v>
      </c>
      <c r="S22" s="179" t="str">
        <f t="shared" si="7"/>
        <v>#N/A</v>
      </c>
      <c r="U22" s="173">
        <v>17.0</v>
      </c>
      <c r="V22" s="174" t="str">
        <f t="shared" si="8"/>
        <v>#N/A</v>
      </c>
    </row>
    <row r="23">
      <c r="A23" s="180"/>
      <c r="B23" s="167" t="s">
        <v>60</v>
      </c>
      <c r="C23" s="168">
        <f>VLOOKUP(B23,'Dados StatusInvest'!$A:$Z,26,0)</f>
        <v>472551404.8</v>
      </c>
      <c r="D23" s="169">
        <f>VLOOKUP(B23,'Dados StatusInvest'!$A:$Z,20,0)/100</f>
        <v>0.1077</v>
      </c>
      <c r="E23" s="93" t="str">
        <f t="shared" si="1"/>
        <v>#N/A</v>
      </c>
      <c r="F23" s="170">
        <f>IF(ISERROR(1/VLOOKUP(B23,Capa!A:AC,13,0)),0,1/VLOOKUP(B23,Capa!A:AC,13,0))</f>
        <v>0.02554931017</v>
      </c>
      <c r="G23" s="171">
        <f t="shared" si="2"/>
        <v>267.000267</v>
      </c>
      <c r="H23" s="172" t="str">
        <f t="shared" si="3"/>
        <v>#N/A</v>
      </c>
      <c r="J23" s="173">
        <v>18.0</v>
      </c>
      <c r="K23" s="174" t="str">
        <f t="shared" si="4"/>
        <v>#N/A</v>
      </c>
      <c r="M23" s="167" t="s">
        <v>60</v>
      </c>
      <c r="N23" s="168">
        <f>VLOOKUP(M23,'Dados StatusInvest'!$A:$Z,26,0)</f>
        <v>472551404.8</v>
      </c>
      <c r="O23" s="175">
        <f>VLOOKUP(M23,'Dados StatusInvest'!$A:$Z,18,0)/100</f>
        <v>0.8305</v>
      </c>
      <c r="P23" s="176" t="str">
        <f t="shared" si="5"/>
        <v>#N/A</v>
      </c>
      <c r="Q23" s="177">
        <f>IF(ISERROR(1/VLOOKUP(M23,Capa!A:AC,6,0)),0,1/VLOOKUP(M23,Capa!A:AC,6,0))</f>
        <v>0.01252975818</v>
      </c>
      <c r="R23" s="178">
        <f t="shared" si="6"/>
        <v>342.000342</v>
      </c>
      <c r="S23" s="179" t="str">
        <f t="shared" si="7"/>
        <v>#N/A</v>
      </c>
      <c r="U23" s="173">
        <v>18.0</v>
      </c>
      <c r="V23" s="174" t="str">
        <f t="shared" si="8"/>
        <v>#N/A</v>
      </c>
    </row>
    <row r="24">
      <c r="A24" s="180"/>
      <c r="B24" s="167" t="s">
        <v>79</v>
      </c>
      <c r="C24" s="168">
        <f>VLOOKUP(B24,'Dados StatusInvest'!$A:$Z,26,0)</f>
        <v>243191886.8</v>
      </c>
      <c r="D24" s="169">
        <f>VLOOKUP(B24,'Dados StatusInvest'!$A:$Z,20,0)/100</f>
        <v>0.043</v>
      </c>
      <c r="E24" s="93" t="str">
        <f t="shared" si="1"/>
        <v>#N/A</v>
      </c>
      <c r="F24" s="170">
        <f>IF(ISERROR(1/VLOOKUP(B24,Capa!A:AC,13,0)),0,1/VLOOKUP(B24,Capa!A:AC,13,0))</f>
        <v>0.1602564103</v>
      </c>
      <c r="G24" s="171">
        <f t="shared" si="2"/>
        <v>40.00004</v>
      </c>
      <c r="H24" s="172" t="str">
        <f t="shared" si="3"/>
        <v>#N/A</v>
      </c>
      <c r="J24" s="173">
        <v>19.0</v>
      </c>
      <c r="K24" s="174" t="str">
        <f t="shared" si="4"/>
        <v>#N/A</v>
      </c>
      <c r="M24" s="167" t="s">
        <v>79</v>
      </c>
      <c r="N24" s="168">
        <f>VLOOKUP(M24,'Dados StatusInvest'!$A:$Z,26,0)</f>
        <v>243191886.8</v>
      </c>
      <c r="O24" s="175">
        <f>VLOOKUP(M24,'Dados StatusInvest'!$A:$Z,18,0)/100</f>
        <v>0.0384</v>
      </c>
      <c r="P24" s="176" t="str">
        <f t="shared" si="5"/>
        <v>#N/A</v>
      </c>
      <c r="Q24" s="177">
        <f>IF(ISERROR(1/VLOOKUP(M24,Capa!A:AC,6,0)),0,1/VLOOKUP(M24,Capa!A:AC,6,0))</f>
        <v>0.009704968944</v>
      </c>
      <c r="R24" s="178">
        <f t="shared" si="6"/>
        <v>368.000368</v>
      </c>
      <c r="S24" s="179" t="str">
        <f t="shared" si="7"/>
        <v>#N/A</v>
      </c>
      <c r="U24" s="173">
        <v>19.0</v>
      </c>
      <c r="V24" s="174" t="str">
        <f t="shared" si="8"/>
        <v>#N/A</v>
      </c>
    </row>
    <row r="25">
      <c r="A25" s="180"/>
      <c r="B25" s="167" t="s">
        <v>86</v>
      </c>
      <c r="C25" s="168">
        <f>VLOOKUP(B25,'Dados StatusInvest'!$A:$Z,26,0)</f>
        <v>202139543.8</v>
      </c>
      <c r="D25" s="169">
        <f>VLOOKUP(B25,'Dados StatusInvest'!$A:$Z,20,0)/100</f>
        <v>0.0614</v>
      </c>
      <c r="E25" s="93" t="str">
        <f t="shared" si="1"/>
        <v>#N/A</v>
      </c>
      <c r="F25" s="170">
        <f>IF(ISERROR(1/VLOOKUP(B25,Capa!A:AC,13,0)),0,1/VLOOKUP(B25,Capa!A:AC,13,0))</f>
        <v>0.03579098067</v>
      </c>
      <c r="G25" s="171">
        <f t="shared" si="2"/>
        <v>224.000224</v>
      </c>
      <c r="H25" s="172" t="str">
        <f t="shared" si="3"/>
        <v>#N/A</v>
      </c>
      <c r="J25" s="173">
        <v>20.0</v>
      </c>
      <c r="K25" s="174" t="str">
        <f t="shared" si="4"/>
        <v>#N/A</v>
      </c>
      <c r="M25" s="167" t="s">
        <v>86</v>
      </c>
      <c r="N25" s="168">
        <f>VLOOKUP(M25,'Dados StatusInvest'!$A:$Z,26,0)</f>
        <v>202139543.8</v>
      </c>
      <c r="O25" s="175">
        <f>VLOOKUP(M25,'Dados StatusInvest'!$A:$Z,18,0)/100</f>
        <v>0.0421</v>
      </c>
      <c r="P25" s="176" t="str">
        <f t="shared" si="5"/>
        <v>#N/A</v>
      </c>
      <c r="Q25" s="177">
        <f>IF(ISERROR(1/VLOOKUP(M25,Capa!A:AC,6,0)),0,1/VLOOKUP(M25,Capa!A:AC,6,0))</f>
        <v>0.04545454545</v>
      </c>
      <c r="R25" s="178">
        <f t="shared" si="6"/>
        <v>156.000156</v>
      </c>
      <c r="S25" s="179" t="str">
        <f t="shared" si="7"/>
        <v>#N/A</v>
      </c>
      <c r="U25" s="173">
        <v>20.0</v>
      </c>
      <c r="V25" s="174" t="str">
        <f t="shared" si="8"/>
        <v>#N/A</v>
      </c>
    </row>
    <row r="26">
      <c r="A26" s="180"/>
      <c r="B26" s="167" t="s">
        <v>64</v>
      </c>
      <c r="C26" s="168">
        <f>VLOOKUP(B26,'Dados StatusInvest'!$A:$Z,26,0)</f>
        <v>432659240.2</v>
      </c>
      <c r="D26" s="169">
        <f>VLOOKUP(B26,'Dados StatusInvest'!$A:$Z,20,0)/100</f>
        <v>0.1849</v>
      </c>
      <c r="E26" s="93" t="str">
        <f t="shared" si="1"/>
        <v>#N/A</v>
      </c>
      <c r="F26" s="170">
        <f>IF(ISERROR(1/VLOOKUP(B26,Capa!A:AC,13,0)),0,1/VLOOKUP(B26,Capa!A:AC,13,0))</f>
        <v>0.04692632567</v>
      </c>
      <c r="G26" s="171">
        <f t="shared" si="2"/>
        <v>179.000179</v>
      </c>
      <c r="H26" s="172" t="str">
        <f t="shared" si="3"/>
        <v>#N/A</v>
      </c>
      <c r="J26" s="173">
        <v>21.0</v>
      </c>
      <c r="K26" s="174" t="str">
        <f t="shared" si="4"/>
        <v>#N/A</v>
      </c>
      <c r="M26" s="167" t="s">
        <v>64</v>
      </c>
      <c r="N26" s="168">
        <f>VLOOKUP(M26,'Dados StatusInvest'!$A:$Z,26,0)</f>
        <v>432659240.2</v>
      </c>
      <c r="O26" s="175">
        <f>VLOOKUP(M26,'Dados StatusInvest'!$A:$Z,18,0)/100</f>
        <v>0.2284</v>
      </c>
      <c r="P26" s="176" t="str">
        <f t="shared" si="5"/>
        <v>#N/A</v>
      </c>
      <c r="Q26" s="177">
        <f>IF(ISERROR(1/VLOOKUP(M26,Capa!A:AC,6,0)),0,1/VLOOKUP(M26,Capa!A:AC,6,0))</f>
        <v>0.02642706131</v>
      </c>
      <c r="R26" s="178">
        <f t="shared" si="6"/>
        <v>249.000249</v>
      </c>
      <c r="S26" s="179" t="str">
        <f t="shared" si="7"/>
        <v>#N/A</v>
      </c>
      <c r="U26" s="173">
        <v>21.0</v>
      </c>
      <c r="V26" s="174" t="str">
        <f t="shared" si="8"/>
        <v>#N/A</v>
      </c>
    </row>
    <row r="27">
      <c r="A27" s="180"/>
      <c r="B27" s="167" t="s">
        <v>105</v>
      </c>
      <c r="C27" s="168">
        <f>VLOOKUP(B27,'Dados StatusInvest'!$A:$Z,26,0)</f>
        <v>114570764.6</v>
      </c>
      <c r="D27" s="169">
        <f>VLOOKUP(B27,'Dados StatusInvest'!$A:$Z,20,0)/100</f>
        <v>-0.1266</v>
      </c>
      <c r="E27" s="93" t="str">
        <f t="shared" si="1"/>
        <v>#N/A</v>
      </c>
      <c r="F27" s="170">
        <f>IF(ISERROR(1/VLOOKUP(B27,Capa!A:AC,13,0)),0,1/VLOOKUP(B27,Capa!A:AC,13,0))</f>
        <v>-0.0156641604</v>
      </c>
      <c r="G27" s="171">
        <f t="shared" si="2"/>
        <v>407.000407</v>
      </c>
      <c r="H27" s="172" t="str">
        <f t="shared" si="3"/>
        <v>#N/A</v>
      </c>
      <c r="J27" s="173">
        <v>22.0</v>
      </c>
      <c r="K27" s="174" t="str">
        <f t="shared" si="4"/>
        <v>#N/A</v>
      </c>
      <c r="M27" s="167" t="s">
        <v>105</v>
      </c>
      <c r="N27" s="168">
        <f>VLOOKUP(M27,'Dados StatusInvest'!$A:$Z,26,0)</f>
        <v>114570764.6</v>
      </c>
      <c r="O27" s="175">
        <f>VLOOKUP(M27,'Dados StatusInvest'!$A:$Z,18,0)/100</f>
        <v>-0.4212</v>
      </c>
      <c r="P27" s="176" t="str">
        <f t="shared" si="5"/>
        <v>#N/A</v>
      </c>
      <c r="Q27" s="177">
        <f>IF(ISERROR(1/VLOOKUP(M27,Capa!A:AC,6,0)),0,1/VLOOKUP(M27,Capa!A:AC,6,0))</f>
        <v>0.1805054152</v>
      </c>
      <c r="R27" s="178">
        <f t="shared" si="6"/>
        <v>23.000023</v>
      </c>
      <c r="S27" s="179" t="str">
        <f t="shared" si="7"/>
        <v>#N/A</v>
      </c>
      <c r="U27" s="173">
        <v>22.0</v>
      </c>
      <c r="V27" s="174" t="str">
        <f t="shared" si="8"/>
        <v>#N/A</v>
      </c>
    </row>
    <row r="28">
      <c r="A28" s="180"/>
      <c r="B28" s="167" t="s">
        <v>102</v>
      </c>
      <c r="C28" s="168">
        <f>VLOOKUP(B28,'Dados StatusInvest'!$A:$Z,26,0)</f>
        <v>143698854.5</v>
      </c>
      <c r="D28" s="169">
        <f>VLOOKUP(B28,'Dados StatusInvest'!$A:$Z,20,0)/100</f>
        <v>0.1699</v>
      </c>
      <c r="E28" s="93" t="str">
        <f t="shared" si="1"/>
        <v>#N/A</v>
      </c>
      <c r="F28" s="170">
        <f>IF(ISERROR(1/VLOOKUP(B28,Capa!A:AC,13,0)),0,1/VLOOKUP(B28,Capa!A:AC,13,0))</f>
        <v>0.1697792869</v>
      </c>
      <c r="G28" s="171">
        <f t="shared" si="2"/>
        <v>39.000039</v>
      </c>
      <c r="H28" s="172" t="str">
        <f t="shared" si="3"/>
        <v>#N/A</v>
      </c>
      <c r="J28" s="173">
        <v>23.0</v>
      </c>
      <c r="K28" s="174" t="str">
        <f t="shared" si="4"/>
        <v>#N/A</v>
      </c>
      <c r="M28" s="167" t="s">
        <v>102</v>
      </c>
      <c r="N28" s="168">
        <f>VLOOKUP(M28,'Dados StatusInvest'!$A:$Z,26,0)</f>
        <v>143698854.5</v>
      </c>
      <c r="O28" s="175">
        <f>VLOOKUP(M28,'Dados StatusInvest'!$A:$Z,18,0)/100</f>
        <v>0.1594</v>
      </c>
      <c r="P28" s="176" t="str">
        <f t="shared" si="5"/>
        <v>#N/A</v>
      </c>
      <c r="Q28" s="177">
        <f>IF(ISERROR(1/VLOOKUP(M28,Capa!A:AC,6,0)),0,1/VLOOKUP(M28,Capa!A:AC,6,0))</f>
        <v>0.03472222222</v>
      </c>
      <c r="R28" s="178">
        <f t="shared" si="6"/>
        <v>199.000199</v>
      </c>
      <c r="S28" s="179" t="str">
        <f t="shared" si="7"/>
        <v>#N/A</v>
      </c>
      <c r="U28" s="173">
        <v>23.0</v>
      </c>
      <c r="V28" s="174" t="str">
        <f t="shared" si="8"/>
        <v>#N/A</v>
      </c>
    </row>
    <row r="29">
      <c r="A29" s="180"/>
      <c r="B29" s="167" t="s">
        <v>93</v>
      </c>
      <c r="C29" s="168">
        <f>VLOOKUP(B29,'Dados StatusInvest'!$A:$Z,26,0)</f>
        <v>166924963.7</v>
      </c>
      <c r="D29" s="169">
        <f>VLOOKUP(B29,'Dados StatusInvest'!$A:$Z,20,0)/100</f>
        <v>0.2051</v>
      </c>
      <c r="E29" s="93" t="str">
        <f t="shared" si="1"/>
        <v>#N/A</v>
      </c>
      <c r="F29" s="170">
        <f>IF(ISERROR(1/VLOOKUP(B29,Capa!A:AC,13,0)),0,1/VLOOKUP(B29,Capa!A:AC,13,0))</f>
        <v>-0.05133470226</v>
      </c>
      <c r="G29" s="171">
        <f t="shared" si="2"/>
        <v>420.00042</v>
      </c>
      <c r="H29" s="172" t="str">
        <f t="shared" si="3"/>
        <v>#N/A</v>
      </c>
      <c r="J29" s="173">
        <v>24.0</v>
      </c>
      <c r="K29" s="174" t="str">
        <f t="shared" si="4"/>
        <v>#N/A</v>
      </c>
      <c r="M29" s="167" t="s">
        <v>93</v>
      </c>
      <c r="N29" s="168">
        <f>VLOOKUP(M29,'Dados StatusInvest'!$A:$Z,26,0)</f>
        <v>166924963.7</v>
      </c>
      <c r="O29" s="175">
        <f>VLOOKUP(M29,'Dados StatusInvest'!$A:$Z,18,0)/100</f>
        <v>-0.2013</v>
      </c>
      <c r="P29" s="176" t="str">
        <f t="shared" si="5"/>
        <v>#N/A</v>
      </c>
      <c r="Q29" s="177">
        <f>IF(ISERROR(1/VLOOKUP(M29,Capa!A:AC,6,0)),0,1/VLOOKUP(M29,Capa!A:AC,6,0))</f>
        <v>0.02023062917</v>
      </c>
      <c r="R29" s="178">
        <f t="shared" si="6"/>
        <v>292.000292</v>
      </c>
      <c r="S29" s="179" t="str">
        <f t="shared" si="7"/>
        <v>#N/A</v>
      </c>
      <c r="U29" s="173">
        <v>24.0</v>
      </c>
      <c r="V29" s="174" t="str">
        <f t="shared" si="8"/>
        <v>#N/A</v>
      </c>
    </row>
    <row r="30">
      <c r="A30" s="180"/>
      <c r="B30" s="167" t="s">
        <v>117</v>
      </c>
      <c r="C30" s="168">
        <f>VLOOKUP(B30,'Dados StatusInvest'!$A:$Z,26,0)</f>
        <v>101316175</v>
      </c>
      <c r="D30" s="169">
        <f>VLOOKUP(B30,'Dados StatusInvest'!$A:$Z,20,0)/100</f>
        <v>0.0334</v>
      </c>
      <c r="E30" s="93" t="str">
        <f t="shared" si="1"/>
        <v>#N/A</v>
      </c>
      <c r="F30" s="170">
        <f>IF(ISERROR(1/VLOOKUP(B30,Capa!A:AC,13,0)),0,1/VLOOKUP(B30,Capa!A:AC,13,0))</f>
        <v>0.4166666667</v>
      </c>
      <c r="G30" s="171">
        <f t="shared" si="2"/>
        <v>7.000007</v>
      </c>
      <c r="H30" s="172" t="str">
        <f t="shared" si="3"/>
        <v>#N/A</v>
      </c>
      <c r="J30" s="173">
        <v>25.0</v>
      </c>
      <c r="K30" s="174" t="str">
        <f t="shared" si="4"/>
        <v>#N/A</v>
      </c>
      <c r="M30" s="167" t="s">
        <v>117</v>
      </c>
      <c r="N30" s="168">
        <f>VLOOKUP(M30,'Dados StatusInvest'!$A:$Z,26,0)</f>
        <v>101316175</v>
      </c>
      <c r="O30" s="175">
        <f>VLOOKUP(M30,'Dados StatusInvest'!$A:$Z,18,0)/100</f>
        <v>0.2306</v>
      </c>
      <c r="P30" s="176" t="str">
        <f t="shared" si="5"/>
        <v>#N/A</v>
      </c>
      <c r="Q30" s="177">
        <f>IF(ISERROR(1/VLOOKUP(M30,Capa!A:AC,6,0)),0,1/VLOOKUP(M30,Capa!A:AC,6,0))</f>
        <v>0.02333722287</v>
      </c>
      <c r="R30" s="178">
        <f t="shared" si="6"/>
        <v>263.000263</v>
      </c>
      <c r="S30" s="179" t="str">
        <f t="shared" si="7"/>
        <v>#N/A</v>
      </c>
      <c r="U30" s="173">
        <v>25.0</v>
      </c>
      <c r="V30" s="174" t="str">
        <f t="shared" si="8"/>
        <v>#N/A</v>
      </c>
    </row>
    <row r="31">
      <c r="A31" s="180"/>
      <c r="B31" s="167" t="s">
        <v>70</v>
      </c>
      <c r="C31" s="168">
        <f>VLOOKUP(B31,'Dados StatusInvest'!$A:$Z,26,0)</f>
        <v>304905653.4</v>
      </c>
      <c r="D31" s="169">
        <f>VLOOKUP(B31,'Dados StatusInvest'!$A:$Z,20,0)/100</f>
        <v>0</v>
      </c>
      <c r="E31" s="93" t="str">
        <f t="shared" si="1"/>
        <v>#N/A</v>
      </c>
      <c r="F31" s="170">
        <f>IF(ISERROR(1/VLOOKUP(B31,Capa!A:AC,13,0)),0,1/VLOOKUP(B31,Capa!A:AC,13,0))</f>
        <v>0.02808988764</v>
      </c>
      <c r="G31" s="171">
        <f t="shared" si="2"/>
        <v>252.000252</v>
      </c>
      <c r="H31" s="172" t="str">
        <f t="shared" si="3"/>
        <v>#N/A</v>
      </c>
      <c r="J31" s="173">
        <v>26.0</v>
      </c>
      <c r="K31" s="174" t="str">
        <f t="shared" si="4"/>
        <v>#N/A</v>
      </c>
      <c r="M31" s="167" t="s">
        <v>70</v>
      </c>
      <c r="N31" s="168">
        <f>VLOOKUP(M31,'Dados StatusInvest'!$A:$Z,26,0)</f>
        <v>304905653.4</v>
      </c>
      <c r="O31" s="175">
        <f>VLOOKUP(M31,'Dados StatusInvest'!$A:$Z,18,0)/100</f>
        <v>0.1387</v>
      </c>
      <c r="P31" s="176" t="str">
        <f t="shared" si="5"/>
        <v>#N/A</v>
      </c>
      <c r="Q31" s="177">
        <f>IF(ISERROR(1/VLOOKUP(M31,Capa!A:AC,6,0)),0,1/VLOOKUP(M31,Capa!A:AC,6,0))</f>
        <v>0.03055300947</v>
      </c>
      <c r="R31" s="178">
        <f t="shared" si="6"/>
        <v>232.000232</v>
      </c>
      <c r="S31" s="179" t="str">
        <f t="shared" si="7"/>
        <v>#N/A</v>
      </c>
      <c r="U31" s="173">
        <v>26.0</v>
      </c>
      <c r="V31" s="174" t="str">
        <f t="shared" si="8"/>
        <v>#N/A</v>
      </c>
    </row>
    <row r="32">
      <c r="A32" s="180"/>
      <c r="B32" s="167" t="s">
        <v>1675</v>
      </c>
      <c r="C32" s="168" t="str">
        <f>VLOOKUP(B32,'Dados StatusInvest'!$A:$Z,26,0)</f>
        <v>#N/A</v>
      </c>
      <c r="D32" s="169" t="str">
        <f>VLOOKUP(B32,'Dados StatusInvest'!$A:$Z,20,0)/100</f>
        <v>#N/A</v>
      </c>
      <c r="E32" s="93" t="str">
        <f t="shared" si="1"/>
        <v>#N/A</v>
      </c>
      <c r="F32" s="170">
        <f>IF(ISERROR(1/VLOOKUP(B32,Capa!A:AC,13,0)),0,1/VLOOKUP(B32,Capa!A:AC,13,0))</f>
        <v>0</v>
      </c>
      <c r="G32" s="171">
        <f t="shared" si="2"/>
        <v>329.000329</v>
      </c>
      <c r="H32" s="172" t="str">
        <f t="shared" si="3"/>
        <v>#N/A</v>
      </c>
      <c r="J32" s="173">
        <v>27.0</v>
      </c>
      <c r="K32" s="174" t="str">
        <f t="shared" si="4"/>
        <v>#N/A</v>
      </c>
      <c r="M32" s="167" t="s">
        <v>1675</v>
      </c>
      <c r="N32" s="168" t="str">
        <f>VLOOKUP(M32,'Dados StatusInvest'!$A:$Z,26,0)</f>
        <v>#N/A</v>
      </c>
      <c r="O32" s="175" t="str">
        <f>VLOOKUP(M32,'Dados StatusInvest'!$A:$Z,18,0)/100</f>
        <v>#N/A</v>
      </c>
      <c r="P32" s="176" t="str">
        <f t="shared" si="5"/>
        <v>#N/A</v>
      </c>
      <c r="Q32" s="177">
        <f>IF(ISERROR(1/VLOOKUP(M32,Capa!A:AC,6,0)),0,1/VLOOKUP(M32,Capa!A:AC,6,0))</f>
        <v>0</v>
      </c>
      <c r="R32" s="178">
        <f t="shared" si="6"/>
        <v>399.000399</v>
      </c>
      <c r="S32" s="179" t="str">
        <f t="shared" si="7"/>
        <v>#N/A</v>
      </c>
      <c r="U32" s="173">
        <v>27.0</v>
      </c>
      <c r="V32" s="174" t="str">
        <f t="shared" si="8"/>
        <v>#N/A</v>
      </c>
    </row>
    <row r="33">
      <c r="A33" s="180"/>
      <c r="B33" s="167" t="s">
        <v>87</v>
      </c>
      <c r="C33" s="168">
        <f>VLOOKUP(B33,'Dados StatusInvest'!$A:$Z,26,0)</f>
        <v>165350084.5</v>
      </c>
      <c r="D33" s="169">
        <f>VLOOKUP(B33,'Dados StatusInvest'!$A:$Z,20,0)/100</f>
        <v>0.1416</v>
      </c>
      <c r="E33" s="93" t="str">
        <f t="shared" si="1"/>
        <v>#N/A</v>
      </c>
      <c r="F33" s="170">
        <f>IF(ISERROR(1/VLOOKUP(B33,Capa!A:AC,13,0)),0,1/VLOOKUP(B33,Capa!A:AC,13,0))</f>
        <v>0.03753753754</v>
      </c>
      <c r="G33" s="171">
        <f t="shared" si="2"/>
        <v>216.000216</v>
      </c>
      <c r="H33" s="172" t="str">
        <f t="shared" si="3"/>
        <v>#N/A</v>
      </c>
      <c r="J33" s="173">
        <v>28.0</v>
      </c>
      <c r="K33" s="174" t="str">
        <f t="shared" si="4"/>
        <v>#N/A</v>
      </c>
      <c r="M33" s="167" t="s">
        <v>87</v>
      </c>
      <c r="N33" s="168">
        <f>VLOOKUP(M33,'Dados StatusInvest'!$A:$Z,26,0)</f>
        <v>165350084.5</v>
      </c>
      <c r="O33" s="175">
        <f>VLOOKUP(M33,'Dados StatusInvest'!$A:$Z,18,0)/100</f>
        <v>0.2831</v>
      </c>
      <c r="P33" s="176" t="str">
        <f t="shared" si="5"/>
        <v>#N/A</v>
      </c>
      <c r="Q33" s="177">
        <f>IF(ISERROR(1/VLOOKUP(M33,Capa!A:AC,6,0)),0,1/VLOOKUP(M33,Capa!A:AC,6,0))</f>
        <v>0.03709198813</v>
      </c>
      <c r="R33" s="178">
        <f t="shared" si="6"/>
        <v>183.000183</v>
      </c>
      <c r="S33" s="179" t="str">
        <f t="shared" si="7"/>
        <v>#N/A</v>
      </c>
      <c r="U33" s="173">
        <v>28.0</v>
      </c>
      <c r="V33" s="174" t="str">
        <f t="shared" si="8"/>
        <v>#N/A</v>
      </c>
    </row>
    <row r="34">
      <c r="A34" s="180"/>
      <c r="B34" s="167" t="s">
        <v>106</v>
      </c>
      <c r="C34" s="168">
        <f>VLOOKUP(B34,'Dados StatusInvest'!$A:$Z,26,0)</f>
        <v>157707610.6</v>
      </c>
      <c r="D34" s="169">
        <f>VLOOKUP(B34,'Dados StatusInvest'!$A:$Z,20,0)/100</f>
        <v>0.0845</v>
      </c>
      <c r="E34" s="93" t="str">
        <f t="shared" si="1"/>
        <v>#N/A</v>
      </c>
      <c r="F34" s="170">
        <f>IF(ISERROR(1/VLOOKUP(B34,Capa!A:AC,13,0)),0,1/VLOOKUP(B34,Capa!A:AC,13,0))</f>
        <v>0.1499250375</v>
      </c>
      <c r="G34" s="171">
        <f t="shared" si="2"/>
        <v>46.000046</v>
      </c>
      <c r="H34" s="172" t="str">
        <f t="shared" si="3"/>
        <v>#N/A</v>
      </c>
      <c r="J34" s="173">
        <v>29.0</v>
      </c>
      <c r="K34" s="174" t="str">
        <f t="shared" si="4"/>
        <v>#N/A</v>
      </c>
      <c r="M34" s="167" t="s">
        <v>106</v>
      </c>
      <c r="N34" s="168">
        <f>VLOOKUP(M34,'Dados StatusInvest'!$A:$Z,26,0)</f>
        <v>157707610.6</v>
      </c>
      <c r="O34" s="175">
        <f>VLOOKUP(M34,'Dados StatusInvest'!$A:$Z,18,0)/100</f>
        <v>0.1087</v>
      </c>
      <c r="P34" s="176" t="str">
        <f t="shared" si="5"/>
        <v>#N/A</v>
      </c>
      <c r="Q34" s="177">
        <f>IF(ISERROR(1/VLOOKUP(M34,Capa!A:AC,6,0)),0,1/VLOOKUP(M34,Capa!A:AC,6,0))</f>
        <v>0.03126954346</v>
      </c>
      <c r="R34" s="178">
        <f t="shared" si="6"/>
        <v>229.000229</v>
      </c>
      <c r="S34" s="179" t="str">
        <f t="shared" si="7"/>
        <v>#N/A</v>
      </c>
      <c r="U34" s="173">
        <v>29.0</v>
      </c>
      <c r="V34" s="174" t="str">
        <f t="shared" si="8"/>
        <v>#N/A</v>
      </c>
    </row>
    <row r="35">
      <c r="A35" s="180"/>
      <c r="B35" s="167" t="s">
        <v>96</v>
      </c>
      <c r="C35" s="168">
        <f>VLOOKUP(B35,'Dados StatusInvest'!$A:$Z,26,0)</f>
        <v>142745791.9</v>
      </c>
      <c r="D35" s="169">
        <f>VLOOKUP(B35,'Dados StatusInvest'!$A:$Z,20,0)/100</f>
        <v>0.0319</v>
      </c>
      <c r="E35" s="93" t="str">
        <f t="shared" si="1"/>
        <v>#N/A</v>
      </c>
      <c r="F35" s="170">
        <f>IF(ISERROR(1/VLOOKUP(B35,Capa!A:AC,13,0)),0,1/VLOOKUP(B35,Capa!A:AC,13,0))</f>
        <v>0.2145922747</v>
      </c>
      <c r="G35" s="171">
        <f t="shared" si="2"/>
        <v>22.000022</v>
      </c>
      <c r="H35" s="172" t="str">
        <f t="shared" si="3"/>
        <v>#N/A</v>
      </c>
      <c r="J35" s="173">
        <v>30.0</v>
      </c>
      <c r="K35" s="174" t="str">
        <f t="shared" si="4"/>
        <v>#N/A</v>
      </c>
      <c r="M35" s="167" t="s">
        <v>96</v>
      </c>
      <c r="N35" s="168">
        <f>VLOOKUP(M35,'Dados StatusInvest'!$A:$Z,26,0)</f>
        <v>142745791.9</v>
      </c>
      <c r="O35" s="175">
        <f>VLOOKUP(M35,'Dados StatusInvest'!$A:$Z,18,0)/100</f>
        <v>0.0831</v>
      </c>
      <c r="P35" s="176" t="str">
        <f t="shared" si="5"/>
        <v>#N/A</v>
      </c>
      <c r="Q35" s="177">
        <f>IF(ISERROR(1/VLOOKUP(M35,Capa!A:AC,6,0)),0,1/VLOOKUP(M35,Capa!A:AC,6,0))</f>
        <v>0.03417634997</v>
      </c>
      <c r="R35" s="178">
        <f t="shared" si="6"/>
        <v>206.000206</v>
      </c>
      <c r="S35" s="179" t="str">
        <f t="shared" si="7"/>
        <v>#N/A</v>
      </c>
      <c r="U35" s="173">
        <v>30.0</v>
      </c>
      <c r="V35" s="174" t="str">
        <f t="shared" si="8"/>
        <v>#N/A</v>
      </c>
    </row>
    <row r="36">
      <c r="A36" s="180"/>
      <c r="B36" s="167" t="s">
        <v>107</v>
      </c>
      <c r="C36" s="168">
        <f>VLOOKUP(B36,'Dados StatusInvest'!$A:$Z,26,0)</f>
        <v>120607910.4</v>
      </c>
      <c r="D36" s="169">
        <f>VLOOKUP(B36,'Dados StatusInvest'!$A:$Z,20,0)/100</f>
        <v>0.0245</v>
      </c>
      <c r="E36" s="93" t="str">
        <f t="shared" si="1"/>
        <v>#N/A</v>
      </c>
      <c r="F36" s="170">
        <f>IF(ISERROR(1/VLOOKUP(B36,Capa!A:AC,13,0)),0,1/VLOOKUP(B36,Capa!A:AC,13,0))</f>
        <v>0.02379819134</v>
      </c>
      <c r="G36" s="171">
        <f t="shared" si="2"/>
        <v>268.000268</v>
      </c>
      <c r="H36" s="172" t="str">
        <f t="shared" si="3"/>
        <v>#N/A</v>
      </c>
      <c r="J36" s="173">
        <v>31.0</v>
      </c>
      <c r="K36" s="174" t="str">
        <f t="shared" si="4"/>
        <v>#N/A</v>
      </c>
      <c r="M36" s="167" t="s">
        <v>107</v>
      </c>
      <c r="N36" s="168">
        <f>VLOOKUP(M36,'Dados StatusInvest'!$A:$Z,26,0)</f>
        <v>120607910.4</v>
      </c>
      <c r="O36" s="175">
        <f>VLOOKUP(M36,'Dados StatusInvest'!$A:$Z,18,0)/100</f>
        <v>0.0141</v>
      </c>
      <c r="P36" s="176" t="str">
        <f t="shared" si="5"/>
        <v>#N/A</v>
      </c>
      <c r="Q36" s="177">
        <f>IF(ISERROR(1/VLOOKUP(M36,Capa!A:AC,6,0)),0,1/VLOOKUP(M36,Capa!A:AC,6,0))</f>
        <v>0.08312551953</v>
      </c>
      <c r="R36" s="178">
        <f t="shared" si="6"/>
        <v>83.000083</v>
      </c>
      <c r="S36" s="179" t="str">
        <f t="shared" si="7"/>
        <v>#N/A</v>
      </c>
      <c r="U36" s="173">
        <v>31.0</v>
      </c>
      <c r="V36" s="174" t="str">
        <f t="shared" si="8"/>
        <v>#N/A</v>
      </c>
    </row>
    <row r="37">
      <c r="A37" s="180"/>
      <c r="B37" s="167" t="s">
        <v>100</v>
      </c>
      <c r="C37" s="168">
        <f>VLOOKUP(B37,'Dados StatusInvest'!$A:$Z,26,0)</f>
        <v>124862991.7</v>
      </c>
      <c r="D37" s="169">
        <f>VLOOKUP(B37,'Dados StatusInvest'!$A:$Z,20,0)/100</f>
        <v>0.0424</v>
      </c>
      <c r="E37" s="93" t="str">
        <f t="shared" si="1"/>
        <v>#N/A</v>
      </c>
      <c r="F37" s="170">
        <f>IF(ISERROR(1/VLOOKUP(B37,Capa!A:AC,13,0)),0,1/VLOOKUP(B37,Capa!A:AC,13,0))</f>
        <v>0.5617977528</v>
      </c>
      <c r="G37" s="171">
        <f t="shared" si="2"/>
        <v>5.000005</v>
      </c>
      <c r="H37" s="172" t="str">
        <f t="shared" si="3"/>
        <v>#N/A</v>
      </c>
      <c r="J37" s="173">
        <v>32.0</v>
      </c>
      <c r="K37" s="174" t="str">
        <f t="shared" si="4"/>
        <v>#N/A</v>
      </c>
      <c r="M37" s="167" t="s">
        <v>100</v>
      </c>
      <c r="N37" s="168">
        <f>VLOOKUP(M37,'Dados StatusInvest'!$A:$Z,26,0)</f>
        <v>124862991.7</v>
      </c>
      <c r="O37" s="175">
        <f>VLOOKUP(M37,'Dados StatusInvest'!$A:$Z,18,0)/100</f>
        <v>0.082</v>
      </c>
      <c r="P37" s="176" t="str">
        <f t="shared" si="5"/>
        <v>#N/A</v>
      </c>
      <c r="Q37" s="177">
        <f>IF(ISERROR(1/VLOOKUP(M37,Capa!A:AC,6,0)),0,1/VLOOKUP(M37,Capa!A:AC,6,0))</f>
        <v>0.03965107058</v>
      </c>
      <c r="R37" s="178">
        <f t="shared" si="6"/>
        <v>174.000174</v>
      </c>
      <c r="S37" s="179" t="str">
        <f t="shared" si="7"/>
        <v>#N/A</v>
      </c>
      <c r="U37" s="173">
        <v>32.0</v>
      </c>
      <c r="V37" s="174" t="str">
        <f t="shared" si="8"/>
        <v>#N/A</v>
      </c>
    </row>
    <row r="38">
      <c r="A38" s="180"/>
      <c r="B38" s="167" t="s">
        <v>104</v>
      </c>
      <c r="C38" s="168">
        <f>VLOOKUP(B38,'Dados StatusInvest'!$A:$Z,26,0)</f>
        <v>120399804.1</v>
      </c>
      <c r="D38" s="169">
        <f>VLOOKUP(B38,'Dados StatusInvest'!$A:$Z,20,0)/100</f>
        <v>0</v>
      </c>
      <c r="E38" s="93" t="str">
        <f t="shared" si="1"/>
        <v>#N/A</v>
      </c>
      <c r="F38" s="170">
        <f>IF(ISERROR(1/VLOOKUP(B38,Capa!A:AC,13,0)),0,1/VLOOKUP(B38,Capa!A:AC,13,0))</f>
        <v>0</v>
      </c>
      <c r="G38" s="171">
        <f t="shared" si="2"/>
        <v>329.000329</v>
      </c>
      <c r="H38" s="172" t="str">
        <f t="shared" si="3"/>
        <v>#N/A</v>
      </c>
      <c r="J38" s="173">
        <v>33.0</v>
      </c>
      <c r="K38" s="174" t="str">
        <f t="shared" si="4"/>
        <v>#N/A</v>
      </c>
      <c r="M38" s="167" t="s">
        <v>104</v>
      </c>
      <c r="N38" s="168">
        <f>VLOOKUP(M38,'Dados StatusInvest'!$A:$Z,26,0)</f>
        <v>120399804.1</v>
      </c>
      <c r="O38" s="175">
        <f>VLOOKUP(M38,'Dados StatusInvest'!$A:$Z,18,0)/100</f>
        <v>0.5426</v>
      </c>
      <c r="P38" s="176" t="str">
        <f t="shared" si="5"/>
        <v>#N/A</v>
      </c>
      <c r="Q38" s="177">
        <f>IF(ISERROR(1/VLOOKUP(M38,Capa!A:AC,6,0)),0,1/VLOOKUP(M38,Capa!A:AC,6,0))</f>
        <v>0.03250975293</v>
      </c>
      <c r="R38" s="178">
        <f t="shared" si="6"/>
        <v>217.000217</v>
      </c>
      <c r="S38" s="179" t="str">
        <f t="shared" si="7"/>
        <v>#N/A</v>
      </c>
      <c r="U38" s="173">
        <v>33.0</v>
      </c>
      <c r="V38" s="174" t="str">
        <f t="shared" si="8"/>
        <v>#N/A</v>
      </c>
    </row>
    <row r="39">
      <c r="A39" s="180"/>
      <c r="B39" s="167" t="s">
        <v>112</v>
      </c>
      <c r="C39" s="168">
        <f>VLOOKUP(B39,'Dados StatusInvest'!$A:$Z,26,0)</f>
        <v>115838939.5</v>
      </c>
      <c r="D39" s="169">
        <f>VLOOKUP(B39,'Dados StatusInvest'!$A:$Z,20,0)/100</f>
        <v>0.0775</v>
      </c>
      <c r="E39" s="93" t="str">
        <f t="shared" si="1"/>
        <v>#N/A</v>
      </c>
      <c r="F39" s="170">
        <f>IF(ISERROR(1/VLOOKUP(B39,Capa!A:AC,13,0)),0,1/VLOOKUP(B39,Capa!A:AC,13,0))</f>
        <v>0.04323389537</v>
      </c>
      <c r="G39" s="171">
        <f t="shared" si="2"/>
        <v>189.000189</v>
      </c>
      <c r="H39" s="172" t="str">
        <f t="shared" si="3"/>
        <v>#N/A</v>
      </c>
      <c r="J39" s="173">
        <v>34.0</v>
      </c>
      <c r="K39" s="174" t="str">
        <f t="shared" si="4"/>
        <v>#N/A</v>
      </c>
      <c r="M39" s="167" t="s">
        <v>112</v>
      </c>
      <c r="N39" s="168">
        <f>VLOOKUP(M39,'Dados StatusInvest'!$A:$Z,26,0)</f>
        <v>115838939.5</v>
      </c>
      <c r="O39" s="175">
        <f>VLOOKUP(M39,'Dados StatusInvest'!$A:$Z,18,0)/100</f>
        <v>0.105</v>
      </c>
      <c r="P39" s="176" t="str">
        <f t="shared" si="5"/>
        <v>#N/A</v>
      </c>
      <c r="Q39" s="177">
        <f>IF(ISERROR(1/VLOOKUP(M39,Capa!A:AC,6,0)),0,1/VLOOKUP(M39,Capa!A:AC,6,0))</f>
        <v>0.0204792136</v>
      </c>
      <c r="R39" s="178">
        <f t="shared" si="6"/>
        <v>289.000289</v>
      </c>
      <c r="S39" s="179" t="str">
        <f t="shared" si="7"/>
        <v>#N/A</v>
      </c>
      <c r="U39" s="173">
        <v>34.0</v>
      </c>
      <c r="V39" s="174" t="str">
        <f t="shared" si="8"/>
        <v>#N/A</v>
      </c>
    </row>
    <row r="40">
      <c r="A40" s="180"/>
      <c r="B40" s="167" t="s">
        <v>76</v>
      </c>
      <c r="C40" s="168">
        <f>VLOOKUP(B40,'Dados StatusInvest'!$A:$Z,26,0)</f>
        <v>274594337.3</v>
      </c>
      <c r="D40" s="169">
        <f>VLOOKUP(B40,'Dados StatusInvest'!$A:$Z,20,0)/100</f>
        <v>0.204</v>
      </c>
      <c r="E40" s="93" t="str">
        <f t="shared" si="1"/>
        <v>#N/A</v>
      </c>
      <c r="F40" s="170">
        <f>IF(ISERROR(1/VLOOKUP(B40,Capa!A:AC,13,0)),0,1/VLOOKUP(B40,Capa!A:AC,13,0))</f>
        <v>0.1876172608</v>
      </c>
      <c r="G40" s="171">
        <f t="shared" si="2"/>
        <v>30.00003</v>
      </c>
      <c r="H40" s="172" t="str">
        <f t="shared" si="3"/>
        <v>#N/A</v>
      </c>
      <c r="J40" s="173">
        <v>35.0</v>
      </c>
      <c r="K40" s="174" t="str">
        <f t="shared" si="4"/>
        <v>#N/A</v>
      </c>
      <c r="M40" s="167" t="s">
        <v>76</v>
      </c>
      <c r="N40" s="168">
        <f>VLOOKUP(M40,'Dados StatusInvest'!$A:$Z,26,0)</f>
        <v>274594337.3</v>
      </c>
      <c r="O40" s="175">
        <f>VLOOKUP(M40,'Dados StatusInvest'!$A:$Z,18,0)/100</f>
        <v>0.37</v>
      </c>
      <c r="P40" s="176" t="str">
        <f t="shared" si="5"/>
        <v>#N/A</v>
      </c>
      <c r="Q40" s="177">
        <f>IF(ISERROR(1/VLOOKUP(M40,Capa!A:AC,6,0)),0,1/VLOOKUP(M40,Capa!A:AC,6,0))</f>
        <v>0.03341129302</v>
      </c>
      <c r="R40" s="178">
        <f t="shared" si="6"/>
        <v>213.000213</v>
      </c>
      <c r="S40" s="179" t="str">
        <f t="shared" si="7"/>
        <v>#N/A</v>
      </c>
      <c r="U40" s="173">
        <v>35.0</v>
      </c>
      <c r="V40" s="174" t="str">
        <f t="shared" si="8"/>
        <v>#N/A</v>
      </c>
    </row>
    <row r="41">
      <c r="A41" s="180"/>
      <c r="B41" s="167" t="s">
        <v>91</v>
      </c>
      <c r="C41" s="168">
        <f>VLOOKUP(B41,'Dados StatusInvest'!$A:$Z,26,0)</f>
        <v>188659704.8</v>
      </c>
      <c r="D41" s="169">
        <f>VLOOKUP(B41,'Dados StatusInvest'!$A:$Z,20,0)/100</f>
        <v>0.1948</v>
      </c>
      <c r="E41" s="93" t="str">
        <f t="shared" si="1"/>
        <v>#N/A</v>
      </c>
      <c r="F41" s="170">
        <f>IF(ISERROR(1/VLOOKUP(B41,Capa!A:AC,13,0)),0,1/VLOOKUP(B41,Capa!A:AC,13,0))</f>
        <v>0.0900090009</v>
      </c>
      <c r="G41" s="171">
        <f t="shared" si="2"/>
        <v>79.000079</v>
      </c>
      <c r="H41" s="172" t="str">
        <f t="shared" si="3"/>
        <v>#N/A</v>
      </c>
      <c r="J41" s="173">
        <v>36.0</v>
      </c>
      <c r="K41" s="174" t="str">
        <f t="shared" si="4"/>
        <v>#N/A</v>
      </c>
      <c r="M41" s="167" t="s">
        <v>91</v>
      </c>
      <c r="N41" s="168">
        <f>VLOOKUP(M41,'Dados StatusInvest'!$A:$Z,26,0)</f>
        <v>188659704.8</v>
      </c>
      <c r="O41" s="175">
        <f>VLOOKUP(M41,'Dados StatusInvest'!$A:$Z,18,0)/100</f>
        <v>0.9226</v>
      </c>
      <c r="P41" s="176" t="str">
        <f t="shared" si="5"/>
        <v>#N/A</v>
      </c>
      <c r="Q41" s="177">
        <f>IF(ISERROR(1/VLOOKUP(M41,Capa!A:AC,6,0)),0,1/VLOOKUP(M41,Capa!A:AC,6,0))</f>
        <v>0.03772161449</v>
      </c>
      <c r="R41" s="178">
        <f t="shared" si="6"/>
        <v>179.000179</v>
      </c>
      <c r="S41" s="179" t="str">
        <f t="shared" si="7"/>
        <v>#N/A</v>
      </c>
      <c r="U41" s="173">
        <v>36.0</v>
      </c>
      <c r="V41" s="174" t="str">
        <f t="shared" si="8"/>
        <v>#N/A</v>
      </c>
    </row>
    <row r="42">
      <c r="A42" s="180"/>
      <c r="B42" s="167" t="s">
        <v>92</v>
      </c>
      <c r="C42" s="168">
        <f>VLOOKUP(B42,'Dados StatusInvest'!$A:$Z,26,0)</f>
        <v>180039390.3</v>
      </c>
      <c r="D42" s="169">
        <f>VLOOKUP(B42,'Dados StatusInvest'!$A:$Z,20,0)/100</f>
        <v>0.0368</v>
      </c>
      <c r="E42" s="93" t="str">
        <f t="shared" si="1"/>
        <v>#N/A</v>
      </c>
      <c r="F42" s="170">
        <f>IF(ISERROR(1/VLOOKUP(B42,Capa!A:AC,13,0)),0,1/VLOOKUP(B42,Capa!A:AC,13,0))</f>
        <v>0.05232862376</v>
      </c>
      <c r="G42" s="171">
        <f t="shared" si="2"/>
        <v>154.000154</v>
      </c>
      <c r="H42" s="172" t="str">
        <f t="shared" si="3"/>
        <v>#N/A</v>
      </c>
      <c r="J42" s="173">
        <v>37.0</v>
      </c>
      <c r="K42" s="174" t="str">
        <f t="shared" si="4"/>
        <v>#N/A</v>
      </c>
      <c r="M42" s="167" t="s">
        <v>92</v>
      </c>
      <c r="N42" s="168">
        <f>VLOOKUP(M42,'Dados StatusInvest'!$A:$Z,26,0)</f>
        <v>180039390.3</v>
      </c>
      <c r="O42" s="175">
        <f>VLOOKUP(M42,'Dados StatusInvest'!$A:$Z,18,0)/100</f>
        <v>0.0742</v>
      </c>
      <c r="P42" s="176" t="str">
        <f t="shared" si="5"/>
        <v>#N/A</v>
      </c>
      <c r="Q42" s="177">
        <f>IF(ISERROR(1/VLOOKUP(M42,Capa!A:AC,6,0)),0,1/VLOOKUP(M42,Capa!A:AC,6,0))</f>
        <v>0.02074688797</v>
      </c>
      <c r="R42" s="178">
        <f t="shared" si="6"/>
        <v>287.000287</v>
      </c>
      <c r="S42" s="179" t="str">
        <f t="shared" si="7"/>
        <v>#N/A</v>
      </c>
      <c r="U42" s="173">
        <v>37.0</v>
      </c>
      <c r="V42" s="174" t="str">
        <f t="shared" si="8"/>
        <v>#N/A</v>
      </c>
    </row>
    <row r="43">
      <c r="A43" s="180"/>
      <c r="B43" s="167" t="s">
        <v>85</v>
      </c>
      <c r="C43" s="168">
        <f>VLOOKUP(B43,'Dados StatusInvest'!$A:$Z,26,0)</f>
        <v>195739742.5</v>
      </c>
      <c r="D43" s="169">
        <f>VLOOKUP(B43,'Dados StatusInvest'!$A:$Z,20,0)/100</f>
        <v>0.0536</v>
      </c>
      <c r="E43" s="93" t="str">
        <f t="shared" si="1"/>
        <v>#N/A</v>
      </c>
      <c r="F43" s="170">
        <f>IF(ISERROR(1/VLOOKUP(B43,Capa!A:AC,13,0)),0,1/VLOOKUP(B43,Capa!A:AC,13,0))</f>
        <v>0.1088139282</v>
      </c>
      <c r="G43" s="171">
        <f t="shared" si="2"/>
        <v>67.000067</v>
      </c>
      <c r="H43" s="172" t="str">
        <f t="shared" si="3"/>
        <v>#N/A</v>
      </c>
      <c r="J43" s="173">
        <v>38.0</v>
      </c>
      <c r="K43" s="174" t="str">
        <f t="shared" si="4"/>
        <v>#N/A</v>
      </c>
      <c r="M43" s="167" t="s">
        <v>85</v>
      </c>
      <c r="N43" s="168">
        <f>VLOOKUP(M43,'Dados StatusInvest'!$A:$Z,26,0)</f>
        <v>195739742.5</v>
      </c>
      <c r="O43" s="175">
        <f>VLOOKUP(M43,'Dados StatusInvest'!$A:$Z,18,0)/100</f>
        <v>0.0558</v>
      </c>
      <c r="P43" s="176" t="str">
        <f t="shared" si="5"/>
        <v>#N/A</v>
      </c>
      <c r="Q43" s="177">
        <f>IF(ISERROR(1/VLOOKUP(M43,Capa!A:AC,6,0)),0,1/VLOOKUP(M43,Capa!A:AC,6,0))</f>
        <v>0.05411255411</v>
      </c>
      <c r="R43" s="178">
        <f t="shared" si="6"/>
        <v>135.000135</v>
      </c>
      <c r="S43" s="179" t="str">
        <f t="shared" si="7"/>
        <v>#N/A</v>
      </c>
      <c r="U43" s="173">
        <v>38.0</v>
      </c>
      <c r="V43" s="174" t="str">
        <f t="shared" si="8"/>
        <v>#N/A</v>
      </c>
    </row>
    <row r="44">
      <c r="A44" s="180"/>
      <c r="B44" s="167" t="s">
        <v>127</v>
      </c>
      <c r="C44" s="168">
        <f>VLOOKUP(B44,'Dados StatusInvest'!$A:$Z,26,0)</f>
        <v>62817564.33</v>
      </c>
      <c r="D44" s="169">
        <f>VLOOKUP(B44,'Dados StatusInvest'!$A:$Z,20,0)/100</f>
        <v>0.1327</v>
      </c>
      <c r="E44" s="93" t="str">
        <f t="shared" si="1"/>
        <v>#N/A</v>
      </c>
      <c r="F44" s="170">
        <f>IF(ISERROR(1/VLOOKUP(B44,Capa!A:AC,13,0)),0,1/VLOOKUP(B44,Capa!A:AC,13,0))</f>
        <v>0.0337723742</v>
      </c>
      <c r="G44" s="171">
        <f t="shared" si="2"/>
        <v>230.00023</v>
      </c>
      <c r="H44" s="172" t="str">
        <f t="shared" si="3"/>
        <v>#N/A</v>
      </c>
      <c r="J44" s="173">
        <v>39.0</v>
      </c>
      <c r="K44" s="174" t="str">
        <f t="shared" si="4"/>
        <v>#N/A</v>
      </c>
      <c r="M44" s="167" t="s">
        <v>127</v>
      </c>
      <c r="N44" s="168">
        <f>VLOOKUP(M44,'Dados StatusInvest'!$A:$Z,26,0)</f>
        <v>62817564.33</v>
      </c>
      <c r="O44" s="175">
        <f>VLOOKUP(M44,'Dados StatusInvest'!$A:$Z,18,0)/100</f>
        <v>0.237</v>
      </c>
      <c r="P44" s="176" t="str">
        <f t="shared" si="5"/>
        <v>#N/A</v>
      </c>
      <c r="Q44" s="177">
        <f>IF(ISERROR(1/VLOOKUP(M44,Capa!A:AC,6,0)),0,1/VLOOKUP(M44,Capa!A:AC,6,0))</f>
        <v>0.02762430939</v>
      </c>
      <c r="R44" s="178">
        <f t="shared" si="6"/>
        <v>244.000244</v>
      </c>
      <c r="S44" s="179" t="str">
        <f t="shared" si="7"/>
        <v>#N/A</v>
      </c>
      <c r="U44" s="173">
        <v>39.0</v>
      </c>
      <c r="V44" s="174" t="str">
        <f t="shared" si="8"/>
        <v>#N/A</v>
      </c>
    </row>
    <row r="45">
      <c r="A45" s="180"/>
      <c r="B45" s="167" t="s">
        <v>94</v>
      </c>
      <c r="C45" s="168">
        <f>VLOOKUP(B45,'Dados StatusInvest'!$A:$Z,26,0)</f>
        <v>160657210</v>
      </c>
      <c r="D45" s="169">
        <f>VLOOKUP(B45,'Dados StatusInvest'!$A:$Z,20,0)/100</f>
        <v>0.0814</v>
      </c>
      <c r="E45" s="93" t="str">
        <f t="shared" si="1"/>
        <v>#N/A</v>
      </c>
      <c r="F45" s="170">
        <f>IF(ISERROR(1/VLOOKUP(B45,Capa!A:AC,13,0)),0,1/VLOOKUP(B45,Capa!A:AC,13,0))</f>
        <v>0.05984440455</v>
      </c>
      <c r="G45" s="171">
        <f t="shared" si="2"/>
        <v>122.000122</v>
      </c>
      <c r="H45" s="172" t="str">
        <f t="shared" si="3"/>
        <v>#N/A</v>
      </c>
      <c r="J45" s="173">
        <v>40.0</v>
      </c>
      <c r="K45" s="174" t="str">
        <f t="shared" si="4"/>
        <v>#N/A</v>
      </c>
      <c r="M45" s="167" t="s">
        <v>94</v>
      </c>
      <c r="N45" s="168">
        <f>VLOOKUP(M45,'Dados StatusInvest'!$A:$Z,26,0)</f>
        <v>160657210</v>
      </c>
      <c r="O45" s="175">
        <f>VLOOKUP(M45,'Dados StatusInvest'!$A:$Z,18,0)/100</f>
        <v>0.1229</v>
      </c>
      <c r="P45" s="176" t="str">
        <f t="shared" si="5"/>
        <v>#N/A</v>
      </c>
      <c r="Q45" s="177">
        <f>IF(ISERROR(1/VLOOKUP(M45,Capa!A:AC,6,0)),0,1/VLOOKUP(M45,Capa!A:AC,6,0))</f>
        <v>0.02424830262</v>
      </c>
      <c r="R45" s="178">
        <f t="shared" si="6"/>
        <v>258.000258</v>
      </c>
      <c r="S45" s="179" t="str">
        <f t="shared" si="7"/>
        <v>#N/A</v>
      </c>
      <c r="U45" s="173">
        <v>40.0</v>
      </c>
      <c r="V45" s="174" t="str">
        <f t="shared" si="8"/>
        <v>#N/A</v>
      </c>
    </row>
    <row r="46">
      <c r="A46" s="180"/>
      <c r="B46" s="167" t="s">
        <v>135</v>
      </c>
      <c r="C46" s="168">
        <f>VLOOKUP(B46,'Dados StatusInvest'!$A:$Z,26,0)</f>
        <v>58460596.33</v>
      </c>
      <c r="D46" s="169">
        <f>VLOOKUP(B46,'Dados StatusInvest'!$A:$Z,20,0)/100</f>
        <v>0.0484</v>
      </c>
      <c r="E46" s="93" t="str">
        <f t="shared" si="1"/>
        <v>#N/A</v>
      </c>
      <c r="F46" s="170">
        <f>IF(ISERROR(1/VLOOKUP(B46,Capa!A:AC,13,0)),0,1/VLOOKUP(B46,Capa!A:AC,13,0))</f>
        <v>0.08802816901</v>
      </c>
      <c r="G46" s="171">
        <f t="shared" si="2"/>
        <v>85.000085</v>
      </c>
      <c r="H46" s="172" t="str">
        <f t="shared" si="3"/>
        <v>#N/A</v>
      </c>
      <c r="J46" s="173"/>
      <c r="M46" s="167" t="s">
        <v>135</v>
      </c>
      <c r="N46" s="168">
        <f>VLOOKUP(M46,'Dados StatusInvest'!$A:$Z,26,0)</f>
        <v>58460596.33</v>
      </c>
      <c r="O46" s="175">
        <f>VLOOKUP(M46,'Dados StatusInvest'!$A:$Z,18,0)/100</f>
        <v>0.052</v>
      </c>
      <c r="P46" s="176" t="str">
        <f t="shared" si="5"/>
        <v>#N/A</v>
      </c>
      <c r="Q46" s="177">
        <f>IF(ISERROR(1/VLOOKUP(M46,Capa!A:AC,6,0)),0,1/VLOOKUP(M46,Capa!A:AC,6,0))</f>
        <v>0.02621231979</v>
      </c>
      <c r="R46" s="178">
        <f t="shared" si="6"/>
        <v>250.00025</v>
      </c>
      <c r="S46" s="179" t="str">
        <f t="shared" si="7"/>
        <v>#N/A</v>
      </c>
    </row>
    <row r="47">
      <c r="A47" s="180"/>
      <c r="B47" s="167" t="s">
        <v>111</v>
      </c>
      <c r="C47" s="168">
        <f>VLOOKUP(B47,'Dados StatusInvest'!$A:$Z,26,0)</f>
        <v>111351533.5</v>
      </c>
      <c r="D47" s="169">
        <f>VLOOKUP(B47,'Dados StatusInvest'!$A:$Z,20,0)/100</f>
        <v>0.4542</v>
      </c>
      <c r="E47" s="93" t="str">
        <f t="shared" si="1"/>
        <v>#N/A</v>
      </c>
      <c r="F47" s="170">
        <f>IF(ISERROR(1/VLOOKUP(B47,Capa!A:AC,13,0)),0,1/VLOOKUP(B47,Capa!A:AC,13,0))</f>
        <v>-0.02263980077</v>
      </c>
      <c r="G47" s="171">
        <f t="shared" si="2"/>
        <v>412.000412</v>
      </c>
      <c r="H47" s="172" t="str">
        <f t="shared" si="3"/>
        <v>#N/A</v>
      </c>
      <c r="J47" s="173"/>
      <c r="M47" s="167" t="s">
        <v>111</v>
      </c>
      <c r="N47" s="168">
        <f>VLOOKUP(M47,'Dados StatusInvest'!$A:$Z,26,0)</f>
        <v>111351533.5</v>
      </c>
      <c r="O47" s="175">
        <f>VLOOKUP(M47,'Dados StatusInvest'!$A:$Z,18,0)/100</f>
        <v>-0.2279</v>
      </c>
      <c r="P47" s="176" t="str">
        <f t="shared" si="5"/>
        <v>#N/A</v>
      </c>
      <c r="Q47" s="177">
        <f>IF(ISERROR(1/VLOOKUP(M47,Capa!A:AC,6,0)),0,1/VLOOKUP(M47,Capa!A:AC,6,0))</f>
        <v>0.03444712367</v>
      </c>
      <c r="R47" s="178">
        <f t="shared" si="6"/>
        <v>203.000203</v>
      </c>
      <c r="S47" s="179" t="str">
        <f t="shared" si="7"/>
        <v>#N/A</v>
      </c>
    </row>
    <row r="48">
      <c r="A48" s="180"/>
      <c r="B48" s="167" t="s">
        <v>664</v>
      </c>
      <c r="C48" s="168">
        <f>VLOOKUP(B48,'Dados StatusInvest'!$A:$Z,26,0)</f>
        <v>111231163.9</v>
      </c>
      <c r="D48" s="169">
        <f>VLOOKUP(B48,'Dados StatusInvest'!$A:$Z,20,0)/100</f>
        <v>0.0681</v>
      </c>
      <c r="E48" s="93" t="str">
        <f t="shared" si="1"/>
        <v>#N/A</v>
      </c>
      <c r="F48" s="170">
        <f>IF(ISERROR(1/VLOOKUP(B48,Capa!A:AC,13,0)),0,1/VLOOKUP(B48,Capa!A:AC,13,0))</f>
        <v>0</v>
      </c>
      <c r="G48" s="171">
        <f t="shared" si="2"/>
        <v>329.000329</v>
      </c>
      <c r="H48" s="172" t="str">
        <f t="shared" si="3"/>
        <v>#N/A</v>
      </c>
      <c r="J48" s="173"/>
      <c r="M48" s="167" t="s">
        <v>664</v>
      </c>
      <c r="N48" s="168">
        <f>VLOOKUP(M48,'Dados StatusInvest'!$A:$Z,26,0)</f>
        <v>111231163.9</v>
      </c>
      <c r="O48" s="175">
        <f>VLOOKUP(M48,'Dados StatusInvest'!$A:$Z,18,0)/100</f>
        <v>0.0697</v>
      </c>
      <c r="P48" s="176" t="str">
        <f t="shared" si="5"/>
        <v>#N/A</v>
      </c>
      <c r="Q48" s="177">
        <f>IF(ISERROR(1/VLOOKUP(M48,Capa!A:AC,6,0)),0,1/VLOOKUP(M48,Capa!A:AC,6,0))</f>
        <v>0</v>
      </c>
      <c r="R48" s="178">
        <f t="shared" si="6"/>
        <v>399.000399</v>
      </c>
      <c r="S48" s="179" t="str">
        <f t="shared" si="7"/>
        <v>#N/A</v>
      </c>
    </row>
    <row r="49">
      <c r="A49" s="180"/>
      <c r="B49" s="167" t="s">
        <v>116</v>
      </c>
      <c r="C49" s="168">
        <f>VLOOKUP(B49,'Dados StatusInvest'!$A:$Z,26,0)</f>
        <v>95351256.38</v>
      </c>
      <c r="D49" s="169">
        <f>VLOOKUP(B49,'Dados StatusInvest'!$A:$Z,20,0)/100</f>
        <v>0.0926</v>
      </c>
      <c r="E49" s="93" t="str">
        <f t="shared" si="1"/>
        <v>#N/A</v>
      </c>
      <c r="F49" s="170">
        <f>IF(ISERROR(1/VLOOKUP(B49,Capa!A:AC,13,0)),0,1/VLOOKUP(B49,Capa!A:AC,13,0))</f>
        <v>0.03117206983</v>
      </c>
      <c r="G49" s="171">
        <f t="shared" si="2"/>
        <v>245.000245</v>
      </c>
      <c r="H49" s="172" t="str">
        <f t="shared" si="3"/>
        <v>#N/A</v>
      </c>
      <c r="J49" s="173"/>
      <c r="M49" s="167" t="s">
        <v>116</v>
      </c>
      <c r="N49" s="168">
        <f>VLOOKUP(M49,'Dados StatusInvest'!$A:$Z,26,0)</f>
        <v>95351256.38</v>
      </c>
      <c r="O49" s="175">
        <f>VLOOKUP(M49,'Dados StatusInvest'!$A:$Z,18,0)/100</f>
        <v>0.1498</v>
      </c>
      <c r="P49" s="176" t="str">
        <f t="shared" si="5"/>
        <v>#N/A</v>
      </c>
      <c r="Q49" s="177">
        <f>IF(ISERROR(1/VLOOKUP(M49,Capa!A:AC,6,0)),0,1/VLOOKUP(M49,Capa!A:AC,6,0))</f>
        <v>0.02659574468</v>
      </c>
      <c r="R49" s="178">
        <f t="shared" si="6"/>
        <v>247.000247</v>
      </c>
      <c r="S49" s="179" t="str">
        <f t="shared" si="7"/>
        <v>#N/A</v>
      </c>
    </row>
    <row r="50">
      <c r="A50" s="180"/>
      <c r="B50" s="167" t="s">
        <v>82</v>
      </c>
      <c r="C50" s="168">
        <f>VLOOKUP(B50,'Dados StatusInvest'!$A:$Z,26,0)</f>
        <v>198114826</v>
      </c>
      <c r="D50" s="169">
        <f>VLOOKUP(B50,'Dados StatusInvest'!$A:$Z,20,0)/100</f>
        <v>0.0655</v>
      </c>
      <c r="E50" s="93" t="str">
        <f t="shared" si="1"/>
        <v>#N/A</v>
      </c>
      <c r="F50" s="170">
        <f>IF(ISERROR(1/VLOOKUP(B50,Capa!A:AC,13,0)),0,1/VLOOKUP(B50,Capa!A:AC,13,0))</f>
        <v>0.04257130694</v>
      </c>
      <c r="G50" s="171">
        <f t="shared" si="2"/>
        <v>194.000194</v>
      </c>
      <c r="H50" s="172" t="str">
        <f t="shared" si="3"/>
        <v>#N/A</v>
      </c>
      <c r="J50" s="173"/>
      <c r="M50" s="167" t="s">
        <v>82</v>
      </c>
      <c r="N50" s="168">
        <f>VLOOKUP(M50,'Dados StatusInvest'!$A:$Z,26,0)</f>
        <v>198114826</v>
      </c>
      <c r="O50" s="175">
        <f>VLOOKUP(M50,'Dados StatusInvest'!$A:$Z,18,0)/100</f>
        <v>0.2428</v>
      </c>
      <c r="P50" s="176" t="str">
        <f t="shared" si="5"/>
        <v>#N/A</v>
      </c>
      <c r="Q50" s="177">
        <f>IF(ISERROR(1/VLOOKUP(M50,Capa!A:AC,6,0)),0,1/VLOOKUP(M50,Capa!A:AC,6,0))</f>
        <v>0.03650967506</v>
      </c>
      <c r="R50" s="178">
        <f t="shared" si="6"/>
        <v>186.000186</v>
      </c>
      <c r="S50" s="179" t="str">
        <f t="shared" si="7"/>
        <v>#N/A</v>
      </c>
    </row>
    <row r="51">
      <c r="A51" s="180"/>
      <c r="B51" s="167" t="s">
        <v>103</v>
      </c>
      <c r="C51" s="168">
        <f>VLOOKUP(B51,'Dados StatusInvest'!$A:$Z,26,0)</f>
        <v>133151875.2</v>
      </c>
      <c r="D51" s="169">
        <f>VLOOKUP(B51,'Dados StatusInvest'!$A:$Z,20,0)/100</f>
        <v>0.0955</v>
      </c>
      <c r="E51" s="93" t="str">
        <f t="shared" si="1"/>
        <v>#N/A</v>
      </c>
      <c r="F51" s="170">
        <f>IF(ISERROR(1/VLOOKUP(B51,Capa!A:AC,13,0)),0,1/VLOOKUP(B51,Capa!A:AC,13,0))</f>
        <v>0.01083541012</v>
      </c>
      <c r="G51" s="171">
        <f t="shared" si="2"/>
        <v>299.000299</v>
      </c>
      <c r="H51" s="172" t="str">
        <f t="shared" si="3"/>
        <v>#N/A</v>
      </c>
      <c r="J51" s="173"/>
      <c r="M51" s="167" t="s">
        <v>103</v>
      </c>
      <c r="N51" s="168">
        <f>VLOOKUP(M51,'Dados StatusInvest'!$A:$Z,26,0)</f>
        <v>133151875.2</v>
      </c>
      <c r="O51" s="175">
        <f>VLOOKUP(M51,'Dados StatusInvest'!$A:$Z,18,0)/100</f>
        <v>0.1341</v>
      </c>
      <c r="P51" s="176" t="str">
        <f t="shared" si="5"/>
        <v>#N/A</v>
      </c>
      <c r="Q51" s="177">
        <f>IF(ISERROR(1/VLOOKUP(M51,Capa!A:AC,6,0)),0,1/VLOOKUP(M51,Capa!A:AC,6,0))</f>
        <v>0.03519887364</v>
      </c>
      <c r="R51" s="178">
        <f t="shared" si="6"/>
        <v>195.000195</v>
      </c>
      <c r="S51" s="179" t="str">
        <f t="shared" si="7"/>
        <v>#N/A</v>
      </c>
    </row>
    <row r="52">
      <c r="A52" s="180"/>
      <c r="B52" s="167" t="s">
        <v>95</v>
      </c>
      <c r="C52" s="168">
        <f>VLOOKUP(B52,'Dados StatusInvest'!$A:$Z,26,0)</f>
        <v>136742258.7</v>
      </c>
      <c r="D52" s="169">
        <f>VLOOKUP(B52,'Dados StatusInvest'!$A:$Z,20,0)/100</f>
        <v>0.2169</v>
      </c>
      <c r="E52" s="93" t="str">
        <f t="shared" si="1"/>
        <v>#N/A</v>
      </c>
      <c r="F52" s="170">
        <f>IF(ISERROR(1/VLOOKUP(B52,Capa!A:AC,13,0)),0,1/VLOOKUP(B52,Capa!A:AC,13,0))</f>
        <v>0.01722652885</v>
      </c>
      <c r="G52" s="171">
        <f t="shared" si="2"/>
        <v>289.000289</v>
      </c>
      <c r="H52" s="172" t="str">
        <f t="shared" si="3"/>
        <v>#N/A</v>
      </c>
      <c r="M52" s="167" t="s">
        <v>95</v>
      </c>
      <c r="N52" s="168">
        <f>VLOOKUP(M52,'Dados StatusInvest'!$A:$Z,26,0)</f>
        <v>136742258.7</v>
      </c>
      <c r="O52" s="175">
        <f>VLOOKUP(M52,'Dados StatusInvest'!$A:$Z,18,0)/100</f>
        <v>0.3562</v>
      </c>
      <c r="P52" s="176" t="str">
        <f t="shared" si="5"/>
        <v>#N/A</v>
      </c>
      <c r="Q52" s="177">
        <f>IF(ISERROR(1/VLOOKUP(M52,Capa!A:AC,6,0)),0,1/VLOOKUP(M52,Capa!A:AC,6,0))</f>
        <v>0.03134796238</v>
      </c>
      <c r="R52" s="178">
        <f t="shared" si="6"/>
        <v>228.000228</v>
      </c>
      <c r="S52" s="179" t="str">
        <f t="shared" si="7"/>
        <v>#N/A</v>
      </c>
    </row>
    <row r="53">
      <c r="A53" s="180"/>
      <c r="B53" s="167" t="s">
        <v>110</v>
      </c>
      <c r="C53" s="168">
        <f>VLOOKUP(B53,'Dados StatusInvest'!$A:$Z,26,0)</f>
        <v>130259247.8</v>
      </c>
      <c r="D53" s="169">
        <f>VLOOKUP(B53,'Dados StatusInvest'!$A:$Z,20,0)/100</f>
        <v>0.1561</v>
      </c>
      <c r="E53" s="93" t="str">
        <f t="shared" si="1"/>
        <v>#N/A</v>
      </c>
      <c r="F53" s="170">
        <f>IF(ISERROR(1/VLOOKUP(B53,Capa!A:AC,13,0)),0,1/VLOOKUP(B53,Capa!A:AC,13,0))</f>
        <v>0.04239084358</v>
      </c>
      <c r="G53" s="171">
        <f t="shared" si="2"/>
        <v>196.000196</v>
      </c>
      <c r="H53" s="172" t="str">
        <f t="shared" si="3"/>
        <v>#N/A</v>
      </c>
      <c r="M53" s="167" t="s">
        <v>110</v>
      </c>
      <c r="N53" s="168">
        <f>VLOOKUP(M53,'Dados StatusInvest'!$A:$Z,26,0)</f>
        <v>130259247.8</v>
      </c>
      <c r="O53" s="175">
        <f>VLOOKUP(M53,'Dados StatusInvest'!$A:$Z,18,0)/100</f>
        <v>0.214</v>
      </c>
      <c r="P53" s="176" t="str">
        <f t="shared" si="5"/>
        <v>#N/A</v>
      </c>
      <c r="Q53" s="177">
        <f>IF(ISERROR(1/VLOOKUP(M53,Capa!A:AC,6,0)),0,1/VLOOKUP(M53,Capa!A:AC,6,0))</f>
        <v>0.06849315068</v>
      </c>
      <c r="R53" s="178">
        <f t="shared" si="6"/>
        <v>108.000108</v>
      </c>
      <c r="S53" s="179" t="str">
        <f t="shared" si="7"/>
        <v>#N/A</v>
      </c>
    </row>
    <row r="54">
      <c r="A54" s="180"/>
      <c r="B54" s="167" t="s">
        <v>1676</v>
      </c>
      <c r="C54" s="168" t="str">
        <f>VLOOKUP(B54,'Dados StatusInvest'!$A:$Z,26,0)</f>
        <v>#N/A</v>
      </c>
      <c r="D54" s="169" t="str">
        <f>VLOOKUP(B54,'Dados StatusInvest'!$A:$Z,20,0)/100</f>
        <v>#N/A</v>
      </c>
      <c r="E54" s="93" t="str">
        <f t="shared" si="1"/>
        <v>#N/A</v>
      </c>
      <c r="F54" s="170">
        <f>IF(ISERROR(1/VLOOKUP(B54,Capa!A:AC,13,0)),0,1/VLOOKUP(B54,Capa!A:AC,13,0))</f>
        <v>0</v>
      </c>
      <c r="G54" s="171">
        <f t="shared" si="2"/>
        <v>329.000329</v>
      </c>
      <c r="H54" s="172" t="str">
        <f t="shared" si="3"/>
        <v>#N/A</v>
      </c>
      <c r="M54" s="167" t="s">
        <v>1676</v>
      </c>
      <c r="N54" s="168" t="str">
        <f>VLOOKUP(M54,'Dados StatusInvest'!$A:$Z,26,0)</f>
        <v>#N/A</v>
      </c>
      <c r="O54" s="175" t="str">
        <f>VLOOKUP(M54,'Dados StatusInvest'!$A:$Z,18,0)/100</f>
        <v>#N/A</v>
      </c>
      <c r="P54" s="176" t="str">
        <f t="shared" si="5"/>
        <v>#N/A</v>
      </c>
      <c r="Q54" s="177">
        <f>IF(ISERROR(1/VLOOKUP(M54,Capa!A:AC,6,0)),0,1/VLOOKUP(M54,Capa!A:AC,6,0))</f>
        <v>0</v>
      </c>
      <c r="R54" s="178">
        <f t="shared" si="6"/>
        <v>399.000399</v>
      </c>
      <c r="S54" s="179" t="str">
        <f t="shared" si="7"/>
        <v>#N/A</v>
      </c>
    </row>
    <row r="55">
      <c r="A55" s="180"/>
      <c r="B55" s="167" t="s">
        <v>61</v>
      </c>
      <c r="C55" s="168">
        <f>VLOOKUP(B55,'Dados StatusInvest'!$A:$Z,26,0)</f>
        <v>407425386.5</v>
      </c>
      <c r="D55" s="169">
        <f>VLOOKUP(B55,'Dados StatusInvest'!$A:$Z,20,0)/100</f>
        <v>0.2812</v>
      </c>
      <c r="E55" s="93" t="str">
        <f t="shared" si="1"/>
        <v>#N/A</v>
      </c>
      <c r="F55" s="170">
        <f>IF(ISERROR(1/VLOOKUP(B55,Capa!A:AC,13,0)),0,1/VLOOKUP(B55,Capa!A:AC,13,0))</f>
        <v>0.02367424242</v>
      </c>
      <c r="G55" s="171">
        <f t="shared" si="2"/>
        <v>269.000269</v>
      </c>
      <c r="H55" s="172" t="str">
        <f t="shared" si="3"/>
        <v>#N/A</v>
      </c>
      <c r="M55" s="167" t="s">
        <v>61</v>
      </c>
      <c r="N55" s="168">
        <f>VLOOKUP(M55,'Dados StatusInvest'!$A:$Z,26,0)</f>
        <v>407425386.5</v>
      </c>
      <c r="O55" s="175">
        <f>VLOOKUP(M55,'Dados StatusInvest'!$A:$Z,18,0)/100</f>
        <v>0.6914</v>
      </c>
      <c r="P55" s="176" t="str">
        <f t="shared" si="5"/>
        <v>#N/A</v>
      </c>
      <c r="Q55" s="177">
        <f>IF(ISERROR(1/VLOOKUP(M55,Capa!A:AC,6,0)),0,1/VLOOKUP(M55,Capa!A:AC,6,0))</f>
        <v>0.0185528757</v>
      </c>
      <c r="R55" s="178">
        <f t="shared" si="6"/>
        <v>301.000301</v>
      </c>
      <c r="S55" s="179" t="str">
        <f t="shared" si="7"/>
        <v>#N/A</v>
      </c>
    </row>
    <row r="56">
      <c r="A56" s="180"/>
      <c r="B56" s="167" t="s">
        <v>136</v>
      </c>
      <c r="C56" s="168">
        <f>VLOOKUP(B56,'Dados StatusInvest'!$A:$Z,26,0)</f>
        <v>65659213.58</v>
      </c>
      <c r="D56" s="169">
        <f>VLOOKUP(B56,'Dados StatusInvest'!$A:$Z,20,0)/100</f>
        <v>-0.1596</v>
      </c>
      <c r="E56" s="93" t="str">
        <f t="shared" si="1"/>
        <v>#N/A</v>
      </c>
      <c r="F56" s="170">
        <f>IF(ISERROR(1/VLOOKUP(B56,Capa!A:AC,13,0)),0,1/VLOOKUP(B56,Capa!A:AC,13,0))</f>
        <v>-0.02678093198</v>
      </c>
      <c r="G56" s="171">
        <f t="shared" si="2"/>
        <v>415.000415</v>
      </c>
      <c r="H56" s="172" t="str">
        <f t="shared" si="3"/>
        <v>#N/A</v>
      </c>
      <c r="M56" s="167" t="s">
        <v>136</v>
      </c>
      <c r="N56" s="168">
        <f>VLOOKUP(M56,'Dados StatusInvest'!$A:$Z,26,0)</f>
        <v>65659213.58</v>
      </c>
      <c r="O56" s="175">
        <f>VLOOKUP(M56,'Dados StatusInvest'!$A:$Z,18,0)/100</f>
        <v>-0.5469</v>
      </c>
      <c r="P56" s="176" t="str">
        <f t="shared" si="5"/>
        <v>#N/A</v>
      </c>
      <c r="Q56" s="177">
        <f>IF(ISERROR(1/VLOOKUP(M56,Capa!A:AC,6,0)),0,1/VLOOKUP(M56,Capa!A:AC,6,0))</f>
        <v>0.3861003861</v>
      </c>
      <c r="R56" s="178">
        <f t="shared" si="6"/>
        <v>4.000004</v>
      </c>
      <c r="S56" s="179" t="str">
        <f t="shared" si="7"/>
        <v>#N/A</v>
      </c>
    </row>
    <row r="57">
      <c r="A57" s="180"/>
      <c r="B57" s="167" t="s">
        <v>98</v>
      </c>
      <c r="C57" s="168">
        <f>VLOOKUP(B57,'Dados StatusInvest'!$A:$Z,26,0)</f>
        <v>167890459.5</v>
      </c>
      <c r="D57" s="169">
        <f>VLOOKUP(B57,'Dados StatusInvest'!$A:$Z,20,0)/100</f>
        <v>0.0763</v>
      </c>
      <c r="E57" s="93" t="str">
        <f t="shared" si="1"/>
        <v>#N/A</v>
      </c>
      <c r="F57" s="170">
        <f>IF(ISERROR(1/VLOOKUP(B57,Capa!A:AC,13,0)),0,1/VLOOKUP(B57,Capa!A:AC,13,0))</f>
        <v>0.03676470588</v>
      </c>
      <c r="G57" s="171">
        <f t="shared" si="2"/>
        <v>219.000219</v>
      </c>
      <c r="H57" s="172" t="str">
        <f t="shared" si="3"/>
        <v>#N/A</v>
      </c>
      <c r="M57" s="167" t="s">
        <v>98</v>
      </c>
      <c r="N57" s="168">
        <f>VLOOKUP(M57,'Dados StatusInvest'!$A:$Z,26,0)</f>
        <v>167890459.5</v>
      </c>
      <c r="O57" s="175">
        <f>VLOOKUP(M57,'Dados StatusInvest'!$A:$Z,18,0)/100</f>
        <v>0.0839</v>
      </c>
      <c r="P57" s="176" t="str">
        <f t="shared" si="5"/>
        <v>#N/A</v>
      </c>
      <c r="Q57" s="177">
        <f>IF(ISERROR(1/VLOOKUP(M57,Capa!A:AC,6,0)),0,1/VLOOKUP(M57,Capa!A:AC,6,0))</f>
        <v>0.06906077348</v>
      </c>
      <c r="R57" s="178">
        <f t="shared" si="6"/>
        <v>105.000105</v>
      </c>
      <c r="S57" s="179" t="str">
        <f t="shared" si="7"/>
        <v>#N/A</v>
      </c>
    </row>
    <row r="58">
      <c r="A58" s="180"/>
      <c r="B58" s="167" t="s">
        <v>89</v>
      </c>
      <c r="C58" s="168">
        <f>VLOOKUP(B58,'Dados StatusInvest'!$A:$Z,26,0)</f>
        <v>161072667</v>
      </c>
      <c r="D58" s="169">
        <f>VLOOKUP(B58,'Dados StatusInvest'!$A:$Z,20,0)/100</f>
        <v>0.0848</v>
      </c>
      <c r="E58" s="93" t="str">
        <f t="shared" si="1"/>
        <v>#N/A</v>
      </c>
      <c r="F58" s="170">
        <f>IF(ISERROR(1/VLOOKUP(B58,Capa!A:AC,13,0)),0,1/VLOOKUP(B58,Capa!A:AC,13,0))</f>
        <v>0.03646973012</v>
      </c>
      <c r="G58" s="171">
        <f t="shared" si="2"/>
        <v>220.00022</v>
      </c>
      <c r="H58" s="172" t="str">
        <f t="shared" si="3"/>
        <v>#N/A</v>
      </c>
      <c r="M58" s="167" t="s">
        <v>89</v>
      </c>
      <c r="N58" s="168">
        <f>VLOOKUP(M58,'Dados StatusInvest'!$A:$Z,26,0)</f>
        <v>161072667</v>
      </c>
      <c r="O58" s="175">
        <f>VLOOKUP(M58,'Dados StatusInvest'!$A:$Z,18,0)/100</f>
        <v>0.4032</v>
      </c>
      <c r="P58" s="176" t="str">
        <f t="shared" si="5"/>
        <v>#N/A</v>
      </c>
      <c r="Q58" s="177">
        <f>IF(ISERROR(1/VLOOKUP(M58,Capa!A:AC,6,0)),0,1/VLOOKUP(M58,Capa!A:AC,6,0))</f>
        <v>0.03170577045</v>
      </c>
      <c r="R58" s="178">
        <f t="shared" si="6"/>
        <v>224.000224</v>
      </c>
      <c r="S58" s="179" t="str">
        <f t="shared" si="7"/>
        <v>#N/A</v>
      </c>
    </row>
    <row r="59">
      <c r="A59" s="180"/>
      <c r="B59" s="167" t="s">
        <v>63</v>
      </c>
      <c r="C59" s="168">
        <f>VLOOKUP(B59,'Dados StatusInvest'!$A:$Z,26,0)</f>
        <v>448129857.4</v>
      </c>
      <c r="D59" s="169">
        <f>VLOOKUP(B59,'Dados StatusInvest'!$A:$Z,20,0)/100</f>
        <v>0.2418</v>
      </c>
      <c r="E59" s="93" t="str">
        <f t="shared" si="1"/>
        <v>#N/A</v>
      </c>
      <c r="F59" s="170">
        <f>IF(ISERROR(1/VLOOKUP(B59,Capa!A:AC,13,0)),0,1/VLOOKUP(B59,Capa!A:AC,13,0))</f>
        <v>0.02742731761</v>
      </c>
      <c r="G59" s="171">
        <f t="shared" si="2"/>
        <v>256.000256</v>
      </c>
      <c r="H59" s="172" t="str">
        <f t="shared" si="3"/>
        <v>#N/A</v>
      </c>
      <c r="M59" s="167" t="s">
        <v>63</v>
      </c>
      <c r="N59" s="168">
        <f>VLOOKUP(M59,'Dados StatusInvest'!$A:$Z,26,0)</f>
        <v>448129857.4</v>
      </c>
      <c r="O59" s="175">
        <f>VLOOKUP(M59,'Dados StatusInvest'!$A:$Z,18,0)/100</f>
        <v>0.3374</v>
      </c>
      <c r="P59" s="176" t="str">
        <f t="shared" si="5"/>
        <v>#N/A</v>
      </c>
      <c r="Q59" s="177">
        <f>IF(ISERROR(1/VLOOKUP(M59,Capa!A:AC,6,0)),0,1/VLOOKUP(M59,Capa!A:AC,6,0))</f>
        <v>0.04105090312</v>
      </c>
      <c r="R59" s="178">
        <f t="shared" si="6"/>
        <v>167.000167</v>
      </c>
      <c r="S59" s="179" t="str">
        <f t="shared" si="7"/>
        <v>#N/A</v>
      </c>
    </row>
    <row r="60">
      <c r="A60" s="180"/>
      <c r="B60" s="167" t="s">
        <v>72</v>
      </c>
      <c r="C60" s="168">
        <f>VLOOKUP(B60,'Dados StatusInvest'!$A:$Z,26,0)</f>
        <v>517046859.5</v>
      </c>
      <c r="D60" s="169">
        <f>VLOOKUP(B60,'Dados StatusInvest'!$A:$Z,20,0)/100</f>
        <v>0.1347</v>
      </c>
      <c r="E60" s="93" t="str">
        <f t="shared" si="1"/>
        <v>#N/A</v>
      </c>
      <c r="F60" s="170">
        <f>IF(ISERROR(1/VLOOKUP(B60,Capa!A:AC,13,0)),0,1/VLOOKUP(B60,Capa!A:AC,13,0))</f>
        <v>0.02091612633</v>
      </c>
      <c r="G60" s="171">
        <f t="shared" si="2"/>
        <v>277.000277</v>
      </c>
      <c r="H60" s="172" t="str">
        <f t="shared" si="3"/>
        <v>#N/A</v>
      </c>
      <c r="M60" s="167" t="s">
        <v>72</v>
      </c>
      <c r="N60" s="168">
        <f>VLOOKUP(M60,'Dados StatusInvest'!$A:$Z,26,0)</f>
        <v>517046859.5</v>
      </c>
      <c r="O60" s="175">
        <f>VLOOKUP(M60,'Dados StatusInvest'!$A:$Z,18,0)/100</f>
        <v>0.1592</v>
      </c>
      <c r="P60" s="176" t="str">
        <f t="shared" si="5"/>
        <v>#N/A</v>
      </c>
      <c r="Q60" s="177">
        <f>IF(ISERROR(1/VLOOKUP(M60,Capa!A:AC,6,0)),0,1/VLOOKUP(M60,Capa!A:AC,6,0))</f>
        <v>0.03614022407</v>
      </c>
      <c r="R60" s="178">
        <f t="shared" si="6"/>
        <v>189.000189</v>
      </c>
      <c r="S60" s="179" t="str">
        <f t="shared" si="7"/>
        <v>#N/A</v>
      </c>
    </row>
    <row r="61">
      <c r="A61" s="180"/>
      <c r="B61" s="167" t="s">
        <v>641</v>
      </c>
      <c r="C61" s="168">
        <f>VLOOKUP(B61,'Dados StatusInvest'!$A:$Z,26,0)</f>
        <v>0</v>
      </c>
      <c r="D61" s="169">
        <f>VLOOKUP(B61,'Dados StatusInvest'!$A:$Z,20,0)/100</f>
        <v>0.0614</v>
      </c>
      <c r="E61" s="93" t="str">
        <f t="shared" si="1"/>
        <v>#N/A</v>
      </c>
      <c r="F61" s="170">
        <f>IF(ISERROR(1/VLOOKUP(B61,Capa!A:AC,13,0)),0,1/VLOOKUP(B61,Capa!A:AC,13,0))</f>
        <v>0</v>
      </c>
      <c r="G61" s="171">
        <f t="shared" si="2"/>
        <v>329.000329</v>
      </c>
      <c r="H61" s="172" t="str">
        <f t="shared" si="3"/>
        <v>#N/A</v>
      </c>
      <c r="M61" s="167" t="s">
        <v>641</v>
      </c>
      <c r="N61" s="168">
        <f>VLOOKUP(M61,'Dados StatusInvest'!$A:$Z,26,0)</f>
        <v>0</v>
      </c>
      <c r="O61" s="175">
        <f>VLOOKUP(M61,'Dados StatusInvest'!$A:$Z,18,0)/100</f>
        <v>0.1649</v>
      </c>
      <c r="P61" s="176" t="str">
        <f t="shared" si="5"/>
        <v>#N/A</v>
      </c>
      <c r="Q61" s="177">
        <f>IF(ISERROR(1/VLOOKUP(M61,Capa!A:AC,6,0)),0,1/VLOOKUP(M61,Capa!A:AC,6,0))</f>
        <v>0</v>
      </c>
      <c r="R61" s="178">
        <f t="shared" si="6"/>
        <v>399.000399</v>
      </c>
      <c r="S61" s="179" t="str">
        <f t="shared" si="7"/>
        <v>#N/A</v>
      </c>
    </row>
    <row r="62">
      <c r="A62" s="180"/>
      <c r="B62" s="167" t="s">
        <v>90</v>
      </c>
      <c r="C62" s="168">
        <f>VLOOKUP(B62,'Dados StatusInvest'!$A:$Z,26,0)</f>
        <v>165504534.5</v>
      </c>
      <c r="D62" s="169">
        <f>VLOOKUP(B62,'Dados StatusInvest'!$A:$Z,20,0)/100</f>
        <v>-0.9864</v>
      </c>
      <c r="E62" s="93" t="str">
        <f t="shared" si="1"/>
        <v>#N/A</v>
      </c>
      <c r="F62" s="170">
        <f>IF(ISERROR(1/VLOOKUP(B62,Capa!A:AC,13,0)),0,1/VLOOKUP(B62,Capa!A:AC,13,0))</f>
        <v>-0.008016674683</v>
      </c>
      <c r="G62" s="171">
        <f t="shared" si="2"/>
        <v>402.000402</v>
      </c>
      <c r="H62" s="172" t="str">
        <f t="shared" si="3"/>
        <v>#N/A</v>
      </c>
      <c r="M62" s="167" t="s">
        <v>90</v>
      </c>
      <c r="N62" s="168">
        <f>VLOOKUP(M62,'Dados StatusInvest'!$A:$Z,26,0)</f>
        <v>165504534.5</v>
      </c>
      <c r="O62" s="175">
        <f>VLOOKUP(M62,'Dados StatusInvest'!$A:$Z,18,0)/100</f>
        <v>-0.462</v>
      </c>
      <c r="P62" s="176" t="str">
        <f t="shared" si="5"/>
        <v>#N/A</v>
      </c>
      <c r="Q62" s="177">
        <f>IF(ISERROR(1/VLOOKUP(M62,Capa!A:AC,6,0)),0,1/VLOOKUP(M62,Capa!A:AC,6,0))</f>
        <v>0.03432887058</v>
      </c>
      <c r="R62" s="178">
        <f t="shared" si="6"/>
        <v>205.000205</v>
      </c>
      <c r="S62" s="179" t="str">
        <f t="shared" si="7"/>
        <v>#N/A</v>
      </c>
    </row>
    <row r="63">
      <c r="A63" s="180"/>
      <c r="B63" s="167" t="s">
        <v>109</v>
      </c>
      <c r="C63" s="168">
        <f>VLOOKUP(B63,'Dados StatusInvest'!$A:$Z,26,0)</f>
        <v>121647930.3</v>
      </c>
      <c r="D63" s="169">
        <f>VLOOKUP(B63,'Dados StatusInvest'!$A:$Z,20,0)/100</f>
        <v>0</v>
      </c>
      <c r="E63" s="93" t="str">
        <f t="shared" si="1"/>
        <v>#N/A</v>
      </c>
      <c r="F63" s="170">
        <f>IF(ISERROR(1/VLOOKUP(B63,Capa!A:AC,13,0)),0,1/VLOOKUP(B63,Capa!A:AC,13,0))</f>
        <v>0.03183699459</v>
      </c>
      <c r="G63" s="171">
        <f t="shared" si="2"/>
        <v>239.000239</v>
      </c>
      <c r="H63" s="172" t="str">
        <f t="shared" si="3"/>
        <v>#N/A</v>
      </c>
      <c r="M63" s="167" t="s">
        <v>109</v>
      </c>
      <c r="N63" s="168">
        <f>VLOOKUP(M63,'Dados StatusInvest'!$A:$Z,26,0)</f>
        <v>121647930.3</v>
      </c>
      <c r="O63" s="175">
        <f>VLOOKUP(M63,'Dados StatusInvest'!$A:$Z,18,0)/100</f>
        <v>0.1487</v>
      </c>
      <c r="P63" s="176" t="str">
        <f t="shared" si="5"/>
        <v>#N/A</v>
      </c>
      <c r="Q63" s="177">
        <f>IF(ISERROR(1/VLOOKUP(M63,Capa!A:AC,6,0)),0,1/VLOOKUP(M63,Capa!A:AC,6,0))</f>
        <v>0.0407000407</v>
      </c>
      <c r="R63" s="178">
        <f t="shared" si="6"/>
        <v>169.000169</v>
      </c>
      <c r="S63" s="179" t="str">
        <f t="shared" si="7"/>
        <v>#N/A</v>
      </c>
    </row>
    <row r="64">
      <c r="A64" s="180"/>
      <c r="B64" s="167" t="s">
        <v>152</v>
      </c>
      <c r="C64" s="168">
        <f>VLOOKUP(B64,'Dados StatusInvest'!$A:$Z,26,0)</f>
        <v>54716516.75</v>
      </c>
      <c r="D64" s="169">
        <f>VLOOKUP(B64,'Dados StatusInvest'!$A:$Z,20,0)/100</f>
        <v>0.0657</v>
      </c>
      <c r="E64" s="93" t="str">
        <f t="shared" si="1"/>
        <v>#N/A</v>
      </c>
      <c r="F64" s="170">
        <f>IF(ISERROR(1/VLOOKUP(B64,Capa!A:AC,13,0)),0,1/VLOOKUP(B64,Capa!A:AC,13,0))</f>
        <v>0.03280839895</v>
      </c>
      <c r="G64" s="171">
        <f t="shared" si="2"/>
        <v>236.000236</v>
      </c>
      <c r="H64" s="172" t="str">
        <f t="shared" si="3"/>
        <v>#N/A</v>
      </c>
      <c r="M64" s="167" t="s">
        <v>152</v>
      </c>
      <c r="N64" s="168">
        <f>VLOOKUP(M64,'Dados StatusInvest'!$A:$Z,26,0)</f>
        <v>54716516.75</v>
      </c>
      <c r="O64" s="175">
        <f>VLOOKUP(M64,'Dados StatusInvest'!$A:$Z,18,0)/100</f>
        <v>0.1102</v>
      </c>
      <c r="P64" s="176" t="str">
        <f t="shared" si="5"/>
        <v>#N/A</v>
      </c>
      <c r="Q64" s="177">
        <f>IF(ISERROR(1/VLOOKUP(M64,Capa!A:AC,6,0)),0,1/VLOOKUP(M64,Capa!A:AC,6,0))</f>
        <v>0.02173913043</v>
      </c>
      <c r="R64" s="178">
        <f t="shared" si="6"/>
        <v>276.000276</v>
      </c>
      <c r="S64" s="179" t="str">
        <f t="shared" si="7"/>
        <v>#N/A</v>
      </c>
    </row>
    <row r="65">
      <c r="A65" s="180"/>
      <c r="B65" s="167" t="s">
        <v>134</v>
      </c>
      <c r="C65" s="168">
        <f>VLOOKUP(B65,'Dados StatusInvest'!$A:$Z,26,0)</f>
        <v>91953297.58</v>
      </c>
      <c r="D65" s="169">
        <f>VLOOKUP(B65,'Dados StatusInvest'!$A:$Z,20,0)/100</f>
        <v>0.0368</v>
      </c>
      <c r="E65" s="93" t="str">
        <f t="shared" si="1"/>
        <v>#N/A</v>
      </c>
      <c r="F65" s="170">
        <f>IF(ISERROR(1/VLOOKUP(B65,Capa!A:AC,13,0)),0,1/VLOOKUP(B65,Capa!A:AC,13,0))</f>
        <v>0.05232862376</v>
      </c>
      <c r="G65" s="171">
        <f t="shared" si="2"/>
        <v>154.000154</v>
      </c>
      <c r="H65" s="172" t="str">
        <f t="shared" si="3"/>
        <v>#N/A</v>
      </c>
      <c r="M65" s="167" t="s">
        <v>134</v>
      </c>
      <c r="N65" s="168">
        <f>VLOOKUP(M65,'Dados StatusInvest'!$A:$Z,26,0)</f>
        <v>91953297.58</v>
      </c>
      <c r="O65" s="175">
        <f>VLOOKUP(M65,'Dados StatusInvest'!$A:$Z,18,0)/100</f>
        <v>0.0742</v>
      </c>
      <c r="P65" s="176" t="str">
        <f t="shared" si="5"/>
        <v>#N/A</v>
      </c>
      <c r="Q65" s="177">
        <f>IF(ISERROR(1/VLOOKUP(M65,Capa!A:AC,6,0)),0,1/VLOOKUP(M65,Capa!A:AC,6,0))</f>
        <v>0.02070822116</v>
      </c>
      <c r="R65" s="178">
        <f t="shared" si="6"/>
        <v>288.000288</v>
      </c>
      <c r="S65" s="179" t="str">
        <f t="shared" si="7"/>
        <v>#N/A</v>
      </c>
    </row>
    <row r="66">
      <c r="A66" s="180"/>
      <c r="B66" s="167" t="s">
        <v>108</v>
      </c>
      <c r="C66" s="168">
        <f>VLOOKUP(B66,'Dados StatusInvest'!$A:$Z,26,0)</f>
        <v>137612205.7</v>
      </c>
      <c r="D66" s="169">
        <f>VLOOKUP(B66,'Dados StatusInvest'!$A:$Z,20,0)/100</f>
        <v>0.1791</v>
      </c>
      <c r="E66" s="93" t="str">
        <f t="shared" si="1"/>
        <v>#N/A</v>
      </c>
      <c r="F66" s="170">
        <f>IF(ISERROR(1/VLOOKUP(B66,Capa!A:AC,13,0)),0,1/VLOOKUP(B66,Capa!A:AC,13,0))</f>
        <v>0.0469924812</v>
      </c>
      <c r="G66" s="171">
        <f t="shared" si="2"/>
        <v>177.000177</v>
      </c>
      <c r="H66" s="172" t="str">
        <f t="shared" si="3"/>
        <v>#N/A</v>
      </c>
      <c r="M66" s="167" t="s">
        <v>108</v>
      </c>
      <c r="N66" s="168">
        <f>VLOOKUP(M66,'Dados StatusInvest'!$A:$Z,26,0)</f>
        <v>137612205.7</v>
      </c>
      <c r="O66" s="175">
        <f>VLOOKUP(M66,'Dados StatusInvest'!$A:$Z,18,0)/100</f>
        <v>0.1937</v>
      </c>
      <c r="P66" s="176" t="str">
        <f t="shared" si="5"/>
        <v>#N/A</v>
      </c>
      <c r="Q66" s="177">
        <f>IF(ISERROR(1/VLOOKUP(M66,Capa!A:AC,6,0)),0,1/VLOOKUP(M66,Capa!A:AC,6,0))</f>
        <v>0.06006006006</v>
      </c>
      <c r="R66" s="178">
        <f t="shared" si="6"/>
        <v>127.000127</v>
      </c>
      <c r="S66" s="179" t="str">
        <f t="shared" si="7"/>
        <v>#N/A</v>
      </c>
    </row>
    <row r="67">
      <c r="A67" s="180"/>
      <c r="B67" s="167" t="s">
        <v>133</v>
      </c>
      <c r="C67" s="168">
        <f>VLOOKUP(B67,'Dados StatusInvest'!$A:$Z,26,0)</f>
        <v>88404221.96</v>
      </c>
      <c r="D67" s="169">
        <f>VLOOKUP(B67,'Dados StatusInvest'!$A:$Z,20,0)/100</f>
        <v>0.0596</v>
      </c>
      <c r="E67" s="93" t="str">
        <f t="shared" si="1"/>
        <v>#N/A</v>
      </c>
      <c r="F67" s="170">
        <f>IF(ISERROR(1/VLOOKUP(B67,Capa!A:AC,13,0)),0,1/VLOOKUP(B67,Capa!A:AC,13,0))</f>
        <v>0.08673026886</v>
      </c>
      <c r="G67" s="171">
        <f t="shared" si="2"/>
        <v>86.000086</v>
      </c>
      <c r="H67" s="172" t="str">
        <f t="shared" si="3"/>
        <v>#N/A</v>
      </c>
      <c r="M67" s="167" t="s">
        <v>133</v>
      </c>
      <c r="N67" s="168">
        <f>VLOOKUP(M67,'Dados StatusInvest'!$A:$Z,26,0)</f>
        <v>88404221.96</v>
      </c>
      <c r="O67" s="175">
        <f>VLOOKUP(M67,'Dados StatusInvest'!$A:$Z,18,0)/100</f>
        <v>0.1166</v>
      </c>
      <c r="P67" s="176" t="str">
        <f t="shared" si="5"/>
        <v>#N/A</v>
      </c>
      <c r="Q67" s="177">
        <f>IF(ISERROR(1/VLOOKUP(M67,Capa!A:AC,6,0)),0,1/VLOOKUP(M67,Capa!A:AC,6,0))</f>
        <v>0.04732607667</v>
      </c>
      <c r="R67" s="178">
        <f t="shared" si="6"/>
        <v>152.000152</v>
      </c>
      <c r="S67" s="179" t="str">
        <f t="shared" si="7"/>
        <v>#N/A</v>
      </c>
    </row>
    <row r="68">
      <c r="A68" s="180"/>
      <c r="B68" s="167" t="s">
        <v>126</v>
      </c>
      <c r="C68" s="168">
        <f>VLOOKUP(B68,'Dados StatusInvest'!$A:$Z,26,0)</f>
        <v>78201210.33</v>
      </c>
      <c r="D68" s="169">
        <f>VLOOKUP(B68,'Dados StatusInvest'!$A:$Z,20,0)/100</f>
        <v>-0.005</v>
      </c>
      <c r="E68" s="93" t="str">
        <f t="shared" si="1"/>
        <v>#N/A</v>
      </c>
      <c r="F68" s="170">
        <f>IF(ISERROR(1/VLOOKUP(B68,Capa!A:AC,13,0)),0,1/VLOOKUP(B68,Capa!A:AC,13,0))</f>
        <v>0.4566210046</v>
      </c>
      <c r="G68" s="171">
        <f t="shared" si="2"/>
        <v>6.000006</v>
      </c>
      <c r="H68" s="172" t="str">
        <f t="shared" si="3"/>
        <v>#N/A</v>
      </c>
      <c r="M68" s="167" t="s">
        <v>126</v>
      </c>
      <c r="N68" s="168">
        <f>VLOOKUP(M68,'Dados StatusInvest'!$A:$Z,26,0)</f>
        <v>78201210.33</v>
      </c>
      <c r="O68" s="175">
        <f>VLOOKUP(M68,'Dados StatusInvest'!$A:$Z,18,0)/100</f>
        <v>-0.0162</v>
      </c>
      <c r="P68" s="176" t="str">
        <f t="shared" si="5"/>
        <v>#N/A</v>
      </c>
      <c r="Q68" s="177">
        <f>IF(ISERROR(1/VLOOKUP(M68,Capa!A:AC,6,0)),0,1/VLOOKUP(M68,Capa!A:AC,6,0))</f>
        <v>0.2247191011</v>
      </c>
      <c r="R68" s="178">
        <f t="shared" si="6"/>
        <v>18.000018</v>
      </c>
      <c r="S68" s="179" t="str">
        <f t="shared" si="7"/>
        <v>#N/A</v>
      </c>
    </row>
    <row r="69">
      <c r="A69" s="180"/>
      <c r="B69" s="167" t="s">
        <v>142</v>
      </c>
      <c r="C69" s="168">
        <f>VLOOKUP(B69,'Dados StatusInvest'!$A:$Z,26,0)</f>
        <v>54702308</v>
      </c>
      <c r="D69" s="169">
        <f>VLOOKUP(B69,'Dados StatusInvest'!$A:$Z,20,0)/100</f>
        <v>0.1521</v>
      </c>
      <c r="E69" s="93" t="str">
        <f t="shared" si="1"/>
        <v>#N/A</v>
      </c>
      <c r="F69" s="170">
        <f>IF(ISERROR(1/VLOOKUP(B69,Capa!A:AC,13,0)),0,1/VLOOKUP(B69,Capa!A:AC,13,0))</f>
        <v>0.05479452055</v>
      </c>
      <c r="G69" s="171">
        <f t="shared" si="2"/>
        <v>148.000148</v>
      </c>
      <c r="H69" s="172" t="str">
        <f t="shared" si="3"/>
        <v>#N/A</v>
      </c>
      <c r="M69" s="167" t="s">
        <v>142</v>
      </c>
      <c r="N69" s="168">
        <f>VLOOKUP(M69,'Dados StatusInvest'!$A:$Z,26,0)</f>
        <v>54702308</v>
      </c>
      <c r="O69" s="175">
        <f>VLOOKUP(M69,'Dados StatusInvest'!$A:$Z,18,0)/100</f>
        <v>0.2886</v>
      </c>
      <c r="P69" s="176" t="str">
        <f t="shared" si="5"/>
        <v>#N/A</v>
      </c>
      <c r="Q69" s="177">
        <f>IF(ISERROR(1/VLOOKUP(M69,Capa!A:AC,6,0)),0,1/VLOOKUP(M69,Capa!A:AC,6,0))</f>
        <v>0.02935133549</v>
      </c>
      <c r="R69" s="178">
        <f t="shared" si="6"/>
        <v>237.000237</v>
      </c>
      <c r="S69" s="179" t="str">
        <f t="shared" si="7"/>
        <v>#N/A</v>
      </c>
    </row>
    <row r="70">
      <c r="A70" s="180"/>
      <c r="B70" s="167" t="s">
        <v>150</v>
      </c>
      <c r="C70" s="168">
        <f>VLOOKUP(B70,'Dados StatusInvest'!$A:$Z,26,0)</f>
        <v>58890338.46</v>
      </c>
      <c r="D70" s="169">
        <f>VLOOKUP(B70,'Dados StatusInvest'!$A:$Z,20,0)/100</f>
        <v>0.199</v>
      </c>
      <c r="E70" s="93" t="str">
        <f t="shared" si="1"/>
        <v>#N/A</v>
      </c>
      <c r="F70" s="170">
        <f>IF(ISERROR(1/VLOOKUP(B70,Capa!A:AC,13,0)),0,1/VLOOKUP(B70,Capa!A:AC,13,0))</f>
        <v>0.02259376412</v>
      </c>
      <c r="G70" s="171">
        <f t="shared" si="2"/>
        <v>274.000274</v>
      </c>
      <c r="H70" s="172" t="str">
        <f t="shared" si="3"/>
        <v>#N/A</v>
      </c>
      <c r="M70" s="167" t="s">
        <v>150</v>
      </c>
      <c r="N70" s="168">
        <f>VLOOKUP(M70,'Dados StatusInvest'!$A:$Z,26,0)</f>
        <v>58890338.46</v>
      </c>
      <c r="O70" s="175">
        <f>VLOOKUP(M70,'Dados StatusInvest'!$A:$Z,18,0)/100</f>
        <v>0.2899</v>
      </c>
      <c r="P70" s="176" t="str">
        <f t="shared" si="5"/>
        <v>#N/A</v>
      </c>
      <c r="Q70" s="177">
        <f>IF(ISERROR(1/VLOOKUP(M70,Capa!A:AC,6,0)),0,1/VLOOKUP(M70,Capa!A:AC,6,0))</f>
        <v>0.02145922747</v>
      </c>
      <c r="R70" s="178">
        <f t="shared" si="6"/>
        <v>278.000278</v>
      </c>
      <c r="S70" s="179" t="str">
        <f t="shared" si="7"/>
        <v>#N/A</v>
      </c>
    </row>
    <row r="71">
      <c r="A71" s="180"/>
      <c r="B71" s="167" t="s">
        <v>83</v>
      </c>
      <c r="C71" s="168">
        <f>VLOOKUP(B71,'Dados StatusInvest'!$A:$Z,26,0)</f>
        <v>241411211</v>
      </c>
      <c r="D71" s="169">
        <f>VLOOKUP(B71,'Dados StatusInvest'!$A:$Z,20,0)/100</f>
        <v>0.3139</v>
      </c>
      <c r="E71" s="93" t="str">
        <f t="shared" si="1"/>
        <v>#N/A</v>
      </c>
      <c r="F71" s="170">
        <f>IF(ISERROR(1/VLOOKUP(B71,Capa!A:AC,13,0)),0,1/VLOOKUP(B71,Capa!A:AC,13,0))</f>
        <v>0.05128205128</v>
      </c>
      <c r="G71" s="171">
        <f t="shared" si="2"/>
        <v>163.000163</v>
      </c>
      <c r="H71" s="172" t="str">
        <f t="shared" si="3"/>
        <v>#N/A</v>
      </c>
      <c r="M71" s="167" t="s">
        <v>83</v>
      </c>
      <c r="N71" s="168">
        <f>VLOOKUP(M71,'Dados StatusInvest'!$A:$Z,26,0)</f>
        <v>241411211</v>
      </c>
      <c r="O71" s="175">
        <f>VLOOKUP(M71,'Dados StatusInvest'!$A:$Z,18,0)/100</f>
        <v>1.0798</v>
      </c>
      <c r="P71" s="176" t="str">
        <f t="shared" si="5"/>
        <v>#N/A</v>
      </c>
      <c r="Q71" s="177">
        <f>IF(ISERROR(1/VLOOKUP(M71,Capa!A:AC,6,0)),0,1/VLOOKUP(M71,Capa!A:AC,6,0))</f>
        <v>0.01417434444</v>
      </c>
      <c r="R71" s="178">
        <f t="shared" si="6"/>
        <v>336.000336</v>
      </c>
      <c r="S71" s="179" t="str">
        <f t="shared" si="7"/>
        <v>#N/A</v>
      </c>
    </row>
    <row r="72">
      <c r="A72" s="180"/>
      <c r="B72" s="167" t="s">
        <v>120</v>
      </c>
      <c r="C72" s="168">
        <f>VLOOKUP(B72,'Dados StatusInvest'!$A:$Z,26,0)</f>
        <v>97882700.58</v>
      </c>
      <c r="D72" s="169">
        <f>VLOOKUP(B72,'Dados StatusInvest'!$A:$Z,20,0)/100</f>
        <v>0</v>
      </c>
      <c r="E72" s="93" t="str">
        <f t="shared" si="1"/>
        <v>#N/A</v>
      </c>
      <c r="F72" s="170">
        <f>IF(ISERROR(1/VLOOKUP(B72,Capa!A:AC,13,0)),0,1/VLOOKUP(B72,Capa!A:AC,13,0))</f>
        <v>0.0336473755</v>
      </c>
      <c r="G72" s="171">
        <f t="shared" si="2"/>
        <v>231.000231</v>
      </c>
      <c r="H72" s="172" t="str">
        <f t="shared" si="3"/>
        <v>#N/A</v>
      </c>
      <c r="M72" s="167" t="s">
        <v>120</v>
      </c>
      <c r="N72" s="168">
        <f>VLOOKUP(M72,'Dados StatusInvest'!$A:$Z,26,0)</f>
        <v>97882700.58</v>
      </c>
      <c r="O72" s="175">
        <f>VLOOKUP(M72,'Dados StatusInvest'!$A:$Z,18,0)/100</f>
        <v>0.1526</v>
      </c>
      <c r="P72" s="176" t="str">
        <f t="shared" si="5"/>
        <v>#N/A</v>
      </c>
      <c r="Q72" s="177">
        <f>IF(ISERROR(1/VLOOKUP(M72,Capa!A:AC,6,0)),0,1/VLOOKUP(M72,Capa!A:AC,6,0))</f>
        <v>0.02118644068</v>
      </c>
      <c r="R72" s="178">
        <f t="shared" si="6"/>
        <v>282.000282</v>
      </c>
      <c r="S72" s="179" t="str">
        <f t="shared" si="7"/>
        <v>#N/A</v>
      </c>
    </row>
    <row r="73">
      <c r="A73" s="180"/>
      <c r="B73" s="167" t="s">
        <v>130</v>
      </c>
      <c r="C73" s="168">
        <f>VLOOKUP(B73,'Dados StatusInvest'!$A:$Z,26,0)</f>
        <v>91569616.75</v>
      </c>
      <c r="D73" s="169">
        <f>VLOOKUP(B73,'Dados StatusInvest'!$A:$Z,20,0)/100</f>
        <v>0.1413</v>
      </c>
      <c r="E73" s="93" t="str">
        <f t="shared" si="1"/>
        <v>#N/A</v>
      </c>
      <c r="F73" s="170">
        <f>IF(ISERROR(1/VLOOKUP(B73,Capa!A:AC,13,0)),0,1/VLOOKUP(B73,Capa!A:AC,13,0))</f>
        <v>0.1543209877</v>
      </c>
      <c r="G73" s="171">
        <f t="shared" si="2"/>
        <v>43.000043</v>
      </c>
      <c r="H73" s="172" t="str">
        <f t="shared" si="3"/>
        <v>#N/A</v>
      </c>
      <c r="M73" s="167" t="s">
        <v>130</v>
      </c>
      <c r="N73" s="168">
        <f>VLOOKUP(M73,'Dados StatusInvest'!$A:$Z,26,0)</f>
        <v>91569616.75</v>
      </c>
      <c r="O73" s="175">
        <f>VLOOKUP(M73,'Dados StatusInvest'!$A:$Z,18,0)/100</f>
        <v>0.1911</v>
      </c>
      <c r="P73" s="176" t="str">
        <f t="shared" si="5"/>
        <v>#N/A</v>
      </c>
      <c r="Q73" s="177">
        <f>IF(ISERROR(1/VLOOKUP(M73,Capa!A:AC,6,0)),0,1/VLOOKUP(M73,Capa!A:AC,6,0))</f>
        <v>0.04196391104</v>
      </c>
      <c r="R73" s="178">
        <f t="shared" si="6"/>
        <v>165.000165</v>
      </c>
      <c r="S73" s="179" t="str">
        <f t="shared" si="7"/>
        <v>#N/A</v>
      </c>
    </row>
    <row r="74">
      <c r="A74" s="180"/>
      <c r="B74" s="167" t="s">
        <v>144</v>
      </c>
      <c r="C74" s="168">
        <f>VLOOKUP(B74,'Dados StatusInvest'!$A:$Z,26,0)</f>
        <v>65994714.75</v>
      </c>
      <c r="D74" s="169">
        <f>VLOOKUP(B74,'Dados StatusInvest'!$A:$Z,20,0)/100</f>
        <v>0.0614</v>
      </c>
      <c r="E74" s="93" t="str">
        <f t="shared" si="1"/>
        <v>#N/A</v>
      </c>
      <c r="F74" s="170">
        <f>IF(ISERROR(1/VLOOKUP(B74,Capa!A:AC,13,0)),0,1/VLOOKUP(B74,Capa!A:AC,13,0))</f>
        <v>0.1733102253</v>
      </c>
      <c r="G74" s="171">
        <f t="shared" si="2"/>
        <v>37.000037</v>
      </c>
      <c r="H74" s="172" t="str">
        <f t="shared" si="3"/>
        <v>#N/A</v>
      </c>
      <c r="M74" s="167" t="s">
        <v>144</v>
      </c>
      <c r="N74" s="168">
        <f>VLOOKUP(M74,'Dados StatusInvest'!$A:$Z,26,0)</f>
        <v>65994714.75</v>
      </c>
      <c r="O74" s="175">
        <f>VLOOKUP(M74,'Dados StatusInvest'!$A:$Z,18,0)/100</f>
        <v>0.1649</v>
      </c>
      <c r="P74" s="176" t="str">
        <f t="shared" si="5"/>
        <v>#N/A</v>
      </c>
      <c r="Q74" s="177">
        <f>IF(ISERROR(1/VLOOKUP(M74,Capa!A:AC,6,0)),0,1/VLOOKUP(M74,Capa!A:AC,6,0))</f>
        <v>0.01101321586</v>
      </c>
      <c r="R74" s="178">
        <f t="shared" si="6"/>
        <v>358.000358</v>
      </c>
      <c r="S74" s="179" t="str">
        <f t="shared" si="7"/>
        <v>#N/A</v>
      </c>
    </row>
    <row r="75">
      <c r="A75" s="180"/>
      <c r="B75" s="167" t="s">
        <v>154</v>
      </c>
      <c r="C75" s="168">
        <f>VLOOKUP(B75,'Dados StatusInvest'!$A:$Z,26,0)</f>
        <v>57228534.71</v>
      </c>
      <c r="D75" s="169">
        <f>VLOOKUP(B75,'Dados StatusInvest'!$A:$Z,20,0)/100</f>
        <v>-0.0825</v>
      </c>
      <c r="E75" s="93" t="str">
        <f t="shared" si="1"/>
        <v>#N/A</v>
      </c>
      <c r="F75" s="170">
        <f>IF(ISERROR(1/VLOOKUP(B75,Capa!A:AC,13,0)),0,1/VLOOKUP(B75,Capa!A:AC,13,0))</f>
        <v>0.02612330199</v>
      </c>
      <c r="G75" s="171">
        <f t="shared" si="2"/>
        <v>264.000264</v>
      </c>
      <c r="H75" s="172" t="str">
        <f t="shared" si="3"/>
        <v>#N/A</v>
      </c>
      <c r="M75" s="167" t="s">
        <v>154</v>
      </c>
      <c r="N75" s="168">
        <f>VLOOKUP(M75,'Dados StatusInvest'!$A:$Z,26,0)</f>
        <v>57228534.71</v>
      </c>
      <c r="O75" s="175">
        <f>VLOOKUP(M75,'Dados StatusInvest'!$A:$Z,18,0)/100</f>
        <v>0.2309</v>
      </c>
      <c r="P75" s="176" t="str">
        <f t="shared" si="5"/>
        <v>#N/A</v>
      </c>
      <c r="Q75" s="177">
        <f>IF(ISERROR(1/VLOOKUP(M75,Capa!A:AC,6,0)),0,1/VLOOKUP(M75,Capa!A:AC,6,0))</f>
        <v>0.03156565657</v>
      </c>
      <c r="R75" s="178">
        <f t="shared" si="6"/>
        <v>226.000226</v>
      </c>
      <c r="S75" s="179" t="str">
        <f t="shared" si="7"/>
        <v>#N/A</v>
      </c>
    </row>
    <row r="76">
      <c r="A76" s="180"/>
      <c r="B76" s="167" t="s">
        <v>122</v>
      </c>
      <c r="C76" s="168">
        <f>VLOOKUP(B76,'Dados StatusInvest'!$A:$Z,26,0)</f>
        <v>89970517.13</v>
      </c>
      <c r="D76" s="169">
        <f>VLOOKUP(B76,'Dados StatusInvest'!$A:$Z,20,0)/100</f>
        <v>0.2567</v>
      </c>
      <c r="E76" s="93" t="str">
        <f t="shared" si="1"/>
        <v>#N/A</v>
      </c>
      <c r="F76" s="170">
        <f>IF(ISERROR(1/VLOOKUP(B76,Capa!A:AC,13,0)),0,1/VLOOKUP(B76,Capa!A:AC,13,0))</f>
        <v>0.009963136395</v>
      </c>
      <c r="G76" s="171">
        <f t="shared" si="2"/>
        <v>302.000302</v>
      </c>
      <c r="H76" s="172" t="str">
        <f t="shared" si="3"/>
        <v>#N/A</v>
      </c>
      <c r="M76" s="167" t="s">
        <v>122</v>
      </c>
      <c r="N76" s="168">
        <f>VLOOKUP(M76,'Dados StatusInvest'!$A:$Z,26,0)</f>
        <v>89970517.13</v>
      </c>
      <c r="O76" s="175">
        <f>VLOOKUP(M76,'Dados StatusInvest'!$A:$Z,18,0)/100</f>
        <v>0.4256</v>
      </c>
      <c r="P76" s="176" t="str">
        <f t="shared" si="5"/>
        <v>#N/A</v>
      </c>
      <c r="Q76" s="177">
        <f>IF(ISERROR(1/VLOOKUP(M76,Capa!A:AC,6,0)),0,1/VLOOKUP(M76,Capa!A:AC,6,0))</f>
        <v>0.02343017807</v>
      </c>
      <c r="R76" s="178">
        <f t="shared" si="6"/>
        <v>262.000262</v>
      </c>
      <c r="S76" s="179" t="str">
        <f t="shared" si="7"/>
        <v>#N/A</v>
      </c>
    </row>
    <row r="77">
      <c r="A77" s="180"/>
      <c r="B77" s="167" t="s">
        <v>125</v>
      </c>
      <c r="C77" s="168">
        <f>VLOOKUP(B77,'Dados StatusInvest'!$A:$Z,26,0)</f>
        <v>71557817.25</v>
      </c>
      <c r="D77" s="169">
        <f>VLOOKUP(B77,'Dados StatusInvest'!$A:$Z,20,0)/100</f>
        <v>0.0689</v>
      </c>
      <c r="E77" s="93" t="str">
        <f t="shared" si="1"/>
        <v>#N/A</v>
      </c>
      <c r="F77" s="170">
        <f>IF(ISERROR(1/VLOOKUP(B77,Capa!A:AC,13,0)),0,1/VLOOKUP(B77,Capa!A:AC,13,0))</f>
        <v>0.05089058524</v>
      </c>
      <c r="G77" s="171">
        <f t="shared" si="2"/>
        <v>166.000166</v>
      </c>
      <c r="H77" s="172" t="str">
        <f t="shared" si="3"/>
        <v>#N/A</v>
      </c>
      <c r="M77" s="167" t="s">
        <v>125</v>
      </c>
      <c r="N77" s="168">
        <f>VLOOKUP(M77,'Dados StatusInvest'!$A:$Z,26,0)</f>
        <v>71557817.25</v>
      </c>
      <c r="O77" s="175">
        <f>VLOOKUP(M77,'Dados StatusInvest'!$A:$Z,18,0)/100</f>
        <v>0.1228</v>
      </c>
      <c r="P77" s="176" t="str">
        <f t="shared" si="5"/>
        <v>#N/A</v>
      </c>
      <c r="Q77" s="177">
        <f>IF(ISERROR(1/VLOOKUP(M77,Capa!A:AC,6,0)),0,1/VLOOKUP(M77,Capa!A:AC,6,0))</f>
        <v>0.0325732899</v>
      </c>
      <c r="R77" s="178">
        <f t="shared" si="6"/>
        <v>216.000216</v>
      </c>
      <c r="S77" s="179" t="str">
        <f t="shared" si="7"/>
        <v>#N/A</v>
      </c>
    </row>
    <row r="78">
      <c r="A78" s="180"/>
      <c r="B78" s="167" t="s">
        <v>1677</v>
      </c>
      <c r="C78" s="168" t="str">
        <f>VLOOKUP(B78,'Dados StatusInvest'!$A:$Z,26,0)</f>
        <v>#N/A</v>
      </c>
      <c r="D78" s="169" t="str">
        <f>VLOOKUP(B78,'Dados StatusInvest'!$A:$Z,20,0)/100</f>
        <v>#N/A</v>
      </c>
      <c r="E78" s="93" t="str">
        <f t="shared" si="1"/>
        <v>#N/A</v>
      </c>
      <c r="F78" s="170">
        <f>IF(ISERROR(1/VLOOKUP(B78,Capa!A:AC,13,0)),0,1/VLOOKUP(B78,Capa!A:AC,13,0))</f>
        <v>0</v>
      </c>
      <c r="G78" s="171">
        <f t="shared" si="2"/>
        <v>329.000329</v>
      </c>
      <c r="H78" s="172" t="str">
        <f t="shared" si="3"/>
        <v>#N/A</v>
      </c>
      <c r="M78" s="167" t="s">
        <v>1677</v>
      </c>
      <c r="N78" s="168" t="str">
        <f>VLOOKUP(M78,'Dados StatusInvest'!$A:$Z,26,0)</f>
        <v>#N/A</v>
      </c>
      <c r="O78" s="175" t="str">
        <f>VLOOKUP(M78,'Dados StatusInvest'!$A:$Z,18,0)/100</f>
        <v>#N/A</v>
      </c>
      <c r="P78" s="176" t="str">
        <f t="shared" si="5"/>
        <v>#N/A</v>
      </c>
      <c r="Q78" s="177">
        <f>IF(ISERROR(1/VLOOKUP(M78,Capa!A:AC,6,0)),0,1/VLOOKUP(M78,Capa!A:AC,6,0))</f>
        <v>0</v>
      </c>
      <c r="R78" s="178">
        <f t="shared" si="6"/>
        <v>399.000399</v>
      </c>
      <c r="S78" s="179" t="str">
        <f t="shared" si="7"/>
        <v>#N/A</v>
      </c>
    </row>
    <row r="79">
      <c r="A79" s="180"/>
      <c r="B79" s="167" t="s">
        <v>123</v>
      </c>
      <c r="C79" s="168">
        <f>VLOOKUP(B79,'Dados StatusInvest'!$A:$Z,26,0)</f>
        <v>102542476</v>
      </c>
      <c r="D79" s="169">
        <f>VLOOKUP(B79,'Dados StatusInvest'!$A:$Z,20,0)/100</f>
        <v>0.063</v>
      </c>
      <c r="E79" s="93" t="str">
        <f t="shared" si="1"/>
        <v>#N/A</v>
      </c>
      <c r="F79" s="170">
        <f>IF(ISERROR(1/VLOOKUP(B79,Capa!A:AC,13,0)),0,1/VLOOKUP(B79,Capa!A:AC,13,0))</f>
        <v>0.03207184092</v>
      </c>
      <c r="G79" s="171">
        <f t="shared" si="2"/>
        <v>238.000238</v>
      </c>
      <c r="H79" s="172" t="str">
        <f t="shared" si="3"/>
        <v>#N/A</v>
      </c>
      <c r="M79" s="167" t="s">
        <v>123</v>
      </c>
      <c r="N79" s="168">
        <f>VLOOKUP(M79,'Dados StatusInvest'!$A:$Z,26,0)</f>
        <v>102542476</v>
      </c>
      <c r="O79" s="175">
        <f>VLOOKUP(M79,'Dados StatusInvest'!$A:$Z,18,0)/100</f>
        <v>0.1296</v>
      </c>
      <c r="P79" s="176" t="str">
        <f t="shared" si="5"/>
        <v>#N/A</v>
      </c>
      <c r="Q79" s="177">
        <f>IF(ISERROR(1/VLOOKUP(M79,Capa!A:AC,6,0)),0,1/VLOOKUP(M79,Capa!A:AC,6,0))</f>
        <v>0.05241090147</v>
      </c>
      <c r="R79" s="178">
        <f t="shared" si="6"/>
        <v>141.000141</v>
      </c>
      <c r="S79" s="179" t="str">
        <f t="shared" si="7"/>
        <v>#N/A</v>
      </c>
    </row>
    <row r="80">
      <c r="A80" s="180"/>
      <c r="B80" s="167" t="s">
        <v>131</v>
      </c>
      <c r="C80" s="168">
        <f>VLOOKUP(B80,'Dados StatusInvest'!$A:$Z,26,0)</f>
        <v>106823220.7</v>
      </c>
      <c r="D80" s="169">
        <f>VLOOKUP(B80,'Dados StatusInvest'!$A:$Z,20,0)/100</f>
        <v>0.1499</v>
      </c>
      <c r="E80" s="93" t="str">
        <f t="shared" si="1"/>
        <v>#N/A</v>
      </c>
      <c r="F80" s="170">
        <f>IF(ISERROR(1/VLOOKUP(B80,Capa!A:AC,13,0)),0,1/VLOOKUP(B80,Capa!A:AC,13,0))</f>
        <v>0.1239157373</v>
      </c>
      <c r="G80" s="171">
        <f t="shared" si="2"/>
        <v>53.000053</v>
      </c>
      <c r="H80" s="172" t="str">
        <f t="shared" si="3"/>
        <v>#N/A</v>
      </c>
      <c r="M80" s="167" t="s">
        <v>131</v>
      </c>
      <c r="N80" s="168">
        <f>VLOOKUP(M80,'Dados StatusInvest'!$A:$Z,26,0)</f>
        <v>106823220.7</v>
      </c>
      <c r="O80" s="175">
        <f>VLOOKUP(M80,'Dados StatusInvest'!$A:$Z,18,0)/100</f>
        <v>1.2974</v>
      </c>
      <c r="P80" s="176" t="str">
        <f t="shared" si="5"/>
        <v>#N/A</v>
      </c>
      <c r="Q80" s="177">
        <f>IF(ISERROR(1/VLOOKUP(M80,Capa!A:AC,6,0)),0,1/VLOOKUP(M80,Capa!A:AC,6,0))</f>
        <v>0.08576329331</v>
      </c>
      <c r="R80" s="178">
        <f t="shared" si="6"/>
        <v>79.000079</v>
      </c>
      <c r="S80" s="179" t="str">
        <f t="shared" si="7"/>
        <v>#N/A</v>
      </c>
    </row>
    <row r="81">
      <c r="A81" s="180"/>
      <c r="B81" s="167" t="s">
        <v>139</v>
      </c>
      <c r="C81" s="168">
        <f>VLOOKUP(B81,'Dados StatusInvest'!$A:$Z,26,0)</f>
        <v>68576696.25</v>
      </c>
      <c r="D81" s="169">
        <f>VLOOKUP(B81,'Dados StatusInvest'!$A:$Z,20,0)/100</f>
        <v>0.1044</v>
      </c>
      <c r="E81" s="93" t="str">
        <f t="shared" si="1"/>
        <v>#N/A</v>
      </c>
      <c r="F81" s="170">
        <f>IF(ISERROR(1/VLOOKUP(B81,Capa!A:AC,13,0)),0,1/VLOOKUP(B81,Capa!A:AC,13,0))</f>
        <v>0.05963029219</v>
      </c>
      <c r="G81" s="171">
        <f t="shared" si="2"/>
        <v>123.000123</v>
      </c>
      <c r="H81" s="172" t="str">
        <f t="shared" si="3"/>
        <v>#N/A</v>
      </c>
      <c r="M81" s="167" t="s">
        <v>139</v>
      </c>
      <c r="N81" s="168">
        <f>VLOOKUP(M81,'Dados StatusInvest'!$A:$Z,26,0)</f>
        <v>68576696.25</v>
      </c>
      <c r="O81" s="175">
        <f>VLOOKUP(M81,'Dados StatusInvest'!$A:$Z,18,0)/100</f>
        <v>0.3052</v>
      </c>
      <c r="P81" s="176" t="str">
        <f t="shared" si="5"/>
        <v>#N/A</v>
      </c>
      <c r="Q81" s="177">
        <f>IF(ISERROR(1/VLOOKUP(M81,Capa!A:AC,6,0)),0,1/VLOOKUP(M81,Capa!A:AC,6,0))</f>
        <v>0.01869857891</v>
      </c>
      <c r="R81" s="178">
        <f t="shared" si="6"/>
        <v>300.0003</v>
      </c>
      <c r="S81" s="179" t="str">
        <f t="shared" si="7"/>
        <v>#N/A</v>
      </c>
    </row>
    <row r="82">
      <c r="A82" s="180"/>
      <c r="B82" s="167" t="s">
        <v>159</v>
      </c>
      <c r="C82" s="168">
        <f>VLOOKUP(B82,'Dados StatusInvest'!$A:$Z,26,0)</f>
        <v>38155409.83</v>
      </c>
      <c r="D82" s="169">
        <f>VLOOKUP(B82,'Dados StatusInvest'!$A:$Z,20,0)/100</f>
        <v>0.1436</v>
      </c>
      <c r="E82" s="93" t="str">
        <f t="shared" si="1"/>
        <v>#N/A</v>
      </c>
      <c r="F82" s="170">
        <f>IF(ISERROR(1/VLOOKUP(B82,Capa!A:AC,13,0)),0,1/VLOOKUP(B82,Capa!A:AC,13,0))</f>
        <v>0.04752851711</v>
      </c>
      <c r="G82" s="171">
        <f t="shared" si="2"/>
        <v>176.000176</v>
      </c>
      <c r="H82" s="172" t="str">
        <f t="shared" si="3"/>
        <v>#N/A</v>
      </c>
      <c r="M82" s="167" t="s">
        <v>159</v>
      </c>
      <c r="N82" s="168">
        <f>VLOOKUP(M82,'Dados StatusInvest'!$A:$Z,26,0)</f>
        <v>38155409.83</v>
      </c>
      <c r="O82" s="175">
        <f>VLOOKUP(M82,'Dados StatusInvest'!$A:$Z,18,0)/100</f>
        <v>0.2594</v>
      </c>
      <c r="P82" s="176" t="str">
        <f t="shared" si="5"/>
        <v>#N/A</v>
      </c>
      <c r="Q82" s="177">
        <f>IF(ISERROR(1/VLOOKUP(M82,Capa!A:AC,6,0)),0,1/VLOOKUP(M82,Capa!A:AC,6,0))</f>
        <v>0.03389830508</v>
      </c>
      <c r="R82" s="178">
        <f t="shared" si="6"/>
        <v>208.000208</v>
      </c>
      <c r="S82" s="179" t="str">
        <f t="shared" si="7"/>
        <v>#N/A</v>
      </c>
    </row>
    <row r="83">
      <c r="A83" s="180"/>
      <c r="B83" s="167" t="s">
        <v>164</v>
      </c>
      <c r="C83" s="168">
        <f>VLOOKUP(B83,'Dados StatusInvest'!$A:$Z,26,0)</f>
        <v>45115928.08</v>
      </c>
      <c r="D83" s="169">
        <f>VLOOKUP(B83,'Dados StatusInvest'!$A:$Z,20,0)/100</f>
        <v>0.0984</v>
      </c>
      <c r="E83" s="93" t="str">
        <f t="shared" si="1"/>
        <v>#N/A</v>
      </c>
      <c r="F83" s="170">
        <f>IF(ISERROR(1/VLOOKUP(B83,Capa!A:AC,13,0)),0,1/VLOOKUP(B83,Capa!A:AC,13,0))</f>
        <v>0.05617977528</v>
      </c>
      <c r="G83" s="171">
        <f t="shared" si="2"/>
        <v>135.000135</v>
      </c>
      <c r="H83" s="172" t="str">
        <f t="shared" si="3"/>
        <v>#N/A</v>
      </c>
      <c r="M83" s="167" t="s">
        <v>164</v>
      </c>
      <c r="N83" s="168">
        <f>VLOOKUP(M83,'Dados StatusInvest'!$A:$Z,26,0)</f>
        <v>45115928.08</v>
      </c>
      <c r="O83" s="175">
        <f>VLOOKUP(M83,'Dados StatusInvest'!$A:$Z,18,0)/100</f>
        <v>0.1699</v>
      </c>
      <c r="P83" s="176" t="str">
        <f t="shared" si="5"/>
        <v>#N/A</v>
      </c>
      <c r="Q83" s="177">
        <f>IF(ISERROR(1/VLOOKUP(M83,Capa!A:AC,6,0)),0,1/VLOOKUP(M83,Capa!A:AC,6,0))</f>
        <v>0.05102040816</v>
      </c>
      <c r="R83" s="178">
        <f t="shared" si="6"/>
        <v>144.000144</v>
      </c>
      <c r="S83" s="179" t="str">
        <f t="shared" si="7"/>
        <v>#N/A</v>
      </c>
    </row>
    <row r="84">
      <c r="A84" s="180"/>
      <c r="B84" s="167" t="s">
        <v>80</v>
      </c>
      <c r="C84" s="168">
        <f>VLOOKUP(B84,'Dados StatusInvest'!$A:$Z,26,0)</f>
        <v>251585816</v>
      </c>
      <c r="D84" s="169">
        <f>VLOOKUP(B84,'Dados StatusInvest'!$A:$Z,20,0)/100</f>
        <v>0.0127</v>
      </c>
      <c r="E84" s="93" t="str">
        <f t="shared" si="1"/>
        <v>#N/A</v>
      </c>
      <c r="F84" s="170">
        <f>IF(ISERROR(1/VLOOKUP(B84,Capa!A:AC,13,0)),0,1/VLOOKUP(B84,Capa!A:AC,13,0))</f>
        <v>0.3731343284</v>
      </c>
      <c r="G84" s="171">
        <f t="shared" si="2"/>
        <v>11.000011</v>
      </c>
      <c r="H84" s="172" t="str">
        <f t="shared" si="3"/>
        <v>#N/A</v>
      </c>
      <c r="M84" s="167" t="s">
        <v>80</v>
      </c>
      <c r="N84" s="168">
        <f>VLOOKUP(M84,'Dados StatusInvest'!$A:$Z,26,0)</f>
        <v>251585816</v>
      </c>
      <c r="O84" s="175">
        <f>VLOOKUP(M84,'Dados StatusInvest'!$A:$Z,18,0)/100</f>
        <v>-0.051</v>
      </c>
      <c r="P84" s="176" t="str">
        <f t="shared" si="5"/>
        <v>#N/A</v>
      </c>
      <c r="Q84" s="177">
        <f>IF(ISERROR(1/VLOOKUP(M84,Capa!A:AC,6,0)),0,1/VLOOKUP(M84,Capa!A:AC,6,0))</f>
        <v>0.04003202562</v>
      </c>
      <c r="R84" s="178">
        <f t="shared" si="6"/>
        <v>170.00017</v>
      </c>
      <c r="S84" s="179" t="str">
        <f t="shared" si="7"/>
        <v>#N/A</v>
      </c>
    </row>
    <row r="85">
      <c r="A85" s="180"/>
      <c r="B85" s="167" t="s">
        <v>88</v>
      </c>
      <c r="C85" s="168">
        <f>VLOOKUP(B85,'Dados StatusInvest'!$A:$Z,26,0)</f>
        <v>194336874.2</v>
      </c>
      <c r="D85" s="169">
        <f>VLOOKUP(B85,'Dados StatusInvest'!$A:$Z,20,0)/100</f>
        <v>0.3765</v>
      </c>
      <c r="E85" s="93" t="str">
        <f t="shared" si="1"/>
        <v>#N/A</v>
      </c>
      <c r="F85" s="170">
        <f>IF(ISERROR(1/VLOOKUP(B85,Capa!A:AC,13,0)),0,1/VLOOKUP(B85,Capa!A:AC,13,0))</f>
        <v>0</v>
      </c>
      <c r="G85" s="171">
        <f t="shared" si="2"/>
        <v>329.000329</v>
      </c>
      <c r="H85" s="172" t="str">
        <f t="shared" si="3"/>
        <v>#N/A</v>
      </c>
      <c r="M85" s="167" t="s">
        <v>88</v>
      </c>
      <c r="N85" s="168">
        <f>VLOOKUP(M85,'Dados StatusInvest'!$A:$Z,26,0)</f>
        <v>194336874.2</v>
      </c>
      <c r="O85" s="175">
        <f>VLOOKUP(M85,'Dados StatusInvest'!$A:$Z,18,0)/100</f>
        <v>0.3774</v>
      </c>
      <c r="P85" s="176" t="str">
        <f t="shared" si="5"/>
        <v>#N/A</v>
      </c>
      <c r="Q85" s="177">
        <f>IF(ISERROR(1/VLOOKUP(M85,Capa!A:AC,6,0)),0,1/VLOOKUP(M85,Capa!A:AC,6,0))</f>
        <v>0.01408450704</v>
      </c>
      <c r="R85" s="178">
        <f t="shared" si="6"/>
        <v>337.000337</v>
      </c>
      <c r="S85" s="179" t="str">
        <f t="shared" si="7"/>
        <v>#N/A</v>
      </c>
    </row>
    <row r="86">
      <c r="A86" s="180"/>
      <c r="B86" s="167" t="s">
        <v>118</v>
      </c>
      <c r="C86" s="168">
        <f>VLOOKUP(B86,'Dados StatusInvest'!$A:$Z,26,0)</f>
        <v>119832823.9</v>
      </c>
      <c r="D86" s="169">
        <f>VLOOKUP(B86,'Dados StatusInvest'!$A:$Z,20,0)/100</f>
        <v>0.1129</v>
      </c>
      <c r="E86" s="93" t="str">
        <f t="shared" si="1"/>
        <v>#N/A</v>
      </c>
      <c r="F86" s="170">
        <f>IF(ISERROR(1/VLOOKUP(B86,Capa!A:AC,13,0)),0,1/VLOOKUP(B86,Capa!A:AC,13,0))</f>
        <v>0.04840271055</v>
      </c>
      <c r="G86" s="171">
        <f t="shared" si="2"/>
        <v>168.000168</v>
      </c>
      <c r="H86" s="172" t="str">
        <f t="shared" si="3"/>
        <v>#N/A</v>
      </c>
      <c r="M86" s="167" t="s">
        <v>118</v>
      </c>
      <c r="N86" s="168">
        <f>VLOOKUP(M86,'Dados StatusInvest'!$A:$Z,26,0)</f>
        <v>119832823.9</v>
      </c>
      <c r="O86" s="175">
        <f>VLOOKUP(M86,'Dados StatusInvest'!$A:$Z,18,0)/100</f>
        <v>0.1745</v>
      </c>
      <c r="P86" s="176" t="str">
        <f t="shared" si="5"/>
        <v>#N/A</v>
      </c>
      <c r="Q86" s="177">
        <f>IF(ISERROR(1/VLOOKUP(M86,Capa!A:AC,6,0)),0,1/VLOOKUP(M86,Capa!A:AC,6,0))</f>
        <v>0.1302083333</v>
      </c>
      <c r="R86" s="178">
        <f t="shared" si="6"/>
        <v>40.00004</v>
      </c>
      <c r="S86" s="179" t="str">
        <f t="shared" si="7"/>
        <v>#N/A</v>
      </c>
    </row>
    <row r="87">
      <c r="A87" s="180"/>
      <c r="B87" s="167" t="s">
        <v>156</v>
      </c>
      <c r="C87" s="168">
        <f>VLOOKUP(B87,'Dados StatusInvest'!$A:$Z,26,0)</f>
        <v>53267315.33</v>
      </c>
      <c r="D87" s="169">
        <f>VLOOKUP(B87,'Dados StatusInvest'!$A:$Z,20,0)/100</f>
        <v>0.1248</v>
      </c>
      <c r="E87" s="93" t="str">
        <f t="shared" si="1"/>
        <v>#N/A</v>
      </c>
      <c r="F87" s="170">
        <f>IF(ISERROR(1/VLOOKUP(B87,Capa!A:AC,13,0)),0,1/VLOOKUP(B87,Capa!A:AC,13,0))</f>
        <v>0.04764173416</v>
      </c>
      <c r="G87" s="171">
        <f t="shared" si="2"/>
        <v>175.000175</v>
      </c>
      <c r="H87" s="172" t="str">
        <f t="shared" si="3"/>
        <v>#N/A</v>
      </c>
      <c r="M87" s="167" t="s">
        <v>156</v>
      </c>
      <c r="N87" s="168">
        <f>VLOOKUP(M87,'Dados StatusInvest'!$A:$Z,26,0)</f>
        <v>53267315.33</v>
      </c>
      <c r="O87" s="175">
        <f>VLOOKUP(M87,'Dados StatusInvest'!$A:$Z,18,0)/100</f>
        <v>0.1754</v>
      </c>
      <c r="P87" s="176" t="str">
        <f t="shared" si="5"/>
        <v>#N/A</v>
      </c>
      <c r="Q87" s="177">
        <f>IF(ISERROR(1/VLOOKUP(M87,Capa!A:AC,6,0)),0,1/VLOOKUP(M87,Capa!A:AC,6,0))</f>
        <v>0.04842615012</v>
      </c>
      <c r="R87" s="178">
        <f t="shared" si="6"/>
        <v>149.000149</v>
      </c>
      <c r="S87" s="179" t="str">
        <f t="shared" si="7"/>
        <v>#N/A</v>
      </c>
    </row>
    <row r="88">
      <c r="A88" s="180"/>
      <c r="B88" s="167" t="s">
        <v>140</v>
      </c>
      <c r="C88" s="168">
        <f>VLOOKUP(B88,'Dados StatusInvest'!$A:$Z,26,0)</f>
        <v>59295793.29</v>
      </c>
      <c r="D88" s="169">
        <f>VLOOKUP(B88,'Dados StatusInvest'!$A:$Z,20,0)/100</f>
        <v>0.0223</v>
      </c>
      <c r="E88" s="93" t="str">
        <f t="shared" si="1"/>
        <v>#N/A</v>
      </c>
      <c r="F88" s="170">
        <f>IF(ISERROR(1/VLOOKUP(B88,Capa!A:AC,13,0)),0,1/VLOOKUP(B88,Capa!A:AC,13,0))</f>
        <v>0.01987281399</v>
      </c>
      <c r="G88" s="171">
        <f t="shared" si="2"/>
        <v>282.000282</v>
      </c>
      <c r="H88" s="172" t="str">
        <f t="shared" si="3"/>
        <v>#N/A</v>
      </c>
      <c r="M88" s="167" t="s">
        <v>140</v>
      </c>
      <c r="N88" s="168">
        <f>VLOOKUP(M88,'Dados StatusInvest'!$A:$Z,26,0)</f>
        <v>59295793.29</v>
      </c>
      <c r="O88" s="175">
        <f>VLOOKUP(M88,'Dados StatusInvest'!$A:$Z,18,0)/100</f>
        <v>0.1338</v>
      </c>
      <c r="P88" s="176" t="str">
        <f t="shared" si="5"/>
        <v>#N/A</v>
      </c>
      <c r="Q88" s="177">
        <f>IF(ISERROR(1/VLOOKUP(M88,Capa!A:AC,6,0)),0,1/VLOOKUP(M88,Capa!A:AC,6,0))</f>
        <v>0.02116402116</v>
      </c>
      <c r="R88" s="178">
        <f t="shared" si="6"/>
        <v>283.000283</v>
      </c>
      <c r="S88" s="179" t="str">
        <f t="shared" si="7"/>
        <v>#N/A</v>
      </c>
    </row>
    <row r="89">
      <c r="A89" s="180"/>
      <c r="B89" s="167" t="s">
        <v>166</v>
      </c>
      <c r="C89" s="168">
        <f>VLOOKUP(B89,'Dados StatusInvest'!$A:$Z,26,0)</f>
        <v>36224716.21</v>
      </c>
      <c r="D89" s="169">
        <f>VLOOKUP(B89,'Dados StatusInvest'!$A:$Z,20,0)/100</f>
        <v>0.1119</v>
      </c>
      <c r="E89" s="93" t="str">
        <f t="shared" si="1"/>
        <v>#N/A</v>
      </c>
      <c r="F89" s="170">
        <f>IF(ISERROR(1/VLOOKUP(B89,Capa!A:AC,13,0)),0,1/VLOOKUP(B89,Capa!A:AC,13,0))</f>
        <v>0.02942041777</v>
      </c>
      <c r="G89" s="171">
        <f t="shared" si="2"/>
        <v>248.000248</v>
      </c>
      <c r="H89" s="172" t="str">
        <f t="shared" si="3"/>
        <v>#N/A</v>
      </c>
      <c r="M89" s="167" t="s">
        <v>166</v>
      </c>
      <c r="N89" s="168">
        <f>VLOOKUP(M89,'Dados StatusInvest'!$A:$Z,26,0)</f>
        <v>36224716.21</v>
      </c>
      <c r="O89" s="175">
        <f>VLOOKUP(M89,'Dados StatusInvest'!$A:$Z,18,0)/100</f>
        <v>0.1415</v>
      </c>
      <c r="P89" s="176" t="str">
        <f t="shared" si="5"/>
        <v>#N/A</v>
      </c>
      <c r="Q89" s="177">
        <f>IF(ISERROR(1/VLOOKUP(M89,Capa!A:AC,6,0)),0,1/VLOOKUP(M89,Capa!A:AC,6,0))</f>
        <v>0.03523608175</v>
      </c>
      <c r="R89" s="178">
        <f t="shared" si="6"/>
        <v>194.000194</v>
      </c>
      <c r="S89" s="179" t="str">
        <f t="shared" si="7"/>
        <v>#N/A</v>
      </c>
    </row>
    <row r="90">
      <c r="A90" s="180"/>
      <c r="B90" s="167" t="s">
        <v>101</v>
      </c>
      <c r="C90" s="168">
        <f>VLOOKUP(B90,'Dados StatusInvest'!$A:$Z,26,0)</f>
        <v>133069702.7</v>
      </c>
      <c r="D90" s="169">
        <f>VLOOKUP(B90,'Dados StatusInvest'!$A:$Z,20,0)/100</f>
        <v>0.1452</v>
      </c>
      <c r="E90" s="93" t="str">
        <f t="shared" si="1"/>
        <v>#N/A</v>
      </c>
      <c r="F90" s="170">
        <f>IF(ISERROR(1/VLOOKUP(B90,Capa!A:AC,13,0)),0,1/VLOOKUP(B90,Capa!A:AC,13,0))</f>
        <v>0.07062146893</v>
      </c>
      <c r="G90" s="171">
        <f t="shared" si="2"/>
        <v>110.00011</v>
      </c>
      <c r="H90" s="172" t="str">
        <f t="shared" si="3"/>
        <v>#N/A</v>
      </c>
      <c r="M90" s="167" t="s">
        <v>101</v>
      </c>
      <c r="N90" s="168">
        <f>VLOOKUP(M90,'Dados StatusInvest'!$A:$Z,26,0)</f>
        <v>133069702.7</v>
      </c>
      <c r="O90" s="175">
        <f>VLOOKUP(M90,'Dados StatusInvest'!$A:$Z,18,0)/100</f>
        <v>0.0942</v>
      </c>
      <c r="P90" s="176" t="str">
        <f t="shared" si="5"/>
        <v>#N/A</v>
      </c>
      <c r="Q90" s="177">
        <f>IF(ISERROR(1/VLOOKUP(M90,Capa!A:AC,6,0)),0,1/VLOOKUP(M90,Capa!A:AC,6,0))</f>
        <v>0.0160436387</v>
      </c>
      <c r="R90" s="178">
        <f t="shared" si="6"/>
        <v>320.00032</v>
      </c>
      <c r="S90" s="179" t="str">
        <f t="shared" si="7"/>
        <v>#N/A</v>
      </c>
    </row>
    <row r="91">
      <c r="A91" s="180"/>
      <c r="B91" s="167" t="s">
        <v>183</v>
      </c>
      <c r="C91" s="168">
        <f>VLOOKUP(B91,'Dados StatusInvest'!$A:$Z,26,0)</f>
        <v>27694981.75</v>
      </c>
      <c r="D91" s="169">
        <f>VLOOKUP(B91,'Dados StatusInvest'!$A:$Z,20,0)/100</f>
        <v>0.0247</v>
      </c>
      <c r="E91" s="93" t="str">
        <f t="shared" si="1"/>
        <v>#N/A</v>
      </c>
      <c r="F91" s="170">
        <f>IF(ISERROR(1/VLOOKUP(B91,Capa!A:AC,13,0)),0,1/VLOOKUP(B91,Capa!A:AC,13,0))</f>
        <v>0.02964719834</v>
      </c>
      <c r="G91" s="171">
        <f t="shared" si="2"/>
        <v>247.000247</v>
      </c>
      <c r="H91" s="172" t="str">
        <f t="shared" si="3"/>
        <v>#N/A</v>
      </c>
      <c r="M91" s="167" t="s">
        <v>183</v>
      </c>
      <c r="N91" s="168">
        <f>VLOOKUP(M91,'Dados StatusInvest'!$A:$Z,26,0)</f>
        <v>27694981.75</v>
      </c>
      <c r="O91" s="175">
        <f>VLOOKUP(M91,'Dados StatusInvest'!$A:$Z,18,0)/100</f>
        <v>0.0193</v>
      </c>
      <c r="P91" s="176" t="str">
        <f t="shared" si="5"/>
        <v>#N/A</v>
      </c>
      <c r="Q91" s="177">
        <f>IF(ISERROR(1/VLOOKUP(M91,Capa!A:AC,6,0)),0,1/VLOOKUP(M91,Capa!A:AC,6,0))</f>
        <v>0.03050640635</v>
      </c>
      <c r="R91" s="178">
        <f t="shared" si="6"/>
        <v>233.000233</v>
      </c>
      <c r="S91" s="179" t="str">
        <f t="shared" si="7"/>
        <v>#N/A</v>
      </c>
    </row>
    <row r="92">
      <c r="A92" s="180"/>
      <c r="B92" s="167" t="s">
        <v>175</v>
      </c>
      <c r="C92" s="168">
        <f>VLOOKUP(B92,'Dados StatusInvest'!$A:$Z,26,0)</f>
        <v>36615214.42</v>
      </c>
      <c r="D92" s="169">
        <f>VLOOKUP(B92,'Dados StatusInvest'!$A:$Z,20,0)/100</f>
        <v>0.082</v>
      </c>
      <c r="E92" s="93" t="str">
        <f t="shared" si="1"/>
        <v>#N/A</v>
      </c>
      <c r="F92" s="170">
        <f>IF(ISERROR(1/VLOOKUP(B92,Capa!A:AC,13,0)),0,1/VLOOKUP(B92,Capa!A:AC,13,0))</f>
        <v>0.0723065799</v>
      </c>
      <c r="G92" s="171">
        <f t="shared" si="2"/>
        <v>106.000106</v>
      </c>
      <c r="H92" s="172" t="str">
        <f t="shared" si="3"/>
        <v>#N/A</v>
      </c>
      <c r="M92" s="167" t="s">
        <v>175</v>
      </c>
      <c r="N92" s="168">
        <f>VLOOKUP(M92,'Dados StatusInvest'!$A:$Z,26,0)</f>
        <v>36615214.42</v>
      </c>
      <c r="O92" s="175">
        <f>VLOOKUP(M92,'Dados StatusInvest'!$A:$Z,18,0)/100</f>
        <v>0.0634</v>
      </c>
      <c r="P92" s="176" t="str">
        <f t="shared" si="5"/>
        <v>#N/A</v>
      </c>
      <c r="Q92" s="177">
        <f>IF(ISERROR(1/VLOOKUP(M92,Capa!A:AC,6,0)),0,1/VLOOKUP(M92,Capa!A:AC,6,0))</f>
        <v>0.03976143141</v>
      </c>
      <c r="R92" s="178">
        <f t="shared" si="6"/>
        <v>173.000173</v>
      </c>
      <c r="S92" s="179" t="str">
        <f t="shared" si="7"/>
        <v>#N/A</v>
      </c>
    </row>
    <row r="93">
      <c r="A93" s="180"/>
      <c r="B93" s="167" t="s">
        <v>1678</v>
      </c>
      <c r="C93" s="168" t="str">
        <f>VLOOKUP(B93,'Dados StatusInvest'!$A:$Z,26,0)</f>
        <v>#N/A</v>
      </c>
      <c r="D93" s="169" t="str">
        <f>VLOOKUP(B93,'Dados StatusInvest'!$A:$Z,20,0)/100</f>
        <v>#N/A</v>
      </c>
      <c r="E93" s="93" t="str">
        <f t="shared" si="1"/>
        <v>#N/A</v>
      </c>
      <c r="F93" s="170">
        <f>IF(ISERROR(1/VLOOKUP(B93,Capa!A:AC,13,0)),0,1/VLOOKUP(B93,Capa!A:AC,13,0))</f>
        <v>0</v>
      </c>
      <c r="G93" s="171">
        <f t="shared" si="2"/>
        <v>329.000329</v>
      </c>
      <c r="H93" s="172" t="str">
        <f t="shared" si="3"/>
        <v>#N/A</v>
      </c>
      <c r="M93" s="167" t="s">
        <v>1678</v>
      </c>
      <c r="N93" s="168" t="str">
        <f>VLOOKUP(M93,'Dados StatusInvest'!$A:$Z,26,0)</f>
        <v>#N/A</v>
      </c>
      <c r="O93" s="175" t="str">
        <f>VLOOKUP(M93,'Dados StatusInvest'!$A:$Z,18,0)/100</f>
        <v>#N/A</v>
      </c>
      <c r="P93" s="176" t="str">
        <f t="shared" si="5"/>
        <v>#N/A</v>
      </c>
      <c r="Q93" s="177">
        <f>IF(ISERROR(1/VLOOKUP(M93,Capa!A:AC,6,0)),0,1/VLOOKUP(M93,Capa!A:AC,6,0))</f>
        <v>0</v>
      </c>
      <c r="R93" s="178">
        <f t="shared" si="6"/>
        <v>399.000399</v>
      </c>
      <c r="S93" s="179" t="str">
        <f t="shared" si="7"/>
        <v>#N/A</v>
      </c>
    </row>
    <row r="94">
      <c r="A94" s="180"/>
      <c r="B94" s="167" t="s">
        <v>619</v>
      </c>
      <c r="C94" s="168">
        <f>VLOOKUP(B94,'Dados StatusInvest'!$A:$Z,26,0)</f>
        <v>109503605.7</v>
      </c>
      <c r="D94" s="169">
        <f>VLOOKUP(B94,'Dados StatusInvest'!$A:$Z,20,0)/100</f>
        <v>-0.0464</v>
      </c>
      <c r="E94" s="93" t="str">
        <f t="shared" si="1"/>
        <v>#N/A</v>
      </c>
      <c r="F94" s="170">
        <f>IF(ISERROR(1/VLOOKUP(B94,Capa!A:AC,13,0)),0,1/VLOOKUP(B94,Capa!A:AC,13,0))</f>
        <v>0</v>
      </c>
      <c r="G94" s="171">
        <f t="shared" si="2"/>
        <v>329.000329</v>
      </c>
      <c r="H94" s="172" t="str">
        <f t="shared" si="3"/>
        <v>#N/A</v>
      </c>
      <c r="M94" s="167" t="s">
        <v>619</v>
      </c>
      <c r="N94" s="168">
        <f>VLOOKUP(M94,'Dados StatusInvest'!$A:$Z,26,0)</f>
        <v>109503605.7</v>
      </c>
      <c r="O94" s="175">
        <f>VLOOKUP(M94,'Dados StatusInvest'!$A:$Z,18,0)/100</f>
        <v>0.1496</v>
      </c>
      <c r="P94" s="176" t="str">
        <f t="shared" si="5"/>
        <v>#N/A</v>
      </c>
      <c r="Q94" s="177">
        <f>IF(ISERROR(1/VLOOKUP(M94,Capa!A:AC,6,0)),0,1/VLOOKUP(M94,Capa!A:AC,6,0))</f>
        <v>0</v>
      </c>
      <c r="R94" s="178">
        <f t="shared" si="6"/>
        <v>399.000399</v>
      </c>
      <c r="S94" s="179" t="str">
        <f t="shared" si="7"/>
        <v>#N/A</v>
      </c>
    </row>
    <row r="95">
      <c r="A95" s="180"/>
      <c r="B95" s="167" t="s">
        <v>178</v>
      </c>
      <c r="C95" s="168">
        <f>VLOOKUP(B95,'Dados StatusInvest'!$A:$Z,26,0)</f>
        <v>26889687.79</v>
      </c>
      <c r="D95" s="169">
        <f>VLOOKUP(B95,'Dados StatusInvest'!$A:$Z,20,0)/100</f>
        <v>0.0444</v>
      </c>
      <c r="E95" s="93" t="str">
        <f t="shared" si="1"/>
        <v>#N/A</v>
      </c>
      <c r="F95" s="170">
        <f>IF(ISERROR(1/VLOOKUP(B95,Capa!A:AC,13,0)),0,1/VLOOKUP(B95,Capa!A:AC,13,0))</f>
        <v>0.1567398119</v>
      </c>
      <c r="G95" s="171">
        <f t="shared" si="2"/>
        <v>42.000042</v>
      </c>
      <c r="H95" s="172" t="str">
        <f t="shared" si="3"/>
        <v>#N/A</v>
      </c>
      <c r="M95" s="167" t="s">
        <v>178</v>
      </c>
      <c r="N95" s="168">
        <f>VLOOKUP(M95,'Dados StatusInvest'!$A:$Z,26,0)</f>
        <v>26889687.79</v>
      </c>
      <c r="O95" s="175">
        <f>VLOOKUP(M95,'Dados StatusInvest'!$A:$Z,18,0)/100</f>
        <v>0.0954</v>
      </c>
      <c r="P95" s="176" t="str">
        <f t="shared" si="5"/>
        <v>#N/A</v>
      </c>
      <c r="Q95" s="177">
        <f>IF(ISERROR(1/VLOOKUP(M95,Capa!A:AC,6,0)),0,1/VLOOKUP(M95,Capa!A:AC,6,0))</f>
        <v>0.02644802962</v>
      </c>
      <c r="R95" s="178">
        <f t="shared" si="6"/>
        <v>248.000248</v>
      </c>
      <c r="S95" s="179" t="str">
        <f t="shared" si="7"/>
        <v>#N/A</v>
      </c>
    </row>
    <row r="96">
      <c r="A96" s="180"/>
      <c r="B96" s="167" t="s">
        <v>148</v>
      </c>
      <c r="C96" s="168">
        <f>VLOOKUP(B96,'Dados StatusInvest'!$A:$Z,26,0)</f>
        <v>54665926.67</v>
      </c>
      <c r="D96" s="169">
        <f>VLOOKUP(B96,'Dados StatusInvest'!$A:$Z,20,0)/100</f>
        <v>0.05</v>
      </c>
      <c r="E96" s="93" t="str">
        <f t="shared" si="1"/>
        <v>#N/A</v>
      </c>
      <c r="F96" s="170">
        <f>IF(ISERROR(1/VLOOKUP(B96,Capa!A:AC,13,0)),0,1/VLOOKUP(B96,Capa!A:AC,13,0))</f>
        <v>0.04088307441</v>
      </c>
      <c r="G96" s="171">
        <f t="shared" si="2"/>
        <v>202.000202</v>
      </c>
      <c r="H96" s="172" t="str">
        <f t="shared" si="3"/>
        <v>#N/A</v>
      </c>
      <c r="M96" s="167" t="s">
        <v>148</v>
      </c>
      <c r="N96" s="168">
        <f>VLOOKUP(M96,'Dados StatusInvest'!$A:$Z,26,0)</f>
        <v>54665926.67</v>
      </c>
      <c r="O96" s="175">
        <f>VLOOKUP(M96,'Dados StatusInvest'!$A:$Z,18,0)/100</f>
        <v>-0.1748</v>
      </c>
      <c r="P96" s="176" t="str">
        <f t="shared" si="5"/>
        <v>#N/A</v>
      </c>
      <c r="Q96" s="177">
        <f>IF(ISERROR(1/VLOOKUP(M96,Capa!A:AC,6,0)),0,1/VLOOKUP(M96,Capa!A:AC,6,0))</f>
        <v>0.07272727273</v>
      </c>
      <c r="R96" s="178">
        <f t="shared" si="6"/>
        <v>100.0001</v>
      </c>
      <c r="S96" s="179" t="str">
        <f t="shared" si="7"/>
        <v>#N/A</v>
      </c>
    </row>
    <row r="97">
      <c r="A97" s="180"/>
      <c r="B97" s="167" t="s">
        <v>165</v>
      </c>
      <c r="C97" s="168">
        <f>VLOOKUP(B97,'Dados StatusInvest'!$A:$Z,26,0)</f>
        <v>31340848.42</v>
      </c>
      <c r="D97" s="169">
        <f>VLOOKUP(B97,'Dados StatusInvest'!$A:$Z,20,0)/100</f>
        <v>0.1621</v>
      </c>
      <c r="E97" s="93" t="str">
        <f t="shared" si="1"/>
        <v>#N/A</v>
      </c>
      <c r="F97" s="170">
        <f>IF(ISERROR(1/VLOOKUP(B97,Capa!A:AC,13,0)),0,1/VLOOKUP(B97,Capa!A:AC,13,0))</f>
        <v>0.04242681375</v>
      </c>
      <c r="G97" s="171">
        <f t="shared" si="2"/>
        <v>195.000195</v>
      </c>
      <c r="H97" s="172" t="str">
        <f t="shared" si="3"/>
        <v>#N/A</v>
      </c>
      <c r="M97" s="167" t="s">
        <v>165</v>
      </c>
      <c r="N97" s="168">
        <f>VLOOKUP(M97,'Dados StatusInvest'!$A:$Z,26,0)</f>
        <v>31340848.42</v>
      </c>
      <c r="O97" s="175">
        <f>VLOOKUP(M97,'Dados StatusInvest'!$A:$Z,18,0)/100</f>
        <v>0.1706</v>
      </c>
      <c r="P97" s="176" t="str">
        <f t="shared" si="5"/>
        <v>#N/A</v>
      </c>
      <c r="Q97" s="177">
        <f>IF(ISERROR(1/VLOOKUP(M97,Capa!A:AC,6,0)),0,1/VLOOKUP(M97,Capa!A:AC,6,0))</f>
        <v>0.02850627138</v>
      </c>
      <c r="R97" s="178">
        <f t="shared" si="6"/>
        <v>242.000242</v>
      </c>
      <c r="S97" s="179" t="str">
        <f t="shared" si="7"/>
        <v>#N/A</v>
      </c>
    </row>
    <row r="98">
      <c r="A98" s="180"/>
      <c r="B98" s="167" t="s">
        <v>162</v>
      </c>
      <c r="C98" s="168">
        <f>VLOOKUP(B98,'Dados StatusInvest'!$A:$Z,26,0)</f>
        <v>32293677.13</v>
      </c>
      <c r="D98" s="169">
        <f>VLOOKUP(B98,'Dados StatusInvest'!$A:$Z,20,0)/100</f>
        <v>0.1837</v>
      </c>
      <c r="E98" s="93" t="str">
        <f t="shared" si="1"/>
        <v>#N/A</v>
      </c>
      <c r="F98" s="170">
        <f>IF(ISERROR(1/VLOOKUP(B98,Capa!A:AC,13,0)),0,1/VLOOKUP(B98,Capa!A:AC,13,0))</f>
        <v>0.008331250521</v>
      </c>
      <c r="G98" s="171">
        <f t="shared" si="2"/>
        <v>307.000307</v>
      </c>
      <c r="H98" s="172" t="str">
        <f t="shared" si="3"/>
        <v>#N/A</v>
      </c>
      <c r="M98" s="167" t="s">
        <v>162</v>
      </c>
      <c r="N98" s="168">
        <f>VLOOKUP(M98,'Dados StatusInvest'!$A:$Z,26,0)</f>
        <v>32293677.13</v>
      </c>
      <c r="O98" s="175">
        <f>VLOOKUP(M98,'Dados StatusInvest'!$A:$Z,18,0)/100</f>
        <v>0.2493</v>
      </c>
      <c r="P98" s="176" t="str">
        <f t="shared" si="5"/>
        <v>#N/A</v>
      </c>
      <c r="Q98" s="177">
        <f>IF(ISERROR(1/VLOOKUP(M98,Capa!A:AC,6,0)),0,1/VLOOKUP(M98,Capa!A:AC,6,0))</f>
        <v>0.03407155026</v>
      </c>
      <c r="R98" s="178">
        <f t="shared" si="6"/>
        <v>207.000207</v>
      </c>
      <c r="S98" s="179" t="str">
        <f t="shared" si="7"/>
        <v>#N/A</v>
      </c>
    </row>
    <row r="99">
      <c r="A99" s="180"/>
      <c r="B99" s="167" t="s">
        <v>185</v>
      </c>
      <c r="C99" s="168">
        <f>VLOOKUP(B99,'Dados StatusInvest'!$A:$Z,26,0)</f>
        <v>27995745.67</v>
      </c>
      <c r="D99" s="169">
        <f>VLOOKUP(B99,'Dados StatusInvest'!$A:$Z,20,0)/100</f>
        <v>0.0951</v>
      </c>
      <c r="E99" s="93" t="str">
        <f t="shared" si="1"/>
        <v>#N/A</v>
      </c>
      <c r="F99" s="170">
        <f>IF(ISERROR(1/VLOOKUP(B99,Capa!A:AC,13,0)),0,1/VLOOKUP(B99,Capa!A:AC,13,0))</f>
        <v>0.08936550492</v>
      </c>
      <c r="G99" s="171">
        <f t="shared" si="2"/>
        <v>81.000081</v>
      </c>
      <c r="H99" s="172" t="str">
        <f t="shared" si="3"/>
        <v>#N/A</v>
      </c>
      <c r="M99" s="167" t="s">
        <v>185</v>
      </c>
      <c r="N99" s="168">
        <f>VLOOKUP(M99,'Dados StatusInvest'!$A:$Z,26,0)</f>
        <v>27995745.67</v>
      </c>
      <c r="O99" s="175">
        <f>VLOOKUP(M99,'Dados StatusInvest'!$A:$Z,18,0)/100</f>
        <v>0.1431</v>
      </c>
      <c r="P99" s="176" t="str">
        <f t="shared" si="5"/>
        <v>#N/A</v>
      </c>
      <c r="Q99" s="177">
        <f>IF(ISERROR(1/VLOOKUP(M99,Capa!A:AC,6,0)),0,1/VLOOKUP(M99,Capa!A:AC,6,0))</f>
        <v>0.03159557662</v>
      </c>
      <c r="R99" s="178">
        <f t="shared" si="6"/>
        <v>225.000225</v>
      </c>
      <c r="S99" s="179" t="str">
        <f t="shared" si="7"/>
        <v>#N/A</v>
      </c>
    </row>
    <row r="100">
      <c r="A100" s="180"/>
      <c r="B100" s="167" t="s">
        <v>124</v>
      </c>
      <c r="C100" s="168">
        <f>VLOOKUP(B100,'Dados StatusInvest'!$A:$Z,26,0)</f>
        <v>73591376.71</v>
      </c>
      <c r="D100" s="169">
        <f>VLOOKUP(B100,'Dados StatusInvest'!$A:$Z,20,0)/100</f>
        <v>0.1034</v>
      </c>
      <c r="E100" s="93" t="str">
        <f t="shared" si="1"/>
        <v>#N/A</v>
      </c>
      <c r="F100" s="170">
        <f>IF(ISERROR(1/VLOOKUP(B100,Capa!A:AC,13,0)),0,1/VLOOKUP(B100,Capa!A:AC,13,0))</f>
        <v>0.1133786848</v>
      </c>
      <c r="G100" s="171">
        <f t="shared" si="2"/>
        <v>64.000064</v>
      </c>
      <c r="H100" s="172" t="str">
        <f t="shared" si="3"/>
        <v>#N/A</v>
      </c>
      <c r="M100" s="167" t="s">
        <v>124</v>
      </c>
      <c r="N100" s="168">
        <f>VLOOKUP(M100,'Dados StatusInvest'!$A:$Z,26,0)</f>
        <v>73591376.71</v>
      </c>
      <c r="O100" s="175">
        <f>VLOOKUP(M100,'Dados StatusInvest'!$A:$Z,18,0)/100</f>
        <v>0.1884</v>
      </c>
      <c r="P100" s="176" t="str">
        <f t="shared" si="5"/>
        <v>#N/A</v>
      </c>
      <c r="Q100" s="177">
        <f>IF(ISERROR(1/VLOOKUP(M100,Capa!A:AC,6,0)),0,1/VLOOKUP(M100,Capa!A:AC,6,0))</f>
        <v>0.01908396947</v>
      </c>
      <c r="R100" s="178">
        <f t="shared" si="6"/>
        <v>297.000297</v>
      </c>
      <c r="S100" s="179" t="str">
        <f t="shared" si="7"/>
        <v>#N/A</v>
      </c>
    </row>
    <row r="101">
      <c r="A101" s="180"/>
      <c r="B101" s="167" t="s">
        <v>155</v>
      </c>
      <c r="C101" s="168">
        <f>VLOOKUP(B101,'Dados StatusInvest'!$A:$Z,26,0)</f>
        <v>46169447.83</v>
      </c>
      <c r="D101" s="169">
        <f>VLOOKUP(B101,'Dados StatusInvest'!$A:$Z,20,0)/100</f>
        <v>0.0611</v>
      </c>
      <c r="E101" s="93" t="str">
        <f t="shared" si="1"/>
        <v>#N/A</v>
      </c>
      <c r="F101" s="170">
        <f>IF(ISERROR(1/VLOOKUP(B101,Capa!A:AC,13,0)),0,1/VLOOKUP(B101,Capa!A:AC,13,0))</f>
        <v>0.04299226139</v>
      </c>
      <c r="G101" s="171">
        <f t="shared" si="2"/>
        <v>191.000191</v>
      </c>
      <c r="H101" s="172" t="str">
        <f t="shared" si="3"/>
        <v>#N/A</v>
      </c>
      <c r="M101" s="167" t="s">
        <v>155</v>
      </c>
      <c r="N101" s="168">
        <f>VLOOKUP(M101,'Dados StatusInvest'!$A:$Z,26,0)</f>
        <v>46169447.83</v>
      </c>
      <c r="O101" s="175">
        <f>VLOOKUP(M101,'Dados StatusInvest'!$A:$Z,18,0)/100</f>
        <v>0.197</v>
      </c>
      <c r="P101" s="176" t="str">
        <f t="shared" si="5"/>
        <v>#N/A</v>
      </c>
      <c r="Q101" s="177">
        <f>IF(ISERROR(1/VLOOKUP(M101,Capa!A:AC,6,0)),0,1/VLOOKUP(M101,Capa!A:AC,6,0))</f>
        <v>0.04257130694</v>
      </c>
      <c r="R101" s="178">
        <f t="shared" si="6"/>
        <v>164.000164</v>
      </c>
      <c r="S101" s="179" t="str">
        <f t="shared" si="7"/>
        <v>#N/A</v>
      </c>
    </row>
    <row r="102">
      <c r="A102" s="180"/>
      <c r="B102" s="167" t="s">
        <v>281</v>
      </c>
      <c r="C102" s="168">
        <f>VLOOKUP(B102,'Dados StatusInvest'!$A:$Z,26,0)</f>
        <v>5566339.33</v>
      </c>
      <c r="D102" s="169">
        <f>VLOOKUP(B102,'Dados StatusInvest'!$A:$Z,20,0)/100</f>
        <v>-0.0879</v>
      </c>
      <c r="E102" s="93" t="str">
        <f t="shared" si="1"/>
        <v>#N/A</v>
      </c>
      <c r="F102" s="170">
        <f>IF(ISERROR(1/VLOOKUP(B102,Capa!A:AC,13,0)),0,1/VLOOKUP(B102,Capa!A:AC,13,0))</f>
        <v>-0.01896453632</v>
      </c>
      <c r="G102" s="171">
        <f t="shared" si="2"/>
        <v>411.000411</v>
      </c>
      <c r="H102" s="172" t="str">
        <f t="shared" si="3"/>
        <v>#N/A</v>
      </c>
      <c r="M102" s="167" t="s">
        <v>281</v>
      </c>
      <c r="N102" s="168">
        <f>VLOOKUP(M102,'Dados StatusInvest'!$A:$Z,26,0)</f>
        <v>5566339.33</v>
      </c>
      <c r="O102" s="175">
        <f>VLOOKUP(M102,'Dados StatusInvest'!$A:$Z,18,0)/100</f>
        <v>-0.2115</v>
      </c>
      <c r="P102" s="176" t="str">
        <f t="shared" si="5"/>
        <v>#N/A</v>
      </c>
      <c r="Q102" s="177">
        <f>IF(ISERROR(1/VLOOKUP(M102,Capa!A:AC,6,0)),0,1/VLOOKUP(M102,Capa!A:AC,6,0))</f>
        <v>0.0946969697</v>
      </c>
      <c r="R102" s="178">
        <f t="shared" si="6"/>
        <v>70.00007</v>
      </c>
      <c r="S102" s="179" t="str">
        <f t="shared" si="7"/>
        <v>#N/A</v>
      </c>
    </row>
    <row r="103">
      <c r="A103" s="180"/>
      <c r="B103" s="167" t="s">
        <v>186</v>
      </c>
      <c r="C103" s="168">
        <f>VLOOKUP(B103,'Dados StatusInvest'!$A:$Z,26,0)</f>
        <v>22317820.42</v>
      </c>
      <c r="D103" s="169">
        <f>VLOOKUP(B103,'Dados StatusInvest'!$A:$Z,20,0)/100</f>
        <v>0.1584</v>
      </c>
      <c r="E103" s="93" t="str">
        <f t="shared" si="1"/>
        <v>#N/A</v>
      </c>
      <c r="F103" s="170">
        <f>IF(ISERROR(1/VLOOKUP(B103,Capa!A:AC,13,0)),0,1/VLOOKUP(B103,Capa!A:AC,13,0))</f>
        <v>0.01734003815</v>
      </c>
      <c r="G103" s="171">
        <f t="shared" si="2"/>
        <v>288.000288</v>
      </c>
      <c r="H103" s="172" t="str">
        <f t="shared" si="3"/>
        <v>#N/A</v>
      </c>
      <c r="M103" s="167" t="s">
        <v>186</v>
      </c>
      <c r="N103" s="168">
        <f>VLOOKUP(M103,'Dados StatusInvest'!$A:$Z,26,0)</f>
        <v>22317820.42</v>
      </c>
      <c r="O103" s="175">
        <f>VLOOKUP(M103,'Dados StatusInvest'!$A:$Z,18,0)/100</f>
        <v>0.2076</v>
      </c>
      <c r="P103" s="176" t="str">
        <f t="shared" si="5"/>
        <v>#N/A</v>
      </c>
      <c r="Q103" s="177">
        <f>IF(ISERROR(1/VLOOKUP(M103,Capa!A:AC,6,0)),0,1/VLOOKUP(M103,Capa!A:AC,6,0))</f>
        <v>0.1169590643</v>
      </c>
      <c r="R103" s="178">
        <f t="shared" si="6"/>
        <v>50.00005</v>
      </c>
      <c r="S103" s="179" t="str">
        <f t="shared" si="7"/>
        <v>#N/A</v>
      </c>
    </row>
    <row r="104">
      <c r="A104" s="180"/>
      <c r="B104" s="167" t="s">
        <v>628</v>
      </c>
      <c r="C104" s="168">
        <f>VLOOKUP(B104,'Dados StatusInvest'!$A:$Z,26,0)</f>
        <v>105252650.4</v>
      </c>
      <c r="D104" s="169">
        <f>VLOOKUP(B104,'Dados StatusInvest'!$A:$Z,20,0)/100</f>
        <v>-0.0223</v>
      </c>
      <c r="E104" s="93" t="str">
        <f t="shared" si="1"/>
        <v>#N/A</v>
      </c>
      <c r="F104" s="170">
        <f>IF(ISERROR(1/VLOOKUP(B104,Capa!A:AC,13,0)),0,1/VLOOKUP(B104,Capa!A:AC,13,0))</f>
        <v>0</v>
      </c>
      <c r="G104" s="171">
        <f t="shared" si="2"/>
        <v>329.000329</v>
      </c>
      <c r="H104" s="172" t="str">
        <f t="shared" si="3"/>
        <v>#N/A</v>
      </c>
      <c r="M104" s="167" t="s">
        <v>628</v>
      </c>
      <c r="N104" s="168">
        <f>VLOOKUP(M104,'Dados StatusInvest'!$A:$Z,26,0)</f>
        <v>105252650.4</v>
      </c>
      <c r="O104" s="175">
        <f>VLOOKUP(M104,'Dados StatusInvest'!$A:$Z,18,0)/100</f>
        <v>-0.0481</v>
      </c>
      <c r="P104" s="176" t="str">
        <f t="shared" si="5"/>
        <v>#N/A</v>
      </c>
      <c r="Q104" s="177">
        <f>IF(ISERROR(1/VLOOKUP(M104,Capa!A:AC,6,0)),0,1/VLOOKUP(M104,Capa!A:AC,6,0))</f>
        <v>0</v>
      </c>
      <c r="R104" s="178">
        <f t="shared" si="6"/>
        <v>399.000399</v>
      </c>
      <c r="S104" s="179" t="str">
        <f t="shared" si="7"/>
        <v>#N/A</v>
      </c>
    </row>
    <row r="105">
      <c r="A105" s="180"/>
      <c r="B105" s="167" t="s">
        <v>158</v>
      </c>
      <c r="C105" s="168">
        <f>VLOOKUP(B105,'Dados StatusInvest'!$A:$Z,26,0)</f>
        <v>62745706.04</v>
      </c>
      <c r="D105" s="169">
        <f>VLOOKUP(B105,'Dados StatusInvest'!$A:$Z,20,0)/100</f>
        <v>0</v>
      </c>
      <c r="E105" s="93" t="str">
        <f t="shared" si="1"/>
        <v>#N/A</v>
      </c>
      <c r="F105" s="170">
        <f>IF(ISERROR(1/VLOOKUP(B105,Capa!A:AC,13,0)),0,1/VLOOKUP(B105,Capa!A:AC,13,0))</f>
        <v>0.04418912947</v>
      </c>
      <c r="G105" s="171">
        <f t="shared" si="2"/>
        <v>187.000187</v>
      </c>
      <c r="H105" s="172" t="str">
        <f t="shared" si="3"/>
        <v>#N/A</v>
      </c>
      <c r="M105" s="167" t="s">
        <v>158</v>
      </c>
      <c r="N105" s="168">
        <f>VLOOKUP(M105,'Dados StatusInvest'!$A:$Z,26,0)</f>
        <v>62745706.04</v>
      </c>
      <c r="O105" s="175">
        <f>VLOOKUP(M105,'Dados StatusInvest'!$A:$Z,18,0)/100</f>
        <v>0.1939</v>
      </c>
      <c r="P105" s="176" t="str">
        <f t="shared" si="5"/>
        <v>#N/A</v>
      </c>
      <c r="Q105" s="177">
        <f>IF(ISERROR(1/VLOOKUP(M105,Capa!A:AC,6,0)),0,1/VLOOKUP(M105,Capa!A:AC,6,0))</f>
        <v>0.03316749585</v>
      </c>
      <c r="R105" s="178">
        <f t="shared" si="6"/>
        <v>214.000214</v>
      </c>
      <c r="S105" s="179" t="str">
        <f t="shared" si="7"/>
        <v>#N/A</v>
      </c>
    </row>
    <row r="106">
      <c r="A106" s="180"/>
      <c r="B106" s="167" t="s">
        <v>658</v>
      </c>
      <c r="C106" s="168">
        <f>VLOOKUP(B106,'Dados StatusInvest'!$A:$Z,26,0)</f>
        <v>31123800.68</v>
      </c>
      <c r="D106" s="169">
        <f>VLOOKUP(B106,'Dados StatusInvest'!$A:$Z,20,0)/100</f>
        <v>0.1631</v>
      </c>
      <c r="E106" s="93" t="str">
        <f t="shared" si="1"/>
        <v>#N/A</v>
      </c>
      <c r="F106" s="170">
        <f>IF(ISERROR(1/VLOOKUP(B106,Capa!A:AC,13,0)),0,1/VLOOKUP(B106,Capa!A:AC,13,0))</f>
        <v>0</v>
      </c>
      <c r="G106" s="171">
        <f t="shared" si="2"/>
        <v>329.000329</v>
      </c>
      <c r="H106" s="172" t="str">
        <f t="shared" si="3"/>
        <v>#N/A</v>
      </c>
      <c r="M106" s="167" t="s">
        <v>658</v>
      </c>
      <c r="N106" s="168">
        <f>VLOOKUP(M106,'Dados StatusInvest'!$A:$Z,26,0)</f>
        <v>31123800.68</v>
      </c>
      <c r="O106" s="175">
        <f>VLOOKUP(M106,'Dados StatusInvest'!$A:$Z,18,0)/100</f>
        <v>0.4294</v>
      </c>
      <c r="P106" s="176" t="str">
        <f t="shared" si="5"/>
        <v>#N/A</v>
      </c>
      <c r="Q106" s="177">
        <f>IF(ISERROR(1/VLOOKUP(M106,Capa!A:AC,6,0)),0,1/VLOOKUP(M106,Capa!A:AC,6,0))</f>
        <v>0</v>
      </c>
      <c r="R106" s="178">
        <f t="shared" si="6"/>
        <v>399.000399</v>
      </c>
      <c r="S106" s="179" t="str">
        <f t="shared" si="7"/>
        <v>#N/A</v>
      </c>
    </row>
    <row r="107">
      <c r="A107" s="180"/>
      <c r="B107" s="167" t="s">
        <v>114</v>
      </c>
      <c r="C107" s="168">
        <f>VLOOKUP(B107,'Dados StatusInvest'!$A:$Z,26,0)</f>
        <v>124476175.9</v>
      </c>
      <c r="D107" s="169">
        <f>VLOOKUP(B107,'Dados StatusInvest'!$A:$Z,20,0)/100</f>
        <v>0</v>
      </c>
      <c r="E107" s="93" t="str">
        <f t="shared" si="1"/>
        <v>#N/A</v>
      </c>
      <c r="F107" s="170">
        <f>IF(ISERROR(1/VLOOKUP(B107,Capa!A:AC,13,0)),0,1/VLOOKUP(B107,Capa!A:AC,13,0))</f>
        <v>0.0900090009</v>
      </c>
      <c r="G107" s="171">
        <f t="shared" si="2"/>
        <v>79.000079</v>
      </c>
      <c r="H107" s="172" t="str">
        <f t="shared" si="3"/>
        <v>#N/A</v>
      </c>
      <c r="M107" s="167" t="s">
        <v>114</v>
      </c>
      <c r="N107" s="168">
        <f>VLOOKUP(M107,'Dados StatusInvest'!$A:$Z,26,0)</f>
        <v>124476175.9</v>
      </c>
      <c r="O107" s="175">
        <f>VLOOKUP(M107,'Dados StatusInvest'!$A:$Z,18,0)/100</f>
        <v>0.132</v>
      </c>
      <c r="P107" s="176" t="str">
        <f t="shared" si="5"/>
        <v>#N/A</v>
      </c>
      <c r="Q107" s="177">
        <f>IF(ISERROR(1/VLOOKUP(M107,Capa!A:AC,6,0)),0,1/VLOOKUP(M107,Capa!A:AC,6,0))</f>
        <v>0.03802281369</v>
      </c>
      <c r="R107" s="178">
        <f t="shared" si="6"/>
        <v>177.000177</v>
      </c>
      <c r="S107" s="179" t="str">
        <f t="shared" si="7"/>
        <v>#N/A</v>
      </c>
    </row>
    <row r="108">
      <c r="A108" s="180"/>
      <c r="B108" s="167" t="s">
        <v>161</v>
      </c>
      <c r="C108" s="168">
        <f>VLOOKUP(B108,'Dados StatusInvest'!$A:$Z,26,0)</f>
        <v>35298094.63</v>
      </c>
      <c r="D108" s="169">
        <f>VLOOKUP(B108,'Dados StatusInvest'!$A:$Z,20,0)/100</f>
        <v>0.1375</v>
      </c>
      <c r="E108" s="93" t="str">
        <f t="shared" si="1"/>
        <v>#N/A</v>
      </c>
      <c r="F108" s="170">
        <f>IF(ISERROR(1/VLOOKUP(B108,Capa!A:AC,13,0)),0,1/VLOOKUP(B108,Capa!A:AC,13,0))</f>
        <v>0.05192107996</v>
      </c>
      <c r="G108" s="171">
        <f t="shared" si="2"/>
        <v>159.000159</v>
      </c>
      <c r="H108" s="172" t="str">
        <f t="shared" si="3"/>
        <v>#N/A</v>
      </c>
      <c r="M108" s="167" t="s">
        <v>161</v>
      </c>
      <c r="N108" s="168">
        <f>VLOOKUP(M108,'Dados StatusInvest'!$A:$Z,26,0)</f>
        <v>35298094.63</v>
      </c>
      <c r="O108" s="175">
        <f>VLOOKUP(M108,'Dados StatusInvest'!$A:$Z,18,0)/100</f>
        <v>0.3777</v>
      </c>
      <c r="P108" s="176" t="str">
        <f t="shared" si="5"/>
        <v>#N/A</v>
      </c>
      <c r="Q108" s="177">
        <f>IF(ISERROR(1/VLOOKUP(M108,Capa!A:AC,6,0)),0,1/VLOOKUP(M108,Capa!A:AC,6,0))</f>
        <v>0.05955926147</v>
      </c>
      <c r="R108" s="178">
        <f t="shared" si="6"/>
        <v>128.000128</v>
      </c>
      <c r="S108" s="179" t="str">
        <f t="shared" si="7"/>
        <v>#N/A</v>
      </c>
    </row>
    <row r="109">
      <c r="A109" s="180"/>
      <c r="B109" s="167" t="s">
        <v>188</v>
      </c>
      <c r="C109" s="168">
        <f>VLOOKUP(B109,'Dados StatusInvest'!$A:$Z,26,0)</f>
        <v>28027863.42</v>
      </c>
      <c r="D109" s="169">
        <f>VLOOKUP(B109,'Dados StatusInvest'!$A:$Z,20,0)/100</f>
        <v>0.1045</v>
      </c>
      <c r="E109" s="93" t="str">
        <f t="shared" si="1"/>
        <v>#N/A</v>
      </c>
      <c r="F109" s="170">
        <f>IF(ISERROR(1/VLOOKUP(B109,Capa!A:AC,13,0)),0,1/VLOOKUP(B109,Capa!A:AC,13,0))</f>
        <v>0.03968253968</v>
      </c>
      <c r="G109" s="171">
        <f t="shared" si="2"/>
        <v>207.000207</v>
      </c>
      <c r="H109" s="172" t="str">
        <f t="shared" si="3"/>
        <v>#N/A</v>
      </c>
      <c r="M109" s="167" t="s">
        <v>188</v>
      </c>
      <c r="N109" s="168">
        <f>VLOOKUP(M109,'Dados StatusInvest'!$A:$Z,26,0)</f>
        <v>28027863.42</v>
      </c>
      <c r="O109" s="175">
        <f>VLOOKUP(M109,'Dados StatusInvest'!$A:$Z,18,0)/100</f>
        <v>0.1421</v>
      </c>
      <c r="P109" s="176" t="str">
        <f t="shared" si="5"/>
        <v>#N/A</v>
      </c>
      <c r="Q109" s="177">
        <f>IF(ISERROR(1/VLOOKUP(M109,Capa!A:AC,6,0)),0,1/VLOOKUP(M109,Capa!A:AC,6,0))</f>
        <v>0.05524861878</v>
      </c>
      <c r="R109" s="178">
        <f t="shared" si="6"/>
        <v>134.000134</v>
      </c>
      <c r="S109" s="179" t="str">
        <f t="shared" si="7"/>
        <v>#N/A</v>
      </c>
    </row>
    <row r="110">
      <c r="A110" s="180"/>
      <c r="B110" s="167" t="s">
        <v>168</v>
      </c>
      <c r="C110" s="168">
        <f>VLOOKUP(B110,'Dados StatusInvest'!$A:$Z,26,0)</f>
        <v>44062580.08</v>
      </c>
      <c r="D110" s="169">
        <f>VLOOKUP(B110,'Dados StatusInvest'!$A:$Z,20,0)/100</f>
        <v>0.1407</v>
      </c>
      <c r="E110" s="93" t="str">
        <f t="shared" si="1"/>
        <v>#N/A</v>
      </c>
      <c r="F110" s="170">
        <f>IF(ISERROR(1/VLOOKUP(B110,Capa!A:AC,13,0)),0,1/VLOOKUP(B110,Capa!A:AC,13,0))</f>
        <v>0.02686727566</v>
      </c>
      <c r="G110" s="171">
        <f t="shared" si="2"/>
        <v>259.000259</v>
      </c>
      <c r="H110" s="172" t="str">
        <f t="shared" si="3"/>
        <v>#N/A</v>
      </c>
      <c r="M110" s="167" t="s">
        <v>168</v>
      </c>
      <c r="N110" s="168">
        <f>VLOOKUP(M110,'Dados StatusInvest'!$A:$Z,26,0)</f>
        <v>44062580.08</v>
      </c>
      <c r="O110" s="175">
        <f>VLOOKUP(M110,'Dados StatusInvest'!$A:$Z,18,0)/100</f>
        <v>0.2512</v>
      </c>
      <c r="P110" s="176" t="str">
        <f t="shared" si="5"/>
        <v>#N/A</v>
      </c>
      <c r="Q110" s="177">
        <f>IF(ISERROR(1/VLOOKUP(M110,Capa!A:AC,6,0)),0,1/VLOOKUP(M110,Capa!A:AC,6,0))</f>
        <v>0.02471576866</v>
      </c>
      <c r="R110" s="178">
        <f t="shared" si="6"/>
        <v>256.000256</v>
      </c>
      <c r="S110" s="179" t="str">
        <f t="shared" si="7"/>
        <v>#N/A</v>
      </c>
    </row>
    <row r="111">
      <c r="A111" s="180"/>
      <c r="B111" s="167" t="s">
        <v>199</v>
      </c>
      <c r="C111" s="168">
        <f>VLOOKUP(B111,'Dados StatusInvest'!$A:$Z,26,0)</f>
        <v>28903185.13</v>
      </c>
      <c r="D111" s="169">
        <f>VLOOKUP(B111,'Dados StatusInvest'!$A:$Z,20,0)/100</f>
        <v>0.0476</v>
      </c>
      <c r="E111" s="93" t="str">
        <f t="shared" si="1"/>
        <v>#N/A</v>
      </c>
      <c r="F111" s="170">
        <f>IF(ISERROR(1/VLOOKUP(B111,Capa!A:AC,13,0)),0,1/VLOOKUP(B111,Capa!A:AC,13,0))</f>
        <v>0.1579778831</v>
      </c>
      <c r="G111" s="171">
        <f t="shared" si="2"/>
        <v>41.000041</v>
      </c>
      <c r="H111" s="172" t="str">
        <f t="shared" si="3"/>
        <v>#N/A</v>
      </c>
      <c r="M111" s="167" t="s">
        <v>199</v>
      </c>
      <c r="N111" s="168">
        <f>VLOOKUP(M111,'Dados StatusInvest'!$A:$Z,26,0)</f>
        <v>28903185.13</v>
      </c>
      <c r="O111" s="175">
        <f>VLOOKUP(M111,'Dados StatusInvest'!$A:$Z,18,0)/100</f>
        <v>0.0327</v>
      </c>
      <c r="P111" s="176" t="str">
        <f t="shared" si="5"/>
        <v>#N/A</v>
      </c>
      <c r="Q111" s="177">
        <f>IF(ISERROR(1/VLOOKUP(M111,Capa!A:AC,6,0)),0,1/VLOOKUP(M111,Capa!A:AC,6,0))</f>
        <v>0.05263157895</v>
      </c>
      <c r="R111" s="178">
        <f t="shared" si="6"/>
        <v>140.00014</v>
      </c>
      <c r="S111" s="179" t="str">
        <f t="shared" si="7"/>
        <v>#N/A</v>
      </c>
    </row>
    <row r="112">
      <c r="A112" s="180"/>
      <c r="B112" s="167" t="s">
        <v>169</v>
      </c>
      <c r="C112" s="168">
        <f>VLOOKUP(B112,'Dados StatusInvest'!$A:$Z,26,0)</f>
        <v>30045136.71</v>
      </c>
      <c r="D112" s="169">
        <f>VLOOKUP(B112,'Dados StatusInvest'!$A:$Z,20,0)/100</f>
        <v>-0.0539</v>
      </c>
      <c r="E112" s="93" t="str">
        <f t="shared" si="1"/>
        <v>#N/A</v>
      </c>
      <c r="F112" s="170">
        <f>IF(ISERROR(1/VLOOKUP(B112,Capa!A:AC,13,0)),0,1/VLOOKUP(B112,Capa!A:AC,13,0))</f>
        <v>-0.1869158879</v>
      </c>
      <c r="G112" s="171">
        <f t="shared" si="2"/>
        <v>433.000433</v>
      </c>
      <c r="H112" s="172" t="str">
        <f t="shared" si="3"/>
        <v>#N/A</v>
      </c>
      <c r="M112" s="167" t="s">
        <v>169</v>
      </c>
      <c r="N112" s="168">
        <f>VLOOKUP(M112,'Dados StatusInvest'!$A:$Z,26,0)</f>
        <v>30045136.71</v>
      </c>
      <c r="O112" s="175">
        <f>VLOOKUP(M112,'Dados StatusInvest'!$A:$Z,18,0)/100</f>
        <v>0.1276</v>
      </c>
      <c r="P112" s="176" t="str">
        <f t="shared" si="5"/>
        <v>#N/A</v>
      </c>
      <c r="Q112" s="177">
        <f>IF(ISERROR(1/VLOOKUP(M112,Capa!A:AC,6,0)),0,1/VLOOKUP(M112,Capa!A:AC,6,0))</f>
        <v>0.09920634921</v>
      </c>
      <c r="R112" s="178">
        <f t="shared" si="6"/>
        <v>67.000067</v>
      </c>
      <c r="S112" s="179" t="str">
        <f t="shared" si="7"/>
        <v>#N/A</v>
      </c>
    </row>
    <row r="113">
      <c r="A113" s="180"/>
      <c r="B113" s="167" t="s">
        <v>207</v>
      </c>
      <c r="C113" s="168">
        <f>VLOOKUP(B113,'Dados StatusInvest'!$A:$Z,26,0)</f>
        <v>21119588.79</v>
      </c>
      <c r="D113" s="169">
        <f>VLOOKUP(B113,'Dados StatusInvest'!$A:$Z,20,0)/100</f>
        <v>0</v>
      </c>
      <c r="E113" s="93" t="str">
        <f t="shared" si="1"/>
        <v>#N/A</v>
      </c>
      <c r="F113" s="170">
        <f>IF(ISERROR(1/VLOOKUP(B113,Capa!A:AC,13,0)),0,1/VLOOKUP(B113,Capa!A:AC,13,0))</f>
        <v>0.05868544601</v>
      </c>
      <c r="G113" s="171">
        <f t="shared" si="2"/>
        <v>126.000126</v>
      </c>
      <c r="H113" s="172" t="str">
        <f t="shared" si="3"/>
        <v>#N/A</v>
      </c>
      <c r="M113" s="167" t="s">
        <v>207</v>
      </c>
      <c r="N113" s="168">
        <f>VLOOKUP(M113,'Dados StatusInvest'!$A:$Z,26,0)</f>
        <v>21119588.79</v>
      </c>
      <c r="O113" s="175">
        <f>VLOOKUP(M113,'Dados StatusInvest'!$A:$Z,18,0)/100</f>
        <v>0.1034</v>
      </c>
      <c r="P113" s="176" t="str">
        <f t="shared" si="5"/>
        <v>#N/A</v>
      </c>
      <c r="Q113" s="177">
        <f>IF(ISERROR(1/VLOOKUP(M113,Capa!A:AC,6,0)),0,1/VLOOKUP(M113,Capa!A:AC,6,0))</f>
        <v>0.06711409396</v>
      </c>
      <c r="R113" s="178">
        <f t="shared" si="6"/>
        <v>110.00011</v>
      </c>
      <c r="S113" s="179" t="str">
        <f t="shared" si="7"/>
        <v>#N/A</v>
      </c>
    </row>
    <row r="114">
      <c r="A114" s="180"/>
      <c r="B114" s="167" t="s">
        <v>653</v>
      </c>
      <c r="C114" s="168">
        <f>VLOOKUP(B114,'Dados StatusInvest'!$A:$Z,26,0)</f>
        <v>25865505.33</v>
      </c>
      <c r="D114" s="169">
        <f>VLOOKUP(B114,'Dados StatusInvest'!$A:$Z,20,0)/100</f>
        <v>0.2447</v>
      </c>
      <c r="E114" s="93" t="str">
        <f t="shared" si="1"/>
        <v>#N/A</v>
      </c>
      <c r="F114" s="170">
        <f>IF(ISERROR(1/VLOOKUP(B114,Capa!A:AC,13,0)),0,1/VLOOKUP(B114,Capa!A:AC,13,0))</f>
        <v>0</v>
      </c>
      <c r="G114" s="171">
        <f t="shared" si="2"/>
        <v>329.000329</v>
      </c>
      <c r="H114" s="172" t="str">
        <f t="shared" si="3"/>
        <v>#N/A</v>
      </c>
      <c r="M114" s="167" t="s">
        <v>653</v>
      </c>
      <c r="N114" s="168">
        <f>VLOOKUP(M114,'Dados StatusInvest'!$A:$Z,26,0)</f>
        <v>25865505.33</v>
      </c>
      <c r="O114" s="175">
        <f>VLOOKUP(M114,'Dados StatusInvest'!$A:$Z,18,0)/100</f>
        <v>0.3796</v>
      </c>
      <c r="P114" s="176" t="str">
        <f t="shared" si="5"/>
        <v>#N/A</v>
      </c>
      <c r="Q114" s="177">
        <f>IF(ISERROR(1/VLOOKUP(M114,Capa!A:AC,6,0)),0,1/VLOOKUP(M114,Capa!A:AC,6,0))</f>
        <v>0</v>
      </c>
      <c r="R114" s="178">
        <f t="shared" si="6"/>
        <v>399.000399</v>
      </c>
      <c r="S114" s="179" t="str">
        <f t="shared" si="7"/>
        <v>#N/A</v>
      </c>
    </row>
    <row r="115">
      <c r="A115" s="180"/>
      <c r="B115" s="167" t="s">
        <v>99</v>
      </c>
      <c r="C115" s="168">
        <f>VLOOKUP(B115,'Dados StatusInvest'!$A:$Z,26,0)</f>
        <v>132076726.8</v>
      </c>
      <c r="D115" s="169">
        <f>VLOOKUP(B115,'Dados StatusInvest'!$A:$Z,20,0)/100</f>
        <v>0.0083</v>
      </c>
      <c r="E115" s="93" t="str">
        <f t="shared" si="1"/>
        <v>#N/A</v>
      </c>
      <c r="F115" s="170">
        <f>IF(ISERROR(1/VLOOKUP(B115,Capa!A:AC,13,0)),0,1/VLOOKUP(B115,Capa!A:AC,13,0))</f>
        <v>0.1522070015</v>
      </c>
      <c r="G115" s="171">
        <f t="shared" si="2"/>
        <v>45.000045</v>
      </c>
      <c r="H115" s="172" t="str">
        <f t="shared" si="3"/>
        <v>#N/A</v>
      </c>
      <c r="M115" s="167" t="s">
        <v>99</v>
      </c>
      <c r="N115" s="168">
        <f>VLOOKUP(M115,'Dados StatusInvest'!$A:$Z,26,0)</f>
        <v>132076726.8</v>
      </c>
      <c r="O115" s="175">
        <f>VLOOKUP(M115,'Dados StatusInvest'!$A:$Z,18,0)/100</f>
        <v>0.004</v>
      </c>
      <c r="P115" s="176" t="str">
        <f t="shared" si="5"/>
        <v>#N/A</v>
      </c>
      <c r="Q115" s="177">
        <f>IF(ISERROR(1/VLOOKUP(M115,Capa!A:AC,6,0)),0,1/VLOOKUP(M115,Capa!A:AC,6,0))</f>
        <v>0.0285225328</v>
      </c>
      <c r="R115" s="178">
        <f t="shared" si="6"/>
        <v>241.000241</v>
      </c>
      <c r="S115" s="179" t="str">
        <f t="shared" si="7"/>
        <v>#N/A</v>
      </c>
    </row>
    <row r="116">
      <c r="A116" s="180"/>
      <c r="B116" s="167" t="s">
        <v>239</v>
      </c>
      <c r="C116" s="168">
        <f>VLOOKUP(B116,'Dados StatusInvest'!$A:$Z,26,0)</f>
        <v>11164113.42</v>
      </c>
      <c r="D116" s="169">
        <f>VLOOKUP(B116,'Dados StatusInvest'!$A:$Z,20,0)/100</f>
        <v>0.023</v>
      </c>
      <c r="E116" s="93" t="str">
        <f t="shared" si="1"/>
        <v>#N/A</v>
      </c>
      <c r="F116" s="170">
        <f>IF(ISERROR(1/VLOOKUP(B116,Capa!A:AC,13,0)),0,1/VLOOKUP(B116,Capa!A:AC,13,0))</f>
        <v>0.1897533207</v>
      </c>
      <c r="G116" s="171">
        <f t="shared" si="2"/>
        <v>28.000028</v>
      </c>
      <c r="H116" s="172" t="str">
        <f t="shared" si="3"/>
        <v>#N/A</v>
      </c>
      <c r="M116" s="167" t="s">
        <v>239</v>
      </c>
      <c r="N116" s="168">
        <f>VLOOKUP(M116,'Dados StatusInvest'!$A:$Z,26,0)</f>
        <v>11164113.42</v>
      </c>
      <c r="O116" s="175">
        <f>VLOOKUP(M116,'Dados StatusInvest'!$A:$Z,18,0)/100</f>
        <v>0.1022</v>
      </c>
      <c r="P116" s="176" t="str">
        <f t="shared" si="5"/>
        <v>#N/A</v>
      </c>
      <c r="Q116" s="177">
        <f>IF(ISERROR(1/VLOOKUP(M116,Capa!A:AC,6,0)),0,1/VLOOKUP(M116,Capa!A:AC,6,0))</f>
        <v>0.27100271</v>
      </c>
      <c r="R116" s="178">
        <f t="shared" si="6"/>
        <v>9.000009</v>
      </c>
      <c r="S116" s="179" t="str">
        <f t="shared" si="7"/>
        <v>#N/A</v>
      </c>
    </row>
    <row r="117">
      <c r="A117" s="180"/>
      <c r="B117" s="167" t="s">
        <v>151</v>
      </c>
      <c r="C117" s="168">
        <f>VLOOKUP(B117,'Dados StatusInvest'!$A:$Z,26,0)</f>
        <v>60051827.33</v>
      </c>
      <c r="D117" s="169">
        <f>VLOOKUP(B117,'Dados StatusInvest'!$A:$Z,20,0)/100</f>
        <v>0.1463</v>
      </c>
      <c r="E117" s="93" t="str">
        <f t="shared" si="1"/>
        <v>#N/A</v>
      </c>
      <c r="F117" s="170">
        <f>IF(ISERROR(1/VLOOKUP(B117,Capa!A:AC,13,0)),0,1/VLOOKUP(B117,Capa!A:AC,13,0))</f>
        <v>0.04918839154</v>
      </c>
      <c r="G117" s="171">
        <f t="shared" si="2"/>
        <v>167.000167</v>
      </c>
      <c r="H117" s="172" t="str">
        <f t="shared" si="3"/>
        <v>#N/A</v>
      </c>
      <c r="M117" s="167" t="s">
        <v>151</v>
      </c>
      <c r="N117" s="168">
        <f>VLOOKUP(M117,'Dados StatusInvest'!$A:$Z,26,0)</f>
        <v>60051827.33</v>
      </c>
      <c r="O117" s="175">
        <f>VLOOKUP(M117,'Dados StatusInvest'!$A:$Z,18,0)/100</f>
        <v>0.166</v>
      </c>
      <c r="P117" s="176" t="str">
        <f t="shared" si="5"/>
        <v>#N/A</v>
      </c>
      <c r="Q117" s="177">
        <f>IF(ISERROR(1/VLOOKUP(M117,Capa!A:AC,6,0)),0,1/VLOOKUP(M117,Capa!A:AC,6,0))</f>
        <v>0.00981932443</v>
      </c>
      <c r="R117" s="178">
        <f t="shared" si="6"/>
        <v>367.000367</v>
      </c>
      <c r="S117" s="179" t="str">
        <f t="shared" si="7"/>
        <v>#N/A</v>
      </c>
    </row>
    <row r="118">
      <c r="A118" s="180"/>
      <c r="B118" s="167" t="s">
        <v>279</v>
      </c>
      <c r="C118" s="168">
        <f>VLOOKUP(B118,'Dados StatusInvest'!$A:$Z,26,0)</f>
        <v>5455403.75</v>
      </c>
      <c r="D118" s="169">
        <f>VLOOKUP(B118,'Dados StatusInvest'!$A:$Z,20,0)/100</f>
        <v>0.026</v>
      </c>
      <c r="E118" s="93" t="str">
        <f t="shared" si="1"/>
        <v>#N/A</v>
      </c>
      <c r="F118" s="170">
        <f>IF(ISERROR(1/VLOOKUP(B118,Capa!A:AC,13,0)),0,1/VLOOKUP(B118,Capa!A:AC,13,0))</f>
        <v>0.003225910513</v>
      </c>
      <c r="G118" s="171">
        <f t="shared" si="2"/>
        <v>314.000314</v>
      </c>
      <c r="H118" s="172" t="str">
        <f t="shared" si="3"/>
        <v>#N/A</v>
      </c>
      <c r="M118" s="167" t="s">
        <v>279</v>
      </c>
      <c r="N118" s="168">
        <f>VLOOKUP(M118,'Dados StatusInvest'!$A:$Z,26,0)</f>
        <v>5455403.75</v>
      </c>
      <c r="O118" s="175">
        <f>VLOOKUP(M118,'Dados StatusInvest'!$A:$Z,18,0)/100</f>
        <v>0.1537</v>
      </c>
      <c r="P118" s="176" t="str">
        <f t="shared" si="5"/>
        <v>#N/A</v>
      </c>
      <c r="Q118" s="177">
        <f>IF(ISERROR(1/VLOOKUP(M118,Capa!A:AC,6,0)),0,1/VLOOKUP(M118,Capa!A:AC,6,0))</f>
        <v>0.07473841555</v>
      </c>
      <c r="R118" s="178">
        <f t="shared" si="6"/>
        <v>96.000096</v>
      </c>
      <c r="S118" s="179" t="str">
        <f t="shared" si="7"/>
        <v>#N/A</v>
      </c>
    </row>
    <row r="119">
      <c r="A119" s="180"/>
      <c r="B119" s="167" t="s">
        <v>216</v>
      </c>
      <c r="C119" s="168">
        <f>VLOOKUP(B119,'Dados StatusInvest'!$A:$Z,26,0)</f>
        <v>15802243.08</v>
      </c>
      <c r="D119" s="169">
        <f>VLOOKUP(B119,'Dados StatusInvest'!$A:$Z,20,0)/100</f>
        <v>0.0245</v>
      </c>
      <c r="E119" s="93" t="str">
        <f t="shared" si="1"/>
        <v>#N/A</v>
      </c>
      <c r="F119" s="170">
        <f>IF(ISERROR(1/VLOOKUP(B119,Capa!A:AC,13,0)),0,1/VLOOKUP(B119,Capa!A:AC,13,0))</f>
        <v>0.135501355</v>
      </c>
      <c r="G119" s="171">
        <f t="shared" si="2"/>
        <v>50.00005</v>
      </c>
      <c r="H119" s="172" t="str">
        <f t="shared" si="3"/>
        <v>#N/A</v>
      </c>
      <c r="M119" s="167" t="s">
        <v>216</v>
      </c>
      <c r="N119" s="168">
        <f>VLOOKUP(M119,'Dados StatusInvest'!$A:$Z,26,0)</f>
        <v>15802243.08</v>
      </c>
      <c r="O119" s="175">
        <f>VLOOKUP(M119,'Dados StatusInvest'!$A:$Z,18,0)/100</f>
        <v>-0.0009</v>
      </c>
      <c r="P119" s="176" t="str">
        <f t="shared" si="5"/>
        <v>#N/A</v>
      </c>
      <c r="Q119" s="177">
        <f>IF(ISERROR(1/VLOOKUP(M119,Capa!A:AC,6,0)),0,1/VLOOKUP(M119,Capa!A:AC,6,0))</f>
        <v>0.163132137</v>
      </c>
      <c r="R119" s="178">
        <f t="shared" si="6"/>
        <v>27.000027</v>
      </c>
      <c r="S119" s="179" t="str">
        <f t="shared" si="7"/>
        <v>#N/A</v>
      </c>
    </row>
    <row r="120">
      <c r="A120" s="180"/>
      <c r="B120" s="167" t="s">
        <v>187</v>
      </c>
      <c r="C120" s="168">
        <f>VLOOKUP(B120,'Dados StatusInvest'!$A:$Z,26,0)</f>
        <v>26491165.04</v>
      </c>
      <c r="D120" s="169">
        <f>VLOOKUP(B120,'Dados StatusInvest'!$A:$Z,20,0)/100</f>
        <v>0.0319</v>
      </c>
      <c r="E120" s="93" t="str">
        <f t="shared" si="1"/>
        <v>#N/A</v>
      </c>
      <c r="F120" s="170">
        <f>IF(ISERROR(1/VLOOKUP(B120,Capa!A:AC,13,0)),0,1/VLOOKUP(B120,Capa!A:AC,13,0))</f>
        <v>0.2145922747</v>
      </c>
      <c r="G120" s="171">
        <f t="shared" si="2"/>
        <v>22.000022</v>
      </c>
      <c r="H120" s="172" t="str">
        <f t="shared" si="3"/>
        <v>#N/A</v>
      </c>
      <c r="M120" s="167" t="s">
        <v>187</v>
      </c>
      <c r="N120" s="168">
        <f>VLOOKUP(M120,'Dados StatusInvest'!$A:$Z,26,0)</f>
        <v>26491165.04</v>
      </c>
      <c r="O120" s="175">
        <f>VLOOKUP(M120,'Dados StatusInvest'!$A:$Z,18,0)/100</f>
        <v>0.0831</v>
      </c>
      <c r="P120" s="176" t="str">
        <f t="shared" si="5"/>
        <v>#N/A</v>
      </c>
      <c r="Q120" s="177">
        <f>IF(ISERROR(1/VLOOKUP(M120,Capa!A:AC,6,0)),0,1/VLOOKUP(M120,Capa!A:AC,6,0))</f>
        <v>0.03739715782</v>
      </c>
      <c r="R120" s="178">
        <f t="shared" si="6"/>
        <v>181.000181</v>
      </c>
      <c r="S120" s="179" t="str">
        <f t="shared" si="7"/>
        <v>#N/A</v>
      </c>
    </row>
    <row r="121">
      <c r="A121" s="180"/>
      <c r="B121" s="167" t="s">
        <v>77</v>
      </c>
      <c r="C121" s="168">
        <f>VLOOKUP(B121,'Dados StatusInvest'!$A:$Z,26,0)</f>
        <v>398288289.3</v>
      </c>
      <c r="D121" s="169">
        <f>VLOOKUP(B121,'Dados StatusInvest'!$A:$Z,20,0)/100</f>
        <v>0</v>
      </c>
      <c r="E121" s="93" t="str">
        <f t="shared" si="1"/>
        <v>#N/A</v>
      </c>
      <c r="F121" s="170">
        <f>IF(ISERROR(1/VLOOKUP(B121,Capa!A:AC,13,0)),0,1/VLOOKUP(B121,Capa!A:AC,13,0))</f>
        <v>-0.1285347044</v>
      </c>
      <c r="G121" s="171">
        <f t="shared" si="2"/>
        <v>428.000428</v>
      </c>
      <c r="H121" s="172" t="str">
        <f t="shared" si="3"/>
        <v>#N/A</v>
      </c>
      <c r="M121" s="167" t="s">
        <v>77</v>
      </c>
      <c r="N121" s="168">
        <f>VLOOKUP(M121,'Dados StatusInvest'!$A:$Z,26,0)</f>
        <v>398288289.3</v>
      </c>
      <c r="O121" s="175">
        <f>VLOOKUP(M121,'Dados StatusInvest'!$A:$Z,18,0)/100</f>
        <v>0.0031</v>
      </c>
      <c r="P121" s="176" t="str">
        <f t="shared" si="5"/>
        <v>#N/A</v>
      </c>
      <c r="Q121" s="177">
        <f>IF(ISERROR(1/VLOOKUP(M121,Capa!A:AC,6,0)),0,1/VLOOKUP(M121,Capa!A:AC,6,0))</f>
        <v>0.01152472053</v>
      </c>
      <c r="R121" s="178">
        <f t="shared" si="6"/>
        <v>353.000353</v>
      </c>
      <c r="S121" s="179" t="str">
        <f t="shared" si="7"/>
        <v>#N/A</v>
      </c>
    </row>
    <row r="122">
      <c r="A122" s="180"/>
      <c r="B122" s="167" t="s">
        <v>195</v>
      </c>
      <c r="C122" s="168">
        <f>VLOOKUP(B122,'Dados StatusInvest'!$A:$Z,26,0)</f>
        <v>29337518.58</v>
      </c>
      <c r="D122" s="169">
        <f>VLOOKUP(B122,'Dados StatusInvest'!$A:$Z,20,0)/100</f>
        <v>0.0286</v>
      </c>
      <c r="E122" s="93" t="str">
        <f t="shared" si="1"/>
        <v>#N/A</v>
      </c>
      <c r="F122" s="170">
        <f>IF(ISERROR(1/VLOOKUP(B122,Capa!A:AC,13,0)),0,1/VLOOKUP(B122,Capa!A:AC,13,0))</f>
        <v>0.008118201007</v>
      </c>
      <c r="G122" s="171">
        <f t="shared" si="2"/>
        <v>309.000309</v>
      </c>
      <c r="H122" s="172" t="str">
        <f t="shared" si="3"/>
        <v>#N/A</v>
      </c>
      <c r="M122" s="167" t="s">
        <v>195</v>
      </c>
      <c r="N122" s="168">
        <f>VLOOKUP(M122,'Dados StatusInvest'!$A:$Z,26,0)</f>
        <v>29337518.58</v>
      </c>
      <c r="O122" s="175">
        <f>VLOOKUP(M122,'Dados StatusInvest'!$A:$Z,18,0)/100</f>
        <v>0.0294</v>
      </c>
      <c r="P122" s="176" t="str">
        <f t="shared" si="5"/>
        <v>#N/A</v>
      </c>
      <c r="Q122" s="177">
        <f>IF(ISERROR(1/VLOOKUP(M122,Capa!A:AC,6,0)),0,1/VLOOKUP(M122,Capa!A:AC,6,0))</f>
        <v>0.08968609865</v>
      </c>
      <c r="R122" s="178">
        <f t="shared" si="6"/>
        <v>76.000076</v>
      </c>
      <c r="S122" s="179" t="str">
        <f t="shared" si="7"/>
        <v>#N/A</v>
      </c>
    </row>
    <row r="123">
      <c r="A123" s="180"/>
      <c r="B123" s="167" t="s">
        <v>224</v>
      </c>
      <c r="C123" s="168">
        <f>VLOOKUP(B123,'Dados StatusInvest'!$A:$Z,26,0)</f>
        <v>12951409.46</v>
      </c>
      <c r="D123" s="169">
        <f>VLOOKUP(B123,'Dados StatusInvest'!$A:$Z,20,0)/100</f>
        <v>0.1042</v>
      </c>
      <c r="E123" s="93" t="str">
        <f t="shared" si="1"/>
        <v>#N/A</v>
      </c>
      <c r="F123" s="170">
        <f>IF(ISERROR(1/VLOOKUP(B123,Capa!A:AC,13,0)),0,1/VLOOKUP(B123,Capa!A:AC,13,0))</f>
        <v>0.06016847172</v>
      </c>
      <c r="G123" s="171">
        <f t="shared" si="2"/>
        <v>121.000121</v>
      </c>
      <c r="H123" s="172" t="str">
        <f t="shared" si="3"/>
        <v>#N/A</v>
      </c>
      <c r="M123" s="167" t="s">
        <v>224</v>
      </c>
      <c r="N123" s="168">
        <f>VLOOKUP(M123,'Dados StatusInvest'!$A:$Z,26,0)</f>
        <v>12951409.46</v>
      </c>
      <c r="O123" s="175">
        <f>VLOOKUP(M123,'Dados StatusInvest'!$A:$Z,18,0)/100</f>
        <v>0.0508</v>
      </c>
      <c r="P123" s="176" t="str">
        <f t="shared" si="5"/>
        <v>#N/A</v>
      </c>
      <c r="Q123" s="177">
        <f>IF(ISERROR(1/VLOOKUP(M123,Capa!A:AC,6,0)),0,1/VLOOKUP(M123,Capa!A:AC,6,0))</f>
        <v>0.07396449704</v>
      </c>
      <c r="R123" s="178">
        <f t="shared" si="6"/>
        <v>98.000098</v>
      </c>
      <c r="S123" s="179" t="str">
        <f t="shared" si="7"/>
        <v>#N/A</v>
      </c>
    </row>
    <row r="124">
      <c r="A124" s="180"/>
      <c r="B124" s="167" t="s">
        <v>232</v>
      </c>
      <c r="C124" s="168">
        <f>VLOOKUP(B124,'Dados StatusInvest'!$A:$Z,26,0)</f>
        <v>17978875.63</v>
      </c>
      <c r="D124" s="169">
        <f>VLOOKUP(B124,'Dados StatusInvest'!$A:$Z,20,0)/100</f>
        <v>0.323</v>
      </c>
      <c r="E124" s="93" t="str">
        <f t="shared" si="1"/>
        <v>#N/A</v>
      </c>
      <c r="F124" s="170">
        <f>IF(ISERROR(1/VLOOKUP(B124,Capa!A:AC,13,0)),0,1/VLOOKUP(B124,Capa!A:AC,13,0))</f>
        <v>0.03459010723</v>
      </c>
      <c r="G124" s="171">
        <f t="shared" si="2"/>
        <v>228.000228</v>
      </c>
      <c r="H124" s="172" t="str">
        <f t="shared" si="3"/>
        <v>#N/A</v>
      </c>
      <c r="M124" s="167" t="s">
        <v>232</v>
      </c>
      <c r="N124" s="168">
        <f>VLOOKUP(M124,'Dados StatusInvest'!$A:$Z,26,0)</f>
        <v>17978875.63</v>
      </c>
      <c r="O124" s="175">
        <f>VLOOKUP(M124,'Dados StatusInvest'!$A:$Z,18,0)/100</f>
        <v>0.3356</v>
      </c>
      <c r="P124" s="176" t="str">
        <f t="shared" si="5"/>
        <v>#N/A</v>
      </c>
      <c r="Q124" s="177">
        <f>IF(ISERROR(1/VLOOKUP(M124,Capa!A:AC,6,0)),0,1/VLOOKUP(M124,Capa!A:AC,6,0))</f>
        <v>0.06067961165</v>
      </c>
      <c r="R124" s="178">
        <f t="shared" si="6"/>
        <v>124.000124</v>
      </c>
      <c r="S124" s="179" t="str">
        <f t="shared" si="7"/>
        <v>#N/A</v>
      </c>
    </row>
    <row r="125">
      <c r="A125" s="180"/>
      <c r="B125" s="167" t="s">
        <v>269</v>
      </c>
      <c r="C125" s="168">
        <f>VLOOKUP(B125,'Dados StatusInvest'!$A:$Z,26,0)</f>
        <v>7548934.25</v>
      </c>
      <c r="D125" s="169">
        <f>VLOOKUP(B125,'Dados StatusInvest'!$A:$Z,20,0)/100</f>
        <v>0.0365</v>
      </c>
      <c r="E125" s="93" t="str">
        <f t="shared" si="1"/>
        <v>#N/A</v>
      </c>
      <c r="F125" s="170">
        <f>IF(ISERROR(1/VLOOKUP(B125,Capa!A:AC,13,0)),0,1/VLOOKUP(B125,Capa!A:AC,13,0))</f>
        <v>0.07547169811</v>
      </c>
      <c r="G125" s="171">
        <f t="shared" si="2"/>
        <v>101.000101</v>
      </c>
      <c r="H125" s="172" t="str">
        <f t="shared" si="3"/>
        <v>#N/A</v>
      </c>
      <c r="M125" s="167" t="s">
        <v>269</v>
      </c>
      <c r="N125" s="168">
        <f>VLOOKUP(M125,'Dados StatusInvest'!$A:$Z,26,0)</f>
        <v>7548934.25</v>
      </c>
      <c r="O125" s="175">
        <f>VLOOKUP(M125,'Dados StatusInvest'!$A:$Z,18,0)/100</f>
        <v>0.0752</v>
      </c>
      <c r="P125" s="176" t="str">
        <f t="shared" si="5"/>
        <v>#N/A</v>
      </c>
      <c r="Q125" s="177">
        <f>IF(ISERROR(1/VLOOKUP(M125,Capa!A:AC,6,0)),0,1/VLOOKUP(M125,Capa!A:AC,6,0))</f>
        <v>0.07923930269</v>
      </c>
      <c r="R125" s="178">
        <f t="shared" si="6"/>
        <v>89.000089</v>
      </c>
      <c r="S125" s="179" t="str">
        <f t="shared" si="7"/>
        <v>#N/A</v>
      </c>
    </row>
    <row r="126">
      <c r="A126" s="180"/>
      <c r="B126" s="167" t="s">
        <v>180</v>
      </c>
      <c r="C126" s="168">
        <f>VLOOKUP(B126,'Dados StatusInvest'!$A:$Z,26,0)</f>
        <v>24392804.79</v>
      </c>
      <c r="D126" s="169">
        <f>VLOOKUP(B126,'Dados StatusInvest'!$A:$Z,20,0)/100</f>
        <v>0.0256</v>
      </c>
      <c r="E126" s="93" t="str">
        <f t="shared" si="1"/>
        <v>#N/A</v>
      </c>
      <c r="F126" s="170">
        <f>IF(ISERROR(1/VLOOKUP(B126,Capa!A:AC,13,0)),0,1/VLOOKUP(B126,Capa!A:AC,13,0))</f>
        <v>0.08110300081</v>
      </c>
      <c r="G126" s="171">
        <f t="shared" si="2"/>
        <v>94.000094</v>
      </c>
      <c r="H126" s="172" t="str">
        <f t="shared" si="3"/>
        <v>#N/A</v>
      </c>
      <c r="M126" s="167" t="s">
        <v>180</v>
      </c>
      <c r="N126" s="168">
        <f>VLOOKUP(M126,'Dados StatusInvest'!$A:$Z,26,0)</f>
        <v>24392804.79</v>
      </c>
      <c r="O126" s="175">
        <f>VLOOKUP(M126,'Dados StatusInvest'!$A:$Z,18,0)/100</f>
        <v>0.0093</v>
      </c>
      <c r="P126" s="176" t="str">
        <f t="shared" si="5"/>
        <v>#N/A</v>
      </c>
      <c r="Q126" s="177">
        <f>IF(ISERROR(1/VLOOKUP(M126,Capa!A:AC,6,0)),0,1/VLOOKUP(M126,Capa!A:AC,6,0))</f>
        <v>0.06877579092</v>
      </c>
      <c r="R126" s="178">
        <f t="shared" si="6"/>
        <v>107.000107</v>
      </c>
      <c r="S126" s="179" t="str">
        <f t="shared" si="7"/>
        <v>#N/A</v>
      </c>
    </row>
    <row r="127">
      <c r="A127" s="180"/>
      <c r="B127" s="167" t="s">
        <v>222</v>
      </c>
      <c r="C127" s="168">
        <f>VLOOKUP(B127,'Dados StatusInvest'!$A:$Z,26,0)</f>
        <v>24679520.42</v>
      </c>
      <c r="D127" s="169">
        <f>VLOOKUP(B127,'Dados StatusInvest'!$A:$Z,20,0)/100</f>
        <v>0.115</v>
      </c>
      <c r="E127" s="93" t="str">
        <f t="shared" si="1"/>
        <v>#N/A</v>
      </c>
      <c r="F127" s="170">
        <f>IF(ISERROR(1/VLOOKUP(B127,Capa!A:AC,13,0)),0,1/VLOOKUP(B127,Capa!A:AC,13,0))</f>
        <v>0.05379236148</v>
      </c>
      <c r="G127" s="171">
        <f t="shared" si="2"/>
        <v>151.000151</v>
      </c>
      <c r="H127" s="172" t="str">
        <f t="shared" si="3"/>
        <v>#N/A</v>
      </c>
      <c r="M127" s="167" t="s">
        <v>222</v>
      </c>
      <c r="N127" s="168">
        <f>VLOOKUP(M127,'Dados StatusInvest'!$A:$Z,26,0)</f>
        <v>24679520.42</v>
      </c>
      <c r="O127" s="175">
        <f>VLOOKUP(M127,'Dados StatusInvest'!$A:$Z,18,0)/100</f>
        <v>0.398</v>
      </c>
      <c r="P127" s="176" t="str">
        <f t="shared" si="5"/>
        <v>#N/A</v>
      </c>
      <c r="Q127" s="177">
        <f>IF(ISERROR(1/VLOOKUP(M127,Capa!A:AC,6,0)),0,1/VLOOKUP(M127,Capa!A:AC,6,0))</f>
        <v>0.04376367615</v>
      </c>
      <c r="R127" s="178">
        <f t="shared" si="6"/>
        <v>161.000161</v>
      </c>
      <c r="S127" s="179" t="str">
        <f t="shared" si="7"/>
        <v>#N/A</v>
      </c>
    </row>
    <row r="128">
      <c r="A128" s="180"/>
      <c r="B128" s="167" t="s">
        <v>230</v>
      </c>
      <c r="C128" s="168">
        <f>VLOOKUP(B128,'Dados StatusInvest'!$A:$Z,26,0)</f>
        <v>12930315.79</v>
      </c>
      <c r="D128" s="169">
        <f>VLOOKUP(B128,'Dados StatusInvest'!$A:$Z,20,0)/100</f>
        <v>0.1094</v>
      </c>
      <c r="E128" s="93" t="str">
        <f t="shared" si="1"/>
        <v>#N/A</v>
      </c>
      <c r="F128" s="170">
        <f>IF(ISERROR(1/VLOOKUP(B128,Capa!A:AC,13,0)),0,1/VLOOKUP(B128,Capa!A:AC,13,0))</f>
        <v>0.04315925766</v>
      </c>
      <c r="G128" s="171">
        <f t="shared" si="2"/>
        <v>190.00019</v>
      </c>
      <c r="H128" s="172" t="str">
        <f t="shared" si="3"/>
        <v>#N/A</v>
      </c>
      <c r="M128" s="167" t="s">
        <v>230</v>
      </c>
      <c r="N128" s="168">
        <f>VLOOKUP(M128,'Dados StatusInvest'!$A:$Z,26,0)</f>
        <v>12930315.79</v>
      </c>
      <c r="O128" s="175">
        <f>VLOOKUP(M128,'Dados StatusInvest'!$A:$Z,18,0)/100</f>
        <v>0.1418</v>
      </c>
      <c r="P128" s="176" t="str">
        <f t="shared" si="5"/>
        <v>#N/A</v>
      </c>
      <c r="Q128" s="177">
        <f>IF(ISERROR(1/VLOOKUP(M128,Capa!A:AC,6,0)),0,1/VLOOKUP(M128,Capa!A:AC,6,0))</f>
        <v>0.07733952049</v>
      </c>
      <c r="R128" s="178">
        <f t="shared" si="6"/>
        <v>92.000092</v>
      </c>
      <c r="S128" s="179" t="str">
        <f t="shared" si="7"/>
        <v>#N/A</v>
      </c>
    </row>
    <row r="129">
      <c r="A129" s="180"/>
      <c r="B129" s="167" t="s">
        <v>270</v>
      </c>
      <c r="C129" s="168">
        <f>VLOOKUP(B129,'Dados StatusInvest'!$A:$Z,26,0)</f>
        <v>7428482.29</v>
      </c>
      <c r="D129" s="169">
        <f>VLOOKUP(B129,'Dados StatusInvest'!$A:$Z,20,0)/100</f>
        <v>0.0453</v>
      </c>
      <c r="E129" s="93" t="str">
        <f t="shared" si="1"/>
        <v>#N/A</v>
      </c>
      <c r="F129" s="170">
        <f>IF(ISERROR(1/VLOOKUP(B129,Capa!A:AC,13,0)),0,1/VLOOKUP(B129,Capa!A:AC,13,0))</f>
        <v>0.09532888465</v>
      </c>
      <c r="G129" s="171">
        <f t="shared" si="2"/>
        <v>73.000073</v>
      </c>
      <c r="H129" s="172" t="str">
        <f t="shared" si="3"/>
        <v>#N/A</v>
      </c>
      <c r="M129" s="167" t="s">
        <v>270</v>
      </c>
      <c r="N129" s="168">
        <f>VLOOKUP(M129,'Dados StatusInvest'!$A:$Z,26,0)</f>
        <v>7428482.29</v>
      </c>
      <c r="O129" s="175">
        <f>VLOOKUP(M129,'Dados StatusInvest'!$A:$Z,18,0)/100</f>
        <v>0.0542</v>
      </c>
      <c r="P129" s="176" t="str">
        <f t="shared" si="5"/>
        <v>#N/A</v>
      </c>
      <c r="Q129" s="177">
        <f>IF(ISERROR(1/VLOOKUP(M129,Capa!A:AC,6,0)),0,1/VLOOKUP(M129,Capa!A:AC,6,0))</f>
        <v>0.05820721769</v>
      </c>
      <c r="R129" s="178">
        <f t="shared" si="6"/>
        <v>129.000129</v>
      </c>
      <c r="S129" s="179" t="str">
        <f t="shared" si="7"/>
        <v>#N/A</v>
      </c>
    </row>
    <row r="130">
      <c r="A130" s="180"/>
      <c r="B130" s="167" t="s">
        <v>247</v>
      </c>
      <c r="C130" s="168">
        <f>VLOOKUP(B130,'Dados StatusInvest'!$A:$Z,26,0)</f>
        <v>9579874</v>
      </c>
      <c r="D130" s="169">
        <f>VLOOKUP(B130,'Dados StatusInvest'!$A:$Z,20,0)/100</f>
        <v>0.0399</v>
      </c>
      <c r="E130" s="93" t="str">
        <f t="shared" si="1"/>
        <v>#N/A</v>
      </c>
      <c r="F130" s="170">
        <f>IF(ISERROR(1/VLOOKUP(B130,Capa!A:AC,13,0)),0,1/VLOOKUP(B130,Capa!A:AC,13,0))</f>
        <v>0.1718213058</v>
      </c>
      <c r="G130" s="171">
        <f t="shared" si="2"/>
        <v>38.000038</v>
      </c>
      <c r="H130" s="172" t="str">
        <f t="shared" si="3"/>
        <v>#N/A</v>
      </c>
      <c r="M130" s="167" t="s">
        <v>247</v>
      </c>
      <c r="N130" s="168">
        <f>VLOOKUP(M130,'Dados StatusInvest'!$A:$Z,26,0)</f>
        <v>9579874</v>
      </c>
      <c r="O130" s="175">
        <f>VLOOKUP(M130,'Dados StatusInvest'!$A:$Z,18,0)/100</f>
        <v>0.0519</v>
      </c>
      <c r="P130" s="176" t="str">
        <f t="shared" si="5"/>
        <v>#N/A</v>
      </c>
      <c r="Q130" s="177">
        <f>IF(ISERROR(1/VLOOKUP(M130,Capa!A:AC,6,0)),0,1/VLOOKUP(M130,Capa!A:AC,6,0))</f>
        <v>0.04312203536</v>
      </c>
      <c r="R130" s="178">
        <f t="shared" si="6"/>
        <v>162.000162</v>
      </c>
      <c r="S130" s="179" t="str">
        <f t="shared" si="7"/>
        <v>#N/A</v>
      </c>
    </row>
    <row r="131">
      <c r="A131" s="180"/>
      <c r="B131" s="167" t="s">
        <v>149</v>
      </c>
      <c r="C131" s="168">
        <f>VLOOKUP(B131,'Dados StatusInvest'!$A:$Z,26,0)</f>
        <v>68049028.75</v>
      </c>
      <c r="D131" s="169">
        <f>VLOOKUP(B131,'Dados StatusInvest'!$A:$Z,20,0)/100</f>
        <v>0.1675</v>
      </c>
      <c r="E131" s="93" t="str">
        <f t="shared" si="1"/>
        <v>#N/A</v>
      </c>
      <c r="F131" s="170">
        <f>IF(ISERROR(1/VLOOKUP(B131,Capa!A:AC,13,0)),0,1/VLOOKUP(B131,Capa!A:AC,13,0))</f>
        <v>0.0341997264</v>
      </c>
      <c r="G131" s="171">
        <f t="shared" si="2"/>
        <v>229.000229</v>
      </c>
      <c r="H131" s="172" t="str">
        <f t="shared" si="3"/>
        <v>#N/A</v>
      </c>
      <c r="M131" s="167" t="s">
        <v>149</v>
      </c>
      <c r="N131" s="168">
        <f>VLOOKUP(M131,'Dados StatusInvest'!$A:$Z,26,0)</f>
        <v>68049028.75</v>
      </c>
      <c r="O131" s="175">
        <f>VLOOKUP(M131,'Dados StatusInvest'!$A:$Z,18,0)/100</f>
        <v>0.249</v>
      </c>
      <c r="P131" s="176" t="str">
        <f t="shared" si="5"/>
        <v>#N/A</v>
      </c>
      <c r="Q131" s="177">
        <f>IF(ISERROR(1/VLOOKUP(M131,Capa!A:AC,6,0)),0,1/VLOOKUP(M131,Capa!A:AC,6,0))</f>
        <v>0.01761804087</v>
      </c>
      <c r="R131" s="178">
        <f t="shared" si="6"/>
        <v>306.000306</v>
      </c>
      <c r="S131" s="179" t="str">
        <f t="shared" si="7"/>
        <v>#N/A</v>
      </c>
    </row>
    <row r="132">
      <c r="A132" s="180"/>
      <c r="B132" s="167" t="s">
        <v>262</v>
      </c>
      <c r="C132" s="168">
        <f>VLOOKUP(B132,'Dados StatusInvest'!$A:$Z,26,0)</f>
        <v>9191360.04</v>
      </c>
      <c r="D132" s="169">
        <f>VLOOKUP(B132,'Dados StatusInvest'!$A:$Z,20,0)/100</f>
        <v>0.1561</v>
      </c>
      <c r="E132" s="93" t="str">
        <f t="shared" si="1"/>
        <v>#N/A</v>
      </c>
      <c r="F132" s="170">
        <f>IF(ISERROR(1/VLOOKUP(B132,Capa!A:AC,13,0)),0,1/VLOOKUP(B132,Capa!A:AC,13,0))</f>
        <v>0.04239084358</v>
      </c>
      <c r="G132" s="171">
        <f t="shared" si="2"/>
        <v>196.000196</v>
      </c>
      <c r="H132" s="172" t="str">
        <f t="shared" si="3"/>
        <v>#N/A</v>
      </c>
      <c r="M132" s="167" t="s">
        <v>262</v>
      </c>
      <c r="N132" s="168">
        <f>VLOOKUP(M132,'Dados StatusInvest'!$A:$Z,26,0)</f>
        <v>9191360.04</v>
      </c>
      <c r="O132" s="175">
        <f>VLOOKUP(M132,'Dados StatusInvest'!$A:$Z,18,0)/100</f>
        <v>0.214</v>
      </c>
      <c r="P132" s="176" t="str">
        <f t="shared" si="5"/>
        <v>#N/A</v>
      </c>
      <c r="Q132" s="177">
        <f>IF(ISERROR(1/VLOOKUP(M132,Capa!A:AC,6,0)),0,1/VLOOKUP(M132,Capa!A:AC,6,0))</f>
        <v>0.05662514156</v>
      </c>
      <c r="R132" s="178">
        <f t="shared" si="6"/>
        <v>132.000132</v>
      </c>
      <c r="S132" s="179" t="str">
        <f t="shared" si="7"/>
        <v>#N/A</v>
      </c>
    </row>
    <row r="133">
      <c r="A133" s="180"/>
      <c r="B133" s="167" t="s">
        <v>113</v>
      </c>
      <c r="C133" s="168">
        <f>VLOOKUP(B133,'Dados StatusInvest'!$A:$Z,26,0)</f>
        <v>130852297.3</v>
      </c>
      <c r="D133" s="169">
        <f>VLOOKUP(B133,'Dados StatusInvest'!$A:$Z,20,0)/100</f>
        <v>0</v>
      </c>
      <c r="E133" s="93" t="str">
        <f t="shared" si="1"/>
        <v>#N/A</v>
      </c>
      <c r="F133" s="170">
        <f>IF(ISERROR(1/VLOOKUP(B133,Capa!A:AC,13,0)),0,1/VLOOKUP(B133,Capa!A:AC,13,0))</f>
        <v>-0.1285347044</v>
      </c>
      <c r="G133" s="171">
        <f t="shared" si="2"/>
        <v>428.000428</v>
      </c>
      <c r="H133" s="172" t="str">
        <f t="shared" si="3"/>
        <v>#N/A</v>
      </c>
      <c r="M133" s="167" t="s">
        <v>113</v>
      </c>
      <c r="N133" s="168">
        <f>VLOOKUP(M133,'Dados StatusInvest'!$A:$Z,26,0)</f>
        <v>130852297.3</v>
      </c>
      <c r="O133" s="175">
        <f>VLOOKUP(M133,'Dados StatusInvest'!$A:$Z,18,0)/100</f>
        <v>0.0031</v>
      </c>
      <c r="P133" s="176" t="str">
        <f t="shared" si="5"/>
        <v>#N/A</v>
      </c>
      <c r="Q133" s="177">
        <f>IF(ISERROR(1/VLOOKUP(M133,Capa!A:AC,6,0)),0,1/VLOOKUP(M133,Capa!A:AC,6,0))</f>
        <v>0.03454231434</v>
      </c>
      <c r="R133" s="178">
        <f t="shared" si="6"/>
        <v>201.000201</v>
      </c>
      <c r="S133" s="179" t="str">
        <f t="shared" si="7"/>
        <v>#N/A</v>
      </c>
    </row>
    <row r="134">
      <c r="A134" s="180"/>
      <c r="B134" s="167" t="s">
        <v>196</v>
      </c>
      <c r="C134" s="168">
        <f>VLOOKUP(B134,'Dados StatusInvest'!$A:$Z,26,0)</f>
        <v>17761586.5</v>
      </c>
      <c r="D134" s="169">
        <f>VLOOKUP(B134,'Dados StatusInvest'!$A:$Z,20,0)/100</f>
        <v>0.0108</v>
      </c>
      <c r="E134" s="93" t="str">
        <f t="shared" si="1"/>
        <v>#N/A</v>
      </c>
      <c r="F134" s="170">
        <f>IF(ISERROR(1/VLOOKUP(B134,Capa!A:AC,13,0)),0,1/VLOOKUP(B134,Capa!A:AC,13,0))</f>
        <v>1.020408163</v>
      </c>
      <c r="G134" s="171">
        <f t="shared" si="2"/>
        <v>1.000001</v>
      </c>
      <c r="H134" s="172" t="str">
        <f t="shared" si="3"/>
        <v>#N/A</v>
      </c>
      <c r="M134" s="167" t="s">
        <v>196</v>
      </c>
      <c r="N134" s="168">
        <f>VLOOKUP(M134,'Dados StatusInvest'!$A:$Z,26,0)</f>
        <v>17761586.5</v>
      </c>
      <c r="O134" s="175">
        <f>VLOOKUP(M134,'Dados StatusInvest'!$A:$Z,18,0)/100</f>
        <v>0.0046</v>
      </c>
      <c r="P134" s="176" t="str">
        <f t="shared" si="5"/>
        <v>#N/A</v>
      </c>
      <c r="Q134" s="177">
        <f>IF(ISERROR(1/VLOOKUP(M134,Capa!A:AC,6,0)),0,1/VLOOKUP(M134,Capa!A:AC,6,0))</f>
        <v>0.06418485237</v>
      </c>
      <c r="R134" s="178">
        <f t="shared" si="6"/>
        <v>116.000116</v>
      </c>
      <c r="S134" s="179" t="str">
        <f t="shared" si="7"/>
        <v>#N/A</v>
      </c>
    </row>
    <row r="135">
      <c r="A135" s="180"/>
      <c r="B135" s="167" t="s">
        <v>203</v>
      </c>
      <c r="C135" s="168">
        <f>VLOOKUP(B135,'Dados StatusInvest'!$A:$Z,26,0)</f>
        <v>25903438.63</v>
      </c>
      <c r="D135" s="169">
        <f>VLOOKUP(B135,'Dados StatusInvest'!$A:$Z,20,0)/100</f>
        <v>-0.1688</v>
      </c>
      <c r="E135" s="93" t="str">
        <f t="shared" si="1"/>
        <v>#N/A</v>
      </c>
      <c r="F135" s="170">
        <f>IF(ISERROR(1/VLOOKUP(B135,Capa!A:AC,13,0)),0,1/VLOOKUP(B135,Capa!A:AC,13,0))</f>
        <v>-0.06872852234</v>
      </c>
      <c r="G135" s="171">
        <f t="shared" si="2"/>
        <v>425.000425</v>
      </c>
      <c r="H135" s="172" t="str">
        <f t="shared" si="3"/>
        <v>#N/A</v>
      </c>
      <c r="M135" s="167" t="s">
        <v>203</v>
      </c>
      <c r="N135" s="168">
        <f>VLOOKUP(M135,'Dados StatusInvest'!$A:$Z,26,0)</f>
        <v>25903438.63</v>
      </c>
      <c r="O135" s="175">
        <f>VLOOKUP(M135,'Dados StatusInvest'!$A:$Z,18,0)/100</f>
        <v>-0.2924</v>
      </c>
      <c r="P135" s="176" t="str">
        <f t="shared" si="5"/>
        <v>#N/A</v>
      </c>
      <c r="Q135" s="177">
        <f>IF(ISERROR(1/VLOOKUP(M135,Capa!A:AC,6,0)),0,1/VLOOKUP(M135,Capa!A:AC,6,0))</f>
        <v>0.07955449483</v>
      </c>
      <c r="R135" s="178">
        <f t="shared" si="6"/>
        <v>87.000087</v>
      </c>
      <c r="S135" s="179" t="str">
        <f t="shared" si="7"/>
        <v>#N/A</v>
      </c>
    </row>
    <row r="136">
      <c r="A136" s="180"/>
      <c r="B136" s="167" t="s">
        <v>251</v>
      </c>
      <c r="C136" s="168">
        <f>VLOOKUP(B136,'Dados StatusInvest'!$A:$Z,26,0)</f>
        <v>8941506.46</v>
      </c>
      <c r="D136" s="169">
        <f>VLOOKUP(B136,'Dados StatusInvest'!$A:$Z,20,0)/100</f>
        <v>0.1261</v>
      </c>
      <c r="E136" s="93" t="str">
        <f t="shared" si="1"/>
        <v>#N/A</v>
      </c>
      <c r="F136" s="170">
        <f>IF(ISERROR(1/VLOOKUP(B136,Capa!A:AC,13,0)),0,1/VLOOKUP(B136,Capa!A:AC,13,0))</f>
        <v>0.04526935265</v>
      </c>
      <c r="G136" s="171">
        <f t="shared" si="2"/>
        <v>185.000185</v>
      </c>
      <c r="H136" s="172" t="str">
        <f t="shared" si="3"/>
        <v>#N/A</v>
      </c>
      <c r="M136" s="167" t="s">
        <v>251</v>
      </c>
      <c r="N136" s="168">
        <f>VLOOKUP(M136,'Dados StatusInvest'!$A:$Z,26,0)</f>
        <v>8941506.46</v>
      </c>
      <c r="O136" s="175">
        <f>VLOOKUP(M136,'Dados StatusInvest'!$A:$Z,18,0)/100</f>
        <v>0.1018</v>
      </c>
      <c r="P136" s="176" t="str">
        <f t="shared" si="5"/>
        <v>#N/A</v>
      </c>
      <c r="Q136" s="177">
        <f>IF(ISERROR(1/VLOOKUP(M136,Capa!A:AC,6,0)),0,1/VLOOKUP(M136,Capa!A:AC,6,0))</f>
        <v>0.05128205128</v>
      </c>
      <c r="R136" s="178">
        <f t="shared" si="6"/>
        <v>142.000142</v>
      </c>
      <c r="S136" s="179" t="str">
        <f t="shared" si="7"/>
        <v>#N/A</v>
      </c>
    </row>
    <row r="137">
      <c r="A137" s="180"/>
      <c r="B137" s="167" t="s">
        <v>174</v>
      </c>
      <c r="C137" s="168">
        <f>VLOOKUP(B137,'Dados StatusInvest'!$A:$Z,26,0)</f>
        <v>25911061.38</v>
      </c>
      <c r="D137" s="169">
        <f>VLOOKUP(B137,'Dados StatusInvest'!$A:$Z,20,0)/100</f>
        <v>0.0616</v>
      </c>
      <c r="E137" s="93" t="str">
        <f t="shared" si="1"/>
        <v>#N/A</v>
      </c>
      <c r="F137" s="170">
        <f>IF(ISERROR(1/VLOOKUP(B137,Capa!A:AC,13,0)),0,1/VLOOKUP(B137,Capa!A:AC,13,0))</f>
        <v>0.05458515284</v>
      </c>
      <c r="G137" s="171">
        <f t="shared" si="2"/>
        <v>150.00015</v>
      </c>
      <c r="H137" s="172" t="str">
        <f t="shared" si="3"/>
        <v>#N/A</v>
      </c>
      <c r="M137" s="167" t="s">
        <v>174</v>
      </c>
      <c r="N137" s="168">
        <f>VLOOKUP(M137,'Dados StatusInvest'!$A:$Z,26,0)</f>
        <v>25911061.38</v>
      </c>
      <c r="O137" s="175">
        <f>VLOOKUP(M137,'Dados StatusInvest'!$A:$Z,18,0)/100</f>
        <v>0.0457</v>
      </c>
      <c r="P137" s="176" t="str">
        <f t="shared" si="5"/>
        <v>#N/A</v>
      </c>
      <c r="Q137" s="177">
        <f>IF(ISERROR(1/VLOOKUP(M137,Capa!A:AC,6,0)),0,1/VLOOKUP(M137,Capa!A:AC,6,0))</f>
        <v>0.1001001001</v>
      </c>
      <c r="R137" s="178">
        <f t="shared" si="6"/>
        <v>65.000065</v>
      </c>
      <c r="S137" s="179" t="str">
        <f t="shared" si="7"/>
        <v>#N/A</v>
      </c>
    </row>
    <row r="138">
      <c r="A138" s="180"/>
      <c r="B138" s="167" t="s">
        <v>192</v>
      </c>
      <c r="C138" s="168">
        <f>VLOOKUP(B138,'Dados StatusInvest'!$A:$Z,26,0)</f>
        <v>25938636.38</v>
      </c>
      <c r="D138" s="169">
        <f>VLOOKUP(B138,'Dados StatusInvest'!$A:$Z,20,0)/100</f>
        <v>0.0265</v>
      </c>
      <c r="E138" s="93" t="str">
        <f t="shared" si="1"/>
        <v>#N/A</v>
      </c>
      <c r="F138" s="170">
        <f>IF(ISERROR(1/VLOOKUP(B138,Capa!A:AC,13,0)),0,1/VLOOKUP(B138,Capa!A:AC,13,0))</f>
        <v>0.1390820584</v>
      </c>
      <c r="G138" s="171">
        <f t="shared" si="2"/>
        <v>49.000049</v>
      </c>
      <c r="H138" s="172" t="str">
        <f t="shared" si="3"/>
        <v>#N/A</v>
      </c>
      <c r="M138" s="167" t="s">
        <v>192</v>
      </c>
      <c r="N138" s="168">
        <f>VLOOKUP(M138,'Dados StatusInvest'!$A:$Z,26,0)</f>
        <v>25938636.38</v>
      </c>
      <c r="O138" s="175">
        <f>VLOOKUP(M138,'Dados StatusInvest'!$A:$Z,18,0)/100</f>
        <v>0.0215</v>
      </c>
      <c r="P138" s="176" t="str">
        <f t="shared" si="5"/>
        <v>#N/A</v>
      </c>
      <c r="Q138" s="177">
        <f>IF(ISERROR(1/VLOOKUP(M138,Capa!A:AC,6,0)),0,1/VLOOKUP(M138,Capa!A:AC,6,0))</f>
        <v>0.03194888179</v>
      </c>
      <c r="R138" s="178">
        <f t="shared" si="6"/>
        <v>222.000222</v>
      </c>
      <c r="S138" s="179" t="str">
        <f t="shared" si="7"/>
        <v>#N/A</v>
      </c>
    </row>
    <row r="139">
      <c r="A139" s="180"/>
      <c r="B139" s="167" t="s">
        <v>206</v>
      </c>
      <c r="C139" s="168">
        <f>VLOOKUP(B139,'Dados StatusInvest'!$A:$Z,26,0)</f>
        <v>21204546.67</v>
      </c>
      <c r="D139" s="169">
        <f>VLOOKUP(B139,'Dados StatusInvest'!$A:$Z,20,0)/100</f>
        <v>0.1828</v>
      </c>
      <c r="E139" s="93" t="str">
        <f t="shared" si="1"/>
        <v>#N/A</v>
      </c>
      <c r="F139" s="170">
        <f>IF(ISERROR(1/VLOOKUP(B139,Capa!A:AC,13,0)),0,1/VLOOKUP(B139,Capa!A:AC,13,0))</f>
        <v>0.01504438092</v>
      </c>
      <c r="G139" s="171">
        <f t="shared" si="2"/>
        <v>293.000293</v>
      </c>
      <c r="H139" s="172" t="str">
        <f t="shared" si="3"/>
        <v>#N/A</v>
      </c>
      <c r="M139" s="167" t="s">
        <v>206</v>
      </c>
      <c r="N139" s="168">
        <f>VLOOKUP(M139,'Dados StatusInvest'!$A:$Z,26,0)</f>
        <v>21204546.67</v>
      </c>
      <c r="O139" s="175">
        <f>VLOOKUP(M139,'Dados StatusInvest'!$A:$Z,18,0)/100</f>
        <v>0.2113</v>
      </c>
      <c r="P139" s="176" t="str">
        <f t="shared" si="5"/>
        <v>#N/A</v>
      </c>
      <c r="Q139" s="177">
        <f>IF(ISERROR(1/VLOOKUP(M139,Capa!A:AC,6,0)),0,1/VLOOKUP(M139,Capa!A:AC,6,0))</f>
        <v>0.03505082369</v>
      </c>
      <c r="R139" s="178">
        <f t="shared" si="6"/>
        <v>196.000196</v>
      </c>
      <c r="S139" s="179" t="str">
        <f t="shared" si="7"/>
        <v>#N/A</v>
      </c>
    </row>
    <row r="140">
      <c r="A140" s="180"/>
      <c r="B140" s="167" t="s">
        <v>121</v>
      </c>
      <c r="C140" s="168">
        <f>VLOOKUP(B140,'Dados StatusInvest'!$A:$Z,26,0)</f>
        <v>82398262.33</v>
      </c>
      <c r="D140" s="169">
        <f>VLOOKUP(B140,'Dados StatusInvest'!$A:$Z,20,0)/100</f>
        <v>0.1853</v>
      </c>
      <c r="E140" s="93" t="str">
        <f t="shared" si="1"/>
        <v>#N/A</v>
      </c>
      <c r="F140" s="170">
        <f>IF(ISERROR(1/VLOOKUP(B140,Capa!A:AC,13,0)),0,1/VLOOKUP(B140,Capa!A:AC,13,0))</f>
        <v>0.06535947712</v>
      </c>
      <c r="G140" s="171">
        <f t="shared" si="2"/>
        <v>114.000114</v>
      </c>
      <c r="H140" s="172" t="str">
        <f t="shared" si="3"/>
        <v>#N/A</v>
      </c>
      <c r="M140" s="167" t="s">
        <v>121</v>
      </c>
      <c r="N140" s="168">
        <f>VLOOKUP(M140,'Dados StatusInvest'!$A:$Z,26,0)</f>
        <v>82398262.33</v>
      </c>
      <c r="O140" s="175">
        <f>VLOOKUP(M140,'Dados StatusInvest'!$A:$Z,18,0)/100</f>
        <v>0.2756</v>
      </c>
      <c r="P140" s="176" t="str">
        <f t="shared" si="5"/>
        <v>#N/A</v>
      </c>
      <c r="Q140" s="177">
        <f>IF(ISERROR(1/VLOOKUP(M140,Capa!A:AC,6,0)),0,1/VLOOKUP(M140,Capa!A:AC,6,0))</f>
        <v>0.06238303182</v>
      </c>
      <c r="R140" s="178">
        <f t="shared" si="6"/>
        <v>123.000123</v>
      </c>
      <c r="S140" s="179" t="str">
        <f t="shared" si="7"/>
        <v>#N/A</v>
      </c>
    </row>
    <row r="141">
      <c r="A141" s="180"/>
      <c r="B141" s="167" t="s">
        <v>177</v>
      </c>
      <c r="C141" s="168">
        <f>VLOOKUP(B141,'Dados StatusInvest'!$A:$Z,26,0)</f>
        <v>59572202.88</v>
      </c>
      <c r="D141" s="169">
        <f>VLOOKUP(B141,'Dados StatusInvest'!$A:$Z,20,0)/100</f>
        <v>0.0514</v>
      </c>
      <c r="E141" s="93" t="str">
        <f t="shared" si="1"/>
        <v>#N/A</v>
      </c>
      <c r="F141" s="170">
        <f>IF(ISERROR(1/VLOOKUP(B141,Capa!A:AC,13,0)),0,1/VLOOKUP(B141,Capa!A:AC,13,0))</f>
        <v>0.02686727566</v>
      </c>
      <c r="G141" s="171">
        <f t="shared" si="2"/>
        <v>259.000259</v>
      </c>
      <c r="H141" s="172" t="str">
        <f t="shared" si="3"/>
        <v>#N/A</v>
      </c>
      <c r="M141" s="167" t="s">
        <v>177</v>
      </c>
      <c r="N141" s="168">
        <f>VLOOKUP(M141,'Dados StatusInvest'!$A:$Z,26,0)</f>
        <v>59572202.88</v>
      </c>
      <c r="O141" s="175">
        <f>VLOOKUP(M141,'Dados StatusInvest'!$A:$Z,18,0)/100</f>
        <v>-0.0306</v>
      </c>
      <c r="P141" s="176" t="str">
        <f t="shared" si="5"/>
        <v>#N/A</v>
      </c>
      <c r="Q141" s="177">
        <f>IF(ISERROR(1/VLOOKUP(M141,Capa!A:AC,6,0)),0,1/VLOOKUP(M141,Capa!A:AC,6,0))</f>
        <v>0.02298850575</v>
      </c>
      <c r="R141" s="178">
        <f t="shared" si="6"/>
        <v>266.000266</v>
      </c>
      <c r="S141" s="179" t="str">
        <f t="shared" si="7"/>
        <v>#N/A</v>
      </c>
    </row>
    <row r="142">
      <c r="A142" s="180"/>
      <c r="B142" s="167" t="s">
        <v>190</v>
      </c>
      <c r="C142" s="168">
        <f>VLOOKUP(B142,'Dados StatusInvest'!$A:$Z,26,0)</f>
        <v>29133528.21</v>
      </c>
      <c r="D142" s="169">
        <f>VLOOKUP(B142,'Dados StatusInvest'!$A:$Z,20,0)/100</f>
        <v>0.1943</v>
      </c>
      <c r="E142" s="93" t="str">
        <f t="shared" si="1"/>
        <v>#N/A</v>
      </c>
      <c r="F142" s="170">
        <f>IF(ISERROR(1/VLOOKUP(B142,Capa!A:AC,13,0)),0,1/VLOOKUP(B142,Capa!A:AC,13,0))</f>
        <v>0.008928571429</v>
      </c>
      <c r="G142" s="171">
        <f t="shared" si="2"/>
        <v>305.000305</v>
      </c>
      <c r="H142" s="172" t="str">
        <f t="shared" si="3"/>
        <v>#N/A</v>
      </c>
      <c r="M142" s="167" t="s">
        <v>190</v>
      </c>
      <c r="N142" s="168">
        <f>VLOOKUP(M142,'Dados StatusInvest'!$A:$Z,26,0)</f>
        <v>29133528.21</v>
      </c>
      <c r="O142" s="175">
        <f>VLOOKUP(M142,'Dados StatusInvest'!$A:$Z,18,0)/100</f>
        <v>0.1591</v>
      </c>
      <c r="P142" s="176" t="str">
        <f t="shared" si="5"/>
        <v>#N/A</v>
      </c>
      <c r="Q142" s="177">
        <f>IF(ISERROR(1/VLOOKUP(M142,Capa!A:AC,6,0)),0,1/VLOOKUP(M142,Capa!A:AC,6,0))</f>
        <v>0.05268703899</v>
      </c>
      <c r="R142" s="178">
        <f t="shared" si="6"/>
        <v>138.000138</v>
      </c>
      <c r="S142" s="179" t="str">
        <f t="shared" si="7"/>
        <v>#N/A</v>
      </c>
    </row>
    <row r="143">
      <c r="A143" s="180"/>
      <c r="B143" s="167" t="s">
        <v>278</v>
      </c>
      <c r="C143" s="168">
        <f>VLOOKUP(B143,'Dados StatusInvest'!$A:$Z,26,0)</f>
        <v>4188756.88</v>
      </c>
      <c r="D143" s="169">
        <f>VLOOKUP(B143,'Dados StatusInvest'!$A:$Z,20,0)/100</f>
        <v>0</v>
      </c>
      <c r="E143" s="93" t="str">
        <f t="shared" si="1"/>
        <v>#N/A</v>
      </c>
      <c r="F143" s="170">
        <f>IF(ISERROR(1/VLOOKUP(B143,Capa!A:AC,13,0)),0,1/VLOOKUP(B143,Capa!A:AC,13,0))</f>
        <v>0.1526717557</v>
      </c>
      <c r="G143" s="171">
        <f t="shared" si="2"/>
        <v>44.000044</v>
      </c>
      <c r="H143" s="172" t="str">
        <f t="shared" si="3"/>
        <v>#N/A</v>
      </c>
      <c r="M143" s="167" t="s">
        <v>278</v>
      </c>
      <c r="N143" s="168">
        <f>VLOOKUP(M143,'Dados StatusInvest'!$A:$Z,26,0)</f>
        <v>4188756.88</v>
      </c>
      <c r="O143" s="175">
        <f>VLOOKUP(M143,'Dados StatusInvest'!$A:$Z,18,0)/100</f>
        <v>0.0775</v>
      </c>
      <c r="P143" s="176" t="str">
        <f t="shared" si="5"/>
        <v>#N/A</v>
      </c>
      <c r="Q143" s="177">
        <f>IF(ISERROR(1/VLOOKUP(M143,Capa!A:AC,6,0)),0,1/VLOOKUP(M143,Capa!A:AC,6,0))</f>
        <v>0.1594896332</v>
      </c>
      <c r="R143" s="178">
        <f t="shared" si="6"/>
        <v>29.000029</v>
      </c>
      <c r="S143" s="179" t="str">
        <f t="shared" si="7"/>
        <v>#N/A</v>
      </c>
    </row>
    <row r="144">
      <c r="A144" s="180"/>
      <c r="B144" s="167" t="s">
        <v>205</v>
      </c>
      <c r="C144" s="168">
        <f>VLOOKUP(B144,'Dados StatusInvest'!$A:$Z,26,0)</f>
        <v>16245135</v>
      </c>
      <c r="D144" s="169">
        <f>VLOOKUP(B144,'Dados StatusInvest'!$A:$Z,20,0)/100</f>
        <v>0.0971</v>
      </c>
      <c r="E144" s="93" t="str">
        <f t="shared" si="1"/>
        <v>#N/A</v>
      </c>
      <c r="F144" s="170">
        <f>IF(ISERROR(1/VLOOKUP(B144,Capa!A:AC,13,0)),0,1/VLOOKUP(B144,Capa!A:AC,13,0))</f>
        <v>0.05861664713</v>
      </c>
      <c r="G144" s="171">
        <f t="shared" si="2"/>
        <v>129.000129</v>
      </c>
      <c r="H144" s="172" t="str">
        <f t="shared" si="3"/>
        <v>#N/A</v>
      </c>
      <c r="M144" s="167" t="s">
        <v>205</v>
      </c>
      <c r="N144" s="168">
        <f>VLOOKUP(M144,'Dados StatusInvest'!$A:$Z,26,0)</f>
        <v>16245135</v>
      </c>
      <c r="O144" s="175">
        <f>VLOOKUP(M144,'Dados StatusInvest'!$A:$Z,18,0)/100</f>
        <v>0.1171</v>
      </c>
      <c r="P144" s="176" t="str">
        <f t="shared" si="5"/>
        <v>#N/A</v>
      </c>
      <c r="Q144" s="177">
        <f>IF(ISERROR(1/VLOOKUP(M144,Capa!A:AC,6,0)),0,1/VLOOKUP(M144,Capa!A:AC,6,0))</f>
        <v>0.06472491909</v>
      </c>
      <c r="R144" s="178">
        <f t="shared" si="6"/>
        <v>115.000115</v>
      </c>
      <c r="S144" s="179" t="str">
        <f t="shared" si="7"/>
        <v>#N/A</v>
      </c>
    </row>
    <row r="145">
      <c r="A145" s="180"/>
      <c r="B145" s="167" t="s">
        <v>181</v>
      </c>
      <c r="C145" s="168">
        <f>VLOOKUP(B145,'Dados StatusInvest'!$A:$Z,26,0)</f>
        <v>23342485.38</v>
      </c>
      <c r="D145" s="169">
        <f>VLOOKUP(B145,'Dados StatusInvest'!$A:$Z,20,0)/100</f>
        <v>0.0977</v>
      </c>
      <c r="E145" s="93" t="str">
        <f t="shared" si="1"/>
        <v>#N/A</v>
      </c>
      <c r="F145" s="170">
        <f>IF(ISERROR(1/VLOOKUP(B145,Capa!A:AC,13,0)),0,1/VLOOKUP(B145,Capa!A:AC,13,0))</f>
        <v>0.05221932115</v>
      </c>
      <c r="G145" s="171">
        <f t="shared" si="2"/>
        <v>157.000157</v>
      </c>
      <c r="H145" s="172" t="str">
        <f t="shared" si="3"/>
        <v>#N/A</v>
      </c>
      <c r="M145" s="167" t="s">
        <v>181</v>
      </c>
      <c r="N145" s="168">
        <f>VLOOKUP(M145,'Dados StatusInvest'!$A:$Z,26,0)</f>
        <v>23342485.38</v>
      </c>
      <c r="O145" s="175">
        <f>VLOOKUP(M145,'Dados StatusInvest'!$A:$Z,18,0)/100</f>
        <v>0.1491</v>
      </c>
      <c r="P145" s="176" t="str">
        <f t="shared" si="5"/>
        <v>#N/A</v>
      </c>
      <c r="Q145" s="177">
        <f>IF(ISERROR(1/VLOOKUP(M145,Capa!A:AC,6,0)),0,1/VLOOKUP(M145,Capa!A:AC,6,0))</f>
        <v>0.07930214116</v>
      </c>
      <c r="R145" s="178">
        <f t="shared" si="6"/>
        <v>88.000088</v>
      </c>
      <c r="S145" s="179" t="str">
        <f t="shared" si="7"/>
        <v>#N/A</v>
      </c>
    </row>
    <row r="146">
      <c r="A146" s="180"/>
      <c r="B146" s="167" t="s">
        <v>650</v>
      </c>
      <c r="C146" s="168">
        <f>VLOOKUP(B146,'Dados StatusInvest'!$A:$Z,26,0)</f>
        <v>105214775.8</v>
      </c>
      <c r="D146" s="169">
        <f>VLOOKUP(B146,'Dados StatusInvest'!$A:$Z,20,0)/100</f>
        <v>0.0546</v>
      </c>
      <c r="E146" s="93" t="str">
        <f t="shared" si="1"/>
        <v>#N/A</v>
      </c>
      <c r="F146" s="170">
        <f>IF(ISERROR(1/VLOOKUP(B146,Capa!A:AC,13,0)),0,1/VLOOKUP(B146,Capa!A:AC,13,0))</f>
        <v>0</v>
      </c>
      <c r="G146" s="171">
        <f t="shared" si="2"/>
        <v>329.000329</v>
      </c>
      <c r="H146" s="172" t="str">
        <f t="shared" si="3"/>
        <v>#N/A</v>
      </c>
      <c r="M146" s="167" t="s">
        <v>650</v>
      </c>
      <c r="N146" s="168">
        <f>VLOOKUP(M146,'Dados StatusInvest'!$A:$Z,26,0)</f>
        <v>105214775.8</v>
      </c>
      <c r="O146" s="175">
        <f>VLOOKUP(M146,'Dados StatusInvest'!$A:$Z,18,0)/100</f>
        <v>0.0515</v>
      </c>
      <c r="P146" s="176" t="str">
        <f t="shared" si="5"/>
        <v>#N/A</v>
      </c>
      <c r="Q146" s="177">
        <f>IF(ISERROR(1/VLOOKUP(M146,Capa!A:AC,6,0)),0,1/VLOOKUP(M146,Capa!A:AC,6,0))</f>
        <v>0</v>
      </c>
      <c r="R146" s="178">
        <f t="shared" si="6"/>
        <v>399.000399</v>
      </c>
      <c r="S146" s="179" t="str">
        <f t="shared" si="7"/>
        <v>#N/A</v>
      </c>
    </row>
    <row r="147">
      <c r="A147" s="180"/>
      <c r="B147" s="167" t="s">
        <v>200</v>
      </c>
      <c r="C147" s="168">
        <f>VLOOKUP(B147,'Dados StatusInvest'!$A:$Z,26,0)</f>
        <v>17619515.67</v>
      </c>
      <c r="D147" s="169">
        <f>VLOOKUP(B147,'Dados StatusInvest'!$A:$Z,20,0)/100</f>
        <v>0.0921</v>
      </c>
      <c r="E147" s="93" t="str">
        <f t="shared" si="1"/>
        <v>#N/A</v>
      </c>
      <c r="F147" s="170">
        <f>IF(ISERROR(1/VLOOKUP(B147,Capa!A:AC,13,0)),0,1/VLOOKUP(B147,Capa!A:AC,13,0))</f>
        <v>0.1324503311</v>
      </c>
      <c r="G147" s="171">
        <f t="shared" si="2"/>
        <v>51.000051</v>
      </c>
      <c r="H147" s="172" t="str">
        <f t="shared" si="3"/>
        <v>#N/A</v>
      </c>
      <c r="M147" s="167" t="s">
        <v>200</v>
      </c>
      <c r="N147" s="168">
        <f>VLOOKUP(M147,'Dados StatusInvest'!$A:$Z,26,0)</f>
        <v>17619515.67</v>
      </c>
      <c r="O147" s="175">
        <f>VLOOKUP(M147,'Dados StatusInvest'!$A:$Z,18,0)/100</f>
        <v>0.092</v>
      </c>
      <c r="P147" s="176" t="str">
        <f t="shared" si="5"/>
        <v>#N/A</v>
      </c>
      <c r="Q147" s="177">
        <f>IF(ISERROR(1/VLOOKUP(M147,Capa!A:AC,6,0)),0,1/VLOOKUP(M147,Capa!A:AC,6,0))</f>
        <v>0.03734129948</v>
      </c>
      <c r="R147" s="178">
        <f t="shared" si="6"/>
        <v>182.000182</v>
      </c>
      <c r="S147" s="179" t="str">
        <f t="shared" si="7"/>
        <v>#N/A</v>
      </c>
    </row>
    <row r="148">
      <c r="A148" s="180"/>
      <c r="B148" s="167" t="s">
        <v>223</v>
      </c>
      <c r="C148" s="168">
        <f>VLOOKUP(B148,'Dados StatusInvest'!$A:$Z,26,0)</f>
        <v>17570990.42</v>
      </c>
      <c r="D148" s="169">
        <f>VLOOKUP(B148,'Dados StatusInvest'!$A:$Z,20,0)/100</f>
        <v>0</v>
      </c>
      <c r="E148" s="93" t="str">
        <f t="shared" si="1"/>
        <v>#N/A</v>
      </c>
      <c r="F148" s="170">
        <f>IF(ISERROR(1/VLOOKUP(B148,Capa!A:AC,13,0)),0,1/VLOOKUP(B148,Capa!A:AC,13,0))</f>
        <v>0.01954652072</v>
      </c>
      <c r="G148" s="171">
        <f t="shared" si="2"/>
        <v>284.000284</v>
      </c>
      <c r="H148" s="172" t="str">
        <f t="shared" si="3"/>
        <v>#N/A</v>
      </c>
      <c r="M148" s="167" t="s">
        <v>223</v>
      </c>
      <c r="N148" s="168">
        <f>VLOOKUP(M148,'Dados StatusInvest'!$A:$Z,26,0)</f>
        <v>17570990.42</v>
      </c>
      <c r="O148" s="175">
        <f>VLOOKUP(M148,'Dados StatusInvest'!$A:$Z,18,0)/100</f>
        <v>0.0987</v>
      </c>
      <c r="P148" s="176" t="str">
        <f t="shared" si="5"/>
        <v>#N/A</v>
      </c>
      <c r="Q148" s="177">
        <f>IF(ISERROR(1/VLOOKUP(M148,Capa!A:AC,6,0)),0,1/VLOOKUP(M148,Capa!A:AC,6,0))</f>
        <v>0.05530973451</v>
      </c>
      <c r="R148" s="178">
        <f t="shared" si="6"/>
        <v>133.000133</v>
      </c>
      <c r="S148" s="179" t="str">
        <f t="shared" si="7"/>
        <v>#N/A</v>
      </c>
    </row>
    <row r="149">
      <c r="A149" s="180"/>
      <c r="B149" s="167" t="s">
        <v>219</v>
      </c>
      <c r="C149" s="168">
        <f>VLOOKUP(B149,'Dados StatusInvest'!$A:$Z,26,0)</f>
        <v>18024604.92</v>
      </c>
      <c r="D149" s="169">
        <f>VLOOKUP(B149,'Dados StatusInvest'!$A:$Z,20,0)/100</f>
        <v>0.1119</v>
      </c>
      <c r="E149" s="93" t="str">
        <f t="shared" si="1"/>
        <v>#N/A</v>
      </c>
      <c r="F149" s="170">
        <f>IF(ISERROR(1/VLOOKUP(B149,Capa!A:AC,13,0)),0,1/VLOOKUP(B149,Capa!A:AC,13,0))</f>
        <v>0.02942041777</v>
      </c>
      <c r="G149" s="171">
        <f t="shared" si="2"/>
        <v>248.000248</v>
      </c>
      <c r="H149" s="172" t="str">
        <f t="shared" si="3"/>
        <v>#N/A</v>
      </c>
      <c r="M149" s="167" t="s">
        <v>219</v>
      </c>
      <c r="N149" s="168">
        <f>VLOOKUP(M149,'Dados StatusInvest'!$A:$Z,26,0)</f>
        <v>18024604.92</v>
      </c>
      <c r="O149" s="175">
        <f>VLOOKUP(M149,'Dados StatusInvest'!$A:$Z,18,0)/100</f>
        <v>0.1415</v>
      </c>
      <c r="P149" s="176" t="str">
        <f t="shared" si="5"/>
        <v>#N/A</v>
      </c>
      <c r="Q149" s="177">
        <f>IF(ISERROR(1/VLOOKUP(M149,Capa!A:AC,6,0)),0,1/VLOOKUP(M149,Capa!A:AC,6,0))</f>
        <v>0.1834862385</v>
      </c>
      <c r="R149" s="178">
        <f t="shared" si="6"/>
        <v>21.000021</v>
      </c>
      <c r="S149" s="179" t="str">
        <f t="shared" si="7"/>
        <v>#N/A</v>
      </c>
    </row>
    <row r="150">
      <c r="A150" s="180"/>
      <c r="B150" s="167" t="s">
        <v>234</v>
      </c>
      <c r="C150" s="168">
        <f>VLOOKUP(B150,'Dados StatusInvest'!$A:$Z,26,0)</f>
        <v>14790043.54</v>
      </c>
      <c r="D150" s="169">
        <f>VLOOKUP(B150,'Dados StatusInvest'!$A:$Z,20,0)/100</f>
        <v>0.1093</v>
      </c>
      <c r="E150" s="93" t="str">
        <f t="shared" si="1"/>
        <v>#N/A</v>
      </c>
      <c r="F150" s="170">
        <f>IF(ISERROR(1/VLOOKUP(B150,Capa!A:AC,13,0)),0,1/VLOOKUP(B150,Capa!A:AC,13,0))</f>
        <v>0.1312335958</v>
      </c>
      <c r="G150" s="171">
        <f t="shared" si="2"/>
        <v>52.000052</v>
      </c>
      <c r="H150" s="172" t="str">
        <f t="shared" si="3"/>
        <v>#N/A</v>
      </c>
      <c r="M150" s="167" t="s">
        <v>234</v>
      </c>
      <c r="N150" s="168">
        <f>VLOOKUP(M150,'Dados StatusInvest'!$A:$Z,26,0)</f>
        <v>14790043.54</v>
      </c>
      <c r="O150" s="175">
        <f>VLOOKUP(M150,'Dados StatusInvest'!$A:$Z,18,0)/100</f>
        <v>0.1703</v>
      </c>
      <c r="P150" s="176" t="str">
        <f t="shared" si="5"/>
        <v>#N/A</v>
      </c>
      <c r="Q150" s="177">
        <f>IF(ISERROR(1/VLOOKUP(M150,Capa!A:AC,6,0)),0,1/VLOOKUP(M150,Capa!A:AC,6,0))</f>
        <v>0.06553079948</v>
      </c>
      <c r="R150" s="178">
        <f t="shared" si="6"/>
        <v>114.000114</v>
      </c>
      <c r="S150" s="179" t="str">
        <f t="shared" si="7"/>
        <v>#N/A</v>
      </c>
    </row>
    <row r="151">
      <c r="A151" s="180"/>
      <c r="B151" s="167" t="s">
        <v>226</v>
      </c>
      <c r="C151" s="168">
        <f>VLOOKUP(B151,'Dados StatusInvest'!$A:$Z,26,0)</f>
        <v>21611539.46</v>
      </c>
      <c r="D151" s="169">
        <f>VLOOKUP(B151,'Dados StatusInvest'!$A:$Z,20,0)/100</f>
        <v>0.1129</v>
      </c>
      <c r="E151" s="93" t="str">
        <f t="shared" si="1"/>
        <v>#N/A</v>
      </c>
      <c r="F151" s="170">
        <f>IF(ISERROR(1/VLOOKUP(B151,Capa!A:AC,13,0)),0,1/VLOOKUP(B151,Capa!A:AC,13,0))</f>
        <v>0.04840271055</v>
      </c>
      <c r="G151" s="171">
        <f t="shared" si="2"/>
        <v>168.000168</v>
      </c>
      <c r="H151" s="172" t="str">
        <f t="shared" si="3"/>
        <v>#N/A</v>
      </c>
      <c r="M151" s="167" t="s">
        <v>226</v>
      </c>
      <c r="N151" s="168">
        <f>VLOOKUP(M151,'Dados StatusInvest'!$A:$Z,26,0)</f>
        <v>21611539.46</v>
      </c>
      <c r="O151" s="175">
        <f>VLOOKUP(M151,'Dados StatusInvest'!$A:$Z,18,0)/100</f>
        <v>0.1745</v>
      </c>
      <c r="P151" s="176" t="str">
        <f t="shared" si="5"/>
        <v>#N/A</v>
      </c>
      <c r="Q151" s="177">
        <f>IF(ISERROR(1/VLOOKUP(M151,Capa!A:AC,6,0)),0,1/VLOOKUP(M151,Capa!A:AC,6,0))</f>
        <v>0.1369863014</v>
      </c>
      <c r="R151" s="178">
        <f t="shared" si="6"/>
        <v>37.000037</v>
      </c>
      <c r="S151" s="179" t="str">
        <f t="shared" si="7"/>
        <v>#N/A</v>
      </c>
    </row>
    <row r="152">
      <c r="A152" s="180"/>
      <c r="B152" s="167" t="s">
        <v>235</v>
      </c>
      <c r="C152" s="168">
        <f>VLOOKUP(B152,'Dados StatusInvest'!$A:$Z,26,0)</f>
        <v>12660653.38</v>
      </c>
      <c r="D152" s="169">
        <f>VLOOKUP(B152,'Dados StatusInvest'!$A:$Z,20,0)/100</f>
        <v>0.0725</v>
      </c>
      <c r="E152" s="93" t="str">
        <f t="shared" si="1"/>
        <v>#N/A</v>
      </c>
      <c r="F152" s="170">
        <f>IF(ISERROR(1/VLOOKUP(B152,Capa!A:AC,13,0)),0,1/VLOOKUP(B152,Capa!A:AC,13,0))</f>
        <v>0.003502136303</v>
      </c>
      <c r="G152" s="171">
        <f t="shared" si="2"/>
        <v>313.000313</v>
      </c>
      <c r="H152" s="172" t="str">
        <f t="shared" si="3"/>
        <v>#N/A</v>
      </c>
      <c r="M152" s="167" t="s">
        <v>235</v>
      </c>
      <c r="N152" s="168">
        <f>VLOOKUP(M152,'Dados StatusInvest'!$A:$Z,26,0)</f>
        <v>12660653.38</v>
      </c>
      <c r="O152" s="175">
        <f>VLOOKUP(M152,'Dados StatusInvest'!$A:$Z,18,0)/100</f>
        <v>0.0886</v>
      </c>
      <c r="P152" s="176" t="str">
        <f t="shared" si="5"/>
        <v>#N/A</v>
      </c>
      <c r="Q152" s="177">
        <f>IF(ISERROR(1/VLOOKUP(M152,Capa!A:AC,6,0)),0,1/VLOOKUP(M152,Capa!A:AC,6,0))</f>
        <v>0.02615746796</v>
      </c>
      <c r="R152" s="178">
        <f t="shared" si="6"/>
        <v>251.000251</v>
      </c>
      <c r="S152" s="179" t="str">
        <f t="shared" si="7"/>
        <v>#N/A</v>
      </c>
    </row>
    <row r="153">
      <c r="A153" s="180"/>
      <c r="B153" s="167" t="s">
        <v>238</v>
      </c>
      <c r="C153" s="168">
        <f>VLOOKUP(B153,'Dados StatusInvest'!$A:$Z,26,0)</f>
        <v>11116985.04</v>
      </c>
      <c r="D153" s="169">
        <f>VLOOKUP(B153,'Dados StatusInvest'!$A:$Z,20,0)/100</f>
        <v>-0.0418</v>
      </c>
      <c r="E153" s="93" t="str">
        <f t="shared" si="1"/>
        <v>#N/A</v>
      </c>
      <c r="F153" s="170">
        <f>IF(ISERROR(1/VLOOKUP(B153,Capa!A:AC,13,0)),0,1/VLOOKUP(B153,Capa!A:AC,13,0))</f>
        <v>-0.2433090024</v>
      </c>
      <c r="G153" s="171">
        <f t="shared" si="2"/>
        <v>435.000435</v>
      </c>
      <c r="H153" s="172" t="str">
        <f t="shared" si="3"/>
        <v>#N/A</v>
      </c>
      <c r="M153" s="167" t="s">
        <v>238</v>
      </c>
      <c r="N153" s="168">
        <f>VLOOKUP(M153,'Dados StatusInvest'!$A:$Z,26,0)</f>
        <v>11116985.04</v>
      </c>
      <c r="O153" s="175">
        <f>VLOOKUP(M153,'Dados StatusInvest'!$A:$Z,18,0)/100</f>
        <v>-0.0679</v>
      </c>
      <c r="P153" s="176" t="str">
        <f t="shared" si="5"/>
        <v>#N/A</v>
      </c>
      <c r="Q153" s="177">
        <f>IF(ISERROR(1/VLOOKUP(M153,Capa!A:AC,6,0)),0,1/VLOOKUP(M153,Capa!A:AC,6,0))</f>
        <v>0.1972386588</v>
      </c>
      <c r="R153" s="178">
        <f t="shared" si="6"/>
        <v>19.000019</v>
      </c>
      <c r="S153" s="179" t="str">
        <f t="shared" si="7"/>
        <v>#N/A</v>
      </c>
    </row>
    <row r="154">
      <c r="A154" s="180"/>
      <c r="B154" s="167" t="s">
        <v>147</v>
      </c>
      <c r="C154" s="168">
        <f>VLOOKUP(B154,'Dados StatusInvest'!$A:$Z,26,0)</f>
        <v>57802818.04</v>
      </c>
      <c r="D154" s="169">
        <f>VLOOKUP(B154,'Dados StatusInvest'!$A:$Z,20,0)/100</f>
        <v>0.6372</v>
      </c>
      <c r="E154" s="93" t="str">
        <f t="shared" si="1"/>
        <v>#N/A</v>
      </c>
      <c r="F154" s="170">
        <f>IF(ISERROR(1/VLOOKUP(B154,Capa!A:AC,13,0)),0,1/VLOOKUP(B154,Capa!A:AC,13,0))</f>
        <v>0.02327205027</v>
      </c>
      <c r="G154" s="171">
        <f t="shared" si="2"/>
        <v>271.000271</v>
      </c>
      <c r="H154" s="172" t="str">
        <f t="shared" si="3"/>
        <v>#N/A</v>
      </c>
      <c r="M154" s="167" t="s">
        <v>147</v>
      </c>
      <c r="N154" s="168">
        <f>VLOOKUP(M154,'Dados StatusInvest'!$A:$Z,26,0)</f>
        <v>57802818.04</v>
      </c>
      <c r="O154" s="175">
        <f>VLOOKUP(M154,'Dados StatusInvest'!$A:$Z,18,0)/100</f>
        <v>0.5808</v>
      </c>
      <c r="P154" s="176" t="str">
        <f t="shared" si="5"/>
        <v>#N/A</v>
      </c>
      <c r="Q154" s="177">
        <f>IF(ISERROR(1/VLOOKUP(M154,Capa!A:AC,6,0)),0,1/VLOOKUP(M154,Capa!A:AC,6,0))</f>
        <v>0.05265929437</v>
      </c>
      <c r="R154" s="178">
        <f t="shared" si="6"/>
        <v>139.000139</v>
      </c>
      <c r="S154" s="179" t="str">
        <f t="shared" si="7"/>
        <v>#N/A</v>
      </c>
    </row>
    <row r="155">
      <c r="A155" s="180"/>
      <c r="B155" s="167" t="s">
        <v>246</v>
      </c>
      <c r="C155" s="168">
        <f>VLOOKUP(B155,'Dados StatusInvest'!$A:$Z,26,0)</f>
        <v>9977698.67</v>
      </c>
      <c r="D155" s="169">
        <f>VLOOKUP(B155,'Dados StatusInvest'!$A:$Z,20,0)/100</f>
        <v>0.2497</v>
      </c>
      <c r="E155" s="93" t="str">
        <f t="shared" si="1"/>
        <v>#N/A</v>
      </c>
      <c r="F155" s="170">
        <f>IF(ISERROR(1/VLOOKUP(B155,Capa!A:AC,13,0)),0,1/VLOOKUP(B155,Capa!A:AC,13,0))</f>
        <v>0.05265929437</v>
      </c>
      <c r="G155" s="171">
        <f t="shared" si="2"/>
        <v>153.000153</v>
      </c>
      <c r="H155" s="172" t="str">
        <f t="shared" si="3"/>
        <v>#N/A</v>
      </c>
      <c r="M155" s="167" t="s">
        <v>246</v>
      </c>
      <c r="N155" s="168">
        <f>VLOOKUP(M155,'Dados StatusInvest'!$A:$Z,26,0)</f>
        <v>9977698.67</v>
      </c>
      <c r="O155" s="175">
        <f>VLOOKUP(M155,'Dados StatusInvest'!$A:$Z,18,0)/100</f>
        <v>0.2747</v>
      </c>
      <c r="P155" s="176" t="str">
        <f t="shared" si="5"/>
        <v>#N/A</v>
      </c>
      <c r="Q155" s="177">
        <f>IF(ISERROR(1/VLOOKUP(M155,Capa!A:AC,6,0)),0,1/VLOOKUP(M155,Capa!A:AC,6,0))</f>
        <v>0.03789314134</v>
      </c>
      <c r="R155" s="178">
        <f t="shared" si="6"/>
        <v>178.000178</v>
      </c>
      <c r="S155" s="179" t="str">
        <f t="shared" si="7"/>
        <v>#N/A</v>
      </c>
    </row>
    <row r="156">
      <c r="A156" s="180"/>
      <c r="B156" s="167" t="s">
        <v>255</v>
      </c>
      <c r="C156" s="168">
        <f>VLOOKUP(B156,'Dados StatusInvest'!$A:$Z,26,0)</f>
        <v>8129190.33</v>
      </c>
      <c r="D156" s="169">
        <f>VLOOKUP(B156,'Dados StatusInvest'!$A:$Z,20,0)/100</f>
        <v>0.1222</v>
      </c>
      <c r="E156" s="93" t="str">
        <f t="shared" si="1"/>
        <v>#N/A</v>
      </c>
      <c r="F156" s="170">
        <f>IF(ISERROR(1/VLOOKUP(B156,Capa!A:AC,13,0)),0,1/VLOOKUP(B156,Capa!A:AC,13,0))</f>
        <v>0.07326007326</v>
      </c>
      <c r="G156" s="171">
        <f t="shared" si="2"/>
        <v>104.000104</v>
      </c>
      <c r="H156" s="172" t="str">
        <f t="shared" si="3"/>
        <v>#N/A</v>
      </c>
      <c r="M156" s="167" t="s">
        <v>255</v>
      </c>
      <c r="N156" s="168">
        <f>VLOOKUP(M156,'Dados StatusInvest'!$A:$Z,26,0)</f>
        <v>8129190.33</v>
      </c>
      <c r="O156" s="175">
        <f>VLOOKUP(M156,'Dados StatusInvest'!$A:$Z,18,0)/100</f>
        <v>0.1571</v>
      </c>
      <c r="P156" s="176" t="str">
        <f t="shared" si="5"/>
        <v>#N/A</v>
      </c>
      <c r="Q156" s="177">
        <f>IF(ISERROR(1/VLOOKUP(M156,Capa!A:AC,6,0)),0,1/VLOOKUP(M156,Capa!A:AC,6,0))</f>
        <v>0.03289473684</v>
      </c>
      <c r="R156" s="178">
        <f t="shared" si="6"/>
        <v>215.000215</v>
      </c>
      <c r="S156" s="179" t="str">
        <f t="shared" si="7"/>
        <v>#N/A</v>
      </c>
    </row>
    <row r="157">
      <c r="A157" s="180"/>
      <c r="B157" s="167" t="s">
        <v>254</v>
      </c>
      <c r="C157" s="168">
        <f>VLOOKUP(B157,'Dados StatusInvest'!$A:$Z,26,0)</f>
        <v>7762342.08</v>
      </c>
      <c r="D157" s="169">
        <f>VLOOKUP(B157,'Dados StatusInvest'!$A:$Z,20,0)/100</f>
        <v>0.0347</v>
      </c>
      <c r="E157" s="93" t="str">
        <f t="shared" si="1"/>
        <v>#N/A</v>
      </c>
      <c r="F157" s="170">
        <f>IF(ISERROR(1/VLOOKUP(B157,Capa!A:AC,13,0)),0,1/VLOOKUP(B157,Capa!A:AC,13,0))</f>
        <v>0.08361204013</v>
      </c>
      <c r="G157" s="171">
        <f t="shared" si="2"/>
        <v>89.000089</v>
      </c>
      <c r="H157" s="172" t="str">
        <f t="shared" si="3"/>
        <v>#N/A</v>
      </c>
      <c r="M157" s="167" t="s">
        <v>254</v>
      </c>
      <c r="N157" s="168">
        <f>VLOOKUP(M157,'Dados StatusInvest'!$A:$Z,26,0)</f>
        <v>7762342.08</v>
      </c>
      <c r="O157" s="175">
        <f>VLOOKUP(M157,'Dados StatusInvest'!$A:$Z,18,0)/100</f>
        <v>0.0327</v>
      </c>
      <c r="P157" s="176" t="str">
        <f t="shared" si="5"/>
        <v>#N/A</v>
      </c>
      <c r="Q157" s="177">
        <f>IF(ISERROR(1/VLOOKUP(M157,Capa!A:AC,6,0)),0,1/VLOOKUP(M157,Capa!A:AC,6,0))</f>
        <v>0.1060445387</v>
      </c>
      <c r="R157" s="178">
        <f t="shared" si="6"/>
        <v>59.000059</v>
      </c>
      <c r="S157" s="179" t="str">
        <f t="shared" si="7"/>
        <v>#N/A</v>
      </c>
    </row>
    <row r="158">
      <c r="A158" s="180"/>
      <c r="B158" s="167" t="s">
        <v>295</v>
      </c>
      <c r="C158" s="168">
        <f>VLOOKUP(B158,'Dados StatusInvest'!$A:$Z,26,0)</f>
        <v>2657956.79</v>
      </c>
      <c r="D158" s="169">
        <f>VLOOKUP(B158,'Dados StatusInvest'!$A:$Z,20,0)/100</f>
        <v>0.0102</v>
      </c>
      <c r="E158" s="93" t="str">
        <f t="shared" si="1"/>
        <v>#N/A</v>
      </c>
      <c r="F158" s="170">
        <f>IF(ISERROR(1/VLOOKUP(B158,Capa!A:AC,13,0)),0,1/VLOOKUP(B158,Capa!A:AC,13,0))</f>
        <v>0.5952380952</v>
      </c>
      <c r="G158" s="171">
        <f t="shared" si="2"/>
        <v>4.000004</v>
      </c>
      <c r="H158" s="172" t="str">
        <f t="shared" si="3"/>
        <v>#N/A</v>
      </c>
      <c r="M158" s="167" t="s">
        <v>295</v>
      </c>
      <c r="N158" s="168">
        <f>VLOOKUP(M158,'Dados StatusInvest'!$A:$Z,26,0)</f>
        <v>2657956.79</v>
      </c>
      <c r="O158" s="175">
        <f>VLOOKUP(M158,'Dados StatusInvest'!$A:$Z,18,0)/100</f>
        <v>-0.0703</v>
      </c>
      <c r="P158" s="176" t="str">
        <f t="shared" si="5"/>
        <v>#N/A</v>
      </c>
      <c r="Q158" s="177">
        <f>IF(ISERROR(1/VLOOKUP(M158,Capa!A:AC,6,0)),0,1/VLOOKUP(M158,Capa!A:AC,6,0))</f>
        <v>0.08888888889</v>
      </c>
      <c r="R158" s="178">
        <f t="shared" si="6"/>
        <v>77.000077</v>
      </c>
      <c r="S158" s="179" t="str">
        <f t="shared" si="7"/>
        <v>#N/A</v>
      </c>
    </row>
    <row r="159">
      <c r="A159" s="180"/>
      <c r="B159" s="167" t="s">
        <v>191</v>
      </c>
      <c r="C159" s="168">
        <f>VLOOKUP(B159,'Dados StatusInvest'!$A:$Z,26,0)</f>
        <v>26356025.46</v>
      </c>
      <c r="D159" s="169">
        <f>VLOOKUP(B159,'Dados StatusInvest'!$A:$Z,20,0)/100</f>
        <v>0.2706</v>
      </c>
      <c r="E159" s="93" t="str">
        <f t="shared" si="1"/>
        <v>#N/A</v>
      </c>
      <c r="F159" s="170">
        <f>IF(ISERROR(1/VLOOKUP(B159,Capa!A:AC,13,0)),0,1/VLOOKUP(B159,Capa!A:AC,13,0))</f>
        <v>0.05503577325</v>
      </c>
      <c r="G159" s="171">
        <f t="shared" si="2"/>
        <v>147.000147</v>
      </c>
      <c r="H159" s="172" t="str">
        <f t="shared" si="3"/>
        <v>#N/A</v>
      </c>
      <c r="M159" s="167" t="s">
        <v>191</v>
      </c>
      <c r="N159" s="168">
        <f>VLOOKUP(M159,'Dados StatusInvest'!$A:$Z,26,0)</f>
        <v>26356025.46</v>
      </c>
      <c r="O159" s="175">
        <f>VLOOKUP(M159,'Dados StatusInvest'!$A:$Z,18,0)/100</f>
        <v>0.2795</v>
      </c>
      <c r="P159" s="176" t="str">
        <f t="shared" si="5"/>
        <v>#N/A</v>
      </c>
      <c r="Q159" s="177">
        <f>IF(ISERROR(1/VLOOKUP(M159,Capa!A:AC,6,0)),0,1/VLOOKUP(M159,Capa!A:AC,6,0))</f>
        <v>0.02413127413</v>
      </c>
      <c r="R159" s="178">
        <f t="shared" si="6"/>
        <v>259.000259</v>
      </c>
      <c r="S159" s="179" t="str">
        <f t="shared" si="7"/>
        <v>#N/A</v>
      </c>
    </row>
    <row r="160">
      <c r="A160" s="180"/>
      <c r="B160" s="167" t="s">
        <v>303</v>
      </c>
      <c r="C160" s="168">
        <f>VLOOKUP(B160,'Dados StatusInvest'!$A:$Z,26,0)</f>
        <v>2860215.58</v>
      </c>
      <c r="D160" s="169">
        <f>VLOOKUP(B160,'Dados StatusInvest'!$A:$Z,20,0)/100</f>
        <v>-0.5894</v>
      </c>
      <c r="E160" s="93" t="str">
        <f t="shared" si="1"/>
        <v>#N/A</v>
      </c>
      <c r="F160" s="170">
        <f>IF(ISERROR(1/VLOOKUP(B160,Capa!A:AC,13,0)),0,1/VLOOKUP(B160,Capa!A:AC,13,0))</f>
        <v>0.005477951246</v>
      </c>
      <c r="G160" s="171">
        <f t="shared" si="2"/>
        <v>312.000312</v>
      </c>
      <c r="H160" s="172" t="str">
        <f t="shared" si="3"/>
        <v>#N/A</v>
      </c>
      <c r="M160" s="167" t="s">
        <v>303</v>
      </c>
      <c r="N160" s="168">
        <f>VLOOKUP(M160,'Dados StatusInvest'!$A:$Z,26,0)</f>
        <v>2860215.58</v>
      </c>
      <c r="O160" s="175">
        <f>VLOOKUP(M160,'Dados StatusInvest'!$A:$Z,18,0)/100</f>
        <v>-0.6274</v>
      </c>
      <c r="P160" s="176" t="str">
        <f t="shared" si="5"/>
        <v>#N/A</v>
      </c>
      <c r="Q160" s="177">
        <f>IF(ISERROR(1/VLOOKUP(M160,Capa!A:AC,6,0)),0,1/VLOOKUP(M160,Capa!A:AC,6,0))</f>
        <v>0.4184100418</v>
      </c>
      <c r="R160" s="178">
        <f t="shared" si="6"/>
        <v>3.000003</v>
      </c>
      <c r="S160" s="179" t="str">
        <f t="shared" si="7"/>
        <v>#N/A</v>
      </c>
    </row>
    <row r="161">
      <c r="A161" s="180"/>
      <c r="B161" s="167" t="s">
        <v>263</v>
      </c>
      <c r="C161" s="168">
        <f>VLOOKUP(B161,'Dados StatusInvest'!$A:$Z,26,0)</f>
        <v>8650153.63</v>
      </c>
      <c r="D161" s="169">
        <f>VLOOKUP(B161,'Dados StatusInvest'!$A:$Z,20,0)/100</f>
        <v>0.0147</v>
      </c>
      <c r="E161" s="93" t="str">
        <f t="shared" si="1"/>
        <v>#N/A</v>
      </c>
      <c r="F161" s="170">
        <f>IF(ISERROR(1/VLOOKUP(B161,Capa!A:AC,13,0)),0,1/VLOOKUP(B161,Capa!A:AC,13,0))</f>
        <v>0.02109704641</v>
      </c>
      <c r="G161" s="171">
        <f t="shared" si="2"/>
        <v>276.000276</v>
      </c>
      <c r="H161" s="172" t="str">
        <f t="shared" si="3"/>
        <v>#N/A</v>
      </c>
      <c r="M161" s="167" t="s">
        <v>263</v>
      </c>
      <c r="N161" s="168">
        <f>VLOOKUP(M161,'Dados StatusInvest'!$A:$Z,26,0)</f>
        <v>8650153.63</v>
      </c>
      <c r="O161" s="175">
        <f>VLOOKUP(M161,'Dados StatusInvest'!$A:$Z,18,0)/100</f>
        <v>0.1441</v>
      </c>
      <c r="P161" s="176" t="str">
        <f t="shared" si="5"/>
        <v>#N/A</v>
      </c>
      <c r="Q161" s="177">
        <f>IF(ISERROR(1/VLOOKUP(M161,Capa!A:AC,6,0)),0,1/VLOOKUP(M161,Capa!A:AC,6,0))</f>
        <v>0.02688172043</v>
      </c>
      <c r="R161" s="178">
        <f t="shared" si="6"/>
        <v>246.000246</v>
      </c>
      <c r="S161" s="179" t="str">
        <f t="shared" si="7"/>
        <v>#N/A</v>
      </c>
    </row>
    <row r="162">
      <c r="A162" s="180"/>
      <c r="B162" s="167" t="s">
        <v>1679</v>
      </c>
      <c r="C162" s="168" t="str">
        <f>VLOOKUP(B162,'Dados StatusInvest'!$A:$Z,26,0)</f>
        <v>#N/A</v>
      </c>
      <c r="D162" s="169" t="str">
        <f>VLOOKUP(B162,'Dados StatusInvest'!$A:$Z,20,0)/100</f>
        <v>#N/A</v>
      </c>
      <c r="E162" s="93" t="str">
        <f t="shared" si="1"/>
        <v>#N/A</v>
      </c>
      <c r="F162" s="170">
        <f>IF(ISERROR(1/VLOOKUP(B162,Capa!A:AC,13,0)),0,1/VLOOKUP(B162,Capa!A:AC,13,0))</f>
        <v>0</v>
      </c>
      <c r="G162" s="171">
        <f t="shared" si="2"/>
        <v>329.000329</v>
      </c>
      <c r="H162" s="172" t="str">
        <f t="shared" si="3"/>
        <v>#N/A</v>
      </c>
      <c r="M162" s="167" t="s">
        <v>1679</v>
      </c>
      <c r="N162" s="168" t="str">
        <f>VLOOKUP(M162,'Dados StatusInvest'!$A:$Z,26,0)</f>
        <v>#N/A</v>
      </c>
      <c r="O162" s="175" t="str">
        <f>VLOOKUP(M162,'Dados StatusInvest'!$A:$Z,18,0)/100</f>
        <v>#N/A</v>
      </c>
      <c r="P162" s="176" t="str">
        <f t="shared" si="5"/>
        <v>#N/A</v>
      </c>
      <c r="Q162" s="177">
        <f>IF(ISERROR(1/VLOOKUP(M162,Capa!A:AC,6,0)),0,1/VLOOKUP(M162,Capa!A:AC,6,0))</f>
        <v>0</v>
      </c>
      <c r="R162" s="178">
        <f t="shared" si="6"/>
        <v>399.000399</v>
      </c>
      <c r="S162" s="179" t="str">
        <f t="shared" si="7"/>
        <v>#N/A</v>
      </c>
    </row>
    <row r="163">
      <c r="A163" s="180"/>
      <c r="B163" s="167" t="s">
        <v>194</v>
      </c>
      <c r="C163" s="168">
        <f>VLOOKUP(B163,'Dados StatusInvest'!$A:$Z,26,0)</f>
        <v>24325842.13</v>
      </c>
      <c r="D163" s="169">
        <f>VLOOKUP(B163,'Dados StatusInvest'!$A:$Z,20,0)/100</f>
        <v>0.3614</v>
      </c>
      <c r="E163" s="93" t="str">
        <f t="shared" si="1"/>
        <v>#N/A</v>
      </c>
      <c r="F163" s="170">
        <f>IF(ISERROR(1/VLOOKUP(B163,Capa!A:AC,13,0)),0,1/VLOOKUP(B163,Capa!A:AC,13,0))</f>
        <v>0.03180661578</v>
      </c>
      <c r="G163" s="171">
        <f t="shared" si="2"/>
        <v>241.000241</v>
      </c>
      <c r="H163" s="172" t="str">
        <f t="shared" si="3"/>
        <v>#N/A</v>
      </c>
      <c r="M163" s="167" t="s">
        <v>194</v>
      </c>
      <c r="N163" s="168">
        <f>VLOOKUP(M163,'Dados StatusInvest'!$A:$Z,26,0)</f>
        <v>24325842.13</v>
      </c>
      <c r="O163" s="175">
        <f>VLOOKUP(M163,'Dados StatusInvest'!$A:$Z,18,0)/100</f>
        <v>0.4858</v>
      </c>
      <c r="P163" s="176" t="str">
        <f t="shared" si="5"/>
        <v>#N/A</v>
      </c>
      <c r="Q163" s="177">
        <f>IF(ISERROR(1/VLOOKUP(M163,Capa!A:AC,6,0)),0,1/VLOOKUP(M163,Capa!A:AC,6,0))</f>
        <v>0.008850340738</v>
      </c>
      <c r="R163" s="178">
        <f t="shared" si="6"/>
        <v>373.000373</v>
      </c>
      <c r="S163" s="179" t="str">
        <f t="shared" si="7"/>
        <v>#N/A</v>
      </c>
    </row>
    <row r="164">
      <c r="A164" s="180"/>
      <c r="B164" s="167" t="s">
        <v>340</v>
      </c>
      <c r="C164" s="168">
        <f>VLOOKUP(B164,'Dados StatusInvest'!$A:$Z,26,0)</f>
        <v>721020.71</v>
      </c>
      <c r="D164" s="169">
        <f>VLOOKUP(B164,'Dados StatusInvest'!$A:$Z,20,0)/100</f>
        <v>-0.0133</v>
      </c>
      <c r="E164" s="93" t="str">
        <f t="shared" si="1"/>
        <v>#N/A</v>
      </c>
      <c r="F164" s="170">
        <f>IF(ISERROR(1/VLOOKUP(B164,Capa!A:AC,13,0)),0,1/VLOOKUP(B164,Capa!A:AC,13,0))</f>
        <v>0.3546099291</v>
      </c>
      <c r="G164" s="171">
        <f t="shared" si="2"/>
        <v>12.000012</v>
      </c>
      <c r="H164" s="172" t="str">
        <f t="shared" si="3"/>
        <v>#N/A</v>
      </c>
      <c r="M164" s="167" t="s">
        <v>340</v>
      </c>
      <c r="N164" s="168">
        <f>VLOOKUP(M164,'Dados StatusInvest'!$A:$Z,26,0)</f>
        <v>721020.71</v>
      </c>
      <c r="O164" s="175">
        <f>VLOOKUP(M164,'Dados StatusInvest'!$A:$Z,18,0)/100</f>
        <v>0.0696</v>
      </c>
      <c r="P164" s="176" t="str">
        <f t="shared" si="5"/>
        <v>#N/A</v>
      </c>
      <c r="Q164" s="177">
        <f>IF(ISERROR(1/VLOOKUP(M164,Capa!A:AC,6,0)),0,1/VLOOKUP(M164,Capa!A:AC,6,0))</f>
        <v>0.09276437848</v>
      </c>
      <c r="R164" s="178">
        <f t="shared" si="6"/>
        <v>73.000073</v>
      </c>
      <c r="S164" s="179" t="str">
        <f t="shared" si="7"/>
        <v>#N/A</v>
      </c>
    </row>
    <row r="165">
      <c r="A165" s="180"/>
      <c r="B165" s="167" t="s">
        <v>215</v>
      </c>
      <c r="C165" s="168">
        <f>VLOOKUP(B165,'Dados StatusInvest'!$A:$Z,26,0)</f>
        <v>10938296.63</v>
      </c>
      <c r="D165" s="169">
        <f>VLOOKUP(B165,'Dados StatusInvest'!$A:$Z,20,0)/100</f>
        <v>0.051</v>
      </c>
      <c r="E165" s="93" t="str">
        <f t="shared" si="1"/>
        <v>#N/A</v>
      </c>
      <c r="F165" s="170">
        <f>IF(ISERROR(1/VLOOKUP(B165,Capa!A:AC,13,0)),0,1/VLOOKUP(B165,Capa!A:AC,13,0))</f>
        <v>0.09174311927</v>
      </c>
      <c r="G165" s="171">
        <f t="shared" si="2"/>
        <v>74.000074</v>
      </c>
      <c r="H165" s="172" t="str">
        <f t="shared" si="3"/>
        <v>#N/A</v>
      </c>
      <c r="M165" s="167" t="s">
        <v>215</v>
      </c>
      <c r="N165" s="168">
        <f>VLOOKUP(M165,'Dados StatusInvest'!$A:$Z,26,0)</f>
        <v>10938296.63</v>
      </c>
      <c r="O165" s="175">
        <f>VLOOKUP(M165,'Dados StatusInvest'!$A:$Z,18,0)/100</f>
        <v>0.0243</v>
      </c>
      <c r="P165" s="176" t="str">
        <f t="shared" si="5"/>
        <v>#N/A</v>
      </c>
      <c r="Q165" s="177">
        <f>IF(ISERROR(1/VLOOKUP(M165,Capa!A:AC,6,0)),0,1/VLOOKUP(M165,Capa!A:AC,6,0))</f>
        <v>0.06369426752</v>
      </c>
      <c r="R165" s="178">
        <f t="shared" si="6"/>
        <v>118.000118</v>
      </c>
      <c r="S165" s="179" t="str">
        <f t="shared" si="7"/>
        <v>#N/A</v>
      </c>
    </row>
    <row r="166">
      <c r="A166" s="180"/>
      <c r="B166" s="167" t="s">
        <v>293</v>
      </c>
      <c r="C166" s="168">
        <f>VLOOKUP(B166,'Dados StatusInvest'!$A:$Z,26,0)</f>
        <v>3522547.67</v>
      </c>
      <c r="D166" s="169">
        <f>VLOOKUP(B166,'Dados StatusInvest'!$A:$Z,20,0)/100</f>
        <v>0.0848</v>
      </c>
      <c r="E166" s="93" t="str">
        <f t="shared" si="1"/>
        <v>#N/A</v>
      </c>
      <c r="F166" s="170">
        <f>IF(ISERROR(1/VLOOKUP(B166,Capa!A:AC,13,0)),0,1/VLOOKUP(B166,Capa!A:AC,13,0))</f>
        <v>0.03646973012</v>
      </c>
      <c r="G166" s="171">
        <f t="shared" si="2"/>
        <v>220.00022</v>
      </c>
      <c r="H166" s="172" t="str">
        <f t="shared" si="3"/>
        <v>#N/A</v>
      </c>
      <c r="M166" s="167" t="s">
        <v>293</v>
      </c>
      <c r="N166" s="168">
        <f>VLOOKUP(M166,'Dados StatusInvest'!$A:$Z,26,0)</f>
        <v>3522547.67</v>
      </c>
      <c r="O166" s="175">
        <f>VLOOKUP(M166,'Dados StatusInvest'!$A:$Z,18,0)/100</f>
        <v>0.4032</v>
      </c>
      <c r="P166" s="176" t="str">
        <f t="shared" si="5"/>
        <v>#N/A</v>
      </c>
      <c r="Q166" s="177">
        <f>IF(ISERROR(1/VLOOKUP(M166,Capa!A:AC,6,0)),0,1/VLOOKUP(M166,Capa!A:AC,6,0))</f>
        <v>0.16</v>
      </c>
      <c r="R166" s="178">
        <f t="shared" si="6"/>
        <v>28.000028</v>
      </c>
      <c r="S166" s="179" t="str">
        <f t="shared" si="7"/>
        <v>#N/A</v>
      </c>
    </row>
    <row r="167">
      <c r="A167" s="180"/>
      <c r="B167" s="167" t="s">
        <v>298</v>
      </c>
      <c r="C167" s="168">
        <f>VLOOKUP(B167,'Dados StatusInvest'!$A:$Z,26,0)</f>
        <v>3540864.79</v>
      </c>
      <c r="D167" s="169">
        <f>VLOOKUP(B167,'Dados StatusInvest'!$A:$Z,20,0)/100</f>
        <v>0.2988</v>
      </c>
      <c r="E167" s="93" t="str">
        <f t="shared" si="1"/>
        <v>#N/A</v>
      </c>
      <c r="F167" s="170">
        <f>IF(ISERROR(1/VLOOKUP(B167,Capa!A:AC,13,0)),0,1/VLOOKUP(B167,Capa!A:AC,13,0))</f>
        <v>0.03244646334</v>
      </c>
      <c r="G167" s="171">
        <f t="shared" si="2"/>
        <v>237.000237</v>
      </c>
      <c r="H167" s="172" t="str">
        <f t="shared" si="3"/>
        <v>#N/A</v>
      </c>
      <c r="M167" s="167" t="s">
        <v>298</v>
      </c>
      <c r="N167" s="168">
        <f>VLOOKUP(M167,'Dados StatusInvest'!$A:$Z,26,0)</f>
        <v>3540864.79</v>
      </c>
      <c r="O167" s="175">
        <f>VLOOKUP(M167,'Dados StatusInvest'!$A:$Z,18,0)/100</f>
        <v>0.1041</v>
      </c>
      <c r="P167" s="176" t="str">
        <f t="shared" si="5"/>
        <v>#N/A</v>
      </c>
      <c r="Q167" s="177">
        <f>IF(ISERROR(1/VLOOKUP(M167,Capa!A:AC,6,0)),0,1/VLOOKUP(M167,Capa!A:AC,6,0))</f>
        <v>0.1650165017</v>
      </c>
      <c r="R167" s="178">
        <f t="shared" si="6"/>
        <v>26.000026</v>
      </c>
      <c r="S167" s="179" t="str">
        <f t="shared" si="7"/>
        <v>#N/A</v>
      </c>
    </row>
    <row r="168">
      <c r="A168" s="180"/>
      <c r="B168" s="167" t="s">
        <v>176</v>
      </c>
      <c r="C168" s="168">
        <f>VLOOKUP(B168,'Dados StatusInvest'!$A:$Z,26,0)</f>
        <v>26437656</v>
      </c>
      <c r="D168" s="169">
        <f>VLOOKUP(B168,'Dados StatusInvest'!$A:$Z,20,0)/100</f>
        <v>0.2011</v>
      </c>
      <c r="E168" s="93" t="str">
        <f t="shared" si="1"/>
        <v>#N/A</v>
      </c>
      <c r="F168" s="170">
        <f>IF(ISERROR(1/VLOOKUP(B168,Capa!A:AC,13,0)),0,1/VLOOKUP(B168,Capa!A:AC,13,0))</f>
        <v>0.07215007215</v>
      </c>
      <c r="G168" s="171">
        <f t="shared" si="2"/>
        <v>107.000107</v>
      </c>
      <c r="H168" s="172" t="str">
        <f t="shared" si="3"/>
        <v>#N/A</v>
      </c>
      <c r="M168" s="167" t="s">
        <v>176</v>
      </c>
      <c r="N168" s="168">
        <f>VLOOKUP(M168,'Dados StatusInvest'!$A:$Z,26,0)</f>
        <v>26437656</v>
      </c>
      <c r="O168" s="175">
        <f>VLOOKUP(M168,'Dados StatusInvest'!$A:$Z,18,0)/100</f>
        <v>0.3374</v>
      </c>
      <c r="P168" s="176" t="str">
        <f t="shared" si="5"/>
        <v>#N/A</v>
      </c>
      <c r="Q168" s="177">
        <f>IF(ISERROR(1/VLOOKUP(M168,Capa!A:AC,6,0)),0,1/VLOOKUP(M168,Capa!A:AC,6,0))</f>
        <v>0.05058168943</v>
      </c>
      <c r="R168" s="178">
        <f t="shared" si="6"/>
        <v>145.000145</v>
      </c>
      <c r="S168" s="179" t="str">
        <f t="shared" si="7"/>
        <v>#N/A</v>
      </c>
    </row>
    <row r="169">
      <c r="A169" s="180"/>
      <c r="B169" s="167" t="s">
        <v>286</v>
      </c>
      <c r="C169" s="168">
        <f>VLOOKUP(B169,'Dados StatusInvest'!$A:$Z,26,0)</f>
        <v>4270228.63</v>
      </c>
      <c r="D169" s="169">
        <f>VLOOKUP(B169,'Dados StatusInvest'!$A:$Z,20,0)/100</f>
        <v>0.1012</v>
      </c>
      <c r="E169" s="93" t="str">
        <f t="shared" si="1"/>
        <v>#N/A</v>
      </c>
      <c r="F169" s="170">
        <f>IF(ISERROR(1/VLOOKUP(B169,Capa!A:AC,13,0)),0,1/VLOOKUP(B169,Capa!A:AC,13,0))</f>
        <v>0.07385524372</v>
      </c>
      <c r="G169" s="171">
        <f t="shared" si="2"/>
        <v>102.000102</v>
      </c>
      <c r="H169" s="172" t="str">
        <f t="shared" si="3"/>
        <v>#N/A</v>
      </c>
      <c r="M169" s="167" t="s">
        <v>286</v>
      </c>
      <c r="N169" s="168">
        <f>VLOOKUP(M169,'Dados StatusInvest'!$A:$Z,26,0)</f>
        <v>4270228.63</v>
      </c>
      <c r="O169" s="175">
        <f>VLOOKUP(M169,'Dados StatusInvest'!$A:$Z,18,0)/100</f>
        <v>0.2214</v>
      </c>
      <c r="P169" s="176" t="str">
        <f t="shared" si="5"/>
        <v>#N/A</v>
      </c>
      <c r="Q169" s="177">
        <f>IF(ISERROR(1/VLOOKUP(M169,Capa!A:AC,6,0)),0,1/VLOOKUP(M169,Capa!A:AC,6,0))</f>
        <v>0.08474576271</v>
      </c>
      <c r="R169" s="178">
        <f t="shared" si="6"/>
        <v>81.000081</v>
      </c>
      <c r="S169" s="179" t="str">
        <f t="shared" si="7"/>
        <v>#N/A</v>
      </c>
    </row>
    <row r="170">
      <c r="A170" s="180"/>
      <c r="B170" s="167" t="s">
        <v>171</v>
      </c>
      <c r="C170" s="168">
        <f>VLOOKUP(B170,'Dados StatusInvest'!$A:$Z,26,0)</f>
        <v>41349862.63</v>
      </c>
      <c r="D170" s="169">
        <f>VLOOKUP(B170,'Dados StatusInvest'!$A:$Z,20,0)/100</f>
        <v>0.1763</v>
      </c>
      <c r="E170" s="93" t="str">
        <f t="shared" si="1"/>
        <v>#N/A</v>
      </c>
      <c r="F170" s="170">
        <f>IF(ISERROR(1/VLOOKUP(B170,Capa!A:AC,13,0)),0,1/VLOOKUP(B170,Capa!A:AC,13,0))</f>
        <v>0.04201680672</v>
      </c>
      <c r="G170" s="171">
        <f t="shared" si="2"/>
        <v>198.000198</v>
      </c>
      <c r="H170" s="172" t="str">
        <f t="shared" si="3"/>
        <v>#N/A</v>
      </c>
      <c r="M170" s="167" t="s">
        <v>171</v>
      </c>
      <c r="N170" s="168">
        <f>VLOOKUP(M170,'Dados StatusInvest'!$A:$Z,26,0)</f>
        <v>41349862.63</v>
      </c>
      <c r="O170" s="175">
        <f>VLOOKUP(M170,'Dados StatusInvest'!$A:$Z,18,0)/100</f>
        <v>0.1132</v>
      </c>
      <c r="P170" s="176" t="str">
        <f t="shared" si="5"/>
        <v>#N/A</v>
      </c>
      <c r="Q170" s="177">
        <f>IF(ISERROR(1/VLOOKUP(M170,Capa!A:AC,6,0)),0,1/VLOOKUP(M170,Capa!A:AC,6,0))</f>
        <v>0.01658374793</v>
      </c>
      <c r="R170" s="178">
        <f t="shared" si="6"/>
        <v>317.000317</v>
      </c>
      <c r="S170" s="179" t="str">
        <f t="shared" si="7"/>
        <v>#N/A</v>
      </c>
    </row>
    <row r="171">
      <c r="A171" s="180"/>
      <c r="B171" s="167" t="s">
        <v>274</v>
      </c>
      <c r="C171" s="168">
        <f>VLOOKUP(B171,'Dados StatusInvest'!$A:$Z,26,0)</f>
        <v>9785771.33</v>
      </c>
      <c r="D171" s="169">
        <f>VLOOKUP(B171,'Dados StatusInvest'!$A:$Z,20,0)/100</f>
        <v>0.1215</v>
      </c>
      <c r="E171" s="93" t="str">
        <f t="shared" si="1"/>
        <v>#N/A</v>
      </c>
      <c r="F171" s="170">
        <f>IF(ISERROR(1/VLOOKUP(B171,Capa!A:AC,13,0)),0,1/VLOOKUP(B171,Capa!A:AC,13,0))</f>
        <v>0.07380073801</v>
      </c>
      <c r="G171" s="171">
        <f t="shared" si="2"/>
        <v>103.000103</v>
      </c>
      <c r="H171" s="172" t="str">
        <f t="shared" si="3"/>
        <v>#N/A</v>
      </c>
      <c r="M171" s="167" t="s">
        <v>274</v>
      </c>
      <c r="N171" s="168">
        <f>VLOOKUP(M171,'Dados StatusInvest'!$A:$Z,26,0)</f>
        <v>9785771.33</v>
      </c>
      <c r="O171" s="175">
        <f>VLOOKUP(M171,'Dados StatusInvest'!$A:$Z,18,0)/100</f>
        <v>0.1656</v>
      </c>
      <c r="P171" s="176" t="str">
        <f t="shared" si="5"/>
        <v>#N/A</v>
      </c>
      <c r="Q171" s="177">
        <f>IF(ISERROR(1/VLOOKUP(M171,Capa!A:AC,6,0)),0,1/VLOOKUP(M171,Capa!A:AC,6,0))</f>
        <v>0.09025270758</v>
      </c>
      <c r="R171" s="178">
        <f t="shared" si="6"/>
        <v>74.000074</v>
      </c>
      <c r="S171" s="179" t="str">
        <f t="shared" si="7"/>
        <v>#N/A</v>
      </c>
    </row>
    <row r="172">
      <c r="A172" s="180"/>
      <c r="B172" s="167" t="s">
        <v>115</v>
      </c>
      <c r="C172" s="168">
        <f>VLOOKUP(B172,'Dados StatusInvest'!$A:$Z,26,0)</f>
        <v>114029355</v>
      </c>
      <c r="D172" s="169">
        <f>VLOOKUP(B172,'Dados StatusInvest'!$A:$Z,20,0)/100</f>
        <v>0.0681</v>
      </c>
      <c r="E172" s="93" t="str">
        <f t="shared" si="1"/>
        <v>#N/A</v>
      </c>
      <c r="F172" s="170">
        <f>IF(ISERROR(1/VLOOKUP(B172,Capa!A:AC,13,0)),0,1/VLOOKUP(B172,Capa!A:AC,13,0))</f>
        <v>0.06373486297</v>
      </c>
      <c r="G172" s="171">
        <f t="shared" si="2"/>
        <v>117.000117</v>
      </c>
      <c r="H172" s="172" t="str">
        <f t="shared" si="3"/>
        <v>#N/A</v>
      </c>
      <c r="M172" s="167" t="s">
        <v>115</v>
      </c>
      <c r="N172" s="168">
        <f>VLOOKUP(M172,'Dados StatusInvest'!$A:$Z,26,0)</f>
        <v>114029355</v>
      </c>
      <c r="O172" s="175">
        <f>VLOOKUP(M172,'Dados StatusInvest'!$A:$Z,18,0)/100</f>
        <v>0.0697</v>
      </c>
      <c r="P172" s="176" t="str">
        <f t="shared" si="5"/>
        <v>#N/A</v>
      </c>
      <c r="Q172" s="177">
        <f>IF(ISERROR(1/VLOOKUP(M172,Capa!A:AC,6,0)),0,1/VLOOKUP(M172,Capa!A:AC,6,0))</f>
        <v>0.02024701357</v>
      </c>
      <c r="R172" s="178">
        <f t="shared" si="6"/>
        <v>291.000291</v>
      </c>
      <c r="S172" s="179" t="str">
        <f t="shared" si="7"/>
        <v>#N/A</v>
      </c>
    </row>
    <row r="173">
      <c r="A173" s="180"/>
      <c r="B173" s="167" t="s">
        <v>210</v>
      </c>
      <c r="C173" s="168">
        <f>VLOOKUP(B173,'Dados StatusInvest'!$A:$Z,26,0)</f>
        <v>26467698.13</v>
      </c>
      <c r="D173" s="169">
        <f>VLOOKUP(B173,'Dados StatusInvest'!$A:$Z,20,0)/100</f>
        <v>0</v>
      </c>
      <c r="E173" s="93" t="str">
        <f t="shared" si="1"/>
        <v>#N/A</v>
      </c>
      <c r="F173" s="170">
        <f>IF(ISERROR(1/VLOOKUP(B173,Capa!A:AC,13,0)),0,1/VLOOKUP(B173,Capa!A:AC,13,0))</f>
        <v>-0.1285347044</v>
      </c>
      <c r="G173" s="171">
        <f t="shared" si="2"/>
        <v>428.000428</v>
      </c>
      <c r="H173" s="172" t="str">
        <f t="shared" si="3"/>
        <v>#N/A</v>
      </c>
      <c r="M173" s="167" t="s">
        <v>210</v>
      </c>
      <c r="N173" s="168">
        <f>VLOOKUP(M173,'Dados StatusInvest'!$A:$Z,26,0)</f>
        <v>26467698.13</v>
      </c>
      <c r="O173" s="175">
        <f>VLOOKUP(M173,'Dados StatusInvest'!$A:$Z,18,0)/100</f>
        <v>0.0031</v>
      </c>
      <c r="P173" s="176" t="str">
        <f t="shared" si="5"/>
        <v>#N/A</v>
      </c>
      <c r="Q173" s="177">
        <f>IF(ISERROR(1/VLOOKUP(M173,Capa!A:AC,6,0)),0,1/VLOOKUP(M173,Capa!A:AC,6,0))</f>
        <v>0.03436426117</v>
      </c>
      <c r="R173" s="178">
        <f t="shared" si="6"/>
        <v>204.000204</v>
      </c>
      <c r="S173" s="179" t="str">
        <f t="shared" si="7"/>
        <v>#N/A</v>
      </c>
    </row>
    <row r="174">
      <c r="A174" s="180"/>
      <c r="B174" s="167" t="s">
        <v>253</v>
      </c>
      <c r="C174" s="168">
        <f>VLOOKUP(B174,'Dados StatusInvest'!$A:$Z,26,0)</f>
        <v>10375612.92</v>
      </c>
      <c r="D174" s="169">
        <f>VLOOKUP(B174,'Dados StatusInvest'!$A:$Z,20,0)/100</f>
        <v>0.1117</v>
      </c>
      <c r="E174" s="93" t="str">
        <f t="shared" si="1"/>
        <v>#N/A</v>
      </c>
      <c r="F174" s="170">
        <f>IF(ISERROR(1/VLOOKUP(B174,Capa!A:AC,13,0)),0,1/VLOOKUP(B174,Capa!A:AC,13,0))</f>
        <v>0.09842519685</v>
      </c>
      <c r="G174" s="171">
        <f t="shared" si="2"/>
        <v>72.000072</v>
      </c>
      <c r="H174" s="172" t="str">
        <f t="shared" si="3"/>
        <v>#N/A</v>
      </c>
      <c r="M174" s="167" t="s">
        <v>253</v>
      </c>
      <c r="N174" s="168">
        <f>VLOOKUP(M174,'Dados StatusInvest'!$A:$Z,26,0)</f>
        <v>10375612.92</v>
      </c>
      <c r="O174" s="175">
        <f>VLOOKUP(M174,'Dados StatusInvest'!$A:$Z,18,0)/100</f>
        <v>0.1119</v>
      </c>
      <c r="P174" s="176" t="str">
        <f t="shared" si="5"/>
        <v>#N/A</v>
      </c>
      <c r="Q174" s="177">
        <f>IF(ISERROR(1/VLOOKUP(M174,Capa!A:AC,6,0)),0,1/VLOOKUP(M174,Capa!A:AC,6,0))</f>
        <v>0.01666666667</v>
      </c>
      <c r="R174" s="178">
        <f t="shared" si="6"/>
        <v>312.000312</v>
      </c>
      <c r="S174" s="179" t="str">
        <f t="shared" si="7"/>
        <v>#N/A</v>
      </c>
    </row>
    <row r="175">
      <c r="A175" s="180"/>
      <c r="B175" s="167" t="s">
        <v>266</v>
      </c>
      <c r="C175" s="168">
        <f>VLOOKUP(B175,'Dados StatusInvest'!$A:$Z,26,0)</f>
        <v>8391127.04</v>
      </c>
      <c r="D175" s="169">
        <f>VLOOKUP(B175,'Dados StatusInvest'!$A:$Z,20,0)/100</f>
        <v>0.1451</v>
      </c>
      <c r="E175" s="93" t="str">
        <f t="shared" si="1"/>
        <v>#N/A</v>
      </c>
      <c r="F175" s="170">
        <f>IF(ISERROR(1/VLOOKUP(B175,Capa!A:AC,13,0)),0,1/VLOOKUP(B175,Capa!A:AC,13,0))</f>
        <v>0.05753739931</v>
      </c>
      <c r="G175" s="171">
        <f t="shared" si="2"/>
        <v>132.000132</v>
      </c>
      <c r="H175" s="172" t="str">
        <f t="shared" si="3"/>
        <v>#N/A</v>
      </c>
      <c r="M175" s="167" t="s">
        <v>266</v>
      </c>
      <c r="N175" s="168">
        <f>VLOOKUP(M175,'Dados StatusInvest'!$A:$Z,26,0)</f>
        <v>8391127.04</v>
      </c>
      <c r="O175" s="175">
        <f>VLOOKUP(M175,'Dados StatusInvest'!$A:$Z,18,0)/100</f>
        <v>0.175</v>
      </c>
      <c r="P175" s="176" t="str">
        <f t="shared" si="5"/>
        <v>#N/A</v>
      </c>
      <c r="Q175" s="177">
        <f>IF(ISERROR(1/VLOOKUP(M175,Capa!A:AC,6,0)),0,1/VLOOKUP(M175,Capa!A:AC,6,0))</f>
        <v>0.03450655625</v>
      </c>
      <c r="R175" s="178">
        <f t="shared" si="6"/>
        <v>202.000202</v>
      </c>
      <c r="S175" s="179" t="str">
        <f t="shared" si="7"/>
        <v>#N/A</v>
      </c>
    </row>
    <row r="176">
      <c r="A176" s="180"/>
      <c r="B176" s="167" t="s">
        <v>173</v>
      </c>
      <c r="C176" s="168">
        <f>VLOOKUP(B176,'Dados StatusInvest'!$A:$Z,26,0)</f>
        <v>32066558.58</v>
      </c>
      <c r="D176" s="169">
        <f>VLOOKUP(B176,'Dados StatusInvest'!$A:$Z,20,0)/100</f>
        <v>0.6902</v>
      </c>
      <c r="E176" s="93" t="str">
        <f t="shared" si="1"/>
        <v>#N/A</v>
      </c>
      <c r="F176" s="170">
        <f>IF(ISERROR(1/VLOOKUP(B176,Capa!A:AC,13,0)),0,1/VLOOKUP(B176,Capa!A:AC,13,0))</f>
        <v>0.03317850033</v>
      </c>
      <c r="G176" s="171">
        <f t="shared" si="2"/>
        <v>234.000234</v>
      </c>
      <c r="H176" s="172" t="str">
        <f t="shared" si="3"/>
        <v>#N/A</v>
      </c>
      <c r="M176" s="167" t="s">
        <v>173</v>
      </c>
      <c r="N176" s="168">
        <f>VLOOKUP(M176,'Dados StatusInvest'!$A:$Z,26,0)</f>
        <v>32066558.58</v>
      </c>
      <c r="O176" s="175">
        <f>VLOOKUP(M176,'Dados StatusInvest'!$A:$Z,18,0)/100</f>
        <v>1.7796</v>
      </c>
      <c r="P176" s="176" t="str">
        <f t="shared" si="5"/>
        <v>#N/A</v>
      </c>
      <c r="Q176" s="177">
        <f>IF(ISERROR(1/VLOOKUP(M176,Capa!A:AC,6,0)),0,1/VLOOKUP(M176,Capa!A:AC,6,0))</f>
        <v>0.03361344538</v>
      </c>
      <c r="R176" s="178">
        <f t="shared" si="6"/>
        <v>211.000211</v>
      </c>
      <c r="S176" s="179" t="str">
        <f t="shared" si="7"/>
        <v>#N/A</v>
      </c>
    </row>
    <row r="177">
      <c r="A177" s="180"/>
      <c r="B177" s="167" t="s">
        <v>315</v>
      </c>
      <c r="C177" s="168">
        <f>VLOOKUP(B177,'Dados StatusInvest'!$A:$Z,26,0)</f>
        <v>2601895.29</v>
      </c>
      <c r="D177" s="169">
        <f>VLOOKUP(B177,'Dados StatusInvest'!$A:$Z,20,0)/100</f>
        <v>0.1623</v>
      </c>
      <c r="E177" s="93" t="str">
        <f t="shared" si="1"/>
        <v>#N/A</v>
      </c>
      <c r="F177" s="170">
        <f>IF(ISERROR(1/VLOOKUP(B177,Capa!A:AC,13,0)),0,1/VLOOKUP(B177,Capa!A:AC,13,0))</f>
        <v>0.005978715772</v>
      </c>
      <c r="G177" s="171">
        <f t="shared" si="2"/>
        <v>310.00031</v>
      </c>
      <c r="H177" s="172" t="str">
        <f t="shared" si="3"/>
        <v>#N/A</v>
      </c>
      <c r="M177" s="167" t="s">
        <v>315</v>
      </c>
      <c r="N177" s="168">
        <f>VLOOKUP(M177,'Dados StatusInvest'!$A:$Z,26,0)</f>
        <v>2601895.29</v>
      </c>
      <c r="O177" s="175">
        <f>VLOOKUP(M177,'Dados StatusInvest'!$A:$Z,18,0)/100</f>
        <v>0.1827</v>
      </c>
      <c r="P177" s="176" t="str">
        <f t="shared" si="5"/>
        <v>#N/A</v>
      </c>
      <c r="Q177" s="177">
        <f>IF(ISERROR(1/VLOOKUP(M177,Capa!A:AC,6,0)),0,1/VLOOKUP(M177,Capa!A:AC,6,0))</f>
        <v>0.07830853563</v>
      </c>
      <c r="R177" s="178">
        <f t="shared" si="6"/>
        <v>90.00009</v>
      </c>
      <c r="S177" s="179" t="str">
        <f t="shared" si="7"/>
        <v>#N/A</v>
      </c>
    </row>
    <row r="178">
      <c r="A178" s="180"/>
      <c r="B178" s="167" t="s">
        <v>280</v>
      </c>
      <c r="C178" s="168">
        <f>VLOOKUP(B178,'Dados StatusInvest'!$A:$Z,26,0)</f>
        <v>7698505.38</v>
      </c>
      <c r="D178" s="169">
        <f>VLOOKUP(B178,'Dados StatusInvest'!$A:$Z,20,0)/100</f>
        <v>-0.0834</v>
      </c>
      <c r="E178" s="93" t="str">
        <f t="shared" si="1"/>
        <v>#N/A</v>
      </c>
      <c r="F178" s="170">
        <f>IF(ISERROR(1/VLOOKUP(B178,Capa!A:AC,13,0)),0,1/VLOOKUP(B178,Capa!A:AC,13,0))</f>
        <v>-0.2551020408</v>
      </c>
      <c r="G178" s="171">
        <f t="shared" si="2"/>
        <v>436.000436</v>
      </c>
      <c r="H178" s="172" t="str">
        <f t="shared" si="3"/>
        <v>#N/A</v>
      </c>
      <c r="M178" s="167" t="s">
        <v>280</v>
      </c>
      <c r="N178" s="168">
        <f>VLOOKUP(M178,'Dados StatusInvest'!$A:$Z,26,0)</f>
        <v>7698505.38</v>
      </c>
      <c r="O178" s="175">
        <f>VLOOKUP(M178,'Dados StatusInvest'!$A:$Z,18,0)/100</f>
        <v>-0.5578</v>
      </c>
      <c r="P178" s="176" t="str">
        <f t="shared" si="5"/>
        <v>#N/A</v>
      </c>
      <c r="Q178" s="177">
        <f>IF(ISERROR(1/VLOOKUP(M178,Capa!A:AC,6,0)),0,1/VLOOKUP(M178,Capa!A:AC,6,0))</f>
        <v>0.04098360656</v>
      </c>
      <c r="R178" s="178">
        <f t="shared" si="6"/>
        <v>168.000168</v>
      </c>
      <c r="S178" s="179" t="str">
        <f t="shared" si="7"/>
        <v>#N/A</v>
      </c>
    </row>
    <row r="179">
      <c r="A179" s="180"/>
      <c r="B179" s="167" t="s">
        <v>237</v>
      </c>
      <c r="C179" s="168">
        <f>VLOOKUP(B179,'Dados StatusInvest'!$A:$Z,26,0)</f>
        <v>10374740.88</v>
      </c>
      <c r="D179" s="169">
        <f>VLOOKUP(B179,'Dados StatusInvest'!$A:$Z,20,0)/100</f>
        <v>0.11</v>
      </c>
      <c r="E179" s="93" t="str">
        <f t="shared" si="1"/>
        <v>#N/A</v>
      </c>
      <c r="F179" s="170">
        <f>IF(ISERROR(1/VLOOKUP(B179,Capa!A:AC,13,0)),0,1/VLOOKUP(B179,Capa!A:AC,13,0))</f>
        <v>0.0683994528</v>
      </c>
      <c r="G179" s="171">
        <f t="shared" si="2"/>
        <v>112.000112</v>
      </c>
      <c r="H179" s="172" t="str">
        <f t="shared" si="3"/>
        <v>#N/A</v>
      </c>
      <c r="M179" s="167" t="s">
        <v>237</v>
      </c>
      <c r="N179" s="168">
        <f>VLOOKUP(M179,'Dados StatusInvest'!$A:$Z,26,0)</f>
        <v>10374740.88</v>
      </c>
      <c r="O179" s="175">
        <f>VLOOKUP(M179,'Dados StatusInvest'!$A:$Z,18,0)/100</f>
        <v>0.2182</v>
      </c>
      <c r="P179" s="176" t="str">
        <f t="shared" si="5"/>
        <v>#N/A</v>
      </c>
      <c r="Q179" s="177">
        <f>IF(ISERROR(1/VLOOKUP(M179,Capa!A:AC,6,0)),0,1/VLOOKUP(M179,Capa!A:AC,6,0))</f>
        <v>0.02580645161</v>
      </c>
      <c r="R179" s="178">
        <f t="shared" si="6"/>
        <v>252.000252</v>
      </c>
      <c r="S179" s="179" t="str">
        <f t="shared" si="7"/>
        <v>#N/A</v>
      </c>
    </row>
    <row r="180">
      <c r="A180" s="180"/>
      <c r="B180" s="167" t="s">
        <v>318</v>
      </c>
      <c r="C180" s="168">
        <f>VLOOKUP(B180,'Dados StatusInvest'!$A:$Z,26,0)</f>
        <v>1228634.5</v>
      </c>
      <c r="D180" s="169">
        <f>VLOOKUP(B180,'Dados StatusInvest'!$A:$Z,20,0)/100</f>
        <v>-0.1596</v>
      </c>
      <c r="E180" s="93" t="str">
        <f t="shared" si="1"/>
        <v>#N/A</v>
      </c>
      <c r="F180" s="170">
        <f>IF(ISERROR(1/VLOOKUP(B180,Capa!A:AC,13,0)),0,1/VLOOKUP(B180,Capa!A:AC,13,0))</f>
        <v>-0.02678093198</v>
      </c>
      <c r="G180" s="171">
        <f t="shared" si="2"/>
        <v>415.000415</v>
      </c>
      <c r="H180" s="172" t="str">
        <f t="shared" si="3"/>
        <v>#N/A</v>
      </c>
      <c r="M180" s="167" t="s">
        <v>318</v>
      </c>
      <c r="N180" s="168">
        <f>VLOOKUP(M180,'Dados StatusInvest'!$A:$Z,26,0)</f>
        <v>1228634.5</v>
      </c>
      <c r="O180" s="175">
        <f>VLOOKUP(M180,'Dados StatusInvest'!$A:$Z,18,0)/100</f>
        <v>-0.5469</v>
      </c>
      <c r="P180" s="176" t="str">
        <f t="shared" si="5"/>
        <v>#N/A</v>
      </c>
      <c r="Q180" s="177">
        <f>IF(ISERROR(1/VLOOKUP(M180,Capa!A:AC,6,0)),0,1/VLOOKUP(M180,Capa!A:AC,6,0))</f>
        <v>0.2673796791</v>
      </c>
      <c r="R180" s="178">
        <f t="shared" si="6"/>
        <v>10.00001</v>
      </c>
      <c r="S180" s="179" t="str">
        <f t="shared" si="7"/>
        <v>#N/A</v>
      </c>
    </row>
    <row r="181">
      <c r="A181" s="180"/>
      <c r="B181" s="167" t="s">
        <v>321</v>
      </c>
      <c r="C181" s="168">
        <f>VLOOKUP(B181,'Dados StatusInvest'!$A:$Z,26,0)</f>
        <v>1120493.58</v>
      </c>
      <c r="D181" s="169">
        <f>VLOOKUP(B181,'Dados StatusInvest'!$A:$Z,20,0)/100</f>
        <v>0.0507</v>
      </c>
      <c r="E181" s="93" t="str">
        <f t="shared" si="1"/>
        <v>#N/A</v>
      </c>
      <c r="F181" s="170">
        <f>IF(ISERROR(1/VLOOKUP(B181,Capa!A:AC,13,0)),0,1/VLOOKUP(B181,Capa!A:AC,13,0))</f>
        <v>0.4132231405</v>
      </c>
      <c r="G181" s="171">
        <f t="shared" si="2"/>
        <v>10.00001</v>
      </c>
      <c r="H181" s="172" t="str">
        <f t="shared" si="3"/>
        <v>#N/A</v>
      </c>
      <c r="M181" s="167" t="s">
        <v>321</v>
      </c>
      <c r="N181" s="168">
        <f>VLOOKUP(M181,'Dados StatusInvest'!$A:$Z,26,0)</f>
        <v>1120493.58</v>
      </c>
      <c r="O181" s="175">
        <f>VLOOKUP(M181,'Dados StatusInvest'!$A:$Z,18,0)/100</f>
        <v>0.0905</v>
      </c>
      <c r="P181" s="176" t="str">
        <f t="shared" si="5"/>
        <v>#N/A</v>
      </c>
      <c r="Q181" s="177">
        <f>IF(ISERROR(1/VLOOKUP(M181,Capa!A:AC,6,0)),0,1/VLOOKUP(M181,Capa!A:AC,6,0))</f>
        <v>0.1379310345</v>
      </c>
      <c r="R181" s="178">
        <f t="shared" si="6"/>
        <v>36.000036</v>
      </c>
      <c r="S181" s="179" t="str">
        <f t="shared" si="7"/>
        <v>#N/A</v>
      </c>
    </row>
    <row r="182">
      <c r="A182" s="180"/>
      <c r="B182" s="167" t="s">
        <v>294</v>
      </c>
      <c r="C182" s="168">
        <f>VLOOKUP(B182,'Dados StatusInvest'!$A:$Z,26,0)</f>
        <v>2989293.17</v>
      </c>
      <c r="D182" s="169">
        <f>VLOOKUP(B182,'Dados StatusInvest'!$A:$Z,20,0)/100</f>
        <v>-0.0429</v>
      </c>
      <c r="E182" s="93" t="str">
        <f t="shared" si="1"/>
        <v>#N/A</v>
      </c>
      <c r="F182" s="170">
        <f>IF(ISERROR(1/VLOOKUP(B182,Capa!A:AC,13,0)),0,1/VLOOKUP(B182,Capa!A:AC,13,0))</f>
        <v>0.2336448598</v>
      </c>
      <c r="G182" s="171">
        <f t="shared" si="2"/>
        <v>20.00002</v>
      </c>
      <c r="H182" s="172" t="str">
        <f t="shared" si="3"/>
        <v>#N/A</v>
      </c>
      <c r="M182" s="167" t="s">
        <v>294</v>
      </c>
      <c r="N182" s="168">
        <f>VLOOKUP(M182,'Dados StatusInvest'!$A:$Z,26,0)</f>
        <v>2989293.17</v>
      </c>
      <c r="O182" s="175">
        <f>VLOOKUP(M182,'Dados StatusInvest'!$A:$Z,18,0)/100</f>
        <v>-0.0159</v>
      </c>
      <c r="P182" s="176" t="str">
        <f t="shared" si="5"/>
        <v>#N/A</v>
      </c>
      <c r="Q182" s="177">
        <f>IF(ISERROR(1/VLOOKUP(M182,Capa!A:AC,6,0)),0,1/VLOOKUP(M182,Capa!A:AC,6,0))</f>
        <v>0.3745318352</v>
      </c>
      <c r="R182" s="178">
        <f t="shared" si="6"/>
        <v>5.000005</v>
      </c>
      <c r="S182" s="179" t="str">
        <f t="shared" si="7"/>
        <v>#N/A</v>
      </c>
    </row>
    <row r="183">
      <c r="A183" s="180"/>
      <c r="B183" s="167" t="s">
        <v>317</v>
      </c>
      <c r="C183" s="168">
        <f>VLOOKUP(B183,'Dados StatusInvest'!$A:$Z,26,0)</f>
        <v>1640306.13</v>
      </c>
      <c r="D183" s="169">
        <f>VLOOKUP(B183,'Dados StatusInvest'!$A:$Z,20,0)/100</f>
        <v>0.0771</v>
      </c>
      <c r="E183" s="93" t="str">
        <f t="shared" si="1"/>
        <v>#N/A</v>
      </c>
      <c r="F183" s="170">
        <f>IF(ISERROR(1/VLOOKUP(B183,Capa!A:AC,13,0)),0,1/VLOOKUP(B183,Capa!A:AC,13,0))</f>
        <v>0.03968253968</v>
      </c>
      <c r="G183" s="171">
        <f t="shared" si="2"/>
        <v>207.000207</v>
      </c>
      <c r="H183" s="172" t="str">
        <f t="shared" si="3"/>
        <v>#N/A</v>
      </c>
      <c r="M183" s="167" t="s">
        <v>317</v>
      </c>
      <c r="N183" s="168">
        <f>VLOOKUP(M183,'Dados StatusInvest'!$A:$Z,26,0)</f>
        <v>1640306.13</v>
      </c>
      <c r="O183" s="175">
        <f>VLOOKUP(M183,'Dados StatusInvest'!$A:$Z,18,0)/100</f>
        <v>0.1217</v>
      </c>
      <c r="P183" s="176" t="str">
        <f t="shared" si="5"/>
        <v>#N/A</v>
      </c>
      <c r="Q183" s="177">
        <f>IF(ISERROR(1/VLOOKUP(M183,Capa!A:AC,6,0)),0,1/VLOOKUP(M183,Capa!A:AC,6,0))</f>
        <v>0.01428571429</v>
      </c>
      <c r="R183" s="178">
        <f t="shared" si="6"/>
        <v>333.000333</v>
      </c>
      <c r="S183" s="179" t="str">
        <f t="shared" si="7"/>
        <v>#N/A</v>
      </c>
    </row>
    <row r="184">
      <c r="A184" s="180"/>
      <c r="B184" s="167" t="s">
        <v>163</v>
      </c>
      <c r="C184" s="168">
        <f>VLOOKUP(B184,'Dados StatusInvest'!$A:$Z,26,0)</f>
        <v>28084200.33</v>
      </c>
      <c r="D184" s="169">
        <f>VLOOKUP(B184,'Dados StatusInvest'!$A:$Z,20,0)/100</f>
        <v>0.5536</v>
      </c>
      <c r="E184" s="93" t="str">
        <f t="shared" si="1"/>
        <v>#N/A</v>
      </c>
      <c r="F184" s="170">
        <f>IF(ISERROR(1/VLOOKUP(B184,Capa!A:AC,13,0)),0,1/VLOOKUP(B184,Capa!A:AC,13,0))</f>
        <v>0.02924831822</v>
      </c>
      <c r="G184" s="171">
        <f t="shared" si="2"/>
        <v>251.000251</v>
      </c>
      <c r="H184" s="172" t="str">
        <f t="shared" si="3"/>
        <v>#N/A</v>
      </c>
      <c r="M184" s="167" t="s">
        <v>163</v>
      </c>
      <c r="N184" s="168">
        <f>VLOOKUP(M184,'Dados StatusInvest'!$A:$Z,26,0)</f>
        <v>28084200.33</v>
      </c>
      <c r="O184" s="175">
        <f>VLOOKUP(M184,'Dados StatusInvest'!$A:$Z,18,0)/100</f>
        <v>0.6299</v>
      </c>
      <c r="P184" s="176" t="str">
        <f t="shared" si="5"/>
        <v>#N/A</v>
      </c>
      <c r="Q184" s="177">
        <f>IF(ISERROR(1/VLOOKUP(M184,Capa!A:AC,6,0)),0,1/VLOOKUP(M184,Capa!A:AC,6,0))</f>
        <v>0.02880184332</v>
      </c>
      <c r="R184" s="178">
        <f t="shared" si="6"/>
        <v>240.00024</v>
      </c>
      <c r="S184" s="179" t="str">
        <f t="shared" si="7"/>
        <v>#N/A</v>
      </c>
    </row>
    <row r="185">
      <c r="A185" s="180"/>
      <c r="B185" s="167" t="s">
        <v>660</v>
      </c>
      <c r="C185" s="168">
        <f>VLOOKUP(B185,'Dados StatusInvest'!$A:$Z,26,0)</f>
        <v>1764454.32</v>
      </c>
      <c r="D185" s="169">
        <f>VLOOKUP(B185,'Dados StatusInvest'!$A:$Z,20,0)/100</f>
        <v>0.1631</v>
      </c>
      <c r="E185" s="93" t="str">
        <f t="shared" si="1"/>
        <v>#N/A</v>
      </c>
      <c r="F185" s="170">
        <f>IF(ISERROR(1/VLOOKUP(B185,Capa!A:AC,13,0)),0,1/VLOOKUP(B185,Capa!A:AC,13,0))</f>
        <v>0</v>
      </c>
      <c r="G185" s="171">
        <f t="shared" si="2"/>
        <v>329.000329</v>
      </c>
      <c r="H185" s="172" t="str">
        <f t="shared" si="3"/>
        <v>#N/A</v>
      </c>
      <c r="M185" s="167" t="s">
        <v>660</v>
      </c>
      <c r="N185" s="168">
        <f>VLOOKUP(M185,'Dados StatusInvest'!$A:$Z,26,0)</f>
        <v>1764454.32</v>
      </c>
      <c r="O185" s="175">
        <f>VLOOKUP(M185,'Dados StatusInvest'!$A:$Z,18,0)/100</f>
        <v>0.4294</v>
      </c>
      <c r="P185" s="176" t="str">
        <f t="shared" si="5"/>
        <v>#N/A</v>
      </c>
      <c r="Q185" s="177">
        <f>IF(ISERROR(1/VLOOKUP(M185,Capa!A:AC,6,0)),0,1/VLOOKUP(M185,Capa!A:AC,6,0))</f>
        <v>0</v>
      </c>
      <c r="R185" s="178">
        <f t="shared" si="6"/>
        <v>399.000399</v>
      </c>
      <c r="S185" s="179" t="str">
        <f t="shared" si="7"/>
        <v>#N/A</v>
      </c>
    </row>
    <row r="186">
      <c r="A186" s="180"/>
      <c r="B186" s="167" t="s">
        <v>324</v>
      </c>
      <c r="C186" s="168">
        <f>VLOOKUP(B186,'Dados StatusInvest'!$A:$Z,26,0)</f>
        <v>1238695.75</v>
      </c>
      <c r="D186" s="169">
        <f>VLOOKUP(B186,'Dados StatusInvest'!$A:$Z,20,0)/100</f>
        <v>0.0586</v>
      </c>
      <c r="E186" s="93" t="str">
        <f t="shared" si="1"/>
        <v>#N/A</v>
      </c>
      <c r="F186" s="170">
        <f>IF(ISERROR(1/VLOOKUP(B186,Capa!A:AC,13,0)),0,1/VLOOKUP(B186,Capa!A:AC,13,0))</f>
        <v>0.117370892</v>
      </c>
      <c r="G186" s="171">
        <f t="shared" si="2"/>
        <v>62.000062</v>
      </c>
      <c r="H186" s="172" t="str">
        <f t="shared" si="3"/>
        <v>#N/A</v>
      </c>
      <c r="M186" s="167" t="s">
        <v>324</v>
      </c>
      <c r="N186" s="168">
        <f>VLOOKUP(M186,'Dados StatusInvest'!$A:$Z,26,0)</f>
        <v>1238695.75</v>
      </c>
      <c r="O186" s="175">
        <f>VLOOKUP(M186,'Dados StatusInvest'!$A:$Z,18,0)/100</f>
        <v>0.127</v>
      </c>
      <c r="P186" s="176" t="str">
        <f t="shared" si="5"/>
        <v>#N/A</v>
      </c>
      <c r="Q186" s="177">
        <f>IF(ISERROR(1/VLOOKUP(M186,Capa!A:AC,6,0)),0,1/VLOOKUP(M186,Capa!A:AC,6,0))</f>
        <v>0.01587805653</v>
      </c>
      <c r="R186" s="178">
        <f t="shared" si="6"/>
        <v>321.000321</v>
      </c>
      <c r="S186" s="179" t="str">
        <f t="shared" si="7"/>
        <v>#N/A</v>
      </c>
    </row>
    <row r="187">
      <c r="A187" s="180"/>
      <c r="B187" s="167" t="s">
        <v>297</v>
      </c>
      <c r="C187" s="168">
        <f>VLOOKUP(B187,'Dados StatusInvest'!$A:$Z,26,0)</f>
        <v>5481450.79</v>
      </c>
      <c r="D187" s="169">
        <f>VLOOKUP(B187,'Dados StatusInvest'!$A:$Z,20,0)/100</f>
        <v>0.153</v>
      </c>
      <c r="E187" s="93" t="str">
        <f t="shared" si="1"/>
        <v>#N/A</v>
      </c>
      <c r="F187" s="170">
        <f>IF(ISERROR(1/VLOOKUP(B187,Capa!A:AC,13,0)),0,1/VLOOKUP(B187,Capa!A:AC,13,0))</f>
        <v>0.012667849</v>
      </c>
      <c r="G187" s="171">
        <f t="shared" si="2"/>
        <v>296.000296</v>
      </c>
      <c r="H187" s="172" t="str">
        <f t="shared" si="3"/>
        <v>#N/A</v>
      </c>
      <c r="M187" s="167" t="s">
        <v>297</v>
      </c>
      <c r="N187" s="168">
        <f>VLOOKUP(M187,'Dados StatusInvest'!$A:$Z,26,0)</f>
        <v>5481450.79</v>
      </c>
      <c r="O187" s="175">
        <f>VLOOKUP(M187,'Dados StatusInvest'!$A:$Z,18,0)/100</f>
        <v>0.1344</v>
      </c>
      <c r="P187" s="176" t="str">
        <f t="shared" si="5"/>
        <v>#N/A</v>
      </c>
      <c r="Q187" s="177">
        <f>IF(ISERROR(1/VLOOKUP(M187,Capa!A:AC,6,0)),0,1/VLOOKUP(M187,Capa!A:AC,6,0))</f>
        <v>0.1388888889</v>
      </c>
      <c r="R187" s="178">
        <f t="shared" si="6"/>
        <v>35.000035</v>
      </c>
      <c r="S187" s="179" t="str">
        <f t="shared" si="7"/>
        <v>#N/A</v>
      </c>
    </row>
    <row r="188">
      <c r="A188" s="180"/>
      <c r="B188" s="167" t="s">
        <v>218</v>
      </c>
      <c r="C188" s="168">
        <f>VLOOKUP(B188,'Dados StatusInvest'!$A:$Z,26,0)</f>
        <v>23031667.46</v>
      </c>
      <c r="D188" s="169">
        <f>VLOOKUP(B188,'Dados StatusInvest'!$A:$Z,20,0)/100</f>
        <v>0.123</v>
      </c>
      <c r="E188" s="93" t="str">
        <f t="shared" si="1"/>
        <v>#N/A</v>
      </c>
      <c r="F188" s="170">
        <f>IF(ISERROR(1/VLOOKUP(B188,Capa!A:AC,13,0)),0,1/VLOOKUP(B188,Capa!A:AC,13,0))</f>
        <v>0.03096934035</v>
      </c>
      <c r="G188" s="171">
        <f t="shared" si="2"/>
        <v>246.000246</v>
      </c>
      <c r="H188" s="172" t="str">
        <f t="shared" si="3"/>
        <v>#N/A</v>
      </c>
      <c r="M188" s="167" t="s">
        <v>218</v>
      </c>
      <c r="N188" s="168">
        <f>VLOOKUP(M188,'Dados StatusInvest'!$A:$Z,26,0)</f>
        <v>23031667.46</v>
      </c>
      <c r="O188" s="175">
        <f>VLOOKUP(M188,'Dados StatusInvest'!$A:$Z,18,0)/100</f>
        <v>0.1455</v>
      </c>
      <c r="P188" s="176" t="str">
        <f t="shared" si="5"/>
        <v>#N/A</v>
      </c>
      <c r="Q188" s="177">
        <f>IF(ISERROR(1/VLOOKUP(M188,Capa!A:AC,6,0)),0,1/VLOOKUP(M188,Capa!A:AC,6,0))</f>
        <v>0.0274122807</v>
      </c>
      <c r="R188" s="178">
        <f t="shared" si="6"/>
        <v>245.000245</v>
      </c>
      <c r="S188" s="179" t="str">
        <f t="shared" si="7"/>
        <v>#N/A</v>
      </c>
    </row>
    <row r="189">
      <c r="A189" s="180"/>
      <c r="B189" s="167" t="s">
        <v>333</v>
      </c>
      <c r="C189" s="168">
        <f>VLOOKUP(B189,'Dados StatusInvest'!$A:$Z,26,0)</f>
        <v>959146.75</v>
      </c>
      <c r="D189" s="169">
        <f>VLOOKUP(B189,'Dados StatusInvest'!$A:$Z,20,0)/100</f>
        <v>-4.1929</v>
      </c>
      <c r="E189" s="93" t="str">
        <f t="shared" si="1"/>
        <v>#N/A</v>
      </c>
      <c r="F189" s="170">
        <f>IF(ISERROR(1/VLOOKUP(B189,Capa!A:AC,13,0)),0,1/VLOOKUP(B189,Capa!A:AC,13,0))</f>
        <v>-0.0036138918</v>
      </c>
      <c r="G189" s="171">
        <f t="shared" si="2"/>
        <v>392.000392</v>
      </c>
      <c r="H189" s="172" t="str">
        <f t="shared" si="3"/>
        <v>#N/A</v>
      </c>
      <c r="M189" s="167" t="s">
        <v>333</v>
      </c>
      <c r="N189" s="168">
        <f>VLOOKUP(M189,'Dados StatusInvest'!$A:$Z,26,0)</f>
        <v>959146.75</v>
      </c>
      <c r="O189" s="175">
        <f>VLOOKUP(M189,'Dados StatusInvest'!$A:$Z,18,0)/100</f>
        <v>-0.417</v>
      </c>
      <c r="P189" s="176" t="str">
        <f t="shared" si="5"/>
        <v>#N/A</v>
      </c>
      <c r="Q189" s="177">
        <f>IF(ISERROR(1/VLOOKUP(M189,Capa!A:AC,6,0)),0,1/VLOOKUP(M189,Capa!A:AC,6,0))</f>
        <v>0.06631299735</v>
      </c>
      <c r="R189" s="178">
        <f t="shared" si="6"/>
        <v>113.000113</v>
      </c>
      <c r="S189" s="179" t="str">
        <f t="shared" si="7"/>
        <v>#N/A</v>
      </c>
    </row>
    <row r="190">
      <c r="A190" s="180"/>
      <c r="B190" s="167" t="s">
        <v>657</v>
      </c>
      <c r="C190" s="168">
        <f>VLOOKUP(B190,'Dados StatusInvest'!$A:$Z,26,0)</f>
        <v>1340759.4</v>
      </c>
      <c r="D190" s="169">
        <f>VLOOKUP(B190,'Dados StatusInvest'!$A:$Z,20,0)/100</f>
        <v>0.0393</v>
      </c>
      <c r="E190" s="93" t="str">
        <f t="shared" si="1"/>
        <v>#N/A</v>
      </c>
      <c r="F190" s="170">
        <f>IF(ISERROR(1/VLOOKUP(B190,Capa!A:AC,13,0)),0,1/VLOOKUP(B190,Capa!A:AC,13,0))</f>
        <v>0</v>
      </c>
      <c r="G190" s="171">
        <f t="shared" si="2"/>
        <v>329.000329</v>
      </c>
      <c r="H190" s="172" t="str">
        <f t="shared" si="3"/>
        <v>#N/A</v>
      </c>
      <c r="M190" s="167" t="s">
        <v>657</v>
      </c>
      <c r="N190" s="168">
        <f>VLOOKUP(M190,'Dados StatusInvest'!$A:$Z,26,0)</f>
        <v>1340759.4</v>
      </c>
      <c r="O190" s="175">
        <f>VLOOKUP(M190,'Dados StatusInvest'!$A:$Z,18,0)/100</f>
        <v>-0.1218</v>
      </c>
      <c r="P190" s="176" t="str">
        <f t="shared" si="5"/>
        <v>#N/A</v>
      </c>
      <c r="Q190" s="177">
        <f>IF(ISERROR(1/VLOOKUP(M190,Capa!A:AC,6,0)),0,1/VLOOKUP(M190,Capa!A:AC,6,0))</f>
        <v>0</v>
      </c>
      <c r="R190" s="178">
        <f t="shared" si="6"/>
        <v>399.000399</v>
      </c>
      <c r="S190" s="179" t="str">
        <f t="shared" si="7"/>
        <v>#N/A</v>
      </c>
    </row>
    <row r="191">
      <c r="A191" s="180"/>
      <c r="B191" s="167" t="s">
        <v>617</v>
      </c>
      <c r="C191" s="168">
        <f>VLOOKUP(B191,'Dados StatusInvest'!$A:$Z,26,0)</f>
        <v>0</v>
      </c>
      <c r="D191" s="169">
        <f>VLOOKUP(B191,'Dados StatusInvest'!$A:$Z,20,0)/100</f>
        <v>-0.001</v>
      </c>
      <c r="E191" s="93" t="str">
        <f t="shared" si="1"/>
        <v>#N/A</v>
      </c>
      <c r="F191" s="170">
        <f>IF(ISERROR(1/VLOOKUP(B191,Capa!A:AC,13,0)),0,1/VLOOKUP(B191,Capa!A:AC,13,0))</f>
        <v>0</v>
      </c>
      <c r="G191" s="171">
        <f t="shared" si="2"/>
        <v>329.000329</v>
      </c>
      <c r="H191" s="172" t="str">
        <f t="shared" si="3"/>
        <v>#N/A</v>
      </c>
      <c r="M191" s="167" t="s">
        <v>617</v>
      </c>
      <c r="N191" s="168">
        <f>VLOOKUP(M191,'Dados StatusInvest'!$A:$Z,26,0)</f>
        <v>0</v>
      </c>
      <c r="O191" s="175">
        <f>VLOOKUP(M191,'Dados StatusInvest'!$A:$Z,18,0)/100</f>
        <v>-0.0883</v>
      </c>
      <c r="P191" s="176" t="str">
        <f t="shared" si="5"/>
        <v>#N/A</v>
      </c>
      <c r="Q191" s="177">
        <f>IF(ISERROR(1/VLOOKUP(M191,Capa!A:AC,6,0)),0,1/VLOOKUP(M191,Capa!A:AC,6,0))</f>
        <v>0</v>
      </c>
      <c r="R191" s="178">
        <f t="shared" si="6"/>
        <v>399.000399</v>
      </c>
      <c r="S191" s="179" t="str">
        <f t="shared" si="7"/>
        <v>#N/A</v>
      </c>
    </row>
    <row r="192">
      <c r="A192" s="180"/>
      <c r="B192" s="167" t="s">
        <v>313</v>
      </c>
      <c r="C192" s="168">
        <f>VLOOKUP(B192,'Dados StatusInvest'!$A:$Z,26,0)</f>
        <v>1403751.13</v>
      </c>
      <c r="D192" s="169">
        <f>VLOOKUP(B192,'Dados StatusInvest'!$A:$Z,20,0)/100</f>
        <v>-0.2812</v>
      </c>
      <c r="E192" s="93" t="str">
        <f t="shared" si="1"/>
        <v>#N/A</v>
      </c>
      <c r="F192" s="170">
        <f>IF(ISERROR(1/VLOOKUP(B192,Capa!A:AC,13,0)),0,1/VLOOKUP(B192,Capa!A:AC,13,0))</f>
        <v>-0.01481920569</v>
      </c>
      <c r="G192" s="171">
        <f t="shared" si="2"/>
        <v>406.000406</v>
      </c>
      <c r="H192" s="172" t="str">
        <f t="shared" si="3"/>
        <v>#N/A</v>
      </c>
      <c r="M192" s="167" t="s">
        <v>313</v>
      </c>
      <c r="N192" s="168">
        <f>VLOOKUP(M192,'Dados StatusInvest'!$A:$Z,26,0)</f>
        <v>1403751.13</v>
      </c>
      <c r="O192" s="175">
        <f>VLOOKUP(M192,'Dados StatusInvest'!$A:$Z,18,0)/100</f>
        <v>-10.4639</v>
      </c>
      <c r="P192" s="176" t="str">
        <f t="shared" si="5"/>
        <v>#N/A</v>
      </c>
      <c r="Q192" s="177">
        <f>IF(ISERROR(1/VLOOKUP(M192,Capa!A:AC,6,0)),0,1/VLOOKUP(M192,Capa!A:AC,6,0))</f>
        <v>0.1821493625</v>
      </c>
      <c r="R192" s="178">
        <f t="shared" si="6"/>
        <v>22.000022</v>
      </c>
      <c r="S192" s="179" t="str">
        <f t="shared" si="7"/>
        <v>#N/A</v>
      </c>
    </row>
    <row r="193">
      <c r="A193" s="180"/>
      <c r="B193" s="167" t="s">
        <v>228</v>
      </c>
      <c r="C193" s="168">
        <f>VLOOKUP(B193,'Dados StatusInvest'!$A:$Z,26,0)</f>
        <v>14371874.46</v>
      </c>
      <c r="D193" s="169">
        <f>VLOOKUP(B193,'Dados StatusInvest'!$A:$Z,20,0)/100</f>
        <v>0.0584</v>
      </c>
      <c r="E193" s="93" t="str">
        <f t="shared" si="1"/>
        <v>#N/A</v>
      </c>
      <c r="F193" s="170">
        <f>IF(ISERROR(1/VLOOKUP(B193,Capa!A:AC,13,0)),0,1/VLOOKUP(B193,Capa!A:AC,13,0))</f>
        <v>0.2949852507</v>
      </c>
      <c r="G193" s="171">
        <f t="shared" si="2"/>
        <v>15.000015</v>
      </c>
      <c r="H193" s="172" t="str">
        <f t="shared" si="3"/>
        <v>#N/A</v>
      </c>
      <c r="M193" s="167" t="s">
        <v>228</v>
      </c>
      <c r="N193" s="168">
        <f>VLOOKUP(M193,'Dados StatusInvest'!$A:$Z,26,0)</f>
        <v>14371874.46</v>
      </c>
      <c r="O193" s="175">
        <f>VLOOKUP(M193,'Dados StatusInvest'!$A:$Z,18,0)/100</f>
        <v>0.0769</v>
      </c>
      <c r="P193" s="176" t="str">
        <f t="shared" si="5"/>
        <v>#N/A</v>
      </c>
      <c r="Q193" s="177">
        <f>IF(ISERROR(1/VLOOKUP(M193,Capa!A:AC,6,0)),0,1/VLOOKUP(M193,Capa!A:AC,6,0))</f>
        <v>0.04184100418</v>
      </c>
      <c r="R193" s="178">
        <f t="shared" si="6"/>
        <v>166.000166</v>
      </c>
      <c r="S193" s="179" t="str">
        <f t="shared" si="7"/>
        <v>#N/A</v>
      </c>
    </row>
    <row r="194">
      <c r="A194" s="180"/>
      <c r="B194" s="167" t="s">
        <v>330</v>
      </c>
      <c r="C194" s="168">
        <f>VLOOKUP(B194,'Dados StatusInvest'!$A:$Z,26,0)</f>
        <v>771603.04</v>
      </c>
      <c r="D194" s="169">
        <f>VLOOKUP(B194,'Dados StatusInvest'!$A:$Z,20,0)/100</f>
        <v>0.0848</v>
      </c>
      <c r="E194" s="93" t="str">
        <f t="shared" si="1"/>
        <v>#N/A</v>
      </c>
      <c r="F194" s="170">
        <f>IF(ISERROR(1/VLOOKUP(B194,Capa!A:AC,13,0)),0,1/VLOOKUP(B194,Capa!A:AC,13,0))</f>
        <v>0.03646973012</v>
      </c>
      <c r="G194" s="171">
        <f t="shared" si="2"/>
        <v>220.00022</v>
      </c>
      <c r="H194" s="172" t="str">
        <f t="shared" si="3"/>
        <v>#N/A</v>
      </c>
      <c r="M194" s="167" t="s">
        <v>330</v>
      </c>
      <c r="N194" s="168">
        <f>VLOOKUP(M194,'Dados StatusInvest'!$A:$Z,26,0)</f>
        <v>771603.04</v>
      </c>
      <c r="O194" s="175">
        <f>VLOOKUP(M194,'Dados StatusInvest'!$A:$Z,18,0)/100</f>
        <v>0.4032</v>
      </c>
      <c r="P194" s="176" t="str">
        <f t="shared" si="5"/>
        <v>#N/A</v>
      </c>
      <c r="Q194" s="177">
        <f>IF(ISERROR(1/VLOOKUP(M194,Capa!A:AC,6,0)),0,1/VLOOKUP(M194,Capa!A:AC,6,0))</f>
        <v>0.145137881</v>
      </c>
      <c r="R194" s="178">
        <f t="shared" si="6"/>
        <v>30.00003</v>
      </c>
      <c r="S194" s="179" t="str">
        <f t="shared" si="7"/>
        <v>#N/A</v>
      </c>
    </row>
    <row r="195">
      <c r="A195" s="180"/>
      <c r="B195" s="167" t="s">
        <v>359</v>
      </c>
      <c r="C195" s="168">
        <f>VLOOKUP(B195,'Dados StatusInvest'!$A:$Z,26,0)</f>
        <v>195802.13</v>
      </c>
      <c r="D195" s="169">
        <f>VLOOKUP(B195,'Dados StatusInvest'!$A:$Z,20,0)/100</f>
        <v>0.1129</v>
      </c>
      <c r="E195" s="93" t="str">
        <f t="shared" si="1"/>
        <v>#N/A</v>
      </c>
      <c r="F195" s="170">
        <f>IF(ISERROR(1/VLOOKUP(B195,Capa!A:AC,13,0)),0,1/VLOOKUP(B195,Capa!A:AC,13,0))</f>
        <v>0.06172839506</v>
      </c>
      <c r="G195" s="171">
        <f t="shared" si="2"/>
        <v>119.000119</v>
      </c>
      <c r="H195" s="172" t="str">
        <f t="shared" si="3"/>
        <v>#N/A</v>
      </c>
      <c r="M195" s="167" t="s">
        <v>359</v>
      </c>
      <c r="N195" s="168">
        <f>VLOOKUP(M195,'Dados StatusInvest'!$A:$Z,26,0)</f>
        <v>195802.13</v>
      </c>
      <c r="O195" s="175">
        <f>VLOOKUP(M195,'Dados StatusInvest'!$A:$Z,18,0)/100</f>
        <v>0.15</v>
      </c>
      <c r="P195" s="176" t="str">
        <f t="shared" si="5"/>
        <v>#N/A</v>
      </c>
      <c r="Q195" s="177">
        <f>IF(ISERROR(1/VLOOKUP(M195,Capa!A:AC,6,0)),0,1/VLOOKUP(M195,Capa!A:AC,6,0))</f>
        <v>0.1694915254</v>
      </c>
      <c r="R195" s="178">
        <f t="shared" si="6"/>
        <v>24.000024</v>
      </c>
      <c r="S195" s="179" t="str">
        <f t="shared" si="7"/>
        <v>#N/A</v>
      </c>
    </row>
    <row r="196">
      <c r="A196" s="180"/>
      <c r="B196" s="167" t="s">
        <v>374</v>
      </c>
      <c r="C196" s="168">
        <f>VLOOKUP(B196,'Dados StatusInvest'!$A:$Z,26,0)</f>
        <v>360202.29</v>
      </c>
      <c r="D196" s="169">
        <f>VLOOKUP(B196,'Dados StatusInvest'!$A:$Z,20,0)/100</f>
        <v>-0.0825</v>
      </c>
      <c r="E196" s="93" t="str">
        <f t="shared" si="1"/>
        <v>#N/A</v>
      </c>
      <c r="F196" s="170">
        <f>IF(ISERROR(1/VLOOKUP(B196,Capa!A:AC,13,0)),0,1/VLOOKUP(B196,Capa!A:AC,13,0))</f>
        <v>0.02612330199</v>
      </c>
      <c r="G196" s="171">
        <f t="shared" si="2"/>
        <v>264.000264</v>
      </c>
      <c r="H196" s="172" t="str">
        <f t="shared" si="3"/>
        <v>#N/A</v>
      </c>
      <c r="M196" s="167" t="s">
        <v>374</v>
      </c>
      <c r="N196" s="168">
        <f>VLOOKUP(M196,'Dados StatusInvest'!$A:$Z,26,0)</f>
        <v>360202.29</v>
      </c>
      <c r="O196" s="175">
        <f>VLOOKUP(M196,'Dados StatusInvest'!$A:$Z,18,0)/100</f>
        <v>0.2309</v>
      </c>
      <c r="P196" s="176" t="str">
        <f t="shared" si="5"/>
        <v>#N/A</v>
      </c>
      <c r="Q196" s="177">
        <f>IF(ISERROR(1/VLOOKUP(M196,Capa!A:AC,6,0)),0,1/VLOOKUP(M196,Capa!A:AC,6,0))</f>
        <v>0.02942041777</v>
      </c>
      <c r="R196" s="178">
        <f t="shared" si="6"/>
        <v>236.000236</v>
      </c>
      <c r="S196" s="179" t="str">
        <f t="shared" si="7"/>
        <v>#N/A</v>
      </c>
    </row>
    <row r="197">
      <c r="A197" s="180"/>
      <c r="B197" s="167" t="s">
        <v>141</v>
      </c>
      <c r="C197" s="168">
        <f>VLOOKUP(B197,'Dados StatusInvest'!$A:$Z,26,0)</f>
        <v>52027963.29</v>
      </c>
      <c r="D197" s="169">
        <f>VLOOKUP(B197,'Dados StatusInvest'!$A:$Z,20,0)/100</f>
        <v>-2.9769</v>
      </c>
      <c r="E197" s="93" t="str">
        <f t="shared" si="1"/>
        <v>#N/A</v>
      </c>
      <c r="F197" s="170">
        <f>IF(ISERROR(1/VLOOKUP(B197,Capa!A:AC,13,0)),0,1/VLOOKUP(B197,Capa!A:AC,13,0))</f>
        <v>-0.005601613265</v>
      </c>
      <c r="G197" s="171">
        <f t="shared" si="2"/>
        <v>400.0004</v>
      </c>
      <c r="H197" s="172" t="str">
        <f t="shared" si="3"/>
        <v>#N/A</v>
      </c>
      <c r="M197" s="167" t="s">
        <v>141</v>
      </c>
      <c r="N197" s="168">
        <f>VLOOKUP(M197,'Dados StatusInvest'!$A:$Z,26,0)</f>
        <v>52027963.29</v>
      </c>
      <c r="O197" s="175">
        <f>VLOOKUP(M197,'Dados StatusInvest'!$A:$Z,18,0)/100</f>
        <v>-0.8281</v>
      </c>
      <c r="P197" s="176" t="str">
        <f t="shared" si="5"/>
        <v>#N/A</v>
      </c>
      <c r="Q197" s="177">
        <f>IF(ISERROR(1/VLOOKUP(M197,Capa!A:AC,6,0)),0,1/VLOOKUP(M197,Capa!A:AC,6,0))</f>
        <v>0.0968054211</v>
      </c>
      <c r="R197" s="178">
        <f t="shared" si="6"/>
        <v>68.000068</v>
      </c>
      <c r="S197" s="179" t="str">
        <f t="shared" si="7"/>
        <v>#N/A</v>
      </c>
    </row>
    <row r="198">
      <c r="A198" s="180"/>
      <c r="B198" s="167" t="s">
        <v>285</v>
      </c>
      <c r="C198" s="168">
        <f>VLOOKUP(B198,'Dados StatusInvest'!$A:$Z,26,0)</f>
        <v>5063144.46</v>
      </c>
      <c r="D198" s="169">
        <f>VLOOKUP(B198,'Dados StatusInvest'!$A:$Z,20,0)/100</f>
        <v>0</v>
      </c>
      <c r="E198" s="93" t="str">
        <f t="shared" si="1"/>
        <v>#N/A</v>
      </c>
      <c r="F198" s="170">
        <f>IF(ISERROR(1/VLOOKUP(B198,Capa!A:AC,13,0)),0,1/VLOOKUP(B198,Capa!A:AC,13,0))</f>
        <v>-1.351351351</v>
      </c>
      <c r="G198" s="171">
        <f t="shared" si="2"/>
        <v>438.000438</v>
      </c>
      <c r="H198" s="172" t="str">
        <f t="shared" si="3"/>
        <v>#N/A</v>
      </c>
      <c r="M198" s="167" t="s">
        <v>285</v>
      </c>
      <c r="N198" s="168">
        <f>VLOOKUP(M198,'Dados StatusInvest'!$A:$Z,26,0)</f>
        <v>5063144.46</v>
      </c>
      <c r="O198" s="175">
        <f>VLOOKUP(M198,'Dados StatusInvest'!$A:$Z,18,0)/100</f>
        <v>0.0063</v>
      </c>
      <c r="P198" s="176" t="str">
        <f t="shared" si="5"/>
        <v>#N/A</v>
      </c>
      <c r="Q198" s="177">
        <f>IF(ISERROR(1/VLOOKUP(M198,Capa!A:AC,6,0)),0,1/VLOOKUP(M198,Capa!A:AC,6,0))</f>
        <v>0.01573564123</v>
      </c>
      <c r="R198" s="178">
        <f t="shared" si="6"/>
        <v>322.000322</v>
      </c>
      <c r="S198" s="179" t="str">
        <f t="shared" si="7"/>
        <v>#N/A</v>
      </c>
    </row>
    <row r="199">
      <c r="A199" s="180"/>
      <c r="B199" s="167" t="s">
        <v>309</v>
      </c>
      <c r="C199" s="168">
        <f>VLOOKUP(B199,'Dados StatusInvest'!$A:$Z,26,0)</f>
        <v>1157941.04</v>
      </c>
      <c r="D199" s="169">
        <f>VLOOKUP(B199,'Dados StatusInvest'!$A:$Z,20,0)/100</f>
        <v>-2.8083</v>
      </c>
      <c r="E199" s="93" t="str">
        <f t="shared" si="1"/>
        <v>#N/A</v>
      </c>
      <c r="F199" s="170">
        <f>IF(ISERROR(1/VLOOKUP(B199,Capa!A:AC,13,0)),0,1/VLOOKUP(B199,Capa!A:AC,13,0))</f>
        <v>0.0001539299865</v>
      </c>
      <c r="G199" s="171">
        <f t="shared" si="2"/>
        <v>328.000328</v>
      </c>
      <c r="H199" s="172" t="str">
        <f t="shared" si="3"/>
        <v>#N/A</v>
      </c>
      <c r="M199" s="167" t="s">
        <v>309</v>
      </c>
      <c r="N199" s="168">
        <f>VLOOKUP(M199,'Dados StatusInvest'!$A:$Z,26,0)</f>
        <v>1157941.04</v>
      </c>
      <c r="O199" s="175">
        <f>VLOOKUP(M199,'Dados StatusInvest'!$A:$Z,18,0)/100</f>
        <v>-0.3644</v>
      </c>
      <c r="P199" s="176" t="str">
        <f t="shared" si="5"/>
        <v>#N/A</v>
      </c>
      <c r="Q199" s="177">
        <f>IF(ISERROR(1/VLOOKUP(M199,Capa!A:AC,6,0)),0,1/VLOOKUP(M199,Capa!A:AC,6,0))</f>
        <v>0.1293661061</v>
      </c>
      <c r="R199" s="178">
        <f t="shared" si="6"/>
        <v>43.000043</v>
      </c>
      <c r="S199" s="179" t="str">
        <f t="shared" si="7"/>
        <v>#N/A</v>
      </c>
    </row>
    <row r="200">
      <c r="A200" s="180"/>
      <c r="B200" s="167" t="s">
        <v>291</v>
      </c>
      <c r="C200" s="168">
        <f>VLOOKUP(B200,'Dados StatusInvest'!$A:$Z,26,0)</f>
        <v>3280457.13</v>
      </c>
      <c r="D200" s="169">
        <f>VLOOKUP(B200,'Dados StatusInvest'!$A:$Z,20,0)/100</f>
        <v>-0.2842</v>
      </c>
      <c r="E200" s="93" t="str">
        <f t="shared" si="1"/>
        <v>#N/A</v>
      </c>
      <c r="F200" s="170">
        <f>IF(ISERROR(1/VLOOKUP(B200,Capa!A:AC,13,0)),0,1/VLOOKUP(B200,Capa!A:AC,13,0))</f>
        <v>-0.001270680322</v>
      </c>
      <c r="G200" s="171">
        <f t="shared" si="2"/>
        <v>391.000391</v>
      </c>
      <c r="H200" s="172" t="str">
        <f t="shared" si="3"/>
        <v>#N/A</v>
      </c>
      <c r="M200" s="167" t="s">
        <v>291</v>
      </c>
      <c r="N200" s="168">
        <f>VLOOKUP(M200,'Dados StatusInvest'!$A:$Z,26,0)</f>
        <v>3280457.13</v>
      </c>
      <c r="O200" s="175">
        <f>VLOOKUP(M200,'Dados StatusInvest'!$A:$Z,18,0)/100</f>
        <v>-0.5599</v>
      </c>
      <c r="P200" s="176" t="str">
        <f t="shared" si="5"/>
        <v>#N/A</v>
      </c>
      <c r="Q200" s="177">
        <f>IF(ISERROR(1/VLOOKUP(M200,Capa!A:AC,6,0)),0,1/VLOOKUP(M200,Capa!A:AC,6,0))</f>
        <v>0.125</v>
      </c>
      <c r="R200" s="178">
        <f t="shared" si="6"/>
        <v>46.000046</v>
      </c>
      <c r="S200" s="179" t="str">
        <f t="shared" si="7"/>
        <v>#N/A</v>
      </c>
    </row>
    <row r="201">
      <c r="A201" s="180"/>
      <c r="B201" s="167" t="s">
        <v>339</v>
      </c>
      <c r="C201" s="168">
        <f>VLOOKUP(B201,'Dados StatusInvest'!$A:$Z,26,0)</f>
        <v>753920.71</v>
      </c>
      <c r="D201" s="169">
        <f>VLOOKUP(B201,'Dados StatusInvest'!$A:$Z,20,0)/100</f>
        <v>0.0845</v>
      </c>
      <c r="E201" s="93" t="str">
        <f t="shared" si="1"/>
        <v>#N/A</v>
      </c>
      <c r="F201" s="170">
        <f>IF(ISERROR(1/VLOOKUP(B201,Capa!A:AC,13,0)),0,1/VLOOKUP(B201,Capa!A:AC,13,0))</f>
        <v>0.1050420168</v>
      </c>
      <c r="G201" s="171">
        <f t="shared" si="2"/>
        <v>69.000069</v>
      </c>
      <c r="H201" s="172" t="str">
        <f t="shared" si="3"/>
        <v>#N/A</v>
      </c>
      <c r="M201" s="167" t="s">
        <v>339</v>
      </c>
      <c r="N201" s="168">
        <f>VLOOKUP(M201,'Dados StatusInvest'!$A:$Z,26,0)</f>
        <v>753920.71</v>
      </c>
      <c r="O201" s="175">
        <f>VLOOKUP(M201,'Dados StatusInvest'!$A:$Z,18,0)/100</f>
        <v>-0.1137</v>
      </c>
      <c r="P201" s="176" t="str">
        <f t="shared" si="5"/>
        <v>#N/A</v>
      </c>
      <c r="Q201" s="177">
        <f>IF(ISERROR(1/VLOOKUP(M201,Capa!A:AC,6,0)),0,1/VLOOKUP(M201,Capa!A:AC,6,0))</f>
        <v>0.06373486297</v>
      </c>
      <c r="R201" s="178">
        <f t="shared" si="6"/>
        <v>117.000117</v>
      </c>
      <c r="S201" s="179" t="str">
        <f t="shared" si="7"/>
        <v>#N/A</v>
      </c>
    </row>
    <row r="202">
      <c r="A202" s="180"/>
      <c r="B202" s="167" t="s">
        <v>249</v>
      </c>
      <c r="C202" s="168">
        <f>VLOOKUP(B202,'Dados StatusInvest'!$A:$Z,26,0)</f>
        <v>17111829.33</v>
      </c>
      <c r="D202" s="169">
        <f>VLOOKUP(B202,'Dados StatusInvest'!$A:$Z,20,0)/100</f>
        <v>0.3765</v>
      </c>
      <c r="E202" s="93" t="str">
        <f t="shared" si="1"/>
        <v>#N/A</v>
      </c>
      <c r="F202" s="170">
        <f>IF(ISERROR(1/VLOOKUP(B202,Capa!A:AC,13,0)),0,1/VLOOKUP(B202,Capa!A:AC,13,0))</f>
        <v>0</v>
      </c>
      <c r="G202" s="171">
        <f t="shared" si="2"/>
        <v>329.000329</v>
      </c>
      <c r="H202" s="172" t="str">
        <f t="shared" si="3"/>
        <v>#N/A</v>
      </c>
      <c r="M202" s="167" t="s">
        <v>249</v>
      </c>
      <c r="N202" s="168">
        <f>VLOOKUP(M202,'Dados StatusInvest'!$A:$Z,26,0)</f>
        <v>17111829.33</v>
      </c>
      <c r="O202" s="175">
        <f>VLOOKUP(M202,'Dados StatusInvest'!$A:$Z,18,0)/100</f>
        <v>0.3774</v>
      </c>
      <c r="P202" s="176" t="str">
        <f t="shared" si="5"/>
        <v>#N/A</v>
      </c>
      <c r="Q202" s="177">
        <f>IF(ISERROR(1/VLOOKUP(M202,Capa!A:AC,6,0)),0,1/VLOOKUP(M202,Capa!A:AC,6,0))</f>
        <v>0.01613684041</v>
      </c>
      <c r="R202" s="178">
        <f t="shared" si="6"/>
        <v>319.000319</v>
      </c>
      <c r="S202" s="179" t="str">
        <f t="shared" si="7"/>
        <v>#N/A</v>
      </c>
    </row>
    <row r="203">
      <c r="A203" s="180"/>
      <c r="B203" s="167" t="s">
        <v>304</v>
      </c>
      <c r="C203" s="168">
        <f>VLOOKUP(B203,'Dados StatusInvest'!$A:$Z,26,0)</f>
        <v>2377381.83</v>
      </c>
      <c r="D203" s="169">
        <f>VLOOKUP(B203,'Dados StatusInvest'!$A:$Z,20,0)/100</f>
        <v>0.1452</v>
      </c>
      <c r="E203" s="93" t="str">
        <f t="shared" si="1"/>
        <v>#N/A</v>
      </c>
      <c r="F203" s="170">
        <f>IF(ISERROR(1/VLOOKUP(B203,Capa!A:AC,13,0)),0,1/VLOOKUP(B203,Capa!A:AC,13,0))</f>
        <v>0.06157635468</v>
      </c>
      <c r="G203" s="171">
        <f t="shared" si="2"/>
        <v>120.00012</v>
      </c>
      <c r="H203" s="172" t="str">
        <f t="shared" si="3"/>
        <v>#N/A</v>
      </c>
      <c r="M203" s="167" t="s">
        <v>304</v>
      </c>
      <c r="N203" s="168">
        <f>VLOOKUP(M203,'Dados StatusInvest'!$A:$Z,26,0)</f>
        <v>2377381.83</v>
      </c>
      <c r="O203" s="175">
        <f>VLOOKUP(M203,'Dados StatusInvest'!$A:$Z,18,0)/100</f>
        <v>0.2709</v>
      </c>
      <c r="P203" s="176" t="str">
        <f t="shared" si="5"/>
        <v>#N/A</v>
      </c>
      <c r="Q203" s="177">
        <f>IF(ISERROR(1/VLOOKUP(M203,Capa!A:AC,6,0)),0,1/VLOOKUP(M203,Capa!A:AC,6,0))</f>
        <v>0.0566572238</v>
      </c>
      <c r="R203" s="178">
        <f t="shared" si="6"/>
        <v>131.000131</v>
      </c>
      <c r="S203" s="179" t="str">
        <f t="shared" si="7"/>
        <v>#N/A</v>
      </c>
    </row>
    <row r="204">
      <c r="A204" s="180"/>
      <c r="B204" s="167" t="s">
        <v>334</v>
      </c>
      <c r="C204" s="168">
        <f>VLOOKUP(B204,'Dados StatusInvest'!$A:$Z,26,0)</f>
        <v>930221.63</v>
      </c>
      <c r="D204" s="169">
        <f>VLOOKUP(B204,'Dados StatusInvest'!$A:$Z,20,0)/100</f>
        <v>0</v>
      </c>
      <c r="E204" s="93" t="str">
        <f t="shared" si="1"/>
        <v>#N/A</v>
      </c>
      <c r="F204" s="170">
        <f>IF(ISERROR(1/VLOOKUP(B204,Capa!A:AC,13,0)),0,1/VLOOKUP(B204,Capa!A:AC,13,0))</f>
        <v>0.0336473755</v>
      </c>
      <c r="G204" s="171">
        <f t="shared" si="2"/>
        <v>231.000231</v>
      </c>
      <c r="H204" s="172" t="str">
        <f t="shared" si="3"/>
        <v>#N/A</v>
      </c>
      <c r="M204" s="167" t="s">
        <v>334</v>
      </c>
      <c r="N204" s="168">
        <f>VLOOKUP(M204,'Dados StatusInvest'!$A:$Z,26,0)</f>
        <v>930221.63</v>
      </c>
      <c r="O204" s="175">
        <f>VLOOKUP(M204,'Dados StatusInvest'!$A:$Z,18,0)/100</f>
        <v>0.1526</v>
      </c>
      <c r="P204" s="176" t="str">
        <f t="shared" si="5"/>
        <v>#N/A</v>
      </c>
      <c r="Q204" s="177">
        <f>IF(ISERROR(1/VLOOKUP(M204,Capa!A:AC,6,0)),0,1/VLOOKUP(M204,Capa!A:AC,6,0))</f>
        <v>0.04</v>
      </c>
      <c r="R204" s="178">
        <f t="shared" si="6"/>
        <v>171.000171</v>
      </c>
      <c r="S204" s="179" t="str">
        <f t="shared" si="7"/>
        <v>#N/A</v>
      </c>
    </row>
    <row r="205">
      <c r="A205" s="180"/>
      <c r="B205" s="167" t="s">
        <v>310</v>
      </c>
      <c r="C205" s="168">
        <f>VLOOKUP(B205,'Dados StatusInvest'!$A:$Z,26,0)</f>
        <v>2887612.33</v>
      </c>
      <c r="D205" s="169">
        <f>VLOOKUP(B205,'Dados StatusInvest'!$A:$Z,20,0)/100</f>
        <v>0.1849</v>
      </c>
      <c r="E205" s="93" t="str">
        <f t="shared" si="1"/>
        <v>#N/A</v>
      </c>
      <c r="F205" s="170">
        <f>IF(ISERROR(1/VLOOKUP(B205,Capa!A:AC,13,0)),0,1/VLOOKUP(B205,Capa!A:AC,13,0))</f>
        <v>0.04692632567</v>
      </c>
      <c r="G205" s="171">
        <f t="shared" si="2"/>
        <v>179.000179</v>
      </c>
      <c r="H205" s="172" t="str">
        <f t="shared" si="3"/>
        <v>#N/A</v>
      </c>
      <c r="M205" s="167" t="s">
        <v>310</v>
      </c>
      <c r="N205" s="168">
        <f>VLOOKUP(M205,'Dados StatusInvest'!$A:$Z,26,0)</f>
        <v>2887612.33</v>
      </c>
      <c r="O205" s="175">
        <f>VLOOKUP(M205,'Dados StatusInvest'!$A:$Z,18,0)/100</f>
        <v>0.2284</v>
      </c>
      <c r="P205" s="176" t="str">
        <f t="shared" si="5"/>
        <v>#N/A</v>
      </c>
      <c r="Q205" s="177">
        <f>IF(ISERROR(1/VLOOKUP(M205,Capa!A:AC,6,0)),0,1/VLOOKUP(M205,Capa!A:AC,6,0))</f>
        <v>0.03220611916</v>
      </c>
      <c r="R205" s="178">
        <f t="shared" si="6"/>
        <v>221.000221</v>
      </c>
      <c r="S205" s="179" t="str">
        <f t="shared" si="7"/>
        <v>#N/A</v>
      </c>
    </row>
    <row r="206">
      <c r="A206" s="180"/>
      <c r="B206" s="167" t="s">
        <v>349</v>
      </c>
      <c r="C206" s="168">
        <f>VLOOKUP(B206,'Dados StatusInvest'!$A:$Z,26,0)</f>
        <v>376041.67</v>
      </c>
      <c r="D206" s="169">
        <f>VLOOKUP(B206,'Dados StatusInvest'!$A:$Z,20,0)/100</f>
        <v>0.252</v>
      </c>
      <c r="E206" s="93" t="str">
        <f t="shared" si="1"/>
        <v>#N/A</v>
      </c>
      <c r="F206" s="170">
        <f>IF(ISERROR(1/VLOOKUP(B206,Capa!A:AC,13,0)),0,1/VLOOKUP(B206,Capa!A:AC,13,0))</f>
        <v>0.04042037187</v>
      </c>
      <c r="G206" s="171">
        <f t="shared" si="2"/>
        <v>203.000203</v>
      </c>
      <c r="H206" s="172" t="str">
        <f t="shared" si="3"/>
        <v>#N/A</v>
      </c>
      <c r="M206" s="167" t="s">
        <v>349</v>
      </c>
      <c r="N206" s="168">
        <f>VLOOKUP(M206,'Dados StatusInvest'!$A:$Z,26,0)</f>
        <v>376041.67</v>
      </c>
      <c r="O206" s="175">
        <f>VLOOKUP(M206,'Dados StatusInvest'!$A:$Z,18,0)/100</f>
        <v>1.1149</v>
      </c>
      <c r="P206" s="176" t="str">
        <f t="shared" si="5"/>
        <v>#N/A</v>
      </c>
      <c r="Q206" s="177">
        <f>IF(ISERROR(1/VLOOKUP(M206,Capa!A:AC,6,0)),0,1/VLOOKUP(M206,Capa!A:AC,6,0))</f>
        <v>0.005099179032</v>
      </c>
      <c r="R206" s="178">
        <f t="shared" si="6"/>
        <v>390.00039</v>
      </c>
      <c r="S206" s="179" t="str">
        <f t="shared" si="7"/>
        <v>#N/A</v>
      </c>
    </row>
    <row r="207">
      <c r="A207" s="180"/>
      <c r="B207" s="167" t="s">
        <v>586</v>
      </c>
      <c r="C207" s="168">
        <f>VLOOKUP(B207,'Dados StatusInvest'!$A:$Z,26,0)</f>
        <v>1097133.5</v>
      </c>
      <c r="D207" s="169">
        <f>VLOOKUP(B207,'Dados StatusInvest'!$A:$Z,20,0)/100</f>
        <v>0.309</v>
      </c>
      <c r="E207" s="93" t="str">
        <f t="shared" si="1"/>
        <v>#N/A</v>
      </c>
      <c r="F207" s="170">
        <f>IF(ISERROR(1/VLOOKUP(B207,Capa!A:AC,13,0)),0,1/VLOOKUP(B207,Capa!A:AC,13,0))</f>
        <v>0</v>
      </c>
      <c r="G207" s="171">
        <f t="shared" si="2"/>
        <v>329.000329</v>
      </c>
      <c r="H207" s="172" t="str">
        <f t="shared" si="3"/>
        <v>#N/A</v>
      </c>
      <c r="M207" s="167" t="s">
        <v>586</v>
      </c>
      <c r="N207" s="168">
        <f>VLOOKUP(M207,'Dados StatusInvest'!$A:$Z,26,0)</f>
        <v>1097133.5</v>
      </c>
      <c r="O207" s="175">
        <f>VLOOKUP(M207,'Dados StatusInvest'!$A:$Z,18,0)/100</f>
        <v>-1.0605</v>
      </c>
      <c r="P207" s="176" t="str">
        <f t="shared" si="5"/>
        <v>#N/A</v>
      </c>
      <c r="Q207" s="177">
        <f>IF(ISERROR(1/VLOOKUP(M207,Capa!A:AC,6,0)),0,1/VLOOKUP(M207,Capa!A:AC,6,0))</f>
        <v>0</v>
      </c>
      <c r="R207" s="178">
        <f t="shared" si="6"/>
        <v>399.000399</v>
      </c>
      <c r="S207" s="179" t="str">
        <f t="shared" si="7"/>
        <v>#N/A</v>
      </c>
    </row>
    <row r="208">
      <c r="A208" s="180"/>
      <c r="B208" s="167" t="s">
        <v>308</v>
      </c>
      <c r="C208" s="168">
        <f>VLOOKUP(B208,'Dados StatusInvest'!$A:$Z,26,0)</f>
        <v>2285509.79</v>
      </c>
      <c r="D208" s="169">
        <f>VLOOKUP(B208,'Dados StatusInvest'!$A:$Z,20,0)/100</f>
        <v>0.1119</v>
      </c>
      <c r="E208" s="93" t="str">
        <f t="shared" si="1"/>
        <v>#N/A</v>
      </c>
      <c r="F208" s="170">
        <f>IF(ISERROR(1/VLOOKUP(B208,Capa!A:AC,13,0)),0,1/VLOOKUP(B208,Capa!A:AC,13,0))</f>
        <v>0.02942041777</v>
      </c>
      <c r="G208" s="171">
        <f t="shared" si="2"/>
        <v>248.000248</v>
      </c>
      <c r="H208" s="172" t="str">
        <f t="shared" si="3"/>
        <v>#N/A</v>
      </c>
      <c r="M208" s="167" t="s">
        <v>308</v>
      </c>
      <c r="N208" s="168">
        <f>VLOOKUP(M208,'Dados StatusInvest'!$A:$Z,26,0)</f>
        <v>2285509.79</v>
      </c>
      <c r="O208" s="175">
        <f>VLOOKUP(M208,'Dados StatusInvest'!$A:$Z,18,0)/100</f>
        <v>0.1415</v>
      </c>
      <c r="P208" s="176" t="str">
        <f t="shared" si="5"/>
        <v>#N/A</v>
      </c>
      <c r="Q208" s="177">
        <f>IF(ISERROR(1/VLOOKUP(M208,Capa!A:AC,6,0)),0,1/VLOOKUP(M208,Capa!A:AC,6,0))</f>
        <v>0.1428571429</v>
      </c>
      <c r="R208" s="178">
        <f t="shared" si="6"/>
        <v>32.000032</v>
      </c>
      <c r="S208" s="179" t="str">
        <f t="shared" si="7"/>
        <v>#N/A</v>
      </c>
    </row>
    <row r="209">
      <c r="A209" s="180"/>
      <c r="B209" s="167" t="s">
        <v>659</v>
      </c>
      <c r="C209" s="168">
        <f>VLOOKUP(B209,'Dados StatusInvest'!$A:$Z,26,0)</f>
        <v>558793.42</v>
      </c>
      <c r="D209" s="169">
        <f>VLOOKUP(B209,'Dados StatusInvest'!$A:$Z,20,0)/100</f>
        <v>0.1631</v>
      </c>
      <c r="E209" s="93" t="str">
        <f t="shared" si="1"/>
        <v>#N/A</v>
      </c>
      <c r="F209" s="170">
        <f>IF(ISERROR(1/VLOOKUP(B209,Capa!A:AC,13,0)),0,1/VLOOKUP(B209,Capa!A:AC,13,0))</f>
        <v>0</v>
      </c>
      <c r="G209" s="171">
        <f t="shared" si="2"/>
        <v>329.000329</v>
      </c>
      <c r="H209" s="172" t="str">
        <f t="shared" si="3"/>
        <v>#N/A</v>
      </c>
      <c r="M209" s="167" t="s">
        <v>659</v>
      </c>
      <c r="N209" s="168">
        <f>VLOOKUP(M209,'Dados StatusInvest'!$A:$Z,26,0)</f>
        <v>558793.42</v>
      </c>
      <c r="O209" s="175">
        <f>VLOOKUP(M209,'Dados StatusInvest'!$A:$Z,18,0)/100</f>
        <v>0.4294</v>
      </c>
      <c r="P209" s="176" t="str">
        <f t="shared" si="5"/>
        <v>#N/A</v>
      </c>
      <c r="Q209" s="177">
        <f>IF(ISERROR(1/VLOOKUP(M209,Capa!A:AC,6,0)),0,1/VLOOKUP(M209,Capa!A:AC,6,0))</f>
        <v>0</v>
      </c>
      <c r="R209" s="178">
        <f t="shared" si="6"/>
        <v>399.000399</v>
      </c>
      <c r="S209" s="179" t="str">
        <f t="shared" si="7"/>
        <v>#N/A</v>
      </c>
    </row>
    <row r="210">
      <c r="A210" s="180"/>
      <c r="B210" s="167" t="s">
        <v>354</v>
      </c>
      <c r="C210" s="168">
        <f>VLOOKUP(B210,'Dados StatusInvest'!$A:$Z,26,0)</f>
        <v>217832</v>
      </c>
      <c r="D210" s="169">
        <f>VLOOKUP(B210,'Dados StatusInvest'!$A:$Z,20,0)/100</f>
        <v>0.1255</v>
      </c>
      <c r="E210" s="93" t="str">
        <f t="shared" si="1"/>
        <v>#N/A</v>
      </c>
      <c r="F210" s="170">
        <f>IF(ISERROR(1/VLOOKUP(B210,Capa!A:AC,13,0)),0,1/VLOOKUP(B210,Capa!A:AC,13,0))</f>
        <v>0.1228501229</v>
      </c>
      <c r="G210" s="171">
        <f t="shared" si="2"/>
        <v>56.000056</v>
      </c>
      <c r="H210" s="172" t="str">
        <f t="shared" si="3"/>
        <v>#N/A</v>
      </c>
      <c r="M210" s="167" t="s">
        <v>354</v>
      </c>
      <c r="N210" s="168">
        <f>VLOOKUP(M210,'Dados StatusInvest'!$A:$Z,26,0)</f>
        <v>217832</v>
      </c>
      <c r="O210" s="175">
        <f>VLOOKUP(M210,'Dados StatusInvest'!$A:$Z,18,0)/100</f>
        <v>0.2685</v>
      </c>
      <c r="P210" s="176" t="str">
        <f t="shared" si="5"/>
        <v>#N/A</v>
      </c>
      <c r="Q210" s="177">
        <f>IF(ISERROR(1/VLOOKUP(M210,Capa!A:AC,6,0)),0,1/VLOOKUP(M210,Capa!A:AC,6,0))</f>
        <v>0.01269357705</v>
      </c>
      <c r="R210" s="178">
        <f t="shared" si="6"/>
        <v>341.000341</v>
      </c>
      <c r="S210" s="179" t="str">
        <f t="shared" si="7"/>
        <v>#N/A</v>
      </c>
    </row>
    <row r="211">
      <c r="A211" s="180"/>
      <c r="B211" s="167" t="s">
        <v>292</v>
      </c>
      <c r="C211" s="168">
        <f>VLOOKUP(B211,'Dados StatusInvest'!$A:$Z,26,0)</f>
        <v>2803750.96</v>
      </c>
      <c r="D211" s="169">
        <f>VLOOKUP(B211,'Dados StatusInvest'!$A:$Z,20,0)/100</f>
        <v>-2.3234</v>
      </c>
      <c r="E211" s="93" t="str">
        <f t="shared" si="1"/>
        <v>#N/A</v>
      </c>
      <c r="F211" s="170">
        <f>IF(ISERROR(1/VLOOKUP(B211,Capa!A:AC,13,0)),0,1/VLOOKUP(B211,Capa!A:AC,13,0))</f>
        <v>-0.01094451133</v>
      </c>
      <c r="G211" s="171">
        <f t="shared" si="2"/>
        <v>404.000404</v>
      </c>
      <c r="H211" s="172" t="str">
        <f t="shared" si="3"/>
        <v>#N/A</v>
      </c>
      <c r="M211" s="167" t="s">
        <v>292</v>
      </c>
      <c r="N211" s="168">
        <f>VLOOKUP(M211,'Dados StatusInvest'!$A:$Z,26,0)</f>
        <v>2803750.96</v>
      </c>
      <c r="O211" s="175">
        <f>VLOOKUP(M211,'Dados StatusInvest'!$A:$Z,18,0)/100</f>
        <v>-2.5574</v>
      </c>
      <c r="P211" s="176" t="str">
        <f t="shared" si="5"/>
        <v>#N/A</v>
      </c>
      <c r="Q211" s="177">
        <f>IF(ISERROR(1/VLOOKUP(M211,Capa!A:AC,6,0)),0,1/VLOOKUP(M211,Capa!A:AC,6,0))</f>
        <v>0.2283105023</v>
      </c>
      <c r="R211" s="178">
        <f t="shared" si="6"/>
        <v>17.000017</v>
      </c>
      <c r="S211" s="179" t="str">
        <f t="shared" si="7"/>
        <v>#N/A</v>
      </c>
    </row>
    <row r="212">
      <c r="A212" s="180"/>
      <c r="B212" s="167" t="s">
        <v>261</v>
      </c>
      <c r="C212" s="168">
        <f>VLOOKUP(B212,'Dados StatusInvest'!$A:$Z,26,0)</f>
        <v>8652559.92</v>
      </c>
      <c r="D212" s="169">
        <f>VLOOKUP(B212,'Dados StatusInvest'!$A:$Z,20,0)/100</f>
        <v>0.2418</v>
      </c>
      <c r="E212" s="93" t="str">
        <f t="shared" si="1"/>
        <v>#N/A</v>
      </c>
      <c r="F212" s="170">
        <f>IF(ISERROR(1/VLOOKUP(B212,Capa!A:AC,13,0)),0,1/VLOOKUP(B212,Capa!A:AC,13,0))</f>
        <v>0.02742731761</v>
      </c>
      <c r="G212" s="171">
        <f t="shared" si="2"/>
        <v>256.000256</v>
      </c>
      <c r="H212" s="172" t="str">
        <f t="shared" si="3"/>
        <v>#N/A</v>
      </c>
      <c r="M212" s="167" t="s">
        <v>261</v>
      </c>
      <c r="N212" s="168">
        <f>VLOOKUP(M212,'Dados StatusInvest'!$A:$Z,26,0)</f>
        <v>8652559.92</v>
      </c>
      <c r="O212" s="175">
        <f>VLOOKUP(M212,'Dados StatusInvest'!$A:$Z,18,0)/100</f>
        <v>0.3374</v>
      </c>
      <c r="P212" s="176" t="str">
        <f t="shared" si="5"/>
        <v>#N/A</v>
      </c>
      <c r="Q212" s="177">
        <f>IF(ISERROR(1/VLOOKUP(M212,Capa!A:AC,6,0)),0,1/VLOOKUP(M212,Capa!A:AC,6,0))</f>
        <v>0.04</v>
      </c>
      <c r="R212" s="178">
        <f t="shared" si="6"/>
        <v>171.000171</v>
      </c>
      <c r="S212" s="179" t="str">
        <f t="shared" si="7"/>
        <v>#N/A</v>
      </c>
    </row>
    <row r="213">
      <c r="A213" s="180"/>
      <c r="B213" s="167" t="s">
        <v>242</v>
      </c>
      <c r="C213" s="168">
        <f>VLOOKUP(B213,'Dados StatusInvest'!$A:$Z,26,0)</f>
        <v>11052346.08</v>
      </c>
      <c r="D213" s="169">
        <f>VLOOKUP(B213,'Dados StatusInvest'!$A:$Z,20,0)/100</f>
        <v>0.1501</v>
      </c>
      <c r="E213" s="93" t="str">
        <f t="shared" si="1"/>
        <v>#N/A</v>
      </c>
      <c r="F213" s="170">
        <f>IF(ISERROR(1/VLOOKUP(B213,Capa!A:AC,13,0)),0,1/VLOOKUP(B213,Capa!A:AC,13,0))</f>
        <v>0.04606172271</v>
      </c>
      <c r="G213" s="171">
        <f t="shared" si="2"/>
        <v>182.000182</v>
      </c>
      <c r="H213" s="172" t="str">
        <f t="shared" si="3"/>
        <v>#N/A</v>
      </c>
      <c r="M213" s="167" t="s">
        <v>242</v>
      </c>
      <c r="N213" s="168">
        <f>VLOOKUP(M213,'Dados StatusInvest'!$A:$Z,26,0)</f>
        <v>11052346.08</v>
      </c>
      <c r="O213" s="175">
        <f>VLOOKUP(M213,'Dados StatusInvest'!$A:$Z,18,0)/100</f>
        <v>0.2106</v>
      </c>
      <c r="P213" s="176" t="str">
        <f t="shared" si="5"/>
        <v>#N/A</v>
      </c>
      <c r="Q213" s="177">
        <f>IF(ISERROR(1/VLOOKUP(M213,Capa!A:AC,6,0)),0,1/VLOOKUP(M213,Capa!A:AC,6,0))</f>
        <v>0.1016260163</v>
      </c>
      <c r="R213" s="178">
        <f t="shared" si="6"/>
        <v>62.000062</v>
      </c>
      <c r="S213" s="179" t="str">
        <f t="shared" si="7"/>
        <v>#N/A</v>
      </c>
    </row>
    <row r="214">
      <c r="A214" s="180"/>
      <c r="B214" s="167" t="s">
        <v>244</v>
      </c>
      <c r="C214" s="168">
        <f>VLOOKUP(B214,'Dados StatusInvest'!$A:$Z,26,0)</f>
        <v>12377541.75</v>
      </c>
      <c r="D214" s="169">
        <f>VLOOKUP(B214,'Dados StatusInvest'!$A:$Z,20,0)/100</f>
        <v>-0.0016</v>
      </c>
      <c r="E214" s="93" t="str">
        <f t="shared" si="1"/>
        <v>#N/A</v>
      </c>
      <c r="F214" s="170">
        <f>IF(ISERROR(1/VLOOKUP(B214,Capa!A:AC,13,0)),0,1/VLOOKUP(B214,Capa!A:AC,13,0))</f>
        <v>0.2577319588</v>
      </c>
      <c r="G214" s="171">
        <f t="shared" si="2"/>
        <v>18.000018</v>
      </c>
      <c r="H214" s="172" t="str">
        <f t="shared" si="3"/>
        <v>#N/A</v>
      </c>
      <c r="M214" s="167" t="s">
        <v>244</v>
      </c>
      <c r="N214" s="168">
        <f>VLOOKUP(M214,'Dados StatusInvest'!$A:$Z,26,0)</f>
        <v>12377541.75</v>
      </c>
      <c r="O214" s="175">
        <f>VLOOKUP(M214,'Dados StatusInvest'!$A:$Z,18,0)/100</f>
        <v>0.6283</v>
      </c>
      <c r="P214" s="176" t="str">
        <f t="shared" si="5"/>
        <v>#N/A</v>
      </c>
      <c r="Q214" s="177">
        <f>IF(ISERROR(1/VLOOKUP(M214,Capa!A:AC,6,0)),0,1/VLOOKUP(M214,Capa!A:AC,6,0))</f>
        <v>0.08431703204</v>
      </c>
      <c r="R214" s="178">
        <f t="shared" si="6"/>
        <v>82.000082</v>
      </c>
      <c r="S214" s="179" t="str">
        <f t="shared" si="7"/>
        <v>#N/A</v>
      </c>
    </row>
    <row r="215">
      <c r="A215" s="180"/>
      <c r="B215" s="167" t="s">
        <v>343</v>
      </c>
      <c r="C215" s="168">
        <f>VLOOKUP(B215,'Dados StatusInvest'!$A:$Z,26,0)</f>
        <v>399978.63</v>
      </c>
      <c r="D215" s="169">
        <f>VLOOKUP(B215,'Dados StatusInvest'!$A:$Z,20,0)/100</f>
        <v>0</v>
      </c>
      <c r="E215" s="93" t="str">
        <f t="shared" si="1"/>
        <v>#N/A</v>
      </c>
      <c r="F215" s="170">
        <f>IF(ISERROR(1/VLOOKUP(B215,Capa!A:AC,13,0)),0,1/VLOOKUP(B215,Capa!A:AC,13,0))</f>
        <v>-0.07173601148</v>
      </c>
      <c r="G215" s="171">
        <f t="shared" si="2"/>
        <v>426.000426</v>
      </c>
      <c r="H215" s="172" t="str">
        <f t="shared" si="3"/>
        <v>#N/A</v>
      </c>
      <c r="M215" s="167" t="s">
        <v>343</v>
      </c>
      <c r="N215" s="168">
        <f>VLOOKUP(M215,'Dados StatusInvest'!$A:$Z,26,0)</f>
        <v>399978.63</v>
      </c>
      <c r="O215" s="175">
        <f>VLOOKUP(M215,'Dados StatusInvest'!$A:$Z,18,0)/100</f>
        <v>-0.0809</v>
      </c>
      <c r="P215" s="176" t="str">
        <f t="shared" si="5"/>
        <v>#N/A</v>
      </c>
      <c r="Q215" s="177">
        <f>IF(ISERROR(1/VLOOKUP(M215,Capa!A:AC,6,0)),0,1/VLOOKUP(M215,Capa!A:AC,6,0))</f>
        <v>0.278551532</v>
      </c>
      <c r="R215" s="178">
        <f t="shared" si="6"/>
        <v>8.000008</v>
      </c>
      <c r="S215" s="179" t="str">
        <f t="shared" si="7"/>
        <v>#N/A</v>
      </c>
    </row>
    <row r="216">
      <c r="A216" s="180"/>
      <c r="B216" s="167" t="s">
        <v>352</v>
      </c>
      <c r="C216" s="168">
        <f>VLOOKUP(B216,'Dados StatusInvest'!$A:$Z,26,0)</f>
        <v>447219.63</v>
      </c>
      <c r="D216" s="169">
        <f>VLOOKUP(B216,'Dados StatusInvest'!$A:$Z,20,0)/100</f>
        <v>0.1791</v>
      </c>
      <c r="E216" s="93" t="str">
        <f t="shared" si="1"/>
        <v>#N/A</v>
      </c>
      <c r="F216" s="170">
        <f>IF(ISERROR(1/VLOOKUP(B216,Capa!A:AC,13,0)),0,1/VLOOKUP(B216,Capa!A:AC,13,0))</f>
        <v>0.0469924812</v>
      </c>
      <c r="G216" s="171">
        <f t="shared" si="2"/>
        <v>177.000177</v>
      </c>
      <c r="H216" s="172" t="str">
        <f t="shared" si="3"/>
        <v>#N/A</v>
      </c>
      <c r="M216" s="167" t="s">
        <v>352</v>
      </c>
      <c r="N216" s="168">
        <f>VLOOKUP(M216,'Dados StatusInvest'!$A:$Z,26,0)</f>
        <v>447219.63</v>
      </c>
      <c r="O216" s="175">
        <f>VLOOKUP(M216,'Dados StatusInvest'!$A:$Z,18,0)/100</f>
        <v>0.1937</v>
      </c>
      <c r="P216" s="176" t="str">
        <f t="shared" si="5"/>
        <v>#N/A</v>
      </c>
      <c r="Q216" s="177">
        <f>IF(ISERROR(1/VLOOKUP(M216,Capa!A:AC,6,0)),0,1/VLOOKUP(M216,Capa!A:AC,6,0))</f>
        <v>0.0626566416</v>
      </c>
      <c r="R216" s="178">
        <f t="shared" si="6"/>
        <v>121.000121</v>
      </c>
      <c r="S216" s="179" t="str">
        <f t="shared" si="7"/>
        <v>#N/A</v>
      </c>
    </row>
    <row r="217">
      <c r="A217" s="180"/>
      <c r="B217" s="167" t="s">
        <v>132</v>
      </c>
      <c r="C217" s="168">
        <f>VLOOKUP(B217,'Dados StatusInvest'!$A:$Z,26,0)</f>
        <v>90573863</v>
      </c>
      <c r="D217" s="169">
        <f>VLOOKUP(B217,'Dados StatusInvest'!$A:$Z,20,0)/100</f>
        <v>1.4307</v>
      </c>
      <c r="E217" s="93" t="str">
        <f t="shared" si="1"/>
        <v>#N/A</v>
      </c>
      <c r="F217" s="170">
        <f>IF(ISERROR(1/VLOOKUP(B217,Capa!A:AC,13,0)),0,1/VLOOKUP(B217,Capa!A:AC,13,0))</f>
        <v>0.08244023083</v>
      </c>
      <c r="G217" s="171">
        <f t="shared" si="2"/>
        <v>90.00009</v>
      </c>
      <c r="H217" s="172" t="str">
        <f t="shared" si="3"/>
        <v>#N/A</v>
      </c>
      <c r="M217" s="167" t="s">
        <v>132</v>
      </c>
      <c r="N217" s="168">
        <f>VLOOKUP(M217,'Dados StatusInvest'!$A:$Z,26,0)</f>
        <v>90573863</v>
      </c>
      <c r="O217" s="175">
        <f>VLOOKUP(M217,'Dados StatusInvest'!$A:$Z,18,0)/100</f>
        <v>-17.5334</v>
      </c>
      <c r="P217" s="176" t="str">
        <f t="shared" si="5"/>
        <v>#N/A</v>
      </c>
      <c r="Q217" s="177">
        <f>IF(ISERROR(1/VLOOKUP(M217,Capa!A:AC,6,0)),0,1/VLOOKUP(M217,Capa!A:AC,6,0))</f>
        <v>0.0198019802</v>
      </c>
      <c r="R217" s="178">
        <f t="shared" si="6"/>
        <v>296.000296</v>
      </c>
      <c r="S217" s="179" t="str">
        <f t="shared" si="7"/>
        <v>#N/A</v>
      </c>
    </row>
    <row r="218">
      <c r="A218" s="180"/>
      <c r="B218" s="167" t="s">
        <v>341</v>
      </c>
      <c r="C218" s="168">
        <f>VLOOKUP(B218,'Dados StatusInvest'!$A:$Z,26,0)</f>
        <v>489417.96</v>
      </c>
      <c r="D218" s="169">
        <f>VLOOKUP(B218,'Dados StatusInvest'!$A:$Z,20,0)/100</f>
        <v>0.1412</v>
      </c>
      <c r="E218" s="93" t="str">
        <f t="shared" si="1"/>
        <v>#N/A</v>
      </c>
      <c r="F218" s="170">
        <f>IF(ISERROR(1/VLOOKUP(B218,Capa!A:AC,13,0)),0,1/VLOOKUP(B218,Capa!A:AC,13,0))</f>
        <v>0.05586592179</v>
      </c>
      <c r="G218" s="171">
        <f t="shared" si="2"/>
        <v>137.000137</v>
      </c>
      <c r="H218" s="172" t="str">
        <f t="shared" si="3"/>
        <v>#N/A</v>
      </c>
      <c r="M218" s="167" t="s">
        <v>341</v>
      </c>
      <c r="N218" s="168">
        <f>VLOOKUP(M218,'Dados StatusInvest'!$A:$Z,26,0)</f>
        <v>489417.96</v>
      </c>
      <c r="O218" s="175">
        <f>VLOOKUP(M218,'Dados StatusInvest'!$A:$Z,18,0)/100</f>
        <v>0.1969</v>
      </c>
      <c r="P218" s="176" t="str">
        <f t="shared" si="5"/>
        <v>#N/A</v>
      </c>
      <c r="Q218" s="177">
        <f>IF(ISERROR(1/VLOOKUP(M218,Capa!A:AC,6,0)),0,1/VLOOKUP(M218,Capa!A:AC,6,0))</f>
        <v>0.02380952381</v>
      </c>
      <c r="R218" s="178">
        <f t="shared" si="6"/>
        <v>260.00026</v>
      </c>
      <c r="S218" s="179" t="str">
        <f t="shared" si="7"/>
        <v>#N/A</v>
      </c>
    </row>
    <row r="219">
      <c r="A219" s="180"/>
      <c r="B219" s="167" t="s">
        <v>336</v>
      </c>
      <c r="C219" s="168">
        <f>VLOOKUP(B219,'Dados StatusInvest'!$A:$Z,26,0)</f>
        <v>866172.63</v>
      </c>
      <c r="D219" s="169">
        <f>VLOOKUP(B219,'Dados StatusInvest'!$A:$Z,20,0)/100</f>
        <v>0.023</v>
      </c>
      <c r="E219" s="93" t="str">
        <f t="shared" si="1"/>
        <v>#N/A</v>
      </c>
      <c r="F219" s="170">
        <f>IF(ISERROR(1/VLOOKUP(B219,Capa!A:AC,13,0)),0,1/VLOOKUP(B219,Capa!A:AC,13,0))</f>
        <v>0.1897533207</v>
      </c>
      <c r="G219" s="171">
        <f t="shared" si="2"/>
        <v>28.000028</v>
      </c>
      <c r="H219" s="172" t="str">
        <f t="shared" si="3"/>
        <v>#N/A</v>
      </c>
      <c r="M219" s="167" t="s">
        <v>336</v>
      </c>
      <c r="N219" s="168">
        <f>VLOOKUP(M219,'Dados StatusInvest'!$A:$Z,26,0)</f>
        <v>866172.63</v>
      </c>
      <c r="O219" s="175">
        <f>VLOOKUP(M219,'Dados StatusInvest'!$A:$Z,18,0)/100</f>
        <v>0.1022</v>
      </c>
      <c r="P219" s="176" t="str">
        <f t="shared" si="5"/>
        <v>#N/A</v>
      </c>
      <c r="Q219" s="177">
        <f>IF(ISERROR(1/VLOOKUP(M219,Capa!A:AC,6,0)),0,1/VLOOKUP(M219,Capa!A:AC,6,0))</f>
        <v>0.2941176471</v>
      </c>
      <c r="R219" s="178">
        <f t="shared" si="6"/>
        <v>6.000006</v>
      </c>
      <c r="S219" s="179" t="str">
        <f t="shared" si="7"/>
        <v>#N/A</v>
      </c>
    </row>
    <row r="220">
      <c r="A220" s="180"/>
      <c r="B220" s="167" t="s">
        <v>312</v>
      </c>
      <c r="C220" s="168">
        <f>VLOOKUP(B220,'Dados StatusInvest'!$A:$Z,26,0)</f>
        <v>2365107.42</v>
      </c>
      <c r="D220" s="169">
        <f>VLOOKUP(B220,'Dados StatusInvest'!$A:$Z,20,0)/100</f>
        <v>0.2567</v>
      </c>
      <c r="E220" s="93" t="str">
        <f t="shared" si="1"/>
        <v>#N/A</v>
      </c>
      <c r="F220" s="170">
        <f>IF(ISERROR(1/VLOOKUP(B220,Capa!A:AC,13,0)),0,1/VLOOKUP(B220,Capa!A:AC,13,0))</f>
        <v>0.009963136395</v>
      </c>
      <c r="G220" s="171">
        <f t="shared" si="2"/>
        <v>302.000302</v>
      </c>
      <c r="H220" s="172" t="str">
        <f t="shared" si="3"/>
        <v>#N/A</v>
      </c>
      <c r="M220" s="167" t="s">
        <v>312</v>
      </c>
      <c r="N220" s="168">
        <f>VLOOKUP(M220,'Dados StatusInvest'!$A:$Z,26,0)</f>
        <v>2365107.42</v>
      </c>
      <c r="O220" s="175">
        <f>VLOOKUP(M220,'Dados StatusInvest'!$A:$Z,18,0)/100</f>
        <v>0.4256</v>
      </c>
      <c r="P220" s="176" t="str">
        <f t="shared" si="5"/>
        <v>#N/A</v>
      </c>
      <c r="Q220" s="177">
        <f>IF(ISERROR(1/VLOOKUP(M220,Capa!A:AC,6,0)),0,1/VLOOKUP(M220,Capa!A:AC,6,0))</f>
        <v>0.0668002672</v>
      </c>
      <c r="R220" s="178">
        <f t="shared" si="6"/>
        <v>111.000111</v>
      </c>
      <c r="S220" s="179" t="str">
        <f t="shared" si="7"/>
        <v>#N/A</v>
      </c>
    </row>
    <row r="221">
      <c r="A221" s="180"/>
      <c r="B221" s="167" t="s">
        <v>347</v>
      </c>
      <c r="C221" s="168">
        <f>VLOOKUP(B221,'Dados StatusInvest'!$A:$Z,26,0)</f>
        <v>545358.67</v>
      </c>
      <c r="D221" s="169">
        <f>VLOOKUP(B221,'Dados StatusInvest'!$A:$Z,20,0)/100</f>
        <v>0</v>
      </c>
      <c r="E221" s="93" t="str">
        <f t="shared" si="1"/>
        <v>#N/A</v>
      </c>
      <c r="F221" s="170">
        <f>IF(ISERROR(1/VLOOKUP(B221,Capa!A:AC,13,0)),0,1/VLOOKUP(B221,Capa!A:AC,13,0))</f>
        <v>0.0336473755</v>
      </c>
      <c r="G221" s="171">
        <f t="shared" si="2"/>
        <v>231.000231</v>
      </c>
      <c r="H221" s="172" t="str">
        <f t="shared" si="3"/>
        <v>#N/A</v>
      </c>
      <c r="M221" s="167" t="s">
        <v>347</v>
      </c>
      <c r="N221" s="168">
        <f>VLOOKUP(M221,'Dados StatusInvest'!$A:$Z,26,0)</f>
        <v>545358.67</v>
      </c>
      <c r="O221" s="175">
        <f>VLOOKUP(M221,'Dados StatusInvest'!$A:$Z,18,0)/100</f>
        <v>0.1526</v>
      </c>
      <c r="P221" s="176" t="str">
        <f t="shared" si="5"/>
        <v>#N/A</v>
      </c>
      <c r="Q221" s="177">
        <f>IF(ISERROR(1/VLOOKUP(M221,Capa!A:AC,6,0)),0,1/VLOOKUP(M221,Capa!A:AC,6,0))</f>
        <v>0.04454342984</v>
      </c>
      <c r="R221" s="178">
        <f t="shared" si="6"/>
        <v>158.000158</v>
      </c>
      <c r="S221" s="179" t="str">
        <f t="shared" si="7"/>
        <v>#N/A</v>
      </c>
    </row>
    <row r="222">
      <c r="A222" s="180"/>
      <c r="B222" s="167" t="s">
        <v>355</v>
      </c>
      <c r="C222" s="168">
        <f>VLOOKUP(B222,'Dados StatusInvest'!$A:$Z,26,0)</f>
        <v>312578.46</v>
      </c>
      <c r="D222" s="169">
        <f>VLOOKUP(B222,'Dados StatusInvest'!$A:$Z,20,0)/100</f>
        <v>0.0113</v>
      </c>
      <c r="E222" s="93" t="str">
        <f t="shared" si="1"/>
        <v>#N/A</v>
      </c>
      <c r="F222" s="170">
        <f>IF(ISERROR(1/VLOOKUP(B222,Capa!A:AC,13,0)),0,1/VLOOKUP(B222,Capa!A:AC,13,0))</f>
        <v>0.1406469761</v>
      </c>
      <c r="G222" s="171">
        <f t="shared" si="2"/>
        <v>48.000048</v>
      </c>
      <c r="H222" s="172" t="str">
        <f t="shared" si="3"/>
        <v>#N/A</v>
      </c>
      <c r="M222" s="167" t="s">
        <v>355</v>
      </c>
      <c r="N222" s="168">
        <f>VLOOKUP(M222,'Dados StatusInvest'!$A:$Z,26,0)</f>
        <v>312578.46</v>
      </c>
      <c r="O222" s="175">
        <f>VLOOKUP(M222,'Dados StatusInvest'!$A:$Z,18,0)/100</f>
        <v>0.0303</v>
      </c>
      <c r="P222" s="176" t="str">
        <f t="shared" si="5"/>
        <v>#N/A</v>
      </c>
      <c r="Q222" s="177">
        <f>IF(ISERROR(1/VLOOKUP(M222,Capa!A:AC,6,0)),0,1/VLOOKUP(M222,Capa!A:AC,6,0))</f>
        <v>0.07668711656</v>
      </c>
      <c r="R222" s="178">
        <f t="shared" si="6"/>
        <v>93.000093</v>
      </c>
      <c r="S222" s="179" t="str">
        <f t="shared" si="7"/>
        <v>#N/A</v>
      </c>
    </row>
    <row r="223">
      <c r="A223" s="180"/>
      <c r="B223" s="167" t="s">
        <v>241</v>
      </c>
      <c r="C223" s="168">
        <f>VLOOKUP(B223,'Dados StatusInvest'!$A:$Z,26,0)</f>
        <v>16358945.33</v>
      </c>
      <c r="D223" s="169">
        <f>VLOOKUP(B223,'Dados StatusInvest'!$A:$Z,20,0)/100</f>
        <v>0.0488</v>
      </c>
      <c r="E223" s="93" t="str">
        <f t="shared" si="1"/>
        <v>#N/A</v>
      </c>
      <c r="F223" s="170">
        <f>IF(ISERROR(1/VLOOKUP(B223,Capa!A:AC,13,0)),0,1/VLOOKUP(B223,Capa!A:AC,13,0))</f>
        <v>0.08216926869</v>
      </c>
      <c r="G223" s="171">
        <f t="shared" si="2"/>
        <v>91.000091</v>
      </c>
      <c r="H223" s="172" t="str">
        <f t="shared" si="3"/>
        <v>#N/A</v>
      </c>
      <c r="M223" s="167" t="s">
        <v>241</v>
      </c>
      <c r="N223" s="168">
        <f>VLOOKUP(M223,'Dados StatusInvest'!$A:$Z,26,0)</f>
        <v>16358945.33</v>
      </c>
      <c r="O223" s="175">
        <f>VLOOKUP(M223,'Dados StatusInvest'!$A:$Z,18,0)/100</f>
        <v>0.0315</v>
      </c>
      <c r="P223" s="176" t="str">
        <f t="shared" si="5"/>
        <v>#N/A</v>
      </c>
      <c r="Q223" s="177">
        <f>IF(ISERROR(1/VLOOKUP(M223,Capa!A:AC,6,0)),0,1/VLOOKUP(M223,Capa!A:AC,6,0))</f>
        <v>0.2380952381</v>
      </c>
      <c r="R223" s="178">
        <f t="shared" si="6"/>
        <v>14.000014</v>
      </c>
      <c r="S223" s="179" t="str">
        <f t="shared" si="7"/>
        <v>#N/A</v>
      </c>
    </row>
    <row r="224">
      <c r="A224" s="180"/>
      <c r="B224" s="167" t="s">
        <v>407</v>
      </c>
      <c r="C224" s="168">
        <f>VLOOKUP(B224,'Dados StatusInvest'!$A:$Z,26,0)</f>
        <v>108508.42</v>
      </c>
      <c r="D224" s="169">
        <f>VLOOKUP(B224,'Dados StatusInvest'!$A:$Z,20,0)/100</f>
        <v>0.0701</v>
      </c>
      <c r="E224" s="93" t="str">
        <f t="shared" si="1"/>
        <v>#N/A</v>
      </c>
      <c r="F224" s="170">
        <f>IF(ISERROR(1/VLOOKUP(B224,Capa!A:AC,13,0)),0,1/VLOOKUP(B224,Capa!A:AC,13,0))</f>
        <v>0.1121076233</v>
      </c>
      <c r="G224" s="171">
        <f t="shared" si="2"/>
        <v>65.000065</v>
      </c>
      <c r="H224" s="172" t="str">
        <f t="shared" si="3"/>
        <v>#N/A</v>
      </c>
      <c r="M224" s="167" t="s">
        <v>407</v>
      </c>
      <c r="N224" s="168">
        <f>VLOOKUP(M224,'Dados StatusInvest'!$A:$Z,26,0)</f>
        <v>108508.42</v>
      </c>
      <c r="O224" s="175">
        <f>VLOOKUP(M224,'Dados StatusInvest'!$A:$Z,18,0)/100</f>
        <v>-0.1154</v>
      </c>
      <c r="P224" s="176" t="str">
        <f t="shared" si="5"/>
        <v>#N/A</v>
      </c>
      <c r="Q224" s="177">
        <f>IF(ISERROR(1/VLOOKUP(M224,Capa!A:AC,6,0)),0,1/VLOOKUP(M224,Capa!A:AC,6,0))</f>
        <v>0.1177856302</v>
      </c>
      <c r="R224" s="178">
        <f t="shared" si="6"/>
        <v>47.000047</v>
      </c>
      <c r="S224" s="179" t="str">
        <f t="shared" si="7"/>
        <v>#N/A</v>
      </c>
    </row>
    <row r="225">
      <c r="A225" s="180"/>
      <c r="B225" s="167" t="s">
        <v>364</v>
      </c>
      <c r="C225" s="168">
        <f>VLOOKUP(B225,'Dados StatusInvest'!$A:$Z,26,0)</f>
        <v>308684.38</v>
      </c>
      <c r="D225" s="169">
        <f>VLOOKUP(B225,'Dados StatusInvest'!$A:$Z,20,0)/100</f>
        <v>0.0595</v>
      </c>
      <c r="E225" s="93" t="str">
        <f t="shared" si="1"/>
        <v>#N/A</v>
      </c>
      <c r="F225" s="170">
        <f>IF(ISERROR(1/VLOOKUP(B225,Capa!A:AC,13,0)),0,1/VLOOKUP(B225,Capa!A:AC,13,0))</f>
        <v>0.01574555188</v>
      </c>
      <c r="G225" s="171">
        <f t="shared" si="2"/>
        <v>292.000292</v>
      </c>
      <c r="H225" s="172" t="str">
        <f t="shared" si="3"/>
        <v>#N/A</v>
      </c>
      <c r="M225" s="167" t="s">
        <v>364</v>
      </c>
      <c r="N225" s="168">
        <f>VLOOKUP(M225,'Dados StatusInvest'!$A:$Z,26,0)</f>
        <v>308684.38</v>
      </c>
      <c r="O225" s="175">
        <f>VLOOKUP(M225,'Dados StatusInvest'!$A:$Z,18,0)/100</f>
        <v>0.06</v>
      </c>
      <c r="P225" s="176" t="str">
        <f t="shared" si="5"/>
        <v>#N/A</v>
      </c>
      <c r="Q225" s="177">
        <f>IF(ISERROR(1/VLOOKUP(M225,Capa!A:AC,6,0)),0,1/VLOOKUP(M225,Capa!A:AC,6,0))</f>
        <v>0.02025931929</v>
      </c>
      <c r="R225" s="178">
        <f t="shared" si="6"/>
        <v>290.00029</v>
      </c>
      <c r="S225" s="179" t="str">
        <f t="shared" si="7"/>
        <v>#N/A</v>
      </c>
    </row>
    <row r="226">
      <c r="A226" s="180"/>
      <c r="B226" s="167" t="s">
        <v>337</v>
      </c>
      <c r="C226" s="168">
        <f>VLOOKUP(B226,'Dados StatusInvest'!$A:$Z,26,0)</f>
        <v>757701.08</v>
      </c>
      <c r="D226" s="169">
        <f>VLOOKUP(B226,'Dados StatusInvest'!$A:$Z,20,0)/100</f>
        <v>0.3139</v>
      </c>
      <c r="E226" s="93" t="str">
        <f t="shared" si="1"/>
        <v>#N/A</v>
      </c>
      <c r="F226" s="170">
        <f>IF(ISERROR(1/VLOOKUP(B226,Capa!A:AC,13,0)),0,1/VLOOKUP(B226,Capa!A:AC,13,0))</f>
        <v>0.05128205128</v>
      </c>
      <c r="G226" s="171">
        <f t="shared" si="2"/>
        <v>163.000163</v>
      </c>
      <c r="H226" s="172" t="str">
        <f t="shared" si="3"/>
        <v>#N/A</v>
      </c>
      <c r="M226" s="167" t="s">
        <v>337</v>
      </c>
      <c r="N226" s="168">
        <f>VLOOKUP(M226,'Dados StatusInvest'!$A:$Z,26,0)</f>
        <v>757701.08</v>
      </c>
      <c r="O226" s="175">
        <f>VLOOKUP(M226,'Dados StatusInvest'!$A:$Z,18,0)/100</f>
        <v>1.0798</v>
      </c>
      <c r="P226" s="176" t="str">
        <f t="shared" si="5"/>
        <v>#N/A</v>
      </c>
      <c r="Q226" s="177">
        <f>IF(ISERROR(1/VLOOKUP(M226,Capa!A:AC,6,0)),0,1/VLOOKUP(M226,Capa!A:AC,6,0))</f>
        <v>0.01515151515</v>
      </c>
      <c r="R226" s="178">
        <f t="shared" si="6"/>
        <v>327.000327</v>
      </c>
      <c r="S226" s="179" t="str">
        <f t="shared" si="7"/>
        <v>#N/A</v>
      </c>
    </row>
    <row r="227">
      <c r="A227" s="180"/>
      <c r="B227" s="167" t="s">
        <v>517</v>
      </c>
      <c r="C227" s="168">
        <f>VLOOKUP(B227,'Dados StatusInvest'!$A:$Z,26,0)</f>
        <v>4877.58</v>
      </c>
      <c r="D227" s="169">
        <f>VLOOKUP(B227,'Dados StatusInvest'!$A:$Z,20,0)/100</f>
        <v>0</v>
      </c>
      <c r="E227" s="93" t="str">
        <f t="shared" si="1"/>
        <v>#N/A</v>
      </c>
      <c r="F227" s="170">
        <f>IF(ISERROR(1/VLOOKUP(B227,Capa!A:AC,13,0)),0,1/VLOOKUP(B227,Capa!A:AC,13,0))</f>
        <v>0</v>
      </c>
      <c r="G227" s="171">
        <f t="shared" si="2"/>
        <v>329.000329</v>
      </c>
      <c r="H227" s="172" t="str">
        <f t="shared" si="3"/>
        <v>#N/A</v>
      </c>
      <c r="M227" s="167" t="s">
        <v>517</v>
      </c>
      <c r="N227" s="168">
        <f>VLOOKUP(M227,'Dados StatusInvest'!$A:$Z,26,0)</f>
        <v>4877.58</v>
      </c>
      <c r="O227" s="175">
        <f>VLOOKUP(M227,'Dados StatusInvest'!$A:$Z,18,0)/100</f>
        <v>-5.375</v>
      </c>
      <c r="P227" s="176" t="str">
        <f t="shared" si="5"/>
        <v>#N/A</v>
      </c>
      <c r="Q227" s="177">
        <f>IF(ISERROR(1/VLOOKUP(M227,Capa!A:AC,6,0)),0,1/VLOOKUP(M227,Capa!A:AC,6,0))</f>
        <v>0.06289308176</v>
      </c>
      <c r="R227" s="178">
        <f t="shared" si="6"/>
        <v>120.00012</v>
      </c>
      <c r="S227" s="179" t="str">
        <f t="shared" si="7"/>
        <v>#N/A</v>
      </c>
    </row>
    <row r="228">
      <c r="A228" s="180"/>
      <c r="B228" s="167" t="s">
        <v>316</v>
      </c>
      <c r="C228" s="168">
        <f>VLOOKUP(B228,'Dados StatusInvest'!$A:$Z,26,0)</f>
        <v>1258780.42</v>
      </c>
      <c r="D228" s="169">
        <f>VLOOKUP(B228,'Dados StatusInvest'!$A:$Z,20,0)/100</f>
        <v>0.0978</v>
      </c>
      <c r="E228" s="93" t="str">
        <f t="shared" si="1"/>
        <v>#N/A</v>
      </c>
      <c r="F228" s="170">
        <f>IF(ISERROR(1/VLOOKUP(B228,Capa!A:AC,13,0)),0,1/VLOOKUP(B228,Capa!A:AC,13,0))</f>
        <v>-0.008064516129</v>
      </c>
      <c r="G228" s="171">
        <f t="shared" si="2"/>
        <v>403.000403</v>
      </c>
      <c r="H228" s="172" t="str">
        <f t="shared" si="3"/>
        <v>#N/A</v>
      </c>
      <c r="M228" s="167" t="s">
        <v>316</v>
      </c>
      <c r="N228" s="168">
        <f>VLOOKUP(M228,'Dados StatusInvest'!$A:$Z,26,0)</f>
        <v>1258780.42</v>
      </c>
      <c r="O228" s="175">
        <f>VLOOKUP(M228,'Dados StatusInvest'!$A:$Z,18,0)/100</f>
        <v>-0.1081</v>
      </c>
      <c r="P228" s="176" t="str">
        <f t="shared" si="5"/>
        <v>#N/A</v>
      </c>
      <c r="Q228" s="177">
        <f>IF(ISERROR(1/VLOOKUP(M228,Capa!A:AC,6,0)),0,1/VLOOKUP(M228,Capa!A:AC,6,0))</f>
        <v>0.1142857143</v>
      </c>
      <c r="R228" s="178">
        <f t="shared" si="6"/>
        <v>53.000053</v>
      </c>
      <c r="S228" s="179" t="str">
        <f t="shared" si="7"/>
        <v>#N/A</v>
      </c>
    </row>
    <row r="229">
      <c r="A229" s="180"/>
      <c r="B229" s="167" t="s">
        <v>328</v>
      </c>
      <c r="C229" s="168">
        <f>VLOOKUP(B229,'Dados StatusInvest'!$A:$Z,26,0)</f>
        <v>1003141.08</v>
      </c>
      <c r="D229" s="169">
        <f>VLOOKUP(B229,'Dados StatusInvest'!$A:$Z,20,0)/100</f>
        <v>0.6902</v>
      </c>
      <c r="E229" s="93" t="str">
        <f t="shared" si="1"/>
        <v>#N/A</v>
      </c>
      <c r="F229" s="170">
        <f>IF(ISERROR(1/VLOOKUP(B229,Capa!A:AC,13,0)),0,1/VLOOKUP(B229,Capa!A:AC,13,0))</f>
        <v>0.03317850033</v>
      </c>
      <c r="G229" s="171">
        <f t="shared" si="2"/>
        <v>234.000234</v>
      </c>
      <c r="H229" s="172" t="str">
        <f t="shared" si="3"/>
        <v>#N/A</v>
      </c>
      <c r="M229" s="167" t="s">
        <v>328</v>
      </c>
      <c r="N229" s="168">
        <f>VLOOKUP(M229,'Dados StatusInvest'!$A:$Z,26,0)</f>
        <v>1003141.08</v>
      </c>
      <c r="O229" s="175">
        <f>VLOOKUP(M229,'Dados StatusInvest'!$A:$Z,18,0)/100</f>
        <v>1.7796</v>
      </c>
      <c r="P229" s="176" t="str">
        <f t="shared" si="5"/>
        <v>#N/A</v>
      </c>
      <c r="Q229" s="177">
        <f>IF(ISERROR(1/VLOOKUP(M229,Capa!A:AC,6,0)),0,1/VLOOKUP(M229,Capa!A:AC,6,0))</f>
        <v>0.03379520108</v>
      </c>
      <c r="R229" s="178">
        <f t="shared" si="6"/>
        <v>210.00021</v>
      </c>
      <c r="S229" s="179" t="str">
        <f t="shared" si="7"/>
        <v>#N/A</v>
      </c>
    </row>
    <row r="230">
      <c r="A230" s="180"/>
      <c r="B230" s="167" t="s">
        <v>402</v>
      </c>
      <c r="C230" s="168">
        <f>VLOOKUP(B230,'Dados StatusInvest'!$A:$Z,26,0)</f>
        <v>106300.5</v>
      </c>
      <c r="D230" s="169">
        <f>VLOOKUP(B230,'Dados StatusInvest'!$A:$Z,20,0)/100</f>
        <v>0.1828</v>
      </c>
      <c r="E230" s="93" t="str">
        <f t="shared" si="1"/>
        <v>#N/A</v>
      </c>
      <c r="F230" s="170">
        <f>IF(ISERROR(1/VLOOKUP(B230,Capa!A:AC,13,0)),0,1/VLOOKUP(B230,Capa!A:AC,13,0))</f>
        <v>0.01504438092</v>
      </c>
      <c r="G230" s="171">
        <f t="shared" si="2"/>
        <v>293.000293</v>
      </c>
      <c r="H230" s="172" t="str">
        <f t="shared" si="3"/>
        <v>#N/A</v>
      </c>
      <c r="M230" s="167" t="s">
        <v>402</v>
      </c>
      <c r="N230" s="168">
        <f>VLOOKUP(M230,'Dados StatusInvest'!$A:$Z,26,0)</f>
        <v>106300.5</v>
      </c>
      <c r="O230" s="175">
        <f>VLOOKUP(M230,'Dados StatusInvest'!$A:$Z,18,0)/100</f>
        <v>0.2113</v>
      </c>
      <c r="P230" s="176" t="str">
        <f t="shared" si="5"/>
        <v>#N/A</v>
      </c>
      <c r="Q230" s="177">
        <f>IF(ISERROR(1/VLOOKUP(M230,Capa!A:AC,6,0)),0,1/VLOOKUP(M230,Capa!A:AC,6,0))</f>
        <v>0.0998003992</v>
      </c>
      <c r="R230" s="178">
        <f t="shared" si="6"/>
        <v>66.000066</v>
      </c>
      <c r="S230" s="179" t="str">
        <f t="shared" si="7"/>
        <v>#N/A</v>
      </c>
    </row>
    <row r="231">
      <c r="A231" s="180"/>
      <c r="B231" s="167" t="s">
        <v>326</v>
      </c>
      <c r="C231" s="168">
        <f>VLOOKUP(B231,'Dados StatusInvest'!$A:$Z,26,0)</f>
        <v>1369854.5</v>
      </c>
      <c r="D231" s="169">
        <f>VLOOKUP(B231,'Dados StatusInvest'!$A:$Z,20,0)/100</f>
        <v>0.1196</v>
      </c>
      <c r="E231" s="93" t="str">
        <f t="shared" si="1"/>
        <v>#N/A</v>
      </c>
      <c r="F231" s="170">
        <f>IF(ISERROR(1/VLOOKUP(B231,Capa!A:AC,13,0)),0,1/VLOOKUP(B231,Capa!A:AC,13,0))</f>
        <v>0.05515719801</v>
      </c>
      <c r="G231" s="171">
        <f t="shared" si="2"/>
        <v>145.000145</v>
      </c>
      <c r="H231" s="172" t="str">
        <f t="shared" si="3"/>
        <v>#N/A</v>
      </c>
      <c r="M231" s="167" t="s">
        <v>326</v>
      </c>
      <c r="N231" s="168">
        <f>VLOOKUP(M231,'Dados StatusInvest'!$A:$Z,26,0)</f>
        <v>1369854.5</v>
      </c>
      <c r="O231" s="175">
        <f>VLOOKUP(M231,'Dados StatusInvest'!$A:$Z,18,0)/100</f>
        <v>0.1723</v>
      </c>
      <c r="P231" s="176" t="str">
        <f t="shared" si="5"/>
        <v>#N/A</v>
      </c>
      <c r="Q231" s="177">
        <f>IF(ISERROR(1/VLOOKUP(M231,Capa!A:AC,6,0)),0,1/VLOOKUP(M231,Capa!A:AC,6,0))</f>
        <v>0.07518796992</v>
      </c>
      <c r="R231" s="178">
        <f t="shared" si="6"/>
        <v>95.000095</v>
      </c>
      <c r="S231" s="179" t="str">
        <f t="shared" si="7"/>
        <v>#N/A</v>
      </c>
    </row>
    <row r="232">
      <c r="A232" s="180"/>
      <c r="B232" s="167" t="s">
        <v>385</v>
      </c>
      <c r="C232" s="168">
        <f>VLOOKUP(B232,'Dados StatusInvest'!$A:$Z,26,0)</f>
        <v>206039.71</v>
      </c>
      <c r="D232" s="169">
        <f>VLOOKUP(B232,'Dados StatusInvest'!$A:$Z,20,0)/100</f>
        <v>-0.1744</v>
      </c>
      <c r="E232" s="93" t="str">
        <f t="shared" si="1"/>
        <v>#N/A</v>
      </c>
      <c r="F232" s="170">
        <f>IF(ISERROR(1/VLOOKUP(B232,Capa!A:AC,13,0)),0,1/VLOOKUP(B232,Capa!A:AC,13,0))</f>
        <v>-0.01473839352</v>
      </c>
      <c r="G232" s="171">
        <f t="shared" si="2"/>
        <v>405.000405</v>
      </c>
      <c r="H232" s="172" t="str">
        <f t="shared" si="3"/>
        <v>#N/A</v>
      </c>
      <c r="M232" s="167" t="s">
        <v>385</v>
      </c>
      <c r="N232" s="168">
        <f>VLOOKUP(M232,'Dados StatusInvest'!$A:$Z,26,0)</f>
        <v>206039.71</v>
      </c>
      <c r="O232" s="175">
        <f>VLOOKUP(M232,'Dados StatusInvest'!$A:$Z,18,0)/100</f>
        <v>-0.4413</v>
      </c>
      <c r="P232" s="176" t="str">
        <f t="shared" si="5"/>
        <v>#N/A</v>
      </c>
      <c r="Q232" s="177">
        <f>IF(ISERROR(1/VLOOKUP(M232,Capa!A:AC,6,0)),0,1/VLOOKUP(M232,Capa!A:AC,6,0))</f>
        <v>0.05128205128</v>
      </c>
      <c r="R232" s="178">
        <f t="shared" si="6"/>
        <v>142.000142</v>
      </c>
      <c r="S232" s="179" t="str">
        <f t="shared" si="7"/>
        <v>#N/A</v>
      </c>
    </row>
    <row r="233">
      <c r="A233" s="180"/>
      <c r="B233" s="167" t="s">
        <v>306</v>
      </c>
      <c r="C233" s="168">
        <f>VLOOKUP(B233,'Dados StatusInvest'!$A:$Z,26,0)</f>
        <v>2199858.92</v>
      </c>
      <c r="D233" s="169">
        <f>VLOOKUP(B233,'Dados StatusInvest'!$A:$Z,20,0)/100</f>
        <v>0.3614</v>
      </c>
      <c r="E233" s="93" t="str">
        <f t="shared" si="1"/>
        <v>#N/A</v>
      </c>
      <c r="F233" s="170">
        <f>IF(ISERROR(1/VLOOKUP(B233,Capa!A:AC,13,0)),0,1/VLOOKUP(B233,Capa!A:AC,13,0))</f>
        <v>0.03180661578</v>
      </c>
      <c r="G233" s="171">
        <f t="shared" si="2"/>
        <v>241.000241</v>
      </c>
      <c r="H233" s="172" t="str">
        <f t="shared" si="3"/>
        <v>#N/A</v>
      </c>
      <c r="M233" s="167" t="s">
        <v>306</v>
      </c>
      <c r="N233" s="168">
        <f>VLOOKUP(M233,'Dados StatusInvest'!$A:$Z,26,0)</f>
        <v>2199858.92</v>
      </c>
      <c r="O233" s="175">
        <f>VLOOKUP(M233,'Dados StatusInvest'!$A:$Z,18,0)/100</f>
        <v>0.4858</v>
      </c>
      <c r="P233" s="176" t="str">
        <f t="shared" si="5"/>
        <v>#N/A</v>
      </c>
      <c r="Q233" s="177">
        <f>IF(ISERROR(1/VLOOKUP(M233,Capa!A:AC,6,0)),0,1/VLOOKUP(M233,Capa!A:AC,6,0))</f>
        <v>0.009177679883</v>
      </c>
      <c r="R233" s="178">
        <f t="shared" si="6"/>
        <v>370.00037</v>
      </c>
      <c r="S233" s="179" t="str">
        <f t="shared" si="7"/>
        <v>#N/A</v>
      </c>
    </row>
    <row r="234">
      <c r="A234" s="180"/>
      <c r="B234" s="167" t="s">
        <v>345</v>
      </c>
      <c r="C234" s="168">
        <f>VLOOKUP(B234,'Dados StatusInvest'!$A:$Z,26,0)</f>
        <v>565649.79</v>
      </c>
      <c r="D234" s="169">
        <f>VLOOKUP(B234,'Dados StatusInvest'!$A:$Z,20,0)/100</f>
        <v>0.1595</v>
      </c>
      <c r="E234" s="93" t="str">
        <f t="shared" si="1"/>
        <v>#N/A</v>
      </c>
      <c r="F234" s="170">
        <f>IF(ISERROR(1/VLOOKUP(B234,Capa!A:AC,13,0)),0,1/VLOOKUP(B234,Capa!A:AC,13,0))</f>
        <v>0.03946329913</v>
      </c>
      <c r="G234" s="171">
        <f t="shared" si="2"/>
        <v>209.000209</v>
      </c>
      <c r="H234" s="172" t="str">
        <f t="shared" si="3"/>
        <v>#N/A</v>
      </c>
      <c r="M234" s="167" t="s">
        <v>345</v>
      </c>
      <c r="N234" s="168">
        <f>VLOOKUP(M234,'Dados StatusInvest'!$A:$Z,26,0)</f>
        <v>565649.79</v>
      </c>
      <c r="O234" s="175">
        <f>VLOOKUP(M234,'Dados StatusInvest'!$A:$Z,18,0)/100</f>
        <v>0.0918</v>
      </c>
      <c r="P234" s="176" t="str">
        <f t="shared" si="5"/>
        <v>#N/A</v>
      </c>
      <c r="Q234" s="177">
        <f>IF(ISERROR(1/VLOOKUP(M234,Capa!A:AC,6,0)),0,1/VLOOKUP(M234,Capa!A:AC,6,0))</f>
        <v>0.02127659574</v>
      </c>
      <c r="R234" s="178">
        <f t="shared" si="6"/>
        <v>280.00028</v>
      </c>
      <c r="S234" s="179" t="str">
        <f t="shared" si="7"/>
        <v>#N/A</v>
      </c>
    </row>
    <row r="235">
      <c r="A235" s="180"/>
      <c r="B235" s="167" t="s">
        <v>331</v>
      </c>
      <c r="C235" s="168">
        <f>VLOOKUP(B235,'Dados StatusInvest'!$A:$Z,26,0)</f>
        <v>1000341</v>
      </c>
      <c r="D235" s="169">
        <f>VLOOKUP(B235,'Dados StatusInvest'!$A:$Z,20,0)/100</f>
        <v>0.2567</v>
      </c>
      <c r="E235" s="93" t="str">
        <f t="shared" si="1"/>
        <v>#N/A</v>
      </c>
      <c r="F235" s="170">
        <f>IF(ISERROR(1/VLOOKUP(B235,Capa!A:AC,13,0)),0,1/VLOOKUP(B235,Capa!A:AC,13,0))</f>
        <v>0.009963136395</v>
      </c>
      <c r="G235" s="171">
        <f t="shared" si="2"/>
        <v>302.000302</v>
      </c>
      <c r="H235" s="172" t="str">
        <f t="shared" si="3"/>
        <v>#N/A</v>
      </c>
      <c r="M235" s="167" t="s">
        <v>331</v>
      </c>
      <c r="N235" s="168">
        <f>VLOOKUP(M235,'Dados StatusInvest'!$A:$Z,26,0)</f>
        <v>1000341</v>
      </c>
      <c r="O235" s="175">
        <f>VLOOKUP(M235,'Dados StatusInvest'!$A:$Z,18,0)/100</f>
        <v>0.4256</v>
      </c>
      <c r="P235" s="176" t="str">
        <f t="shared" si="5"/>
        <v>#N/A</v>
      </c>
      <c r="Q235" s="177">
        <f>IF(ISERROR(1/VLOOKUP(M235,Capa!A:AC,6,0)),0,1/VLOOKUP(M235,Capa!A:AC,6,0))</f>
        <v>0.06896551724</v>
      </c>
      <c r="R235" s="178">
        <f t="shared" si="6"/>
        <v>106.000106</v>
      </c>
      <c r="S235" s="179" t="str">
        <f t="shared" si="7"/>
        <v>#N/A</v>
      </c>
    </row>
    <row r="236">
      <c r="A236" s="180"/>
      <c r="B236" s="167" t="s">
        <v>1680</v>
      </c>
      <c r="C236" s="168" t="str">
        <f>VLOOKUP(B236,'Dados StatusInvest'!$A:$Z,26,0)</f>
        <v>#N/A</v>
      </c>
      <c r="D236" s="169" t="str">
        <f>VLOOKUP(B236,'Dados StatusInvest'!$A:$Z,20,0)/100</f>
        <v>#N/A</v>
      </c>
      <c r="E236" s="93" t="str">
        <f t="shared" si="1"/>
        <v>#N/A</v>
      </c>
      <c r="F236" s="170">
        <f>IF(ISERROR(1/VLOOKUP(B236,Capa!A:AC,13,0)),0,1/VLOOKUP(B236,Capa!A:AC,13,0))</f>
        <v>0</v>
      </c>
      <c r="G236" s="171">
        <f t="shared" si="2"/>
        <v>329.000329</v>
      </c>
      <c r="H236" s="172" t="str">
        <f t="shared" si="3"/>
        <v>#N/A</v>
      </c>
      <c r="M236" s="167" t="s">
        <v>1680</v>
      </c>
      <c r="N236" s="168" t="str">
        <f>VLOOKUP(M236,'Dados StatusInvest'!$A:$Z,26,0)</f>
        <v>#N/A</v>
      </c>
      <c r="O236" s="175" t="str">
        <f>VLOOKUP(M236,'Dados StatusInvest'!$A:$Z,18,0)/100</f>
        <v>#N/A</v>
      </c>
      <c r="P236" s="176" t="str">
        <f t="shared" si="5"/>
        <v>#N/A</v>
      </c>
      <c r="Q236" s="177">
        <f>IF(ISERROR(1/VLOOKUP(M236,Capa!A:AC,6,0)),0,1/VLOOKUP(M236,Capa!A:AC,6,0))</f>
        <v>0</v>
      </c>
      <c r="R236" s="178">
        <f t="shared" si="6"/>
        <v>399.000399</v>
      </c>
      <c r="S236" s="179" t="str">
        <f t="shared" si="7"/>
        <v>#N/A</v>
      </c>
    </row>
    <row r="237">
      <c r="A237" s="180"/>
      <c r="B237" s="167" t="s">
        <v>643</v>
      </c>
      <c r="C237" s="168">
        <f>VLOOKUP(B237,'Dados StatusInvest'!$A:$Z,26,0)</f>
        <v>83188.67</v>
      </c>
      <c r="D237" s="169">
        <f>VLOOKUP(B237,'Dados StatusInvest'!$A:$Z,20,0)/100</f>
        <v>0.0584</v>
      </c>
      <c r="E237" s="93" t="str">
        <f t="shared" si="1"/>
        <v>#N/A</v>
      </c>
      <c r="F237" s="170">
        <f>IF(ISERROR(1/VLOOKUP(B237,Capa!A:AC,13,0)),0,1/VLOOKUP(B237,Capa!A:AC,13,0))</f>
        <v>0</v>
      </c>
      <c r="G237" s="171">
        <f t="shared" si="2"/>
        <v>329.000329</v>
      </c>
      <c r="H237" s="172" t="str">
        <f t="shared" si="3"/>
        <v>#N/A</v>
      </c>
      <c r="M237" s="167" t="s">
        <v>643</v>
      </c>
      <c r="N237" s="168">
        <f>VLOOKUP(M237,'Dados StatusInvest'!$A:$Z,26,0)</f>
        <v>83188.67</v>
      </c>
      <c r="O237" s="175">
        <f>VLOOKUP(M237,'Dados StatusInvest'!$A:$Z,18,0)/100</f>
        <v>0.0769</v>
      </c>
      <c r="P237" s="176" t="str">
        <f t="shared" si="5"/>
        <v>#N/A</v>
      </c>
      <c r="Q237" s="177">
        <f>IF(ISERROR(1/VLOOKUP(M237,Capa!A:AC,6,0)),0,1/VLOOKUP(M237,Capa!A:AC,6,0))</f>
        <v>0</v>
      </c>
      <c r="R237" s="178">
        <f t="shared" si="6"/>
        <v>399.000399</v>
      </c>
      <c r="S237" s="179" t="str">
        <f t="shared" si="7"/>
        <v>#N/A</v>
      </c>
    </row>
    <row r="238">
      <c r="A238" s="180"/>
      <c r="B238" s="167" t="s">
        <v>649</v>
      </c>
      <c r="C238" s="168">
        <f>VLOOKUP(B238,'Dados StatusInvest'!$A:$Z,26,0)</f>
        <v>644391.25</v>
      </c>
      <c r="D238" s="169">
        <f>VLOOKUP(B238,'Dados StatusInvest'!$A:$Z,20,0)/100</f>
        <v>0.1501</v>
      </c>
      <c r="E238" s="93" t="str">
        <f t="shared" si="1"/>
        <v>#N/A</v>
      </c>
      <c r="F238" s="170">
        <f>IF(ISERROR(1/VLOOKUP(B238,Capa!A:AC,13,0)),0,1/VLOOKUP(B238,Capa!A:AC,13,0))</f>
        <v>0</v>
      </c>
      <c r="G238" s="171">
        <f t="shared" si="2"/>
        <v>329.000329</v>
      </c>
      <c r="H238" s="172" t="str">
        <f t="shared" si="3"/>
        <v>#N/A</v>
      </c>
      <c r="M238" s="167" t="s">
        <v>649</v>
      </c>
      <c r="N238" s="168">
        <f>VLOOKUP(M238,'Dados StatusInvest'!$A:$Z,26,0)</f>
        <v>644391.25</v>
      </c>
      <c r="O238" s="175">
        <f>VLOOKUP(M238,'Dados StatusInvest'!$A:$Z,18,0)/100</f>
        <v>0.2106</v>
      </c>
      <c r="P238" s="176" t="str">
        <f t="shared" si="5"/>
        <v>#N/A</v>
      </c>
      <c r="Q238" s="177">
        <f>IF(ISERROR(1/VLOOKUP(M238,Capa!A:AC,6,0)),0,1/VLOOKUP(M238,Capa!A:AC,6,0))</f>
        <v>0</v>
      </c>
      <c r="R238" s="178">
        <f t="shared" si="6"/>
        <v>399.000399</v>
      </c>
      <c r="S238" s="179" t="str">
        <f t="shared" si="7"/>
        <v>#N/A</v>
      </c>
    </row>
    <row r="239">
      <c r="A239" s="180"/>
      <c r="B239" s="167" t="s">
        <v>296</v>
      </c>
      <c r="C239" s="168">
        <f>VLOOKUP(B239,'Dados StatusInvest'!$A:$Z,26,0)</f>
        <v>2920497</v>
      </c>
      <c r="D239" s="169">
        <f>VLOOKUP(B239,'Dados StatusInvest'!$A:$Z,20,0)/100</f>
        <v>0.2394</v>
      </c>
      <c r="E239" s="93" t="str">
        <f t="shared" si="1"/>
        <v>#N/A</v>
      </c>
      <c r="F239" s="170">
        <f>IF(ISERROR(1/VLOOKUP(B239,Capa!A:AC,13,0)),0,1/VLOOKUP(B239,Capa!A:AC,13,0))</f>
        <v>0.03861003861</v>
      </c>
      <c r="G239" s="171">
        <f t="shared" si="2"/>
        <v>211.000211</v>
      </c>
      <c r="H239" s="172" t="str">
        <f t="shared" si="3"/>
        <v>#N/A</v>
      </c>
      <c r="M239" s="167" t="s">
        <v>296</v>
      </c>
      <c r="N239" s="168">
        <f>VLOOKUP(M239,'Dados StatusInvest'!$A:$Z,26,0)</f>
        <v>2920497</v>
      </c>
      <c r="O239" s="175">
        <f>VLOOKUP(M239,'Dados StatusInvest'!$A:$Z,18,0)/100</f>
        <v>0.3394</v>
      </c>
      <c r="P239" s="176" t="str">
        <f t="shared" si="5"/>
        <v>#N/A</v>
      </c>
      <c r="Q239" s="177">
        <f>IF(ISERROR(1/VLOOKUP(M239,Capa!A:AC,6,0)),0,1/VLOOKUP(M239,Capa!A:AC,6,0))</f>
        <v>0.008196721311</v>
      </c>
      <c r="R239" s="178">
        <f t="shared" si="6"/>
        <v>378.000378</v>
      </c>
      <c r="S239" s="179" t="str">
        <f t="shared" si="7"/>
        <v>#N/A</v>
      </c>
    </row>
    <row r="240">
      <c r="A240" s="180"/>
      <c r="B240" s="167" t="s">
        <v>360</v>
      </c>
      <c r="C240" s="168">
        <f>VLOOKUP(B240,'Dados StatusInvest'!$A:$Z,26,0)</f>
        <v>265816.5</v>
      </c>
      <c r="D240" s="169">
        <f>VLOOKUP(B240,'Dados StatusInvest'!$A:$Z,20,0)/100</f>
        <v>0.1432</v>
      </c>
      <c r="E240" s="93" t="str">
        <f t="shared" si="1"/>
        <v>#N/A</v>
      </c>
      <c r="F240" s="170">
        <f>IF(ISERROR(1/VLOOKUP(B240,Capa!A:AC,13,0)),0,1/VLOOKUP(B240,Capa!A:AC,13,0))</f>
        <v>0.08196721311</v>
      </c>
      <c r="G240" s="171">
        <f t="shared" si="2"/>
        <v>92.000092</v>
      </c>
      <c r="H240" s="172" t="str">
        <f t="shared" si="3"/>
        <v>#N/A</v>
      </c>
      <c r="M240" s="167" t="s">
        <v>360</v>
      </c>
      <c r="N240" s="168">
        <f>VLOOKUP(M240,'Dados StatusInvest'!$A:$Z,26,0)</f>
        <v>265816.5</v>
      </c>
      <c r="O240" s="175">
        <f>VLOOKUP(M240,'Dados StatusInvest'!$A:$Z,18,0)/100</f>
        <v>0.1551</v>
      </c>
      <c r="P240" s="176" t="str">
        <f t="shared" si="5"/>
        <v>#N/A</v>
      </c>
      <c r="Q240" s="177">
        <f>IF(ISERROR(1/VLOOKUP(M240,Capa!A:AC,6,0)),0,1/VLOOKUP(M240,Capa!A:AC,6,0))</f>
        <v>0.1176470588</v>
      </c>
      <c r="R240" s="178">
        <f t="shared" si="6"/>
        <v>48.000048</v>
      </c>
      <c r="S240" s="179" t="str">
        <f t="shared" si="7"/>
        <v>#N/A</v>
      </c>
    </row>
    <row r="241">
      <c r="A241" s="180"/>
      <c r="B241" s="167" t="s">
        <v>395</v>
      </c>
      <c r="C241" s="168">
        <f>VLOOKUP(B241,'Dados StatusInvest'!$A:$Z,26,0)</f>
        <v>88658.5</v>
      </c>
      <c r="D241" s="169">
        <f>VLOOKUP(B241,'Dados StatusInvest'!$A:$Z,20,0)/100</f>
        <v>0</v>
      </c>
      <c r="E241" s="93" t="str">
        <f t="shared" si="1"/>
        <v>#N/A</v>
      </c>
      <c r="F241" s="170">
        <f>IF(ISERROR(1/VLOOKUP(B241,Capa!A:AC,13,0)),0,1/VLOOKUP(B241,Capa!A:AC,13,0))</f>
        <v>0.04258943782</v>
      </c>
      <c r="G241" s="171">
        <f t="shared" si="2"/>
        <v>192.000192</v>
      </c>
      <c r="H241" s="172" t="str">
        <f t="shared" si="3"/>
        <v>#N/A</v>
      </c>
      <c r="M241" s="167" t="s">
        <v>395</v>
      </c>
      <c r="N241" s="168">
        <f>VLOOKUP(M241,'Dados StatusInvest'!$A:$Z,26,0)</f>
        <v>88658.5</v>
      </c>
      <c r="O241" s="175">
        <f>VLOOKUP(M241,'Dados StatusInvest'!$A:$Z,18,0)/100</f>
        <v>0.124</v>
      </c>
      <c r="P241" s="176" t="str">
        <f t="shared" si="5"/>
        <v>#N/A</v>
      </c>
      <c r="Q241" s="177">
        <f>IF(ISERROR(1/VLOOKUP(M241,Capa!A:AC,6,0)),0,1/VLOOKUP(M241,Capa!A:AC,6,0))</f>
        <v>0.1658374793</v>
      </c>
      <c r="R241" s="178">
        <f t="shared" si="6"/>
        <v>25.000025</v>
      </c>
      <c r="S241" s="179" t="str">
        <f t="shared" si="7"/>
        <v>#N/A</v>
      </c>
    </row>
    <row r="242">
      <c r="A242" s="180"/>
      <c r="B242" s="167" t="s">
        <v>377</v>
      </c>
      <c r="C242" s="168">
        <f>VLOOKUP(B242,'Dados StatusInvest'!$A:$Z,26,0)</f>
        <v>178809.75</v>
      </c>
      <c r="D242" s="169">
        <f>VLOOKUP(B242,'Dados StatusInvest'!$A:$Z,20,0)/100</f>
        <v>0.1079</v>
      </c>
      <c r="E242" s="93" t="str">
        <f t="shared" si="1"/>
        <v>#N/A</v>
      </c>
      <c r="F242" s="170">
        <f>IF(ISERROR(1/VLOOKUP(B242,Capa!A:AC,13,0)),0,1/VLOOKUP(B242,Capa!A:AC,13,0))</f>
        <v>0.02774694784</v>
      </c>
      <c r="G242" s="171">
        <f t="shared" si="2"/>
        <v>255.000255</v>
      </c>
      <c r="H242" s="172" t="str">
        <f t="shared" si="3"/>
        <v>#N/A</v>
      </c>
      <c r="M242" s="167" t="s">
        <v>377</v>
      </c>
      <c r="N242" s="168">
        <f>VLOOKUP(M242,'Dados StatusInvest'!$A:$Z,26,0)</f>
        <v>178809.75</v>
      </c>
      <c r="O242" s="175">
        <f>VLOOKUP(M242,'Dados StatusInvest'!$A:$Z,18,0)/100</f>
        <v>0.3318</v>
      </c>
      <c r="P242" s="176" t="str">
        <f t="shared" si="5"/>
        <v>#N/A</v>
      </c>
      <c r="Q242" s="177">
        <f>IF(ISERROR(1/VLOOKUP(M242,Capa!A:AC,6,0)),0,1/VLOOKUP(M242,Capa!A:AC,6,0))</f>
        <v>0.01001201442</v>
      </c>
      <c r="R242" s="178">
        <f t="shared" si="6"/>
        <v>365.000365</v>
      </c>
      <c r="S242" s="179" t="str">
        <f t="shared" si="7"/>
        <v>#N/A</v>
      </c>
    </row>
    <row r="243">
      <c r="A243" s="180"/>
      <c r="B243" s="167" t="s">
        <v>417</v>
      </c>
      <c r="C243" s="168">
        <f>VLOOKUP(B243,'Dados StatusInvest'!$A:$Z,26,0)</f>
        <v>46575.29</v>
      </c>
      <c r="D243" s="169">
        <f>VLOOKUP(B243,'Dados StatusInvest'!$A:$Z,20,0)/100</f>
        <v>0</v>
      </c>
      <c r="E243" s="93" t="str">
        <f t="shared" si="1"/>
        <v>#N/A</v>
      </c>
      <c r="F243" s="170">
        <f>IF(ISERROR(1/VLOOKUP(B243,Capa!A:AC,13,0)),0,1/VLOOKUP(B243,Capa!A:AC,13,0))</f>
        <v>0.08857395926</v>
      </c>
      <c r="G243" s="171">
        <f t="shared" si="2"/>
        <v>83.000083</v>
      </c>
      <c r="H243" s="172" t="str">
        <f t="shared" si="3"/>
        <v>#N/A</v>
      </c>
      <c r="M243" s="167" t="s">
        <v>417</v>
      </c>
      <c r="N243" s="168">
        <f>VLOOKUP(M243,'Dados StatusInvest'!$A:$Z,26,0)</f>
        <v>46575.29</v>
      </c>
      <c r="O243" s="175">
        <f>VLOOKUP(M243,'Dados StatusInvest'!$A:$Z,18,0)/100</f>
        <v>0.1667</v>
      </c>
      <c r="P243" s="176" t="str">
        <f t="shared" si="5"/>
        <v>#N/A</v>
      </c>
      <c r="Q243" s="177">
        <f>IF(ISERROR(1/VLOOKUP(M243,Capa!A:AC,6,0)),0,1/VLOOKUP(M243,Capa!A:AC,6,0))</f>
        <v>0.04587155963</v>
      </c>
      <c r="R243" s="178">
        <f t="shared" si="6"/>
        <v>154.000154</v>
      </c>
      <c r="S243" s="179" t="str">
        <f t="shared" si="7"/>
        <v>#N/A</v>
      </c>
    </row>
    <row r="244">
      <c r="A244" s="180"/>
      <c r="B244" s="167" t="s">
        <v>393</v>
      </c>
      <c r="C244" s="168">
        <f>VLOOKUP(B244,'Dados StatusInvest'!$A:$Z,26,0)</f>
        <v>87098.08</v>
      </c>
      <c r="D244" s="169">
        <f>VLOOKUP(B244,'Dados StatusInvest'!$A:$Z,20,0)/100</f>
        <v>0.5979</v>
      </c>
      <c r="E244" s="93" t="str">
        <f t="shared" si="1"/>
        <v>#N/A</v>
      </c>
      <c r="F244" s="170">
        <f>IF(ISERROR(1/VLOOKUP(B244,Capa!A:AC,13,0)),0,1/VLOOKUP(B244,Capa!A:AC,13,0))</f>
        <v>0.06798096533</v>
      </c>
      <c r="G244" s="171">
        <f t="shared" si="2"/>
        <v>113.000113</v>
      </c>
      <c r="H244" s="172" t="str">
        <f t="shared" si="3"/>
        <v>#N/A</v>
      </c>
      <c r="M244" s="167" t="s">
        <v>393</v>
      </c>
      <c r="N244" s="168">
        <f>VLOOKUP(M244,'Dados StatusInvest'!$A:$Z,26,0)</f>
        <v>87098.08</v>
      </c>
      <c r="O244" s="175">
        <f>VLOOKUP(M244,'Dados StatusInvest'!$A:$Z,18,0)/100</f>
        <v>-1.2155</v>
      </c>
      <c r="P244" s="176" t="str">
        <f t="shared" si="5"/>
        <v>#N/A</v>
      </c>
      <c r="Q244" s="177">
        <f>IF(ISERROR(1/VLOOKUP(M244,Capa!A:AC,6,0)),0,1/VLOOKUP(M244,Capa!A:AC,6,0))</f>
        <v>0.2915451895</v>
      </c>
      <c r="R244" s="178">
        <f t="shared" si="6"/>
        <v>7.000007</v>
      </c>
      <c r="S244" s="179" t="str">
        <f t="shared" si="7"/>
        <v>#N/A</v>
      </c>
    </row>
    <row r="245">
      <c r="A245" s="180"/>
      <c r="B245" s="167" t="s">
        <v>397</v>
      </c>
      <c r="C245" s="168">
        <f>VLOOKUP(B245,'Dados StatusInvest'!$A:$Z,26,0)</f>
        <v>136100.75</v>
      </c>
      <c r="D245" s="169">
        <f>VLOOKUP(B245,'Dados StatusInvest'!$A:$Z,20,0)/100</f>
        <v>0.1196</v>
      </c>
      <c r="E245" s="93" t="str">
        <f t="shared" si="1"/>
        <v>#N/A</v>
      </c>
      <c r="F245" s="170">
        <f>IF(ISERROR(1/VLOOKUP(B245,Capa!A:AC,13,0)),0,1/VLOOKUP(B245,Capa!A:AC,13,0))</f>
        <v>0.05515719801</v>
      </c>
      <c r="G245" s="171">
        <f t="shared" si="2"/>
        <v>145.000145</v>
      </c>
      <c r="H245" s="172" t="str">
        <f t="shared" si="3"/>
        <v>#N/A</v>
      </c>
      <c r="M245" s="167" t="s">
        <v>397</v>
      </c>
      <c r="N245" s="168">
        <f>VLOOKUP(M245,'Dados StatusInvest'!$A:$Z,26,0)</f>
        <v>136100.75</v>
      </c>
      <c r="O245" s="175">
        <f>VLOOKUP(M245,'Dados StatusInvest'!$A:$Z,18,0)/100</f>
        <v>0.1723</v>
      </c>
      <c r="P245" s="176" t="str">
        <f t="shared" si="5"/>
        <v>#N/A</v>
      </c>
      <c r="Q245" s="177">
        <f>IF(ISERROR(1/VLOOKUP(M245,Capa!A:AC,6,0)),0,1/VLOOKUP(M245,Capa!A:AC,6,0))</f>
        <v>0.03484320557</v>
      </c>
      <c r="R245" s="178">
        <f t="shared" si="6"/>
        <v>197.000197</v>
      </c>
      <c r="S245" s="179" t="str">
        <f t="shared" si="7"/>
        <v>#N/A</v>
      </c>
    </row>
    <row r="246">
      <c r="A246" s="180"/>
      <c r="B246" s="167" t="s">
        <v>387</v>
      </c>
      <c r="C246" s="168">
        <f>VLOOKUP(B246,'Dados StatusInvest'!$A:$Z,26,0)</f>
        <v>89847.17</v>
      </c>
      <c r="D246" s="169">
        <f>VLOOKUP(B246,'Dados StatusInvest'!$A:$Z,20,0)/100</f>
        <v>0.3312</v>
      </c>
      <c r="E246" s="93" t="str">
        <f t="shared" si="1"/>
        <v>#N/A</v>
      </c>
      <c r="F246" s="170">
        <f>IF(ISERROR(1/VLOOKUP(B246,Capa!A:AC,13,0)),0,1/VLOOKUP(B246,Capa!A:AC,13,0))</f>
        <v>0.08576329331</v>
      </c>
      <c r="G246" s="171">
        <f t="shared" si="2"/>
        <v>87.000087</v>
      </c>
      <c r="H246" s="172" t="str">
        <f t="shared" si="3"/>
        <v>#N/A</v>
      </c>
      <c r="M246" s="167" t="s">
        <v>387</v>
      </c>
      <c r="N246" s="168">
        <f>VLOOKUP(M246,'Dados StatusInvest'!$A:$Z,26,0)</f>
        <v>89847.17</v>
      </c>
      <c r="O246" s="175">
        <f>VLOOKUP(M246,'Dados StatusInvest'!$A:$Z,18,0)/100</f>
        <v>0.4854</v>
      </c>
      <c r="P246" s="176" t="str">
        <f t="shared" si="5"/>
        <v>#N/A</v>
      </c>
      <c r="Q246" s="177">
        <f>IF(ISERROR(1/VLOOKUP(M246,Capa!A:AC,6,0)),0,1/VLOOKUP(M246,Capa!A:AC,6,0))</f>
        <v>0.1060445387</v>
      </c>
      <c r="R246" s="178">
        <f t="shared" si="6"/>
        <v>59.000059</v>
      </c>
      <c r="S246" s="179" t="str">
        <f t="shared" si="7"/>
        <v>#N/A</v>
      </c>
    </row>
    <row r="247">
      <c r="A247" s="180"/>
      <c r="B247" s="167" t="s">
        <v>413</v>
      </c>
      <c r="C247" s="168">
        <f>VLOOKUP(B247,'Dados StatusInvest'!$A:$Z,26,0)</f>
        <v>45287.92</v>
      </c>
      <c r="D247" s="169">
        <f>VLOOKUP(B247,'Dados StatusInvest'!$A:$Z,20,0)/100</f>
        <v>0.1432</v>
      </c>
      <c r="E247" s="93" t="str">
        <f t="shared" si="1"/>
        <v>#N/A</v>
      </c>
      <c r="F247" s="170">
        <f>IF(ISERROR(1/VLOOKUP(B247,Capa!A:AC,13,0)),0,1/VLOOKUP(B247,Capa!A:AC,13,0))</f>
        <v>0.04830917874</v>
      </c>
      <c r="G247" s="171">
        <f t="shared" si="2"/>
        <v>170.00017</v>
      </c>
      <c r="H247" s="172" t="str">
        <f t="shared" si="3"/>
        <v>#N/A</v>
      </c>
      <c r="M247" s="167" t="s">
        <v>413</v>
      </c>
      <c r="N247" s="168">
        <f>VLOOKUP(M247,'Dados StatusInvest'!$A:$Z,26,0)</f>
        <v>45287.92</v>
      </c>
      <c r="O247" s="175">
        <f>VLOOKUP(M247,'Dados StatusInvest'!$A:$Z,18,0)/100</f>
        <v>0.2369</v>
      </c>
      <c r="P247" s="176" t="str">
        <f t="shared" si="5"/>
        <v>#N/A</v>
      </c>
      <c r="Q247" s="177">
        <f>IF(ISERROR(1/VLOOKUP(M247,Capa!A:AC,6,0)),0,1/VLOOKUP(M247,Capa!A:AC,6,0))</f>
        <v>0.1430615165</v>
      </c>
      <c r="R247" s="178">
        <f t="shared" si="6"/>
        <v>31.000031</v>
      </c>
      <c r="S247" s="179" t="str">
        <f t="shared" si="7"/>
        <v>#N/A</v>
      </c>
    </row>
    <row r="248">
      <c r="A248" s="180"/>
      <c r="B248" s="167" t="s">
        <v>198</v>
      </c>
      <c r="C248" s="168">
        <f>VLOOKUP(B248,'Dados StatusInvest'!$A:$Z,26,0)</f>
        <v>27364770.17</v>
      </c>
      <c r="D248" s="169">
        <f>VLOOKUP(B248,'Dados StatusInvest'!$A:$Z,20,0)/100</f>
        <v>-0.0429</v>
      </c>
      <c r="E248" s="93" t="str">
        <f t="shared" si="1"/>
        <v>#N/A</v>
      </c>
      <c r="F248" s="170">
        <f>IF(ISERROR(1/VLOOKUP(B248,Capa!A:AC,13,0)),0,1/VLOOKUP(B248,Capa!A:AC,13,0))</f>
        <v>0.2336448598</v>
      </c>
      <c r="G248" s="171">
        <f t="shared" si="2"/>
        <v>20.00002</v>
      </c>
      <c r="H248" s="172" t="str">
        <f t="shared" si="3"/>
        <v>#N/A</v>
      </c>
      <c r="M248" s="167" t="s">
        <v>198</v>
      </c>
      <c r="N248" s="168">
        <f>VLOOKUP(M248,'Dados StatusInvest'!$A:$Z,26,0)</f>
        <v>27364770.17</v>
      </c>
      <c r="O248" s="175">
        <f>VLOOKUP(M248,'Dados StatusInvest'!$A:$Z,18,0)/100</f>
        <v>-0.0159</v>
      </c>
      <c r="P248" s="176" t="str">
        <f t="shared" si="5"/>
        <v>#N/A</v>
      </c>
      <c r="Q248" s="177">
        <f>IF(ISERROR(1/VLOOKUP(M248,Capa!A:AC,6,0)),0,1/VLOOKUP(M248,Capa!A:AC,6,0))</f>
        <v>0.06333122229</v>
      </c>
      <c r="R248" s="178">
        <f t="shared" si="6"/>
        <v>119.000119</v>
      </c>
      <c r="S248" s="179" t="str">
        <f t="shared" si="7"/>
        <v>#N/A</v>
      </c>
    </row>
    <row r="249">
      <c r="A249" s="180"/>
      <c r="B249" s="167" t="s">
        <v>400</v>
      </c>
      <c r="C249" s="168">
        <f>VLOOKUP(B249,'Dados StatusInvest'!$A:$Z,26,0)</f>
        <v>143302.92</v>
      </c>
      <c r="D249" s="169">
        <f>VLOOKUP(B249,'Dados StatusInvest'!$A:$Z,20,0)/100</f>
        <v>-0.0445</v>
      </c>
      <c r="E249" s="93" t="str">
        <f t="shared" si="1"/>
        <v>#N/A</v>
      </c>
      <c r="F249" s="170">
        <f>IF(ISERROR(1/VLOOKUP(B249,Capa!A:AC,13,0)),0,1/VLOOKUP(B249,Capa!A:AC,13,0))</f>
        <v>-0.03542330854</v>
      </c>
      <c r="G249" s="171">
        <f t="shared" si="2"/>
        <v>418.000418</v>
      </c>
      <c r="H249" s="172" t="str">
        <f t="shared" si="3"/>
        <v>#N/A</v>
      </c>
      <c r="M249" s="167" t="s">
        <v>400</v>
      </c>
      <c r="N249" s="168">
        <f>VLOOKUP(M249,'Dados StatusInvest'!$A:$Z,26,0)</f>
        <v>143302.92</v>
      </c>
      <c r="O249" s="175">
        <f>VLOOKUP(M249,'Dados StatusInvest'!$A:$Z,18,0)/100</f>
        <v>-0.0739</v>
      </c>
      <c r="P249" s="176" t="str">
        <f t="shared" si="5"/>
        <v>#N/A</v>
      </c>
      <c r="Q249" s="177">
        <f>IF(ISERROR(1/VLOOKUP(M249,Capa!A:AC,6,0)),0,1/VLOOKUP(M249,Capa!A:AC,6,0))</f>
        <v>0.02565418163</v>
      </c>
      <c r="R249" s="178">
        <f t="shared" si="6"/>
        <v>254.000254</v>
      </c>
      <c r="S249" s="179" t="str">
        <f t="shared" si="7"/>
        <v>#N/A</v>
      </c>
    </row>
    <row r="250">
      <c r="A250" s="180"/>
      <c r="B250" s="167" t="s">
        <v>396</v>
      </c>
      <c r="C250" s="168">
        <f>VLOOKUP(B250,'Dados StatusInvest'!$A:$Z,26,0)</f>
        <v>87521.13</v>
      </c>
      <c r="D250" s="169">
        <f>VLOOKUP(B250,'Dados StatusInvest'!$A:$Z,20,0)/100</f>
        <v>0.3468</v>
      </c>
      <c r="E250" s="93" t="str">
        <f t="shared" si="1"/>
        <v>#N/A</v>
      </c>
      <c r="F250" s="170">
        <f>IF(ISERROR(1/VLOOKUP(B250,Capa!A:AC,13,0)),0,1/VLOOKUP(B250,Capa!A:AC,13,0))</f>
        <v>0.03604902668</v>
      </c>
      <c r="G250" s="171">
        <f t="shared" si="2"/>
        <v>223.000223</v>
      </c>
      <c r="H250" s="172" t="str">
        <f t="shared" si="3"/>
        <v>#N/A</v>
      </c>
      <c r="M250" s="167" t="s">
        <v>396</v>
      </c>
      <c r="N250" s="168">
        <f>VLOOKUP(M250,'Dados StatusInvest'!$A:$Z,26,0)</f>
        <v>87521.13</v>
      </c>
      <c r="O250" s="175">
        <f>VLOOKUP(M250,'Dados StatusInvest'!$A:$Z,18,0)/100</f>
        <v>-0.8326</v>
      </c>
      <c r="P250" s="176" t="str">
        <f t="shared" si="5"/>
        <v>#N/A</v>
      </c>
      <c r="Q250" s="177">
        <f>IF(ISERROR(1/VLOOKUP(M250,Capa!A:AC,6,0)),0,1/VLOOKUP(M250,Capa!A:AC,6,0))</f>
        <v>0.03571428571</v>
      </c>
      <c r="R250" s="178">
        <f t="shared" si="6"/>
        <v>190.00019</v>
      </c>
      <c r="S250" s="179" t="str">
        <f t="shared" si="7"/>
        <v>#N/A</v>
      </c>
    </row>
    <row r="251">
      <c r="A251" s="180"/>
      <c r="B251" s="167" t="s">
        <v>365</v>
      </c>
      <c r="C251" s="168">
        <f>VLOOKUP(B251,'Dados StatusInvest'!$A:$Z,26,0)</f>
        <v>253030.17</v>
      </c>
      <c r="D251" s="169">
        <f>VLOOKUP(B251,'Dados StatusInvest'!$A:$Z,20,0)/100</f>
        <v>0.0856</v>
      </c>
      <c r="E251" s="93" t="str">
        <f t="shared" si="1"/>
        <v>#N/A</v>
      </c>
      <c r="F251" s="170">
        <f>IF(ISERROR(1/VLOOKUP(B251,Capa!A:AC,13,0)),0,1/VLOOKUP(B251,Capa!A:AC,13,0))</f>
        <v>0.09057971014</v>
      </c>
      <c r="G251" s="171">
        <f t="shared" si="2"/>
        <v>77.000077</v>
      </c>
      <c r="H251" s="172" t="str">
        <f t="shared" si="3"/>
        <v>#N/A</v>
      </c>
      <c r="M251" s="167" t="s">
        <v>365</v>
      </c>
      <c r="N251" s="168">
        <f>VLOOKUP(M251,'Dados StatusInvest'!$A:$Z,26,0)</f>
        <v>253030.17</v>
      </c>
      <c r="O251" s="175">
        <f>VLOOKUP(M251,'Dados StatusInvest'!$A:$Z,18,0)/100</f>
        <v>0.1506</v>
      </c>
      <c r="P251" s="176" t="str">
        <f t="shared" si="5"/>
        <v>#N/A</v>
      </c>
      <c r="Q251" s="177">
        <f>IF(ISERROR(1/VLOOKUP(M251,Capa!A:AC,6,0)),0,1/VLOOKUP(M251,Capa!A:AC,6,0))</f>
        <v>0.1162790698</v>
      </c>
      <c r="R251" s="178">
        <f t="shared" si="6"/>
        <v>51.000051</v>
      </c>
      <c r="S251" s="179" t="str">
        <f t="shared" si="7"/>
        <v>#N/A</v>
      </c>
    </row>
    <row r="252">
      <c r="A252" s="180"/>
      <c r="B252" s="167" t="s">
        <v>418</v>
      </c>
      <c r="C252" s="168">
        <f>VLOOKUP(B252,'Dados StatusInvest'!$A:$Z,26,0)</f>
        <v>83552.29</v>
      </c>
      <c r="D252" s="169">
        <f>VLOOKUP(B252,'Dados StatusInvest'!$A:$Z,20,0)/100</f>
        <v>-0.3508</v>
      </c>
      <c r="E252" s="93" t="str">
        <f t="shared" si="1"/>
        <v>#N/A</v>
      </c>
      <c r="F252" s="170">
        <f>IF(ISERROR(1/VLOOKUP(B252,Capa!A:AC,13,0)),0,1/VLOOKUP(B252,Capa!A:AC,13,0))</f>
        <v>0.1054852321</v>
      </c>
      <c r="G252" s="171">
        <f t="shared" si="2"/>
        <v>68.000068</v>
      </c>
      <c r="H252" s="172" t="str">
        <f t="shared" si="3"/>
        <v>#N/A</v>
      </c>
      <c r="M252" s="167" t="s">
        <v>418</v>
      </c>
      <c r="N252" s="168">
        <f>VLOOKUP(M252,'Dados StatusInvest'!$A:$Z,26,0)</f>
        <v>83552.29</v>
      </c>
      <c r="O252" s="175">
        <f>VLOOKUP(M252,'Dados StatusInvest'!$A:$Z,18,0)/100</f>
        <v>-0.009</v>
      </c>
      <c r="P252" s="176" t="str">
        <f t="shared" si="5"/>
        <v>#N/A</v>
      </c>
      <c r="Q252" s="177">
        <f>IF(ISERROR(1/VLOOKUP(M252,Capa!A:AC,6,0)),0,1/VLOOKUP(M252,Capa!A:AC,6,0))</f>
        <v>0.08695652174</v>
      </c>
      <c r="R252" s="178">
        <f t="shared" si="6"/>
        <v>78.000078</v>
      </c>
      <c r="S252" s="179" t="str">
        <f t="shared" si="7"/>
        <v>#N/A</v>
      </c>
    </row>
    <row r="253">
      <c r="A253" s="180"/>
      <c r="B253" s="167" t="s">
        <v>452</v>
      </c>
      <c r="C253" s="168">
        <f>VLOOKUP(B253,'Dados StatusInvest'!$A:$Z,26,0)</f>
        <v>31928.95</v>
      </c>
      <c r="D253" s="169">
        <f>VLOOKUP(B253,'Dados StatusInvest'!$A:$Z,20,0)/100</f>
        <v>0.0319</v>
      </c>
      <c r="E253" s="93" t="str">
        <f t="shared" si="1"/>
        <v>#N/A</v>
      </c>
      <c r="F253" s="170">
        <f>IF(ISERROR(1/VLOOKUP(B253,Capa!A:AC,13,0)),0,1/VLOOKUP(B253,Capa!A:AC,13,0))</f>
        <v>0.01971220185</v>
      </c>
      <c r="G253" s="171">
        <f t="shared" si="2"/>
        <v>283.000283</v>
      </c>
      <c r="H253" s="172" t="str">
        <f t="shared" si="3"/>
        <v>#N/A</v>
      </c>
      <c r="M253" s="167" t="s">
        <v>452</v>
      </c>
      <c r="N253" s="168">
        <f>VLOOKUP(M253,'Dados StatusInvest'!$A:$Z,26,0)</f>
        <v>31928.95</v>
      </c>
      <c r="O253" s="175">
        <f>VLOOKUP(M253,'Dados StatusInvest'!$A:$Z,18,0)/100</f>
        <v>-0.0329</v>
      </c>
      <c r="P253" s="176" t="str">
        <f t="shared" si="5"/>
        <v>#N/A</v>
      </c>
      <c r="Q253" s="177">
        <f>IF(ISERROR(1/VLOOKUP(M253,Capa!A:AC,6,0)),0,1/VLOOKUP(M253,Capa!A:AC,6,0))</f>
        <v>0.01149425287</v>
      </c>
      <c r="R253" s="178">
        <f t="shared" si="6"/>
        <v>354.000354</v>
      </c>
      <c r="S253" s="179" t="str">
        <f t="shared" si="7"/>
        <v>#N/A</v>
      </c>
    </row>
    <row r="254">
      <c r="A254" s="180"/>
      <c r="B254" s="167" t="s">
        <v>426</v>
      </c>
      <c r="C254" s="168">
        <f>VLOOKUP(B254,'Dados StatusInvest'!$A:$Z,26,0)</f>
        <v>64419.96</v>
      </c>
      <c r="D254" s="169">
        <f>VLOOKUP(B254,'Dados StatusInvest'!$A:$Z,20,0)/100</f>
        <v>0.1837</v>
      </c>
      <c r="E254" s="93" t="str">
        <f t="shared" si="1"/>
        <v>#N/A</v>
      </c>
      <c r="F254" s="170">
        <f>IF(ISERROR(1/VLOOKUP(B254,Capa!A:AC,13,0)),0,1/VLOOKUP(B254,Capa!A:AC,13,0))</f>
        <v>0.008331250521</v>
      </c>
      <c r="G254" s="171">
        <f t="shared" si="2"/>
        <v>307.000307</v>
      </c>
      <c r="H254" s="172" t="str">
        <f t="shared" si="3"/>
        <v>#N/A</v>
      </c>
      <c r="M254" s="167" t="s">
        <v>426</v>
      </c>
      <c r="N254" s="168">
        <f>VLOOKUP(M254,'Dados StatusInvest'!$A:$Z,26,0)</f>
        <v>64419.96</v>
      </c>
      <c r="O254" s="175">
        <f>VLOOKUP(M254,'Dados StatusInvest'!$A:$Z,18,0)/100</f>
        <v>0.2493</v>
      </c>
      <c r="P254" s="176" t="str">
        <f t="shared" si="5"/>
        <v>#N/A</v>
      </c>
      <c r="Q254" s="177">
        <f>IF(ISERROR(1/VLOOKUP(M254,Capa!A:AC,6,0)),0,1/VLOOKUP(M254,Capa!A:AC,6,0))</f>
        <v>0.02923976608</v>
      </c>
      <c r="R254" s="178">
        <f t="shared" si="6"/>
        <v>238.000238</v>
      </c>
      <c r="S254" s="179" t="str">
        <f t="shared" si="7"/>
        <v>#N/A</v>
      </c>
    </row>
    <row r="255">
      <c r="A255" s="180"/>
      <c r="B255" s="167" t="s">
        <v>362</v>
      </c>
      <c r="C255" s="168">
        <f>VLOOKUP(B255,'Dados StatusInvest'!$A:$Z,26,0)</f>
        <v>353701.12</v>
      </c>
      <c r="D255" s="169">
        <f>VLOOKUP(B255,'Dados StatusInvest'!$A:$Z,20,0)/100</f>
        <v>0.6187</v>
      </c>
      <c r="E255" s="93" t="str">
        <f t="shared" si="1"/>
        <v>#N/A</v>
      </c>
      <c r="F255" s="170">
        <f>IF(ISERROR(1/VLOOKUP(B255,Capa!A:AC,13,0)),0,1/VLOOKUP(B255,Capa!A:AC,13,0))</f>
        <v>-0.004703447627</v>
      </c>
      <c r="G255" s="171">
        <f t="shared" si="2"/>
        <v>395.000395</v>
      </c>
      <c r="H255" s="172" t="str">
        <f t="shared" si="3"/>
        <v>#N/A</v>
      </c>
      <c r="M255" s="167" t="s">
        <v>362</v>
      </c>
      <c r="N255" s="168">
        <f>VLOOKUP(M255,'Dados StatusInvest'!$A:$Z,26,0)</f>
        <v>353701.12</v>
      </c>
      <c r="O255" s="175">
        <f>VLOOKUP(M255,'Dados StatusInvest'!$A:$Z,18,0)/100</f>
        <v>0.8842</v>
      </c>
      <c r="P255" s="176" t="str">
        <f t="shared" si="5"/>
        <v>#N/A</v>
      </c>
      <c r="Q255" s="177">
        <f>IF(ISERROR(1/VLOOKUP(M255,Capa!A:AC,6,0)),0,1/VLOOKUP(M255,Capa!A:AC,6,0))</f>
        <v>0.004356918787</v>
      </c>
      <c r="R255" s="178">
        <f t="shared" si="6"/>
        <v>391.000391</v>
      </c>
      <c r="S255" s="179" t="str">
        <f t="shared" si="7"/>
        <v>#N/A</v>
      </c>
    </row>
    <row r="256">
      <c r="A256" s="180"/>
      <c r="B256" s="167" t="s">
        <v>283</v>
      </c>
      <c r="C256" s="168">
        <f>VLOOKUP(B256,'Dados StatusInvest'!$A:$Z,26,0)</f>
        <v>3628867.13</v>
      </c>
      <c r="D256" s="169">
        <f>VLOOKUP(B256,'Dados StatusInvest'!$A:$Z,20,0)/100</f>
        <v>-2.1735</v>
      </c>
      <c r="E256" s="93" t="str">
        <f t="shared" si="1"/>
        <v>#N/A</v>
      </c>
      <c r="F256" s="170">
        <f>IF(ISERROR(1/VLOOKUP(B256,Capa!A:AC,13,0)),0,1/VLOOKUP(B256,Capa!A:AC,13,0))</f>
        <v>0.0009008116313</v>
      </c>
      <c r="G256" s="171">
        <f t="shared" si="2"/>
        <v>316.000316</v>
      </c>
      <c r="H256" s="172" t="str">
        <f t="shared" si="3"/>
        <v>#N/A</v>
      </c>
      <c r="M256" s="167" t="s">
        <v>283</v>
      </c>
      <c r="N256" s="168">
        <f>VLOOKUP(M256,'Dados StatusInvest'!$A:$Z,26,0)</f>
        <v>3628867.13</v>
      </c>
      <c r="O256" s="175">
        <f>VLOOKUP(M256,'Dados StatusInvest'!$A:$Z,18,0)/100</f>
        <v>-2.1322</v>
      </c>
      <c r="P256" s="176" t="str">
        <f t="shared" si="5"/>
        <v>#N/A</v>
      </c>
      <c r="Q256" s="177">
        <f>IF(ISERROR(1/VLOOKUP(M256,Capa!A:AC,6,0)),0,1/VLOOKUP(M256,Capa!A:AC,6,0))</f>
        <v>0.1068376068</v>
      </c>
      <c r="R256" s="178">
        <f t="shared" si="6"/>
        <v>57.000057</v>
      </c>
      <c r="S256" s="179" t="str">
        <f t="shared" si="7"/>
        <v>#N/A</v>
      </c>
    </row>
    <row r="257">
      <c r="A257" s="180"/>
      <c r="B257" s="167" t="s">
        <v>477</v>
      </c>
      <c r="C257" s="168">
        <f>VLOOKUP(B257,'Dados StatusInvest'!$A:$Z,26,0)</f>
        <v>19306</v>
      </c>
      <c r="D257" s="169">
        <f>VLOOKUP(B257,'Dados StatusInvest'!$A:$Z,20,0)/100</f>
        <v>0</v>
      </c>
      <c r="E257" s="93" t="str">
        <f t="shared" si="1"/>
        <v>#N/A</v>
      </c>
      <c r="F257" s="170">
        <f>IF(ISERROR(1/VLOOKUP(B257,Capa!A:AC,13,0)),0,1/VLOOKUP(B257,Capa!A:AC,13,0))</f>
        <v>0.07936507937</v>
      </c>
      <c r="G257" s="171">
        <f t="shared" si="2"/>
        <v>97.000097</v>
      </c>
      <c r="H257" s="172" t="str">
        <f t="shared" si="3"/>
        <v>#N/A</v>
      </c>
      <c r="M257" s="167" t="s">
        <v>477</v>
      </c>
      <c r="N257" s="168">
        <f>VLOOKUP(M257,'Dados StatusInvest'!$A:$Z,26,0)</f>
        <v>19306</v>
      </c>
      <c r="O257" s="175">
        <f>VLOOKUP(M257,'Dados StatusInvest'!$A:$Z,18,0)/100</f>
        <v>0.0209</v>
      </c>
      <c r="P257" s="176" t="str">
        <f t="shared" si="5"/>
        <v>#N/A</v>
      </c>
      <c r="Q257" s="177">
        <f>IF(ISERROR(1/VLOOKUP(M257,Capa!A:AC,6,0)),0,1/VLOOKUP(M257,Capa!A:AC,6,0))</f>
        <v>0.06666666667</v>
      </c>
      <c r="R257" s="178">
        <f t="shared" si="6"/>
        <v>112.000112</v>
      </c>
      <c r="S257" s="179" t="str">
        <f t="shared" si="7"/>
        <v>#N/A</v>
      </c>
    </row>
    <row r="258">
      <c r="A258" s="180"/>
      <c r="B258" s="167" t="s">
        <v>570</v>
      </c>
      <c r="C258" s="168">
        <f>VLOOKUP(B258,'Dados StatusInvest'!$A:$Z,26,0)</f>
        <v>94201.44</v>
      </c>
      <c r="D258" s="169">
        <f>VLOOKUP(B258,'Dados StatusInvest'!$A:$Z,20,0)/100</f>
        <v>0.2261</v>
      </c>
      <c r="E258" s="93" t="str">
        <f t="shared" si="1"/>
        <v>#N/A</v>
      </c>
      <c r="F258" s="170">
        <f>IF(ISERROR(1/VLOOKUP(B258,Capa!A:AC,13,0)),0,1/VLOOKUP(B258,Capa!A:AC,13,0))</f>
        <v>0</v>
      </c>
      <c r="G258" s="171">
        <f t="shared" si="2"/>
        <v>329.000329</v>
      </c>
      <c r="H258" s="172" t="str">
        <f t="shared" si="3"/>
        <v>#N/A</v>
      </c>
      <c r="M258" s="167" t="s">
        <v>570</v>
      </c>
      <c r="N258" s="168">
        <f>VLOOKUP(M258,'Dados StatusInvest'!$A:$Z,26,0)</f>
        <v>94201.44</v>
      </c>
      <c r="O258" s="175">
        <f>VLOOKUP(M258,'Dados StatusInvest'!$A:$Z,18,0)/100</f>
        <v>-0.3147</v>
      </c>
      <c r="P258" s="176" t="str">
        <f t="shared" si="5"/>
        <v>#N/A</v>
      </c>
      <c r="Q258" s="177">
        <f>IF(ISERROR(1/VLOOKUP(M258,Capa!A:AC,6,0)),0,1/VLOOKUP(M258,Capa!A:AC,6,0))</f>
        <v>0</v>
      </c>
      <c r="R258" s="178">
        <f t="shared" si="6"/>
        <v>399.000399</v>
      </c>
      <c r="S258" s="179" t="str">
        <f t="shared" si="7"/>
        <v>#N/A</v>
      </c>
    </row>
    <row r="259">
      <c r="A259" s="180"/>
      <c r="B259" s="167" t="s">
        <v>388</v>
      </c>
      <c r="C259" s="168">
        <f>VLOOKUP(B259,'Dados StatusInvest'!$A:$Z,26,0)</f>
        <v>160225.79</v>
      </c>
      <c r="D259" s="169">
        <f>VLOOKUP(B259,'Dados StatusInvest'!$A:$Z,20,0)/100</f>
        <v>0.1273</v>
      </c>
      <c r="E259" s="93" t="str">
        <f t="shared" si="1"/>
        <v>#N/A</v>
      </c>
      <c r="F259" s="170">
        <f>IF(ISERROR(1/VLOOKUP(B259,Capa!A:AC,13,0)),0,1/VLOOKUP(B259,Capa!A:AC,13,0))</f>
        <v>0.07112375533</v>
      </c>
      <c r="G259" s="171">
        <f t="shared" si="2"/>
        <v>108.000108</v>
      </c>
      <c r="H259" s="172" t="str">
        <f t="shared" si="3"/>
        <v>#N/A</v>
      </c>
      <c r="M259" s="167" t="s">
        <v>388</v>
      </c>
      <c r="N259" s="168">
        <f>VLOOKUP(M259,'Dados StatusInvest'!$A:$Z,26,0)</f>
        <v>160225.79</v>
      </c>
      <c r="O259" s="175">
        <f>VLOOKUP(M259,'Dados StatusInvest'!$A:$Z,18,0)/100</f>
        <v>0.1732</v>
      </c>
      <c r="P259" s="176" t="str">
        <f t="shared" si="5"/>
        <v>#N/A</v>
      </c>
      <c r="Q259" s="177">
        <f>IF(ISERROR(1/VLOOKUP(M259,Capa!A:AC,6,0)),0,1/VLOOKUP(M259,Capa!A:AC,6,0))</f>
        <v>0.01824817518</v>
      </c>
      <c r="R259" s="178">
        <f t="shared" si="6"/>
        <v>303.000303</v>
      </c>
      <c r="S259" s="179" t="str">
        <f t="shared" si="7"/>
        <v>#N/A</v>
      </c>
    </row>
    <row r="260">
      <c r="A260" s="180"/>
      <c r="B260" s="167" t="s">
        <v>356</v>
      </c>
      <c r="C260" s="168">
        <f>VLOOKUP(B260,'Dados StatusInvest'!$A:$Z,26,0)</f>
        <v>336032.83</v>
      </c>
      <c r="D260" s="169">
        <f>VLOOKUP(B260,'Dados StatusInvest'!$A:$Z,20,0)/100</f>
        <v>0.8879</v>
      </c>
      <c r="E260" s="93" t="str">
        <f t="shared" si="1"/>
        <v>#N/A</v>
      </c>
      <c r="F260" s="170">
        <f>IF(ISERROR(1/VLOOKUP(B260,Capa!A:AC,13,0)),0,1/VLOOKUP(B260,Capa!A:AC,13,0))</f>
        <v>-0.004851307427</v>
      </c>
      <c r="G260" s="171">
        <f t="shared" si="2"/>
        <v>398.000398</v>
      </c>
      <c r="H260" s="172" t="str">
        <f t="shared" si="3"/>
        <v>#N/A</v>
      </c>
      <c r="M260" s="167" t="s">
        <v>356</v>
      </c>
      <c r="N260" s="168">
        <f>VLOOKUP(M260,'Dados StatusInvest'!$A:$Z,26,0)</f>
        <v>336032.83</v>
      </c>
      <c r="O260" s="175">
        <f>VLOOKUP(M260,'Dados StatusInvest'!$A:$Z,18,0)/100</f>
        <v>-0.4899</v>
      </c>
      <c r="P260" s="176" t="str">
        <f t="shared" si="5"/>
        <v>#N/A</v>
      </c>
      <c r="Q260" s="177">
        <f>IF(ISERROR(1/VLOOKUP(M260,Capa!A:AC,6,0)),0,1/VLOOKUP(M260,Capa!A:AC,6,0))</f>
        <v>1.234567901</v>
      </c>
      <c r="R260" s="178">
        <f t="shared" si="6"/>
        <v>1.000001</v>
      </c>
      <c r="S260" s="179" t="str">
        <f t="shared" si="7"/>
        <v>#N/A</v>
      </c>
    </row>
    <row r="261">
      <c r="A261" s="180"/>
      <c r="B261" s="167" t="s">
        <v>353</v>
      </c>
      <c r="C261" s="168">
        <f>VLOOKUP(B261,'Dados StatusInvest'!$A:$Z,26,0)</f>
        <v>328981.25</v>
      </c>
      <c r="D261" s="169">
        <f>VLOOKUP(B261,'Dados StatusInvest'!$A:$Z,20,0)/100</f>
        <v>0.1375</v>
      </c>
      <c r="E261" s="93" t="str">
        <f t="shared" si="1"/>
        <v>#N/A</v>
      </c>
      <c r="F261" s="170">
        <f>IF(ISERROR(1/VLOOKUP(B261,Capa!A:AC,13,0)),0,1/VLOOKUP(B261,Capa!A:AC,13,0))</f>
        <v>0.05192107996</v>
      </c>
      <c r="G261" s="171">
        <f t="shared" si="2"/>
        <v>159.000159</v>
      </c>
      <c r="H261" s="172" t="str">
        <f t="shared" si="3"/>
        <v>#N/A</v>
      </c>
      <c r="M261" s="167" t="s">
        <v>353</v>
      </c>
      <c r="N261" s="168">
        <f>VLOOKUP(M261,'Dados StatusInvest'!$A:$Z,26,0)</f>
        <v>328981.25</v>
      </c>
      <c r="O261" s="175">
        <f>VLOOKUP(M261,'Dados StatusInvest'!$A:$Z,18,0)/100</f>
        <v>0.3777</v>
      </c>
      <c r="P261" s="176" t="str">
        <f t="shared" si="5"/>
        <v>#N/A</v>
      </c>
      <c r="Q261" s="177">
        <f>IF(ISERROR(1/VLOOKUP(M261,Capa!A:AC,6,0)),0,1/VLOOKUP(M261,Capa!A:AC,6,0))</f>
        <v>0.07142857143</v>
      </c>
      <c r="R261" s="178">
        <f t="shared" si="6"/>
        <v>101.000101</v>
      </c>
      <c r="S261" s="179" t="str">
        <f t="shared" si="7"/>
        <v>#N/A</v>
      </c>
    </row>
    <row r="262">
      <c r="A262" s="180"/>
      <c r="B262" s="167" t="s">
        <v>391</v>
      </c>
      <c r="C262" s="168">
        <f>VLOOKUP(B262,'Dados StatusInvest'!$A:$Z,26,0)</f>
        <v>160247.75</v>
      </c>
      <c r="D262" s="169">
        <f>VLOOKUP(B262,'Dados StatusInvest'!$A:$Z,20,0)/100</f>
        <v>0.1828</v>
      </c>
      <c r="E262" s="93" t="str">
        <f t="shared" si="1"/>
        <v>#N/A</v>
      </c>
      <c r="F262" s="170">
        <f>IF(ISERROR(1/VLOOKUP(B262,Capa!A:AC,13,0)),0,1/VLOOKUP(B262,Capa!A:AC,13,0))</f>
        <v>0.01504438092</v>
      </c>
      <c r="G262" s="171">
        <f t="shared" si="2"/>
        <v>293.000293</v>
      </c>
      <c r="H262" s="172" t="str">
        <f t="shared" si="3"/>
        <v>#N/A</v>
      </c>
      <c r="M262" s="167" t="s">
        <v>391</v>
      </c>
      <c r="N262" s="168">
        <f>VLOOKUP(M262,'Dados StatusInvest'!$A:$Z,26,0)</f>
        <v>160247.75</v>
      </c>
      <c r="O262" s="175">
        <f>VLOOKUP(M262,'Dados StatusInvest'!$A:$Z,18,0)/100</f>
        <v>0.2113</v>
      </c>
      <c r="P262" s="176" t="str">
        <f t="shared" si="5"/>
        <v>#N/A</v>
      </c>
      <c r="Q262" s="177">
        <f>IF(ISERROR(1/VLOOKUP(M262,Capa!A:AC,6,0)),0,1/VLOOKUP(M262,Capa!A:AC,6,0))</f>
        <v>0.1033057851</v>
      </c>
      <c r="R262" s="178">
        <f t="shared" si="6"/>
        <v>61.000061</v>
      </c>
      <c r="S262" s="179" t="str">
        <f t="shared" si="7"/>
        <v>#N/A</v>
      </c>
    </row>
    <row r="263">
      <c r="A263" s="180"/>
      <c r="B263" s="167" t="s">
        <v>460</v>
      </c>
      <c r="C263" s="168">
        <f>VLOOKUP(B263,'Dados StatusInvest'!$A:$Z,26,0)</f>
        <v>18616.17</v>
      </c>
      <c r="D263" s="169">
        <f>VLOOKUP(B263,'Dados StatusInvest'!$A:$Z,20,0)/100</f>
        <v>0</v>
      </c>
      <c r="E263" s="93" t="str">
        <f t="shared" si="1"/>
        <v>#N/A</v>
      </c>
      <c r="F263" s="170">
        <f>IF(ISERROR(1/VLOOKUP(B263,Capa!A:AC,13,0)),0,1/VLOOKUP(B263,Capa!A:AC,13,0))</f>
        <v>0.0163345312</v>
      </c>
      <c r="G263" s="171">
        <f t="shared" si="2"/>
        <v>290.00029</v>
      </c>
      <c r="H263" s="172" t="str">
        <f t="shared" si="3"/>
        <v>#N/A</v>
      </c>
      <c r="M263" s="167" t="s">
        <v>460</v>
      </c>
      <c r="N263" s="168">
        <f>VLOOKUP(M263,'Dados StatusInvest'!$A:$Z,26,0)</f>
        <v>18616.17</v>
      </c>
      <c r="O263" s="175">
        <f>VLOOKUP(M263,'Dados StatusInvest'!$A:$Z,18,0)/100</f>
        <v>0.2013</v>
      </c>
      <c r="P263" s="176" t="str">
        <f t="shared" si="5"/>
        <v>#N/A</v>
      </c>
      <c r="Q263" s="177">
        <f>IF(ISERROR(1/VLOOKUP(M263,Capa!A:AC,6,0)),0,1/VLOOKUP(M263,Capa!A:AC,6,0))</f>
        <v>0.01300221038</v>
      </c>
      <c r="R263" s="178">
        <f t="shared" si="6"/>
        <v>340.00034</v>
      </c>
      <c r="S263" s="179" t="str">
        <f t="shared" si="7"/>
        <v>#N/A</v>
      </c>
    </row>
    <row r="264">
      <c r="A264" s="180"/>
      <c r="B264" s="167" t="s">
        <v>361</v>
      </c>
      <c r="C264" s="168">
        <f>VLOOKUP(B264,'Dados StatusInvest'!$A:$Z,26,0)</f>
        <v>493015.84</v>
      </c>
      <c r="D264" s="169">
        <f>VLOOKUP(B264,'Dados StatusInvest'!$A:$Z,20,0)/100</f>
        <v>0.6187</v>
      </c>
      <c r="E264" s="93" t="str">
        <f t="shared" si="1"/>
        <v>#N/A</v>
      </c>
      <c r="F264" s="170">
        <f>IF(ISERROR(1/VLOOKUP(B264,Capa!A:AC,13,0)),0,1/VLOOKUP(B264,Capa!A:AC,13,0))</f>
        <v>-0.004703447627</v>
      </c>
      <c r="G264" s="171">
        <f t="shared" si="2"/>
        <v>395.000395</v>
      </c>
      <c r="H264" s="172" t="str">
        <f t="shared" si="3"/>
        <v>#N/A</v>
      </c>
      <c r="M264" s="167" t="s">
        <v>361</v>
      </c>
      <c r="N264" s="168">
        <f>VLOOKUP(M264,'Dados StatusInvest'!$A:$Z,26,0)</f>
        <v>493015.84</v>
      </c>
      <c r="O264" s="175">
        <f>VLOOKUP(M264,'Dados StatusInvest'!$A:$Z,18,0)/100</f>
        <v>0.8842</v>
      </c>
      <c r="P264" s="176" t="str">
        <f t="shared" si="5"/>
        <v>#N/A</v>
      </c>
      <c r="Q264" s="177">
        <f>IF(ISERROR(1/VLOOKUP(M264,Capa!A:AC,6,0)),0,1/VLOOKUP(M264,Capa!A:AC,6,0))</f>
        <v>0.004201680672</v>
      </c>
      <c r="R264" s="178">
        <f t="shared" si="6"/>
        <v>392.000392</v>
      </c>
      <c r="S264" s="179" t="str">
        <f t="shared" si="7"/>
        <v>#N/A</v>
      </c>
    </row>
    <row r="265">
      <c r="A265" s="180"/>
      <c r="B265" s="167" t="s">
        <v>441</v>
      </c>
      <c r="C265" s="168">
        <f>VLOOKUP(B265,'Dados StatusInvest'!$A:$Z,26,0)</f>
        <v>33506.33</v>
      </c>
      <c r="D265" s="169">
        <f>VLOOKUP(B265,'Dados StatusInvest'!$A:$Z,20,0)/100</f>
        <v>0.1549</v>
      </c>
      <c r="E265" s="93" t="str">
        <f t="shared" si="1"/>
        <v>#N/A</v>
      </c>
      <c r="F265" s="170">
        <f>IF(ISERROR(1/VLOOKUP(B265,Capa!A:AC,13,0)),0,1/VLOOKUP(B265,Capa!A:AC,13,0))</f>
        <v>0.08896797153</v>
      </c>
      <c r="G265" s="171">
        <f t="shared" si="2"/>
        <v>82.000082</v>
      </c>
      <c r="H265" s="172" t="str">
        <f t="shared" si="3"/>
        <v>#N/A</v>
      </c>
      <c r="M265" s="167" t="s">
        <v>441</v>
      </c>
      <c r="N265" s="168">
        <f>VLOOKUP(M265,'Dados StatusInvest'!$A:$Z,26,0)</f>
        <v>33506.33</v>
      </c>
      <c r="O265" s="175">
        <f>VLOOKUP(M265,'Dados StatusInvest'!$A:$Z,18,0)/100</f>
        <v>0.2292</v>
      </c>
      <c r="P265" s="176" t="str">
        <f t="shared" si="5"/>
        <v>#N/A</v>
      </c>
      <c r="Q265" s="177">
        <f>IF(ISERROR(1/VLOOKUP(M265,Capa!A:AC,6,0)),0,1/VLOOKUP(M265,Capa!A:AC,6,0))</f>
        <v>0.01010815728</v>
      </c>
      <c r="R265" s="178">
        <f t="shared" si="6"/>
        <v>362.000362</v>
      </c>
      <c r="S265" s="179" t="str">
        <f t="shared" si="7"/>
        <v>#N/A</v>
      </c>
    </row>
    <row r="266">
      <c r="A266" s="180"/>
      <c r="B266" s="167" t="s">
        <v>348</v>
      </c>
      <c r="C266" s="168">
        <f>VLOOKUP(B266,'Dados StatusInvest'!$A:$Z,26,0)</f>
        <v>363329.13</v>
      </c>
      <c r="D266" s="169">
        <f>VLOOKUP(B266,'Dados StatusInvest'!$A:$Z,20,0)/100</f>
        <v>-0.0247</v>
      </c>
      <c r="E266" s="93" t="str">
        <f t="shared" si="1"/>
        <v>#N/A</v>
      </c>
      <c r="F266" s="170">
        <f>IF(ISERROR(1/VLOOKUP(B266,Capa!A:AC,13,0)),0,1/VLOOKUP(B266,Capa!A:AC,13,0))</f>
        <v>0</v>
      </c>
      <c r="G266" s="171">
        <f t="shared" si="2"/>
        <v>329.000329</v>
      </c>
      <c r="H266" s="172" t="str">
        <f t="shared" si="3"/>
        <v>#N/A</v>
      </c>
      <c r="M266" s="167" t="s">
        <v>348</v>
      </c>
      <c r="N266" s="168">
        <f>VLOOKUP(M266,'Dados StatusInvest'!$A:$Z,26,0)</f>
        <v>363329.13</v>
      </c>
      <c r="O266" s="175">
        <f>VLOOKUP(M266,'Dados StatusInvest'!$A:$Z,18,0)/100</f>
        <v>-4.2613</v>
      </c>
      <c r="P266" s="176" t="str">
        <f t="shared" si="5"/>
        <v>#N/A</v>
      </c>
      <c r="Q266" s="177">
        <f>IF(ISERROR(1/VLOOKUP(M266,Capa!A:AC,6,0)),0,1/VLOOKUP(M266,Capa!A:AC,6,0))</f>
        <v>0.1300390117</v>
      </c>
      <c r="R266" s="178">
        <f t="shared" si="6"/>
        <v>41.000041</v>
      </c>
      <c r="S266" s="179" t="str">
        <f t="shared" si="7"/>
        <v>#N/A</v>
      </c>
    </row>
    <row r="267">
      <c r="A267" s="180"/>
      <c r="B267" s="167" t="s">
        <v>378</v>
      </c>
      <c r="C267" s="168">
        <f>VLOOKUP(B267,'Dados StatusInvest'!$A:$Z,26,0)</f>
        <v>89008.88</v>
      </c>
      <c r="D267" s="169">
        <f>VLOOKUP(B267,'Dados StatusInvest'!$A:$Z,20,0)/100</f>
        <v>0.1452</v>
      </c>
      <c r="E267" s="93" t="str">
        <f t="shared" si="1"/>
        <v>#N/A</v>
      </c>
      <c r="F267" s="170">
        <f>IF(ISERROR(1/VLOOKUP(B267,Capa!A:AC,13,0)),0,1/VLOOKUP(B267,Capa!A:AC,13,0))</f>
        <v>0.07062146893</v>
      </c>
      <c r="G267" s="171">
        <f t="shared" si="2"/>
        <v>110.00011</v>
      </c>
      <c r="H267" s="172" t="str">
        <f t="shared" si="3"/>
        <v>#N/A</v>
      </c>
      <c r="M267" s="167" t="s">
        <v>378</v>
      </c>
      <c r="N267" s="168">
        <f>VLOOKUP(M267,'Dados StatusInvest'!$A:$Z,26,0)</f>
        <v>89008.88</v>
      </c>
      <c r="O267" s="175">
        <f>VLOOKUP(M267,'Dados StatusInvest'!$A:$Z,18,0)/100</f>
        <v>0.0942</v>
      </c>
      <c r="P267" s="176" t="str">
        <f t="shared" si="5"/>
        <v>#N/A</v>
      </c>
      <c r="Q267" s="177">
        <f>IF(ISERROR(1/VLOOKUP(M267,Capa!A:AC,6,0)),0,1/VLOOKUP(M267,Capa!A:AC,6,0))</f>
        <v>0.01873009927</v>
      </c>
      <c r="R267" s="178">
        <f t="shared" si="6"/>
        <v>299.000299</v>
      </c>
      <c r="S267" s="179" t="str">
        <f t="shared" si="7"/>
        <v>#N/A</v>
      </c>
    </row>
    <row r="268">
      <c r="A268" s="180"/>
      <c r="B268" s="167" t="s">
        <v>487</v>
      </c>
      <c r="C268" s="168">
        <f>VLOOKUP(B268,'Dados StatusInvest'!$A:$Z,26,0)</f>
        <v>12760.55</v>
      </c>
      <c r="D268" s="169">
        <f>VLOOKUP(B268,'Dados StatusInvest'!$A:$Z,20,0)/100</f>
        <v>0.2914</v>
      </c>
      <c r="E268" s="93" t="str">
        <f t="shared" si="1"/>
        <v>#N/A</v>
      </c>
      <c r="F268" s="170">
        <f>IF(ISERROR(1/VLOOKUP(B268,Capa!A:AC,13,0)),0,1/VLOOKUP(B268,Capa!A:AC,13,0))</f>
        <v>0.01069633116</v>
      </c>
      <c r="G268" s="171">
        <f t="shared" si="2"/>
        <v>300.0003</v>
      </c>
      <c r="H268" s="172" t="str">
        <f t="shared" si="3"/>
        <v>#N/A</v>
      </c>
      <c r="M268" s="167" t="s">
        <v>487</v>
      </c>
      <c r="N268" s="168">
        <f>VLOOKUP(M268,'Dados StatusInvest'!$A:$Z,26,0)</f>
        <v>12760.55</v>
      </c>
      <c r="O268" s="175">
        <f>VLOOKUP(M268,'Dados StatusInvest'!$A:$Z,18,0)/100</f>
        <v>0.2647</v>
      </c>
      <c r="P268" s="176" t="str">
        <f t="shared" si="5"/>
        <v>#N/A</v>
      </c>
      <c r="Q268" s="177">
        <f>IF(ISERROR(1/VLOOKUP(M268,Capa!A:AC,6,0)),0,1/VLOOKUP(M268,Capa!A:AC,6,0))</f>
        <v>0.02127659574</v>
      </c>
      <c r="R268" s="178">
        <f t="shared" si="6"/>
        <v>280.00028</v>
      </c>
      <c r="S268" s="179" t="str">
        <f t="shared" si="7"/>
        <v>#N/A</v>
      </c>
    </row>
    <row r="269">
      <c r="A269" s="180"/>
      <c r="B269" s="167" t="s">
        <v>621</v>
      </c>
      <c r="C269" s="168">
        <f>VLOOKUP(B269,'Dados StatusInvest'!$A:$Z,26,0)</f>
        <v>289164.47</v>
      </c>
      <c r="D269" s="169">
        <f>VLOOKUP(B269,'Dados StatusInvest'!$A:$Z,20,0)/100</f>
        <v>0</v>
      </c>
      <c r="E269" s="93" t="str">
        <f t="shared" si="1"/>
        <v>#N/A</v>
      </c>
      <c r="F269" s="170">
        <f>IF(ISERROR(1/VLOOKUP(B269,Capa!A:AC,13,0)),0,1/VLOOKUP(B269,Capa!A:AC,13,0))</f>
        <v>0</v>
      </c>
      <c r="G269" s="171">
        <f t="shared" si="2"/>
        <v>329.000329</v>
      </c>
      <c r="H269" s="172" t="str">
        <f t="shared" si="3"/>
        <v>#N/A</v>
      </c>
      <c r="M269" s="167" t="s">
        <v>621</v>
      </c>
      <c r="N269" s="168">
        <f>VLOOKUP(M269,'Dados StatusInvest'!$A:$Z,26,0)</f>
        <v>289164.47</v>
      </c>
      <c r="O269" s="175">
        <f>VLOOKUP(M269,'Dados StatusInvest'!$A:$Z,18,0)/100</f>
        <v>-0.9438</v>
      </c>
      <c r="P269" s="176" t="str">
        <f t="shared" si="5"/>
        <v>#N/A</v>
      </c>
      <c r="Q269" s="177">
        <f>IF(ISERROR(1/VLOOKUP(M269,Capa!A:AC,6,0)),0,1/VLOOKUP(M269,Capa!A:AC,6,0))</f>
        <v>0</v>
      </c>
      <c r="R269" s="178">
        <f t="shared" si="6"/>
        <v>399.000399</v>
      </c>
      <c r="S269" s="179" t="str">
        <f t="shared" si="7"/>
        <v>#N/A</v>
      </c>
    </row>
    <row r="270">
      <c r="A270" s="180"/>
      <c r="B270" s="167" t="s">
        <v>300</v>
      </c>
      <c r="C270" s="168">
        <f>VLOOKUP(B270,'Dados StatusInvest'!$A:$Z,26,0)</f>
        <v>2983329.17</v>
      </c>
      <c r="D270" s="169">
        <f>VLOOKUP(B270,'Dados StatusInvest'!$A:$Z,20,0)/100</f>
        <v>0.0926</v>
      </c>
      <c r="E270" s="93" t="str">
        <f t="shared" si="1"/>
        <v>#N/A</v>
      </c>
      <c r="F270" s="170">
        <f>IF(ISERROR(1/VLOOKUP(B270,Capa!A:AC,13,0)),0,1/VLOOKUP(B270,Capa!A:AC,13,0))</f>
        <v>-0.000286486982</v>
      </c>
      <c r="G270" s="171">
        <f t="shared" si="2"/>
        <v>387.000387</v>
      </c>
      <c r="H270" s="172" t="str">
        <f t="shared" si="3"/>
        <v>#N/A</v>
      </c>
      <c r="M270" s="167" t="s">
        <v>300</v>
      </c>
      <c r="N270" s="168">
        <f>VLOOKUP(M270,'Dados StatusInvest'!$A:$Z,26,0)</f>
        <v>2983329.17</v>
      </c>
      <c r="O270" s="175">
        <f>VLOOKUP(M270,'Dados StatusInvest'!$A:$Z,18,0)/100</f>
        <v>-0.1238</v>
      </c>
      <c r="P270" s="176" t="str">
        <f t="shared" si="5"/>
        <v>#N/A</v>
      </c>
      <c r="Q270" s="177">
        <f>IF(ISERROR(1/VLOOKUP(M270,Capa!A:AC,6,0)),0,1/VLOOKUP(M270,Capa!A:AC,6,0))</f>
        <v>0.2409638554</v>
      </c>
      <c r="R270" s="178">
        <f t="shared" si="6"/>
        <v>13.000013</v>
      </c>
      <c r="S270" s="179" t="str">
        <f t="shared" si="7"/>
        <v>#N/A</v>
      </c>
    </row>
    <row r="271">
      <c r="A271" s="180"/>
      <c r="B271" s="167" t="s">
        <v>430</v>
      </c>
      <c r="C271" s="168">
        <f>VLOOKUP(B271,'Dados StatusInvest'!$A:$Z,26,0)</f>
        <v>33252.18</v>
      </c>
      <c r="D271" s="169">
        <f>VLOOKUP(B271,'Dados StatusInvest'!$A:$Z,20,0)/100</f>
        <v>0</v>
      </c>
      <c r="E271" s="93" t="str">
        <f t="shared" si="1"/>
        <v>#N/A</v>
      </c>
      <c r="F271" s="170">
        <f>IF(ISERROR(1/VLOOKUP(B271,Capa!A:AC,13,0)),0,1/VLOOKUP(B271,Capa!A:AC,13,0))</f>
        <v>0.01115324559</v>
      </c>
      <c r="G271" s="171">
        <f t="shared" si="2"/>
        <v>298.000298</v>
      </c>
      <c r="H271" s="172" t="str">
        <f t="shared" si="3"/>
        <v>#N/A</v>
      </c>
      <c r="M271" s="167" t="s">
        <v>430</v>
      </c>
      <c r="N271" s="168">
        <f>VLOOKUP(M271,'Dados StatusInvest'!$A:$Z,26,0)</f>
        <v>33252.18</v>
      </c>
      <c r="O271" s="175">
        <f>VLOOKUP(M271,'Dados StatusInvest'!$A:$Z,18,0)/100</f>
        <v>0.1687</v>
      </c>
      <c r="P271" s="176" t="str">
        <f t="shared" si="5"/>
        <v>#N/A</v>
      </c>
      <c r="Q271" s="177">
        <f>IF(ISERROR(1/VLOOKUP(M271,Capa!A:AC,6,0)),0,1/VLOOKUP(M271,Capa!A:AC,6,0))</f>
        <v>0.02314814815</v>
      </c>
      <c r="R271" s="178">
        <f t="shared" si="6"/>
        <v>264.000264</v>
      </c>
      <c r="S271" s="179" t="str">
        <f t="shared" si="7"/>
        <v>#N/A</v>
      </c>
    </row>
    <row r="272">
      <c r="A272" s="180"/>
      <c r="B272" s="167" t="s">
        <v>431</v>
      </c>
      <c r="C272" s="168">
        <f>VLOOKUP(B272,'Dados StatusInvest'!$A:$Z,26,0)</f>
        <v>58125</v>
      </c>
      <c r="D272" s="169">
        <f>VLOOKUP(B272,'Dados StatusInvest'!$A:$Z,20,0)/100</f>
        <v>0.2013</v>
      </c>
      <c r="E272" s="93" t="str">
        <f t="shared" si="1"/>
        <v>#N/A</v>
      </c>
      <c r="F272" s="170">
        <f>IF(ISERROR(1/VLOOKUP(B272,Capa!A:AC,13,0)),0,1/VLOOKUP(B272,Capa!A:AC,13,0))</f>
        <v>0.01993620415</v>
      </c>
      <c r="G272" s="171">
        <f t="shared" si="2"/>
        <v>278.000278</v>
      </c>
      <c r="H272" s="172" t="str">
        <f t="shared" si="3"/>
        <v>#N/A</v>
      </c>
      <c r="M272" s="167" t="s">
        <v>431</v>
      </c>
      <c r="N272" s="168">
        <f>VLOOKUP(M272,'Dados StatusInvest'!$A:$Z,26,0)</f>
        <v>58125</v>
      </c>
      <c r="O272" s="175">
        <f>VLOOKUP(M272,'Dados StatusInvest'!$A:$Z,18,0)/100</f>
        <v>0.2894</v>
      </c>
      <c r="P272" s="176" t="str">
        <f t="shared" si="5"/>
        <v>#N/A</v>
      </c>
      <c r="Q272" s="177">
        <f>IF(ISERROR(1/VLOOKUP(M272,Capa!A:AC,6,0)),0,1/VLOOKUP(M272,Capa!A:AC,6,0))</f>
        <v>0.00125</v>
      </c>
      <c r="R272" s="178">
        <f t="shared" si="6"/>
        <v>397.000397</v>
      </c>
      <c r="S272" s="179" t="str">
        <f t="shared" si="7"/>
        <v>#N/A</v>
      </c>
    </row>
    <row r="273">
      <c r="A273" s="180"/>
      <c r="B273" s="167" t="s">
        <v>372</v>
      </c>
      <c r="C273" s="168">
        <f>VLOOKUP(B273,'Dados StatusInvest'!$A:$Z,26,0)</f>
        <v>146821</v>
      </c>
      <c r="D273" s="169">
        <f>VLOOKUP(B273,'Dados StatusInvest'!$A:$Z,20,0)/100</f>
        <v>0.6042</v>
      </c>
      <c r="E273" s="93" t="str">
        <f t="shared" si="1"/>
        <v>#N/A</v>
      </c>
      <c r="F273" s="170">
        <f>IF(ISERROR(1/VLOOKUP(B273,Capa!A:AC,13,0)),0,1/VLOOKUP(B273,Capa!A:AC,13,0))</f>
        <v>0.03128911139</v>
      </c>
      <c r="G273" s="171">
        <f t="shared" si="2"/>
        <v>244.000244</v>
      </c>
      <c r="H273" s="172" t="str">
        <f t="shared" si="3"/>
        <v>#N/A</v>
      </c>
      <c r="M273" s="167" t="s">
        <v>372</v>
      </c>
      <c r="N273" s="168">
        <f>VLOOKUP(M273,'Dados StatusInvest'!$A:$Z,26,0)</f>
        <v>146821</v>
      </c>
      <c r="O273" s="175">
        <f>VLOOKUP(M273,'Dados StatusInvest'!$A:$Z,18,0)/100</f>
        <v>0.664</v>
      </c>
      <c r="P273" s="176" t="str">
        <f t="shared" si="5"/>
        <v>#N/A</v>
      </c>
      <c r="Q273" s="177">
        <f>IF(ISERROR(1/VLOOKUP(M273,Capa!A:AC,6,0)),0,1/VLOOKUP(M273,Capa!A:AC,6,0))</f>
        <v>0.0798084597</v>
      </c>
      <c r="R273" s="178">
        <f t="shared" si="6"/>
        <v>86.000086</v>
      </c>
      <c r="S273" s="179" t="str">
        <f t="shared" si="7"/>
        <v>#N/A</v>
      </c>
    </row>
    <row r="274">
      <c r="A274" s="180"/>
      <c r="B274" s="167" t="s">
        <v>438</v>
      </c>
      <c r="C274" s="168">
        <f>VLOOKUP(B274,'Dados StatusInvest'!$A:$Z,26,0)</f>
        <v>53912.17</v>
      </c>
      <c r="D274" s="169">
        <f>VLOOKUP(B274,'Dados StatusInvest'!$A:$Z,20,0)/100</f>
        <v>-0.1093</v>
      </c>
      <c r="E274" s="93" t="str">
        <f t="shared" si="1"/>
        <v>#N/A</v>
      </c>
      <c r="F274" s="170">
        <f>IF(ISERROR(1/VLOOKUP(B274,Capa!A:AC,13,0)),0,1/VLOOKUP(B274,Capa!A:AC,13,0))</f>
        <v>-0.2016129032</v>
      </c>
      <c r="G274" s="171">
        <f t="shared" si="2"/>
        <v>434.000434</v>
      </c>
      <c r="H274" s="172" t="str">
        <f t="shared" si="3"/>
        <v>#N/A</v>
      </c>
      <c r="M274" s="167" t="s">
        <v>438</v>
      </c>
      <c r="N274" s="168">
        <f>VLOOKUP(M274,'Dados StatusInvest'!$A:$Z,26,0)</f>
        <v>53912.17</v>
      </c>
      <c r="O274" s="175">
        <f>VLOOKUP(M274,'Dados StatusInvest'!$A:$Z,18,0)/100</f>
        <v>-0.2885</v>
      </c>
      <c r="P274" s="176" t="str">
        <f t="shared" si="5"/>
        <v>#N/A</v>
      </c>
      <c r="Q274" s="177">
        <f>IF(ISERROR(1/VLOOKUP(M274,Capa!A:AC,6,0)),0,1/VLOOKUP(M274,Capa!A:AC,6,0))</f>
        <v>0.04761904762</v>
      </c>
      <c r="R274" s="178">
        <f t="shared" si="6"/>
        <v>151.000151</v>
      </c>
      <c r="S274" s="179" t="str">
        <f t="shared" si="7"/>
        <v>#N/A</v>
      </c>
    </row>
    <row r="275">
      <c r="A275" s="180"/>
      <c r="B275" s="167" t="s">
        <v>358</v>
      </c>
      <c r="C275" s="168">
        <f>VLOOKUP(B275,'Dados StatusInvest'!$A:$Z,26,0)</f>
        <v>431690.71</v>
      </c>
      <c r="D275" s="169">
        <f>VLOOKUP(B275,'Dados StatusInvest'!$A:$Z,20,0)/100</f>
        <v>0.08</v>
      </c>
      <c r="E275" s="93" t="str">
        <f t="shared" si="1"/>
        <v>#N/A</v>
      </c>
      <c r="F275" s="170">
        <f>IF(ISERROR(1/VLOOKUP(B275,Capa!A:AC,13,0)),0,1/VLOOKUP(B275,Capa!A:AC,13,0))</f>
        <v>-0.06397952655</v>
      </c>
      <c r="G275" s="171">
        <f t="shared" si="2"/>
        <v>423.000423</v>
      </c>
      <c r="H275" s="172" t="str">
        <f t="shared" si="3"/>
        <v>#N/A</v>
      </c>
      <c r="M275" s="167" t="s">
        <v>358</v>
      </c>
      <c r="N275" s="168">
        <f>VLOOKUP(M275,'Dados StatusInvest'!$A:$Z,26,0)</f>
        <v>431690.71</v>
      </c>
      <c r="O275" s="175">
        <f>VLOOKUP(M275,'Dados StatusInvest'!$A:$Z,18,0)/100</f>
        <v>-0.0871</v>
      </c>
      <c r="P275" s="176" t="str">
        <f t="shared" si="5"/>
        <v>#N/A</v>
      </c>
      <c r="Q275" s="177">
        <f>IF(ISERROR(1/VLOOKUP(M275,Capa!A:AC,6,0)),0,1/VLOOKUP(M275,Capa!A:AC,6,0))</f>
        <v>0.127064803</v>
      </c>
      <c r="R275" s="178">
        <f t="shared" si="6"/>
        <v>45.000045</v>
      </c>
      <c r="S275" s="179" t="str">
        <f t="shared" si="7"/>
        <v>#N/A</v>
      </c>
    </row>
    <row r="276">
      <c r="A276" s="180"/>
      <c r="B276" s="167" t="s">
        <v>436</v>
      </c>
      <c r="C276" s="168">
        <f>VLOOKUP(B276,'Dados StatusInvest'!$A:$Z,26,0)</f>
        <v>51403.92</v>
      </c>
      <c r="D276" s="169">
        <f>VLOOKUP(B276,'Dados StatusInvest'!$A:$Z,20,0)/100</f>
        <v>0.3614</v>
      </c>
      <c r="E276" s="93" t="str">
        <f t="shared" si="1"/>
        <v>#N/A</v>
      </c>
      <c r="F276" s="170">
        <f>IF(ISERROR(1/VLOOKUP(B276,Capa!A:AC,13,0)),0,1/VLOOKUP(B276,Capa!A:AC,13,0))</f>
        <v>0.03180661578</v>
      </c>
      <c r="G276" s="171">
        <f t="shared" si="2"/>
        <v>241.000241</v>
      </c>
      <c r="H276" s="172" t="str">
        <f t="shared" si="3"/>
        <v>#N/A</v>
      </c>
      <c r="M276" s="167" t="s">
        <v>436</v>
      </c>
      <c r="N276" s="168">
        <f>VLOOKUP(M276,'Dados StatusInvest'!$A:$Z,26,0)</f>
        <v>51403.92</v>
      </c>
      <c r="O276" s="175">
        <f>VLOOKUP(M276,'Dados StatusInvest'!$A:$Z,18,0)/100</f>
        <v>0.4858</v>
      </c>
      <c r="P276" s="176" t="str">
        <f t="shared" si="5"/>
        <v>#N/A</v>
      </c>
      <c r="Q276" s="177">
        <f>IF(ISERROR(1/VLOOKUP(M276,Capa!A:AC,6,0)),0,1/VLOOKUP(M276,Capa!A:AC,6,0))</f>
        <v>0.009095043201</v>
      </c>
      <c r="R276" s="178">
        <f t="shared" si="6"/>
        <v>372.000372</v>
      </c>
      <c r="S276" s="179" t="str">
        <f t="shared" si="7"/>
        <v>#N/A</v>
      </c>
    </row>
    <row r="277">
      <c r="A277" s="180"/>
      <c r="B277" s="167" t="s">
        <v>398</v>
      </c>
      <c r="C277" s="168">
        <f>VLOOKUP(B277,'Dados StatusInvest'!$A:$Z,26,0)</f>
        <v>129734.88</v>
      </c>
      <c r="D277" s="169">
        <f>VLOOKUP(B277,'Dados StatusInvest'!$A:$Z,20,0)/100</f>
        <v>0.1044</v>
      </c>
      <c r="E277" s="93" t="str">
        <f t="shared" si="1"/>
        <v>#N/A</v>
      </c>
      <c r="F277" s="170">
        <f>IF(ISERROR(1/VLOOKUP(B277,Capa!A:AC,13,0)),0,1/VLOOKUP(B277,Capa!A:AC,13,0))</f>
        <v>0.05963029219</v>
      </c>
      <c r="G277" s="171">
        <f t="shared" si="2"/>
        <v>123.000123</v>
      </c>
      <c r="H277" s="172" t="str">
        <f t="shared" si="3"/>
        <v>#N/A</v>
      </c>
      <c r="M277" s="167" t="s">
        <v>398</v>
      </c>
      <c r="N277" s="168">
        <f>VLOOKUP(M277,'Dados StatusInvest'!$A:$Z,26,0)</f>
        <v>129734.88</v>
      </c>
      <c r="O277" s="175">
        <f>VLOOKUP(M277,'Dados StatusInvest'!$A:$Z,18,0)/100</f>
        <v>0.3052</v>
      </c>
      <c r="P277" s="176" t="str">
        <f t="shared" si="5"/>
        <v>#N/A</v>
      </c>
      <c r="Q277" s="177">
        <f>IF(ISERROR(1/VLOOKUP(M277,Capa!A:AC,6,0)),0,1/VLOOKUP(M277,Capa!A:AC,6,0))</f>
        <v>0.04514672686</v>
      </c>
      <c r="R277" s="178">
        <f t="shared" si="6"/>
        <v>157.000157</v>
      </c>
      <c r="S277" s="179" t="str">
        <f t="shared" si="7"/>
        <v>#N/A</v>
      </c>
    </row>
    <row r="278">
      <c r="A278" s="180"/>
      <c r="B278" s="167" t="s">
        <v>435</v>
      </c>
      <c r="C278" s="168">
        <f>VLOOKUP(B278,'Dados StatusInvest'!$A:$Z,26,0)</f>
        <v>37136.5</v>
      </c>
      <c r="D278" s="169">
        <f>VLOOKUP(B278,'Dados StatusInvest'!$A:$Z,20,0)/100</f>
        <v>0.2008</v>
      </c>
      <c r="E278" s="93" t="str">
        <f t="shared" si="1"/>
        <v>#N/A</v>
      </c>
      <c r="F278" s="170">
        <f>IF(ISERROR(1/VLOOKUP(B278,Capa!A:AC,13,0)),0,1/VLOOKUP(B278,Capa!A:AC,13,0))</f>
        <v>0.05783689994</v>
      </c>
      <c r="G278" s="171">
        <f t="shared" si="2"/>
        <v>130.00013</v>
      </c>
      <c r="H278" s="172" t="str">
        <f t="shared" si="3"/>
        <v>#N/A</v>
      </c>
      <c r="M278" s="167" t="s">
        <v>435</v>
      </c>
      <c r="N278" s="168">
        <f>VLOOKUP(M278,'Dados StatusInvest'!$A:$Z,26,0)</f>
        <v>37136.5</v>
      </c>
      <c r="O278" s="175">
        <f>VLOOKUP(M278,'Dados StatusInvest'!$A:$Z,18,0)/100</f>
        <v>0.3287</v>
      </c>
      <c r="P278" s="176" t="str">
        <f t="shared" si="5"/>
        <v>#N/A</v>
      </c>
      <c r="Q278" s="177">
        <f>IF(ISERROR(1/VLOOKUP(M278,Capa!A:AC,6,0)),0,1/VLOOKUP(M278,Capa!A:AC,6,0))</f>
        <v>0.01162520344</v>
      </c>
      <c r="R278" s="178">
        <f t="shared" si="6"/>
        <v>352.000352</v>
      </c>
      <c r="S278" s="179" t="str">
        <f t="shared" si="7"/>
        <v>#N/A</v>
      </c>
    </row>
    <row r="279">
      <c r="A279" s="180"/>
      <c r="B279" s="167" t="s">
        <v>390</v>
      </c>
      <c r="C279" s="168">
        <f>VLOOKUP(B279,'Dados StatusInvest'!$A:$Z,26,0)</f>
        <v>140938</v>
      </c>
      <c r="D279" s="169">
        <f>VLOOKUP(B279,'Dados StatusInvest'!$A:$Z,20,0)/100</f>
        <v>0.1044</v>
      </c>
      <c r="E279" s="93" t="str">
        <f t="shared" si="1"/>
        <v>#N/A</v>
      </c>
      <c r="F279" s="170">
        <f>IF(ISERROR(1/VLOOKUP(B279,Capa!A:AC,13,0)),0,1/VLOOKUP(B279,Capa!A:AC,13,0))</f>
        <v>0.05963029219</v>
      </c>
      <c r="G279" s="171">
        <f t="shared" si="2"/>
        <v>123.000123</v>
      </c>
      <c r="H279" s="172" t="str">
        <f t="shared" si="3"/>
        <v>#N/A</v>
      </c>
      <c r="M279" s="167" t="s">
        <v>390</v>
      </c>
      <c r="N279" s="168">
        <f>VLOOKUP(M279,'Dados StatusInvest'!$A:$Z,26,0)</f>
        <v>140938</v>
      </c>
      <c r="O279" s="175">
        <f>VLOOKUP(M279,'Dados StatusInvest'!$A:$Z,18,0)/100</f>
        <v>0.3052</v>
      </c>
      <c r="P279" s="176" t="str">
        <f t="shared" si="5"/>
        <v>#N/A</v>
      </c>
      <c r="Q279" s="177">
        <f>IF(ISERROR(1/VLOOKUP(M279,Capa!A:AC,6,0)),0,1/VLOOKUP(M279,Capa!A:AC,6,0))</f>
        <v>0.1116071429</v>
      </c>
      <c r="R279" s="178">
        <f t="shared" si="6"/>
        <v>55.000055</v>
      </c>
      <c r="S279" s="179" t="str">
        <f t="shared" si="7"/>
        <v>#N/A</v>
      </c>
    </row>
    <row r="280">
      <c r="A280" s="180"/>
      <c r="B280" s="167" t="s">
        <v>350</v>
      </c>
      <c r="C280" s="168">
        <f>VLOOKUP(B280,'Dados StatusInvest'!$A:$Z,26,0)</f>
        <v>568615.88</v>
      </c>
      <c r="D280" s="169">
        <f>VLOOKUP(B280,'Dados StatusInvest'!$A:$Z,20,0)/100</f>
        <v>0.1441</v>
      </c>
      <c r="E280" s="93" t="str">
        <f t="shared" si="1"/>
        <v>#N/A</v>
      </c>
      <c r="F280" s="170">
        <f>IF(ISERROR(1/VLOOKUP(B280,Capa!A:AC,13,0)),0,1/VLOOKUP(B280,Capa!A:AC,13,0))</f>
        <v>-0.000688596159</v>
      </c>
      <c r="G280" s="171">
        <f t="shared" si="2"/>
        <v>389.000389</v>
      </c>
      <c r="H280" s="172" t="str">
        <f t="shared" si="3"/>
        <v>#N/A</v>
      </c>
      <c r="M280" s="167" t="s">
        <v>350</v>
      </c>
      <c r="N280" s="168">
        <f>VLOOKUP(M280,'Dados StatusInvest'!$A:$Z,26,0)</f>
        <v>568615.88</v>
      </c>
      <c r="O280" s="175">
        <f>VLOOKUP(M280,'Dados StatusInvest'!$A:$Z,18,0)/100</f>
        <v>-0.1025</v>
      </c>
      <c r="P280" s="176" t="str">
        <f t="shared" si="5"/>
        <v>#N/A</v>
      </c>
      <c r="Q280" s="177">
        <f>IF(ISERROR(1/VLOOKUP(M280,Capa!A:AC,6,0)),0,1/VLOOKUP(M280,Capa!A:AC,6,0))</f>
        <v>0.05319148936</v>
      </c>
      <c r="R280" s="178">
        <f t="shared" si="6"/>
        <v>137.000137</v>
      </c>
      <c r="S280" s="179" t="str">
        <f t="shared" si="7"/>
        <v>#N/A</v>
      </c>
    </row>
    <row r="281">
      <c r="A281" s="180"/>
      <c r="B281" s="167" t="s">
        <v>494</v>
      </c>
      <c r="C281" s="168">
        <f>VLOOKUP(B281,'Dados StatusInvest'!$A:$Z,26,0)</f>
        <v>12341.67</v>
      </c>
      <c r="D281" s="169">
        <f>VLOOKUP(B281,'Dados StatusInvest'!$A:$Z,20,0)/100</f>
        <v>0.0692</v>
      </c>
      <c r="E281" s="93" t="str">
        <f t="shared" si="1"/>
        <v>#N/A</v>
      </c>
      <c r="F281" s="170">
        <f>IF(ISERROR(1/VLOOKUP(B281,Capa!A:AC,13,0)),0,1/VLOOKUP(B281,Capa!A:AC,13,0))</f>
        <v>0.1739130435</v>
      </c>
      <c r="G281" s="171">
        <f t="shared" si="2"/>
        <v>36.000036</v>
      </c>
      <c r="H281" s="172" t="str">
        <f t="shared" si="3"/>
        <v>#N/A</v>
      </c>
      <c r="M281" s="167" t="s">
        <v>494</v>
      </c>
      <c r="N281" s="168">
        <f>VLOOKUP(M281,'Dados StatusInvest'!$A:$Z,26,0)</f>
        <v>12341.67</v>
      </c>
      <c r="O281" s="175">
        <f>VLOOKUP(M281,'Dados StatusInvest'!$A:$Z,18,0)/100</f>
        <v>-0.194</v>
      </c>
      <c r="P281" s="176" t="str">
        <f t="shared" si="5"/>
        <v>#N/A</v>
      </c>
      <c r="Q281" s="177">
        <f>IF(ISERROR(1/VLOOKUP(M281,Capa!A:AC,6,0)),0,1/VLOOKUP(M281,Capa!A:AC,6,0))</f>
        <v>0.01</v>
      </c>
      <c r="R281" s="178">
        <f t="shared" si="6"/>
        <v>366.000366</v>
      </c>
      <c r="S281" s="179" t="str">
        <f t="shared" si="7"/>
        <v>#N/A</v>
      </c>
    </row>
    <row r="282">
      <c r="A282" s="180"/>
      <c r="B282" s="167" t="s">
        <v>416</v>
      </c>
      <c r="C282" s="168">
        <f>VLOOKUP(B282,'Dados StatusInvest'!$A:$Z,26,0)</f>
        <v>62727.96</v>
      </c>
      <c r="D282" s="169">
        <f>VLOOKUP(B282,'Dados StatusInvest'!$A:$Z,20,0)/100</f>
        <v>0.5936</v>
      </c>
      <c r="E282" s="93" t="str">
        <f t="shared" si="1"/>
        <v>#N/A</v>
      </c>
      <c r="F282" s="170">
        <f>IF(ISERROR(1/VLOOKUP(B282,Capa!A:AC,13,0)),0,1/VLOOKUP(B282,Capa!A:AC,13,0))</f>
        <v>-0.0002616972111</v>
      </c>
      <c r="G282" s="171">
        <f t="shared" si="2"/>
        <v>386.000386</v>
      </c>
      <c r="H282" s="172" t="str">
        <f t="shared" si="3"/>
        <v>#N/A</v>
      </c>
      <c r="M282" s="167" t="s">
        <v>416</v>
      </c>
      <c r="N282" s="168">
        <f>VLOOKUP(M282,'Dados StatusInvest'!$A:$Z,26,0)</f>
        <v>62727.96</v>
      </c>
      <c r="O282" s="175">
        <f>VLOOKUP(M282,'Dados StatusInvest'!$A:$Z,18,0)/100</f>
        <v>-0.1654</v>
      </c>
      <c r="P282" s="176" t="str">
        <f t="shared" si="5"/>
        <v>#N/A</v>
      </c>
      <c r="Q282" s="177">
        <f>IF(ISERROR(1/VLOOKUP(M282,Capa!A:AC,6,0)),0,1/VLOOKUP(M282,Capa!A:AC,6,0))</f>
        <v>0.02197802198</v>
      </c>
      <c r="R282" s="178">
        <f t="shared" si="6"/>
        <v>274.000274</v>
      </c>
      <c r="S282" s="179" t="str">
        <f t="shared" si="7"/>
        <v>#N/A</v>
      </c>
    </row>
    <row r="283">
      <c r="A283" s="180"/>
      <c r="B283" s="167" t="s">
        <v>325</v>
      </c>
      <c r="C283" s="168">
        <f>VLOOKUP(B283,'Dados StatusInvest'!$A:$Z,26,0)</f>
        <v>1238536</v>
      </c>
      <c r="D283" s="169">
        <f>VLOOKUP(B283,'Dados StatusInvest'!$A:$Z,20,0)/100</f>
        <v>0.3284</v>
      </c>
      <c r="E283" s="93" t="str">
        <f t="shared" si="1"/>
        <v>#N/A</v>
      </c>
      <c r="F283" s="170">
        <f>IF(ISERROR(1/VLOOKUP(B283,Capa!A:AC,13,0)),0,1/VLOOKUP(B283,Capa!A:AC,13,0))</f>
        <v>0.0014936966</v>
      </c>
      <c r="G283" s="171">
        <f t="shared" si="2"/>
        <v>315.000315</v>
      </c>
      <c r="H283" s="172" t="str">
        <f t="shared" si="3"/>
        <v>#N/A</v>
      </c>
      <c r="M283" s="167" t="s">
        <v>325</v>
      </c>
      <c r="N283" s="168">
        <f>VLOOKUP(M283,'Dados StatusInvest'!$A:$Z,26,0)</f>
        <v>1238536</v>
      </c>
      <c r="O283" s="175">
        <f>VLOOKUP(M283,'Dados StatusInvest'!$A:$Z,18,0)/100</f>
        <v>0.4494</v>
      </c>
      <c r="P283" s="176" t="str">
        <f t="shared" si="5"/>
        <v>#N/A</v>
      </c>
      <c r="Q283" s="177">
        <f>IF(ISERROR(1/VLOOKUP(M283,Capa!A:AC,6,0)),0,1/VLOOKUP(M283,Capa!A:AC,6,0))</f>
        <v>0.002272727273</v>
      </c>
      <c r="R283" s="178">
        <f t="shared" si="6"/>
        <v>396.000396</v>
      </c>
      <c r="S283" s="179" t="str">
        <f t="shared" si="7"/>
        <v>#N/A</v>
      </c>
    </row>
    <row r="284">
      <c r="A284" s="180"/>
      <c r="B284" s="167" t="s">
        <v>404</v>
      </c>
      <c r="C284" s="168">
        <f>VLOOKUP(B284,'Dados StatusInvest'!$A:$Z,26,0)</f>
        <v>91833.96</v>
      </c>
      <c r="D284" s="169">
        <f>VLOOKUP(B284,'Dados StatusInvest'!$A:$Z,20,0)/100</f>
        <v>0</v>
      </c>
      <c r="E284" s="93" t="str">
        <f t="shared" si="1"/>
        <v>#N/A</v>
      </c>
      <c r="F284" s="170">
        <f>IF(ISERROR(1/VLOOKUP(B284,Capa!A:AC,13,0)),0,1/VLOOKUP(B284,Capa!A:AC,13,0))</f>
        <v>0.05868544601</v>
      </c>
      <c r="G284" s="171">
        <f t="shared" si="2"/>
        <v>126.000126</v>
      </c>
      <c r="H284" s="172" t="str">
        <f t="shared" si="3"/>
        <v>#N/A</v>
      </c>
      <c r="M284" s="167" t="s">
        <v>404</v>
      </c>
      <c r="N284" s="168">
        <f>VLOOKUP(M284,'Dados StatusInvest'!$A:$Z,26,0)</f>
        <v>91833.96</v>
      </c>
      <c r="O284" s="175">
        <f>VLOOKUP(M284,'Dados StatusInvest'!$A:$Z,18,0)/100</f>
        <v>0.1034</v>
      </c>
      <c r="P284" s="176" t="str">
        <f t="shared" si="5"/>
        <v>#N/A</v>
      </c>
      <c r="Q284" s="177">
        <f>IF(ISERROR(1/VLOOKUP(M284,Capa!A:AC,6,0)),0,1/VLOOKUP(M284,Capa!A:AC,6,0))</f>
        <v>0.06060606061</v>
      </c>
      <c r="R284" s="178">
        <f t="shared" si="6"/>
        <v>125.000125</v>
      </c>
      <c r="S284" s="179" t="str">
        <f t="shared" si="7"/>
        <v>#N/A</v>
      </c>
    </row>
    <row r="285">
      <c r="A285" s="180"/>
      <c r="B285" s="167" t="s">
        <v>382</v>
      </c>
      <c r="C285" s="168">
        <f>VLOOKUP(B285,'Dados StatusInvest'!$A:$Z,26,0)</f>
        <v>157721.96</v>
      </c>
      <c r="D285" s="169">
        <f>VLOOKUP(B285,'Dados StatusInvest'!$A:$Z,20,0)/100</f>
        <v>-0.2965</v>
      </c>
      <c r="E285" s="93" t="str">
        <f t="shared" si="1"/>
        <v>#N/A</v>
      </c>
      <c r="F285" s="170">
        <f>IF(ISERROR(1/VLOOKUP(B285,Capa!A:AC,13,0)),0,1/VLOOKUP(B285,Capa!A:AC,13,0))</f>
        <v>0.03805175038</v>
      </c>
      <c r="G285" s="171">
        <f t="shared" si="2"/>
        <v>214.000214</v>
      </c>
      <c r="H285" s="172" t="str">
        <f t="shared" si="3"/>
        <v>#N/A</v>
      </c>
      <c r="M285" s="167" t="s">
        <v>382</v>
      </c>
      <c r="N285" s="168">
        <f>VLOOKUP(M285,'Dados StatusInvest'!$A:$Z,26,0)</f>
        <v>157721.96</v>
      </c>
      <c r="O285" s="175">
        <f>VLOOKUP(M285,'Dados StatusInvest'!$A:$Z,18,0)/100</f>
        <v>-0.1448</v>
      </c>
      <c r="P285" s="176" t="str">
        <f t="shared" si="5"/>
        <v>#N/A</v>
      </c>
      <c r="Q285" s="177">
        <f>IF(ISERROR(1/VLOOKUP(M285,Capa!A:AC,6,0)),0,1/VLOOKUP(M285,Capa!A:AC,6,0))</f>
        <v>0.2325581395</v>
      </c>
      <c r="R285" s="178">
        <f t="shared" si="6"/>
        <v>16.000016</v>
      </c>
      <c r="S285" s="179" t="str">
        <f t="shared" si="7"/>
        <v>#N/A</v>
      </c>
    </row>
    <row r="286">
      <c r="A286" s="180"/>
      <c r="B286" s="167" t="s">
        <v>1681</v>
      </c>
      <c r="C286" s="168" t="str">
        <f>VLOOKUP(B286,'Dados StatusInvest'!$A:$Z,26,0)</f>
        <v>#N/A</v>
      </c>
      <c r="D286" s="169" t="str">
        <f>VLOOKUP(B286,'Dados StatusInvest'!$A:$Z,20,0)/100</f>
        <v>#N/A</v>
      </c>
      <c r="E286" s="93" t="str">
        <f t="shared" si="1"/>
        <v>#N/A</v>
      </c>
      <c r="F286" s="170">
        <f>IF(ISERROR(1/VLOOKUP(B286,Capa!A:AC,13,0)),0,1/VLOOKUP(B286,Capa!A:AC,13,0))</f>
        <v>0</v>
      </c>
      <c r="G286" s="171">
        <f t="shared" si="2"/>
        <v>329.000329</v>
      </c>
      <c r="H286" s="172" t="str">
        <f t="shared" si="3"/>
        <v>#N/A</v>
      </c>
      <c r="M286" s="167" t="s">
        <v>1681</v>
      </c>
      <c r="N286" s="168" t="str">
        <f>VLOOKUP(M286,'Dados StatusInvest'!$A:$Z,26,0)</f>
        <v>#N/A</v>
      </c>
      <c r="O286" s="175" t="str">
        <f>VLOOKUP(M286,'Dados StatusInvest'!$A:$Z,18,0)/100</f>
        <v>#N/A</v>
      </c>
      <c r="P286" s="176" t="str">
        <f t="shared" si="5"/>
        <v>#N/A</v>
      </c>
      <c r="Q286" s="177">
        <f>IF(ISERROR(1/VLOOKUP(M286,Capa!A:AC,6,0)),0,1/VLOOKUP(M286,Capa!A:AC,6,0))</f>
        <v>0</v>
      </c>
      <c r="R286" s="178">
        <f t="shared" si="6"/>
        <v>399.000399</v>
      </c>
      <c r="S286" s="179" t="str">
        <f t="shared" si="7"/>
        <v>#N/A</v>
      </c>
    </row>
    <row r="287">
      <c r="A287" s="180"/>
      <c r="B287" s="167" t="s">
        <v>405</v>
      </c>
      <c r="C287" s="168">
        <f>VLOOKUP(B287,'Dados StatusInvest'!$A:$Z,26,0)</f>
        <v>58207.46</v>
      </c>
      <c r="D287" s="169">
        <f>VLOOKUP(B287,'Dados StatusInvest'!$A:$Z,20,0)/100</f>
        <v>0.1595</v>
      </c>
      <c r="E287" s="93" t="str">
        <f t="shared" si="1"/>
        <v>#N/A</v>
      </c>
      <c r="F287" s="170">
        <f>IF(ISERROR(1/VLOOKUP(B287,Capa!A:AC,13,0)),0,1/VLOOKUP(B287,Capa!A:AC,13,0))</f>
        <v>0.03946329913</v>
      </c>
      <c r="G287" s="171">
        <f t="shared" si="2"/>
        <v>209.000209</v>
      </c>
      <c r="H287" s="172" t="str">
        <f t="shared" si="3"/>
        <v>#N/A</v>
      </c>
      <c r="M287" s="167" t="s">
        <v>405</v>
      </c>
      <c r="N287" s="168">
        <f>VLOOKUP(M287,'Dados StatusInvest'!$A:$Z,26,0)</f>
        <v>58207.46</v>
      </c>
      <c r="O287" s="175">
        <f>VLOOKUP(M287,'Dados StatusInvest'!$A:$Z,18,0)/100</f>
        <v>0.0918</v>
      </c>
      <c r="P287" s="176" t="str">
        <f t="shared" si="5"/>
        <v>#N/A</v>
      </c>
      <c r="Q287" s="177">
        <f>IF(ISERROR(1/VLOOKUP(M287,Capa!A:AC,6,0)),0,1/VLOOKUP(M287,Capa!A:AC,6,0))</f>
        <v>0.02173913043</v>
      </c>
      <c r="R287" s="178">
        <f t="shared" si="6"/>
        <v>276.000276</v>
      </c>
      <c r="S287" s="179" t="str">
        <f t="shared" si="7"/>
        <v>#N/A</v>
      </c>
    </row>
    <row r="288">
      <c r="A288" s="180"/>
      <c r="B288" s="167" t="s">
        <v>369</v>
      </c>
      <c r="C288" s="168">
        <f>VLOOKUP(B288,'Dados StatusInvest'!$A:$Z,26,0)</f>
        <v>195350.46</v>
      </c>
      <c r="D288" s="169">
        <f>VLOOKUP(B288,'Dados StatusInvest'!$A:$Z,20,0)/100</f>
        <v>-0.0247</v>
      </c>
      <c r="E288" s="93" t="str">
        <f t="shared" si="1"/>
        <v>#N/A</v>
      </c>
      <c r="F288" s="170">
        <f>IF(ISERROR(1/VLOOKUP(B288,Capa!A:AC,13,0)),0,1/VLOOKUP(B288,Capa!A:AC,13,0))</f>
        <v>0</v>
      </c>
      <c r="G288" s="171">
        <f t="shared" si="2"/>
        <v>329.000329</v>
      </c>
      <c r="H288" s="172" t="str">
        <f t="shared" si="3"/>
        <v>#N/A</v>
      </c>
      <c r="M288" s="167" t="s">
        <v>369</v>
      </c>
      <c r="N288" s="168">
        <f>VLOOKUP(M288,'Dados StatusInvest'!$A:$Z,26,0)</f>
        <v>195350.46</v>
      </c>
      <c r="O288" s="175">
        <f>VLOOKUP(M288,'Dados StatusInvest'!$A:$Z,18,0)/100</f>
        <v>-4.2613</v>
      </c>
      <c r="P288" s="176" t="str">
        <f t="shared" si="5"/>
        <v>#N/A</v>
      </c>
      <c r="Q288" s="177">
        <f>IF(ISERROR(1/VLOOKUP(M288,Capa!A:AC,6,0)),0,1/VLOOKUP(M288,Capa!A:AC,6,0))</f>
        <v>0.1102535832</v>
      </c>
      <c r="R288" s="178">
        <f t="shared" si="6"/>
        <v>56.000056</v>
      </c>
      <c r="S288" s="179" t="str">
        <f t="shared" si="7"/>
        <v>#N/A</v>
      </c>
    </row>
    <row r="289">
      <c r="A289" s="180"/>
      <c r="B289" s="167" t="s">
        <v>448</v>
      </c>
      <c r="C289" s="168">
        <f>VLOOKUP(B289,'Dados StatusInvest'!$A:$Z,26,0)</f>
        <v>14297.86</v>
      </c>
      <c r="D289" s="169">
        <f>VLOOKUP(B289,'Dados StatusInvest'!$A:$Z,20,0)/100</f>
        <v>0.1584</v>
      </c>
      <c r="E289" s="93" t="str">
        <f t="shared" si="1"/>
        <v>#N/A</v>
      </c>
      <c r="F289" s="170">
        <f>IF(ISERROR(1/VLOOKUP(B289,Capa!A:AC,13,0)),0,1/VLOOKUP(B289,Capa!A:AC,13,0))</f>
        <v>0.04816955684</v>
      </c>
      <c r="G289" s="171">
        <f t="shared" si="2"/>
        <v>174.000174</v>
      </c>
      <c r="H289" s="172" t="str">
        <f t="shared" si="3"/>
        <v>#N/A</v>
      </c>
      <c r="M289" s="167" t="s">
        <v>448</v>
      </c>
      <c r="N289" s="168">
        <f>VLOOKUP(M289,'Dados StatusInvest'!$A:$Z,26,0)</f>
        <v>14297.86</v>
      </c>
      <c r="O289" s="175">
        <f>VLOOKUP(M289,'Dados StatusInvest'!$A:$Z,18,0)/100</f>
        <v>0.3962</v>
      </c>
      <c r="P289" s="176" t="str">
        <f t="shared" si="5"/>
        <v>#N/A</v>
      </c>
      <c r="Q289" s="177">
        <f>IF(ISERROR(1/VLOOKUP(M289,Capa!A:AC,6,0)),0,1/VLOOKUP(M289,Capa!A:AC,6,0))</f>
        <v>0.08503401361</v>
      </c>
      <c r="R289" s="178">
        <f t="shared" si="6"/>
        <v>80.00008</v>
      </c>
      <c r="S289" s="179" t="str">
        <f t="shared" si="7"/>
        <v>#N/A</v>
      </c>
    </row>
    <row r="290">
      <c r="A290" s="180"/>
      <c r="B290" s="167" t="s">
        <v>386</v>
      </c>
      <c r="C290" s="168">
        <f>VLOOKUP(B290,'Dados StatusInvest'!$A:$Z,26,0)</f>
        <v>131172.71</v>
      </c>
      <c r="D290" s="169">
        <f>VLOOKUP(B290,'Dados StatusInvest'!$A:$Z,20,0)/100</f>
        <v>0.8879</v>
      </c>
      <c r="E290" s="93" t="str">
        <f t="shared" si="1"/>
        <v>#N/A</v>
      </c>
      <c r="F290" s="170">
        <f>IF(ISERROR(1/VLOOKUP(B290,Capa!A:AC,13,0)),0,1/VLOOKUP(B290,Capa!A:AC,13,0))</f>
        <v>-0.004851307427</v>
      </c>
      <c r="G290" s="171">
        <f t="shared" si="2"/>
        <v>398.000398</v>
      </c>
      <c r="H290" s="172" t="str">
        <f t="shared" si="3"/>
        <v>#N/A</v>
      </c>
      <c r="M290" s="167" t="s">
        <v>386</v>
      </c>
      <c r="N290" s="168">
        <f>VLOOKUP(M290,'Dados StatusInvest'!$A:$Z,26,0)</f>
        <v>131172.71</v>
      </c>
      <c r="O290" s="175">
        <f>VLOOKUP(M290,'Dados StatusInvest'!$A:$Z,18,0)/100</f>
        <v>-0.4899</v>
      </c>
      <c r="P290" s="176" t="str">
        <f t="shared" si="5"/>
        <v>#N/A</v>
      </c>
      <c r="Q290" s="177">
        <f>IF(ISERROR(1/VLOOKUP(M290,Capa!A:AC,6,0)),0,1/VLOOKUP(M290,Capa!A:AC,6,0))</f>
        <v>0.4784688995</v>
      </c>
      <c r="R290" s="178">
        <f t="shared" si="6"/>
        <v>2.000002</v>
      </c>
      <c r="S290" s="179" t="str">
        <f t="shared" si="7"/>
        <v>#N/A</v>
      </c>
    </row>
    <row r="291">
      <c r="A291" s="180"/>
      <c r="B291" s="167" t="s">
        <v>515</v>
      </c>
      <c r="C291" s="168">
        <f>VLOOKUP(B291,'Dados StatusInvest'!$A:$Z,26,0)</f>
        <v>2225</v>
      </c>
      <c r="D291" s="169">
        <f>VLOOKUP(B291,'Dados StatusInvest'!$A:$Z,20,0)/100</f>
        <v>0</v>
      </c>
      <c r="E291" s="93" t="str">
        <f t="shared" si="1"/>
        <v>#N/A</v>
      </c>
      <c r="F291" s="170">
        <f>IF(ISERROR(1/VLOOKUP(B291,Capa!A:AC,13,0)),0,1/VLOOKUP(B291,Capa!A:AC,13,0))</f>
        <v>0.01804728388</v>
      </c>
      <c r="G291" s="171">
        <f t="shared" si="2"/>
        <v>285.000285</v>
      </c>
      <c r="H291" s="172" t="str">
        <f t="shared" si="3"/>
        <v>#N/A</v>
      </c>
      <c r="M291" s="167" t="s">
        <v>515</v>
      </c>
      <c r="N291" s="168">
        <f>VLOOKUP(M291,'Dados StatusInvest'!$A:$Z,26,0)</f>
        <v>2225</v>
      </c>
      <c r="O291" s="175">
        <f>VLOOKUP(M291,'Dados StatusInvest'!$A:$Z,18,0)/100</f>
        <v>0.0299</v>
      </c>
      <c r="P291" s="176" t="str">
        <f t="shared" si="5"/>
        <v>#N/A</v>
      </c>
      <c r="Q291" s="177">
        <f>IF(ISERROR(1/VLOOKUP(M291,Capa!A:AC,6,0)),0,1/VLOOKUP(M291,Capa!A:AC,6,0))</f>
        <v>0.02823263693</v>
      </c>
      <c r="R291" s="178">
        <f t="shared" si="6"/>
        <v>243.000243</v>
      </c>
      <c r="S291" s="179" t="str">
        <f t="shared" si="7"/>
        <v>#N/A</v>
      </c>
    </row>
    <row r="292">
      <c r="A292" s="180"/>
      <c r="B292" s="167" t="s">
        <v>622</v>
      </c>
      <c r="C292" s="168">
        <f>VLOOKUP(B292,'Dados StatusInvest'!$A:$Z,26,0)</f>
        <v>89696.16</v>
      </c>
      <c r="D292" s="169">
        <f>VLOOKUP(B292,'Dados StatusInvest'!$A:$Z,20,0)/100</f>
        <v>0</v>
      </c>
      <c r="E292" s="93" t="str">
        <f t="shared" si="1"/>
        <v>#N/A</v>
      </c>
      <c r="F292" s="170">
        <f>IF(ISERROR(1/VLOOKUP(B292,Capa!A:AC,13,0)),0,1/VLOOKUP(B292,Capa!A:AC,13,0))</f>
        <v>0</v>
      </c>
      <c r="G292" s="171">
        <f t="shared" si="2"/>
        <v>329.000329</v>
      </c>
      <c r="H292" s="172" t="str">
        <f t="shared" si="3"/>
        <v>#N/A</v>
      </c>
      <c r="M292" s="167" t="s">
        <v>622</v>
      </c>
      <c r="N292" s="168">
        <f>VLOOKUP(M292,'Dados StatusInvest'!$A:$Z,26,0)</f>
        <v>89696.16</v>
      </c>
      <c r="O292" s="175">
        <f>VLOOKUP(M292,'Dados StatusInvest'!$A:$Z,18,0)/100</f>
        <v>-0.9438</v>
      </c>
      <c r="P292" s="176" t="str">
        <f t="shared" si="5"/>
        <v>#N/A</v>
      </c>
      <c r="Q292" s="177">
        <f>IF(ISERROR(1/VLOOKUP(M292,Capa!A:AC,6,0)),0,1/VLOOKUP(M292,Capa!A:AC,6,0))</f>
        <v>0</v>
      </c>
      <c r="R292" s="178">
        <f t="shared" si="6"/>
        <v>399.000399</v>
      </c>
      <c r="S292" s="179" t="str">
        <f t="shared" si="7"/>
        <v>#N/A</v>
      </c>
    </row>
    <row r="293">
      <c r="A293" s="180"/>
      <c r="B293" s="167" t="s">
        <v>392</v>
      </c>
      <c r="C293" s="168">
        <f>VLOOKUP(B293,'Dados StatusInvest'!$A:$Z,26,0)</f>
        <v>35000</v>
      </c>
      <c r="D293" s="169">
        <f>VLOOKUP(B293,'Dados StatusInvest'!$A:$Z,20,0)/100</f>
        <v>0.2013</v>
      </c>
      <c r="E293" s="93" t="str">
        <f t="shared" si="1"/>
        <v>#N/A</v>
      </c>
      <c r="F293" s="170">
        <f>IF(ISERROR(1/VLOOKUP(B293,Capa!A:AC,13,0)),0,1/VLOOKUP(B293,Capa!A:AC,13,0))</f>
        <v>0.01993620415</v>
      </c>
      <c r="G293" s="171">
        <f t="shared" si="2"/>
        <v>278.000278</v>
      </c>
      <c r="H293" s="172" t="str">
        <f t="shared" si="3"/>
        <v>#N/A</v>
      </c>
      <c r="M293" s="167" t="s">
        <v>392</v>
      </c>
      <c r="N293" s="168">
        <f>VLOOKUP(M293,'Dados StatusInvest'!$A:$Z,26,0)</f>
        <v>35000</v>
      </c>
      <c r="O293" s="175">
        <f>VLOOKUP(M293,'Dados StatusInvest'!$A:$Z,18,0)/100</f>
        <v>0.2894</v>
      </c>
      <c r="P293" s="176" t="str">
        <f t="shared" si="5"/>
        <v>#N/A</v>
      </c>
      <c r="Q293" s="177">
        <f>IF(ISERROR(1/VLOOKUP(M293,Capa!A:AC,6,0)),0,1/VLOOKUP(M293,Capa!A:AC,6,0))</f>
        <v>0.00125</v>
      </c>
      <c r="R293" s="178">
        <f t="shared" si="6"/>
        <v>397.000397</v>
      </c>
      <c r="S293" s="179" t="str">
        <f t="shared" si="7"/>
        <v>#N/A</v>
      </c>
    </row>
    <row r="294">
      <c r="A294" s="180"/>
      <c r="B294" s="167" t="s">
        <v>305</v>
      </c>
      <c r="C294" s="168">
        <f>VLOOKUP(B294,'Dados StatusInvest'!$A:$Z,26,0)</f>
        <v>2629636.79</v>
      </c>
      <c r="D294" s="169">
        <f>VLOOKUP(B294,'Dados StatusInvest'!$A:$Z,20,0)/100</f>
        <v>0.0926</v>
      </c>
      <c r="E294" s="93" t="str">
        <f t="shared" si="1"/>
        <v>#N/A</v>
      </c>
      <c r="F294" s="170">
        <f>IF(ISERROR(1/VLOOKUP(B294,Capa!A:AC,13,0)),0,1/VLOOKUP(B294,Capa!A:AC,13,0))</f>
        <v>-0.000286486982</v>
      </c>
      <c r="G294" s="171">
        <f t="shared" si="2"/>
        <v>387.000387</v>
      </c>
      <c r="H294" s="172" t="str">
        <f t="shared" si="3"/>
        <v>#N/A</v>
      </c>
      <c r="M294" s="167" t="s">
        <v>305</v>
      </c>
      <c r="N294" s="168">
        <f>VLOOKUP(M294,'Dados StatusInvest'!$A:$Z,26,0)</f>
        <v>2629636.79</v>
      </c>
      <c r="O294" s="175">
        <f>VLOOKUP(M294,'Dados StatusInvest'!$A:$Z,18,0)/100</f>
        <v>-0.1238</v>
      </c>
      <c r="P294" s="176" t="str">
        <f t="shared" si="5"/>
        <v>#N/A</v>
      </c>
      <c r="Q294" s="177">
        <f>IF(ISERROR(1/VLOOKUP(M294,Capa!A:AC,6,0)),0,1/VLOOKUP(M294,Capa!A:AC,6,0))</f>
        <v>0.2457002457</v>
      </c>
      <c r="R294" s="178">
        <f t="shared" si="6"/>
        <v>12.000012</v>
      </c>
      <c r="S294" s="179" t="str">
        <f t="shared" si="7"/>
        <v>#N/A</v>
      </c>
    </row>
    <row r="295">
      <c r="A295" s="180"/>
      <c r="B295" s="167" t="s">
        <v>428</v>
      </c>
      <c r="C295" s="168">
        <f>VLOOKUP(B295,'Dados StatusInvest'!$A:$Z,26,0)</f>
        <v>10475.07</v>
      </c>
      <c r="D295" s="169">
        <f>VLOOKUP(B295,'Dados StatusInvest'!$A:$Z,20,0)/100</f>
        <v>0</v>
      </c>
      <c r="E295" s="93" t="str">
        <f t="shared" si="1"/>
        <v>#N/A</v>
      </c>
      <c r="F295" s="170">
        <f>IF(ISERROR(1/VLOOKUP(B295,Capa!A:AC,13,0)),0,1/VLOOKUP(B295,Capa!A:AC,13,0))</f>
        <v>0.08857395926</v>
      </c>
      <c r="G295" s="171">
        <f t="shared" si="2"/>
        <v>83.000083</v>
      </c>
      <c r="H295" s="172" t="str">
        <f t="shared" si="3"/>
        <v>#N/A</v>
      </c>
      <c r="M295" s="167" t="s">
        <v>428</v>
      </c>
      <c r="N295" s="168">
        <f>VLOOKUP(M295,'Dados StatusInvest'!$A:$Z,26,0)</f>
        <v>10475.07</v>
      </c>
      <c r="O295" s="175">
        <f>VLOOKUP(M295,'Dados StatusInvest'!$A:$Z,18,0)/100</f>
        <v>0.1667</v>
      </c>
      <c r="P295" s="176" t="str">
        <f t="shared" si="5"/>
        <v>#N/A</v>
      </c>
      <c r="Q295" s="177">
        <f>IF(ISERROR(1/VLOOKUP(M295,Capa!A:AC,6,0)),0,1/VLOOKUP(M295,Capa!A:AC,6,0))</f>
        <v>0.03847633705</v>
      </c>
      <c r="R295" s="178">
        <f t="shared" si="6"/>
        <v>175.000175</v>
      </c>
      <c r="S295" s="179" t="str">
        <f t="shared" si="7"/>
        <v>#N/A</v>
      </c>
    </row>
    <row r="296">
      <c r="A296" s="180"/>
      <c r="B296" s="167" t="s">
        <v>363</v>
      </c>
      <c r="C296" s="168">
        <f>VLOOKUP(B296,'Dados StatusInvest'!$A:$Z,26,0)</f>
        <v>377064.71</v>
      </c>
      <c r="D296" s="169">
        <f>VLOOKUP(B296,'Dados StatusInvest'!$A:$Z,20,0)/100</f>
        <v>0.0334</v>
      </c>
      <c r="E296" s="93" t="str">
        <f t="shared" si="1"/>
        <v>#N/A</v>
      </c>
      <c r="F296" s="170">
        <f>IF(ISERROR(1/VLOOKUP(B296,Capa!A:AC,13,0)),0,1/VLOOKUP(B296,Capa!A:AC,13,0))</f>
        <v>0.4166666667</v>
      </c>
      <c r="G296" s="171">
        <f t="shared" si="2"/>
        <v>7.000007</v>
      </c>
      <c r="H296" s="172" t="str">
        <f t="shared" si="3"/>
        <v>#N/A</v>
      </c>
      <c r="M296" s="167" t="s">
        <v>363</v>
      </c>
      <c r="N296" s="168">
        <f>VLOOKUP(M296,'Dados StatusInvest'!$A:$Z,26,0)</f>
        <v>377064.71</v>
      </c>
      <c r="O296" s="175">
        <f>VLOOKUP(M296,'Dados StatusInvest'!$A:$Z,18,0)/100</f>
        <v>0.2306</v>
      </c>
      <c r="P296" s="176" t="str">
        <f t="shared" si="5"/>
        <v>#N/A</v>
      </c>
      <c r="Q296" s="177">
        <f>IF(ISERROR(1/VLOOKUP(M296,Capa!A:AC,6,0)),0,1/VLOOKUP(M296,Capa!A:AC,6,0))</f>
        <v>0.07315288954</v>
      </c>
      <c r="R296" s="178">
        <f t="shared" si="6"/>
        <v>99.000099</v>
      </c>
      <c r="S296" s="179" t="str">
        <f t="shared" si="7"/>
        <v>#N/A</v>
      </c>
    </row>
    <row r="297">
      <c r="A297" s="180"/>
      <c r="B297" s="167" t="s">
        <v>465</v>
      </c>
      <c r="C297" s="168">
        <f>VLOOKUP(B297,'Dados StatusInvest'!$A:$Z,26,0)</f>
        <v>18516.89</v>
      </c>
      <c r="D297" s="169">
        <f>VLOOKUP(B297,'Dados StatusInvest'!$A:$Z,20,0)/100</f>
        <v>0</v>
      </c>
      <c r="E297" s="93" t="str">
        <f t="shared" si="1"/>
        <v>#N/A</v>
      </c>
      <c r="F297" s="170">
        <f>IF(ISERROR(1/VLOOKUP(B297,Capa!A:AC,13,0)),0,1/VLOOKUP(B297,Capa!A:AC,13,0))</f>
        <v>0.05540166205</v>
      </c>
      <c r="G297" s="171">
        <f t="shared" si="2"/>
        <v>143.000143</v>
      </c>
      <c r="H297" s="172" t="str">
        <f t="shared" si="3"/>
        <v>#N/A</v>
      </c>
      <c r="M297" s="167" t="s">
        <v>465</v>
      </c>
      <c r="N297" s="168">
        <f>VLOOKUP(M297,'Dados StatusInvest'!$A:$Z,26,0)</f>
        <v>18516.89</v>
      </c>
      <c r="O297" s="175">
        <f>VLOOKUP(M297,'Dados StatusInvest'!$A:$Z,18,0)/100</f>
        <v>0.1487</v>
      </c>
      <c r="P297" s="176" t="str">
        <f t="shared" si="5"/>
        <v>#N/A</v>
      </c>
      <c r="Q297" s="177">
        <f>IF(ISERROR(1/VLOOKUP(M297,Capa!A:AC,6,0)),0,1/VLOOKUP(M297,Capa!A:AC,6,0))</f>
        <v>0.03663003663</v>
      </c>
      <c r="R297" s="178">
        <f t="shared" si="6"/>
        <v>185.000185</v>
      </c>
      <c r="S297" s="179" t="str">
        <f t="shared" si="7"/>
        <v>#N/A</v>
      </c>
    </row>
    <row r="298">
      <c r="A298" s="180"/>
      <c r="B298" s="167" t="s">
        <v>491</v>
      </c>
      <c r="C298" s="168">
        <f>VLOOKUP(B298,'Dados StatusInvest'!$A:$Z,26,0)</f>
        <v>4644.67</v>
      </c>
      <c r="D298" s="169">
        <f>VLOOKUP(B298,'Dados StatusInvest'!$A:$Z,20,0)/100</f>
        <v>-0.0825</v>
      </c>
      <c r="E298" s="93" t="str">
        <f t="shared" si="1"/>
        <v>#N/A</v>
      </c>
      <c r="F298" s="170">
        <f>IF(ISERROR(1/VLOOKUP(B298,Capa!A:AC,13,0)),0,1/VLOOKUP(B298,Capa!A:AC,13,0))</f>
        <v>0.02612330199</v>
      </c>
      <c r="G298" s="171">
        <f t="shared" si="2"/>
        <v>264.000264</v>
      </c>
      <c r="H298" s="172" t="str">
        <f t="shared" si="3"/>
        <v>#N/A</v>
      </c>
      <c r="M298" s="167" t="s">
        <v>491</v>
      </c>
      <c r="N298" s="168">
        <f>VLOOKUP(M298,'Dados StatusInvest'!$A:$Z,26,0)</f>
        <v>4644.67</v>
      </c>
      <c r="O298" s="175">
        <f>VLOOKUP(M298,'Dados StatusInvest'!$A:$Z,18,0)/100</f>
        <v>0.2309</v>
      </c>
      <c r="P298" s="176" t="str">
        <f t="shared" si="5"/>
        <v>#N/A</v>
      </c>
      <c r="Q298" s="177">
        <f>IF(ISERROR(1/VLOOKUP(M298,Capa!A:AC,6,0)),0,1/VLOOKUP(M298,Capa!A:AC,6,0))</f>
        <v>0.01666666667</v>
      </c>
      <c r="R298" s="178">
        <f t="shared" si="6"/>
        <v>312.000312</v>
      </c>
      <c r="S298" s="179" t="str">
        <f t="shared" si="7"/>
        <v>#N/A</v>
      </c>
    </row>
    <row r="299">
      <c r="A299" s="180"/>
      <c r="B299" s="167" t="s">
        <v>450</v>
      </c>
      <c r="C299" s="168">
        <f>VLOOKUP(B299,'Dados StatusInvest'!$A:$Z,26,0)</f>
        <v>51948.54</v>
      </c>
      <c r="D299" s="169">
        <f>VLOOKUP(B299,'Dados StatusInvest'!$A:$Z,20,0)/100</f>
        <v>0</v>
      </c>
      <c r="E299" s="93" t="str">
        <f t="shared" si="1"/>
        <v>#N/A</v>
      </c>
      <c r="F299" s="170">
        <f>IF(ISERROR(1/VLOOKUP(B299,Capa!A:AC,13,0)),0,1/VLOOKUP(B299,Capa!A:AC,13,0))</f>
        <v>0.04258943782</v>
      </c>
      <c r="G299" s="171">
        <f t="shared" si="2"/>
        <v>192.000192</v>
      </c>
      <c r="H299" s="172" t="str">
        <f t="shared" si="3"/>
        <v>#N/A</v>
      </c>
      <c r="M299" s="167" t="s">
        <v>450</v>
      </c>
      <c r="N299" s="168">
        <f>VLOOKUP(M299,'Dados StatusInvest'!$A:$Z,26,0)</f>
        <v>51948.54</v>
      </c>
      <c r="O299" s="175">
        <f>VLOOKUP(M299,'Dados StatusInvest'!$A:$Z,18,0)/100</f>
        <v>0.124</v>
      </c>
      <c r="P299" s="176" t="str">
        <f t="shared" si="5"/>
        <v>#N/A</v>
      </c>
      <c r="Q299" s="177">
        <f>IF(ISERROR(1/VLOOKUP(M299,Capa!A:AC,6,0)),0,1/VLOOKUP(M299,Capa!A:AC,6,0))</f>
        <v>0.1162790698</v>
      </c>
      <c r="R299" s="178">
        <f t="shared" si="6"/>
        <v>51.000051</v>
      </c>
      <c r="S299" s="179" t="str">
        <f t="shared" si="7"/>
        <v>#N/A</v>
      </c>
    </row>
    <row r="300">
      <c r="A300" s="180"/>
      <c r="B300" s="167" t="s">
        <v>456</v>
      </c>
      <c r="C300" s="168">
        <f>VLOOKUP(B300,'Dados StatusInvest'!$A:$Z,26,0)</f>
        <v>25977.08</v>
      </c>
      <c r="D300" s="169">
        <f>VLOOKUP(B300,'Dados StatusInvest'!$A:$Z,20,0)/100</f>
        <v>0.0131</v>
      </c>
      <c r="E300" s="93" t="str">
        <f t="shared" si="1"/>
        <v>#N/A</v>
      </c>
      <c r="F300" s="170">
        <f>IF(ISERROR(1/VLOOKUP(B300,Capa!A:AC,13,0)),0,1/VLOOKUP(B300,Capa!A:AC,13,0))</f>
        <v>-0.4016064257</v>
      </c>
      <c r="G300" s="171">
        <f t="shared" si="2"/>
        <v>437.000437</v>
      </c>
      <c r="H300" s="172" t="str">
        <f t="shared" si="3"/>
        <v>#N/A</v>
      </c>
      <c r="M300" s="167" t="s">
        <v>456</v>
      </c>
      <c r="N300" s="168">
        <f>VLOOKUP(M300,'Dados StatusInvest'!$A:$Z,26,0)</f>
        <v>25977.08</v>
      </c>
      <c r="O300" s="175">
        <f>VLOOKUP(M300,'Dados StatusInvest'!$A:$Z,18,0)/100</f>
        <v>-0.0788</v>
      </c>
      <c r="P300" s="176" t="str">
        <f t="shared" si="5"/>
        <v>#N/A</v>
      </c>
      <c r="Q300" s="177">
        <f>IF(ISERROR(1/VLOOKUP(M300,Capa!A:AC,6,0)),0,1/VLOOKUP(M300,Capa!A:AC,6,0))</f>
        <v>0.1011122346</v>
      </c>
      <c r="R300" s="178">
        <f t="shared" si="6"/>
        <v>63.000063</v>
      </c>
      <c r="S300" s="179" t="str">
        <f t="shared" si="7"/>
        <v>#N/A</v>
      </c>
    </row>
    <row r="301">
      <c r="A301" s="180"/>
      <c r="B301" s="167" t="s">
        <v>468</v>
      </c>
      <c r="C301" s="168">
        <f>VLOOKUP(B301,'Dados StatusInvest'!$A:$Z,26,0)</f>
        <v>16287.81</v>
      </c>
      <c r="D301" s="169">
        <f>VLOOKUP(B301,'Dados StatusInvest'!$A:$Z,20,0)/100</f>
        <v>-0.3769</v>
      </c>
      <c r="E301" s="93" t="str">
        <f t="shared" si="1"/>
        <v>#N/A</v>
      </c>
      <c r="F301" s="170">
        <f>IF(ISERROR(1/VLOOKUP(B301,Capa!A:AC,13,0)),0,1/VLOOKUP(B301,Capa!A:AC,13,0))</f>
        <v>0.05175983437</v>
      </c>
      <c r="G301" s="171">
        <f t="shared" si="2"/>
        <v>161.000161</v>
      </c>
      <c r="H301" s="172" t="str">
        <f t="shared" si="3"/>
        <v>#N/A</v>
      </c>
      <c r="M301" s="167" t="s">
        <v>468</v>
      </c>
      <c r="N301" s="168">
        <f>VLOOKUP(M301,'Dados StatusInvest'!$A:$Z,26,0)</f>
        <v>16287.81</v>
      </c>
      <c r="O301" s="175">
        <f>VLOOKUP(M301,'Dados StatusInvest'!$A:$Z,18,0)/100</f>
        <v>-0.0291</v>
      </c>
      <c r="P301" s="176" t="str">
        <f t="shared" si="5"/>
        <v>#N/A</v>
      </c>
      <c r="Q301" s="177">
        <f>IF(ISERROR(1/VLOOKUP(M301,Capa!A:AC,6,0)),0,1/VLOOKUP(M301,Capa!A:AC,6,0))</f>
        <v>0.07042253521</v>
      </c>
      <c r="R301" s="178">
        <f t="shared" si="6"/>
        <v>103.000103</v>
      </c>
      <c r="S301" s="179" t="str">
        <f t="shared" si="7"/>
        <v>#N/A</v>
      </c>
    </row>
    <row r="302">
      <c r="A302" s="180"/>
      <c r="B302" s="167" t="s">
        <v>514</v>
      </c>
      <c r="C302" s="168">
        <f>VLOOKUP(B302,'Dados StatusInvest'!$A:$Z,26,0)</f>
        <v>14318.2</v>
      </c>
      <c r="D302" s="169">
        <f>VLOOKUP(B302,'Dados StatusInvest'!$A:$Z,20,0)/100</f>
        <v>-0.1706</v>
      </c>
      <c r="E302" s="93" t="str">
        <f t="shared" si="1"/>
        <v>#N/A</v>
      </c>
      <c r="F302" s="170">
        <f>IF(ISERROR(1/VLOOKUP(B302,Capa!A:AC,13,0)),0,1/VLOOKUP(B302,Capa!A:AC,13,0))</f>
        <v>-0.001206811243</v>
      </c>
      <c r="G302" s="171">
        <f t="shared" si="2"/>
        <v>390.00039</v>
      </c>
      <c r="H302" s="172" t="str">
        <f t="shared" si="3"/>
        <v>#N/A</v>
      </c>
      <c r="M302" s="167" t="s">
        <v>514</v>
      </c>
      <c r="N302" s="168">
        <f>VLOOKUP(M302,'Dados StatusInvest'!$A:$Z,26,0)</f>
        <v>14318.2</v>
      </c>
      <c r="O302" s="175">
        <f>VLOOKUP(M302,'Dados StatusInvest'!$A:$Z,18,0)/100</f>
        <v>-0.1634</v>
      </c>
      <c r="P302" s="176" t="str">
        <f t="shared" si="5"/>
        <v>#N/A</v>
      </c>
      <c r="Q302" s="177">
        <f>IF(ISERROR(1/VLOOKUP(M302,Capa!A:AC,6,0)),0,1/VLOOKUP(M302,Capa!A:AC,6,0))</f>
        <v>0.03473428274</v>
      </c>
      <c r="R302" s="178">
        <f t="shared" si="6"/>
        <v>198.000198</v>
      </c>
      <c r="S302" s="179" t="str">
        <f t="shared" si="7"/>
        <v>#N/A</v>
      </c>
    </row>
    <row r="303">
      <c r="A303" s="180"/>
      <c r="B303" s="167" t="s">
        <v>384</v>
      </c>
      <c r="C303" s="168">
        <f>VLOOKUP(B303,'Dados StatusInvest'!$A:$Z,26,0)</f>
        <v>167076.75</v>
      </c>
      <c r="D303" s="169">
        <f>VLOOKUP(B303,'Dados StatusInvest'!$A:$Z,20,0)/100</f>
        <v>-0.0569</v>
      </c>
      <c r="E303" s="93" t="str">
        <f t="shared" si="1"/>
        <v>#N/A</v>
      </c>
      <c r="F303" s="170">
        <f>IF(ISERROR(1/VLOOKUP(B303,Capa!A:AC,13,0)),0,1/VLOOKUP(B303,Capa!A:AC,13,0))</f>
        <v>-0.01725625539</v>
      </c>
      <c r="G303" s="171">
        <f t="shared" si="2"/>
        <v>408.000408</v>
      </c>
      <c r="H303" s="172" t="str">
        <f t="shared" si="3"/>
        <v>#N/A</v>
      </c>
      <c r="M303" s="167" t="s">
        <v>384</v>
      </c>
      <c r="N303" s="168">
        <f>VLOOKUP(M303,'Dados StatusInvest'!$A:$Z,26,0)</f>
        <v>167076.75</v>
      </c>
      <c r="O303" s="175">
        <f>VLOOKUP(M303,'Dados StatusInvest'!$A:$Z,18,0)/100</f>
        <v>-0.0506</v>
      </c>
      <c r="P303" s="176" t="str">
        <f t="shared" si="5"/>
        <v>#N/A</v>
      </c>
      <c r="Q303" s="177">
        <f>IF(ISERROR(1/VLOOKUP(M303,Capa!A:AC,6,0)),0,1/VLOOKUP(M303,Capa!A:AC,6,0))</f>
        <v>0.03350083752</v>
      </c>
      <c r="R303" s="178">
        <f t="shared" si="6"/>
        <v>212.000212</v>
      </c>
      <c r="S303" s="179" t="str">
        <f t="shared" si="7"/>
        <v>#N/A</v>
      </c>
    </row>
    <row r="304">
      <c r="A304" s="180"/>
      <c r="B304" s="167" t="s">
        <v>451</v>
      </c>
      <c r="C304" s="168">
        <f>VLOOKUP(B304,'Dados StatusInvest'!$A:$Z,26,0)</f>
        <v>23300</v>
      </c>
      <c r="D304" s="169">
        <f>VLOOKUP(B304,'Dados StatusInvest'!$A:$Z,20,0)/100</f>
        <v>0.1088</v>
      </c>
      <c r="E304" s="93" t="str">
        <f t="shared" si="1"/>
        <v>#N/A</v>
      </c>
      <c r="F304" s="170">
        <f>IF(ISERROR(1/VLOOKUP(B304,Capa!A:AC,13,0)),0,1/VLOOKUP(B304,Capa!A:AC,13,0))</f>
        <v>0</v>
      </c>
      <c r="G304" s="171">
        <f t="shared" si="2"/>
        <v>329.000329</v>
      </c>
      <c r="H304" s="172" t="str">
        <f t="shared" si="3"/>
        <v>#N/A</v>
      </c>
      <c r="M304" s="167" t="s">
        <v>451</v>
      </c>
      <c r="N304" s="168">
        <f>VLOOKUP(M304,'Dados StatusInvest'!$A:$Z,26,0)</f>
        <v>23300</v>
      </c>
      <c r="O304" s="175">
        <f>VLOOKUP(M304,'Dados StatusInvest'!$A:$Z,18,0)/100</f>
        <v>0.1261</v>
      </c>
      <c r="P304" s="176" t="str">
        <f t="shared" si="5"/>
        <v>#N/A</v>
      </c>
      <c r="Q304" s="177">
        <f>IF(ISERROR(1/VLOOKUP(M304,Capa!A:AC,6,0)),0,1/VLOOKUP(M304,Capa!A:AC,6,0))</f>
        <v>0.01136363636</v>
      </c>
      <c r="R304" s="178">
        <f t="shared" si="6"/>
        <v>356.000356</v>
      </c>
      <c r="S304" s="179" t="str">
        <f t="shared" si="7"/>
        <v>#N/A</v>
      </c>
    </row>
    <row r="305">
      <c r="A305" s="180"/>
      <c r="B305" s="167" t="s">
        <v>373</v>
      </c>
      <c r="C305" s="168">
        <f>VLOOKUP(B305,'Dados StatusInvest'!$A:$Z,26,0)</f>
        <v>212794.63</v>
      </c>
      <c r="D305" s="169">
        <f>VLOOKUP(B305,'Dados StatusInvest'!$A:$Z,20,0)/100</f>
        <v>0.0334</v>
      </c>
      <c r="E305" s="93" t="str">
        <f t="shared" si="1"/>
        <v>#N/A</v>
      </c>
      <c r="F305" s="170">
        <f>IF(ISERROR(1/VLOOKUP(B305,Capa!A:AC,13,0)),0,1/VLOOKUP(B305,Capa!A:AC,13,0))</f>
        <v>0.4166666667</v>
      </c>
      <c r="G305" s="171">
        <f t="shared" si="2"/>
        <v>7.000007</v>
      </c>
      <c r="H305" s="172" t="str">
        <f t="shared" si="3"/>
        <v>#N/A</v>
      </c>
      <c r="M305" s="167" t="s">
        <v>373</v>
      </c>
      <c r="N305" s="168">
        <f>VLOOKUP(M305,'Dados StatusInvest'!$A:$Z,26,0)</f>
        <v>212794.63</v>
      </c>
      <c r="O305" s="175">
        <f>VLOOKUP(M305,'Dados StatusInvest'!$A:$Z,18,0)/100</f>
        <v>0.2306</v>
      </c>
      <c r="P305" s="176" t="str">
        <f t="shared" si="5"/>
        <v>#N/A</v>
      </c>
      <c r="Q305" s="177">
        <f>IF(ISERROR(1/VLOOKUP(M305,Capa!A:AC,6,0)),0,1/VLOOKUP(M305,Capa!A:AC,6,0))</f>
        <v>0.05685048323</v>
      </c>
      <c r="R305" s="178">
        <f t="shared" si="6"/>
        <v>130.00013</v>
      </c>
      <c r="S305" s="179" t="str">
        <f t="shared" si="7"/>
        <v>#N/A</v>
      </c>
    </row>
    <row r="306">
      <c r="A306" s="180"/>
      <c r="B306" s="167" t="s">
        <v>457</v>
      </c>
      <c r="C306" s="168">
        <f>VLOOKUP(B306,'Dados StatusInvest'!$A:$Z,26,0)</f>
        <v>25079.46</v>
      </c>
      <c r="D306" s="169">
        <f>VLOOKUP(B306,'Dados StatusInvest'!$A:$Z,20,0)/100</f>
        <v>0.1307</v>
      </c>
      <c r="E306" s="93" t="str">
        <f t="shared" si="1"/>
        <v>#N/A</v>
      </c>
      <c r="F306" s="170">
        <f>IF(ISERROR(1/VLOOKUP(B306,Capa!A:AC,13,0)),0,1/VLOOKUP(B306,Capa!A:AC,13,0))</f>
        <v>0.06506180872</v>
      </c>
      <c r="G306" s="171">
        <f t="shared" si="2"/>
        <v>115.000115</v>
      </c>
      <c r="H306" s="172" t="str">
        <f t="shared" si="3"/>
        <v>#N/A</v>
      </c>
      <c r="M306" s="167" t="s">
        <v>457</v>
      </c>
      <c r="N306" s="168">
        <f>VLOOKUP(M306,'Dados StatusInvest'!$A:$Z,26,0)</f>
        <v>25079.46</v>
      </c>
      <c r="O306" s="175">
        <f>VLOOKUP(M306,'Dados StatusInvest'!$A:$Z,18,0)/100</f>
        <v>0.2778</v>
      </c>
      <c r="P306" s="176" t="str">
        <f t="shared" si="5"/>
        <v>#N/A</v>
      </c>
      <c r="Q306" s="177">
        <f>IF(ISERROR(1/VLOOKUP(M306,Capa!A:AC,6,0)),0,1/VLOOKUP(M306,Capa!A:AC,6,0))</f>
        <v>0.0303030303</v>
      </c>
      <c r="R306" s="178">
        <f t="shared" si="6"/>
        <v>235.000235</v>
      </c>
      <c r="S306" s="179" t="str">
        <f t="shared" si="7"/>
        <v>#N/A</v>
      </c>
    </row>
    <row r="307">
      <c r="A307" s="180"/>
      <c r="B307" s="167" t="s">
        <v>459</v>
      </c>
      <c r="C307" s="168">
        <f>VLOOKUP(B307,'Dados StatusInvest'!$A:$Z,26,0)</f>
        <v>22707</v>
      </c>
      <c r="D307" s="169">
        <f>VLOOKUP(B307,'Dados StatusInvest'!$A:$Z,20,0)/100</f>
        <v>0.252</v>
      </c>
      <c r="E307" s="93" t="str">
        <f t="shared" si="1"/>
        <v>#N/A</v>
      </c>
      <c r="F307" s="170">
        <f>IF(ISERROR(1/VLOOKUP(B307,Capa!A:AC,13,0)),0,1/VLOOKUP(B307,Capa!A:AC,13,0))</f>
        <v>0.04042037187</v>
      </c>
      <c r="G307" s="171">
        <f t="shared" si="2"/>
        <v>203.000203</v>
      </c>
      <c r="H307" s="172" t="str">
        <f t="shared" si="3"/>
        <v>#N/A</v>
      </c>
      <c r="M307" s="167" t="s">
        <v>459</v>
      </c>
      <c r="N307" s="168">
        <f>VLOOKUP(M307,'Dados StatusInvest'!$A:$Z,26,0)</f>
        <v>22707</v>
      </c>
      <c r="O307" s="175">
        <f>VLOOKUP(M307,'Dados StatusInvest'!$A:$Z,18,0)/100</f>
        <v>1.1149</v>
      </c>
      <c r="P307" s="176" t="str">
        <f t="shared" si="5"/>
        <v>#N/A</v>
      </c>
      <c r="Q307" s="177">
        <f>IF(ISERROR(1/VLOOKUP(M307,Capa!A:AC,6,0)),0,1/VLOOKUP(M307,Capa!A:AC,6,0))</f>
        <v>0.005128205128</v>
      </c>
      <c r="R307" s="178">
        <f t="shared" si="6"/>
        <v>389.000389</v>
      </c>
      <c r="S307" s="179" t="str">
        <f t="shared" si="7"/>
        <v>#N/A</v>
      </c>
    </row>
    <row r="308">
      <c r="A308" s="180"/>
      <c r="B308" s="167" t="s">
        <v>248</v>
      </c>
      <c r="C308" s="168">
        <f>VLOOKUP(B308,'Dados StatusInvest'!$A:$Z,26,0)</f>
        <v>8366700.96</v>
      </c>
      <c r="D308" s="169">
        <f>VLOOKUP(B308,'Dados StatusInvest'!$A:$Z,20,0)/100</f>
        <v>-0.0074</v>
      </c>
      <c r="E308" s="93" t="str">
        <f t="shared" si="1"/>
        <v>#N/A</v>
      </c>
      <c r="F308" s="170">
        <f>IF(ISERROR(1/VLOOKUP(B308,Capa!A:AC,13,0)),0,1/VLOOKUP(B308,Capa!A:AC,13,0))</f>
        <v>0.9615384615</v>
      </c>
      <c r="G308" s="171">
        <f t="shared" si="2"/>
        <v>2.000002</v>
      </c>
      <c r="H308" s="172" t="str">
        <f t="shared" si="3"/>
        <v>#N/A</v>
      </c>
      <c r="M308" s="167" t="s">
        <v>248</v>
      </c>
      <c r="N308" s="168">
        <f>VLOOKUP(M308,'Dados StatusInvest'!$A:$Z,26,0)</f>
        <v>8366700.96</v>
      </c>
      <c r="O308" s="175">
        <f>VLOOKUP(M308,'Dados StatusInvest'!$A:$Z,18,0)/100</f>
        <v>-0.0083</v>
      </c>
      <c r="P308" s="176" t="str">
        <f t="shared" si="5"/>
        <v>#N/A</v>
      </c>
      <c r="Q308" s="177">
        <f>IF(ISERROR(1/VLOOKUP(M308,Capa!A:AC,6,0)),0,1/VLOOKUP(M308,Capa!A:AC,6,0))</f>
        <v>0.004132231405</v>
      </c>
      <c r="R308" s="178">
        <f t="shared" si="6"/>
        <v>393.000393</v>
      </c>
      <c r="S308" s="179" t="str">
        <f t="shared" si="7"/>
        <v>#N/A</v>
      </c>
    </row>
    <row r="309">
      <c r="A309" s="180"/>
      <c r="B309" s="167" t="s">
        <v>415</v>
      </c>
      <c r="C309" s="168">
        <f>VLOOKUP(B309,'Dados StatusInvest'!$A:$Z,26,0)</f>
        <v>72783.7</v>
      </c>
      <c r="D309" s="169">
        <f>VLOOKUP(B309,'Dados StatusInvest'!$A:$Z,20,0)/100</f>
        <v>0.1673</v>
      </c>
      <c r="E309" s="93" t="str">
        <f t="shared" si="1"/>
        <v>#N/A</v>
      </c>
      <c r="F309" s="170">
        <f>IF(ISERROR(1/VLOOKUP(B309,Capa!A:AC,13,0)),0,1/VLOOKUP(B309,Capa!A:AC,13,0))</f>
        <v>0.1236093943</v>
      </c>
      <c r="G309" s="171">
        <f t="shared" si="2"/>
        <v>54.000054</v>
      </c>
      <c r="H309" s="172" t="str">
        <f t="shared" si="3"/>
        <v>#N/A</v>
      </c>
      <c r="M309" s="167" t="s">
        <v>415</v>
      </c>
      <c r="N309" s="168">
        <f>VLOOKUP(M309,'Dados StatusInvest'!$A:$Z,26,0)</f>
        <v>72783.7</v>
      </c>
      <c r="O309" s="175">
        <f>VLOOKUP(M309,'Dados StatusInvest'!$A:$Z,18,0)/100</f>
        <v>0.1797</v>
      </c>
      <c r="P309" s="176" t="str">
        <f t="shared" si="5"/>
        <v>#N/A</v>
      </c>
      <c r="Q309" s="177">
        <f>IF(ISERROR(1/VLOOKUP(M309,Capa!A:AC,6,0)),0,1/VLOOKUP(M309,Capa!A:AC,6,0))</f>
        <v>0.02292000917</v>
      </c>
      <c r="R309" s="178">
        <f t="shared" si="6"/>
        <v>267.000267</v>
      </c>
      <c r="S309" s="179" t="str">
        <f t="shared" si="7"/>
        <v>#N/A</v>
      </c>
    </row>
    <row r="310">
      <c r="A310" s="180"/>
      <c r="B310" s="167" t="s">
        <v>455</v>
      </c>
      <c r="C310" s="168">
        <f>VLOOKUP(B310,'Dados StatusInvest'!$A:$Z,26,0)</f>
        <v>42048.33</v>
      </c>
      <c r="D310" s="169">
        <f>VLOOKUP(B310,'Dados StatusInvest'!$A:$Z,20,0)/100</f>
        <v>0.0056</v>
      </c>
      <c r="E310" s="93" t="str">
        <f t="shared" si="1"/>
        <v>#N/A</v>
      </c>
      <c r="F310" s="170">
        <f>IF(ISERROR(1/VLOOKUP(B310,Capa!A:AC,13,0)),0,1/VLOOKUP(B310,Capa!A:AC,13,0))</f>
        <v>0.8620689655</v>
      </c>
      <c r="G310" s="171">
        <f t="shared" si="2"/>
        <v>3.000003</v>
      </c>
      <c r="H310" s="172" t="str">
        <f t="shared" si="3"/>
        <v>#N/A</v>
      </c>
      <c r="M310" s="167" t="s">
        <v>455</v>
      </c>
      <c r="N310" s="168">
        <f>VLOOKUP(M310,'Dados StatusInvest'!$A:$Z,26,0)</f>
        <v>42048.33</v>
      </c>
      <c r="O310" s="175">
        <f>VLOOKUP(M310,'Dados StatusInvest'!$A:$Z,18,0)/100</f>
        <v>-0.0045</v>
      </c>
      <c r="P310" s="176" t="str">
        <f t="shared" si="5"/>
        <v>#N/A</v>
      </c>
      <c r="Q310" s="177">
        <f>IF(ISERROR(1/VLOOKUP(M310,Capa!A:AC,6,0)),0,1/VLOOKUP(M310,Capa!A:AC,6,0))</f>
        <v>0.02208480565</v>
      </c>
      <c r="R310" s="178">
        <f t="shared" si="6"/>
        <v>273.000273</v>
      </c>
      <c r="S310" s="179" t="str">
        <f t="shared" si="7"/>
        <v>#N/A</v>
      </c>
    </row>
    <row r="311">
      <c r="A311" s="180"/>
      <c r="B311" s="167" t="s">
        <v>499</v>
      </c>
      <c r="C311" s="168">
        <f>VLOOKUP(B311,'Dados StatusInvest'!$A:$Z,26,0)</f>
        <v>9376.68</v>
      </c>
      <c r="D311" s="169">
        <f>VLOOKUP(B311,'Dados StatusInvest'!$A:$Z,20,0)/100</f>
        <v>-0.8699</v>
      </c>
      <c r="E311" s="93" t="str">
        <f t="shared" si="1"/>
        <v>#N/A</v>
      </c>
      <c r="F311" s="170">
        <f>IF(ISERROR(1/VLOOKUP(B311,Capa!A:AC,13,0)),0,1/VLOOKUP(B311,Capa!A:AC,13,0))</f>
        <v>-0.004392708105</v>
      </c>
      <c r="G311" s="171">
        <f t="shared" si="2"/>
        <v>393.000393</v>
      </c>
      <c r="H311" s="172" t="str">
        <f t="shared" si="3"/>
        <v>#N/A</v>
      </c>
      <c r="M311" s="167" t="s">
        <v>499</v>
      </c>
      <c r="N311" s="168">
        <f>VLOOKUP(M311,'Dados StatusInvest'!$A:$Z,26,0)</f>
        <v>9376.68</v>
      </c>
      <c r="O311" s="175">
        <f>VLOOKUP(M311,'Dados StatusInvest'!$A:$Z,18,0)/100</f>
        <v>-0.2513</v>
      </c>
      <c r="P311" s="176" t="str">
        <f t="shared" si="5"/>
        <v>#N/A</v>
      </c>
      <c r="Q311" s="177">
        <f>IF(ISERROR(1/VLOOKUP(M311,Capa!A:AC,6,0)),0,1/VLOOKUP(M311,Capa!A:AC,6,0))</f>
        <v>0.06060606061</v>
      </c>
      <c r="R311" s="178">
        <f t="shared" si="6"/>
        <v>125.000125</v>
      </c>
      <c r="S311" s="179" t="str">
        <f t="shared" si="7"/>
        <v>#N/A</v>
      </c>
    </row>
    <row r="312">
      <c r="A312" s="180"/>
      <c r="B312" s="167" t="s">
        <v>445</v>
      </c>
      <c r="C312" s="168">
        <f>VLOOKUP(B312,'Dados StatusInvest'!$A:$Z,26,0)</f>
        <v>41068.52</v>
      </c>
      <c r="D312" s="169">
        <f>VLOOKUP(B312,'Dados StatusInvest'!$A:$Z,20,0)/100</f>
        <v>-0.0008</v>
      </c>
      <c r="E312" s="93" t="str">
        <f t="shared" si="1"/>
        <v>#N/A</v>
      </c>
      <c r="F312" s="170">
        <f>IF(ISERROR(1/VLOOKUP(B312,Capa!A:AC,13,0)),0,1/VLOOKUP(B312,Capa!A:AC,13,0))</f>
        <v>0.3021148036</v>
      </c>
      <c r="G312" s="171">
        <f t="shared" si="2"/>
        <v>13.000013</v>
      </c>
      <c r="H312" s="172" t="str">
        <f t="shared" si="3"/>
        <v>#N/A</v>
      </c>
      <c r="M312" s="167" t="s">
        <v>445</v>
      </c>
      <c r="N312" s="168">
        <f>VLOOKUP(M312,'Dados StatusInvest'!$A:$Z,26,0)</f>
        <v>41068.52</v>
      </c>
      <c r="O312" s="175">
        <f>VLOOKUP(M312,'Dados StatusInvest'!$A:$Z,18,0)/100</f>
        <v>-0.0678</v>
      </c>
      <c r="P312" s="176" t="str">
        <f t="shared" si="5"/>
        <v>#N/A</v>
      </c>
      <c r="Q312" s="177">
        <f>IF(ISERROR(1/VLOOKUP(M312,Capa!A:AC,6,0)),0,1/VLOOKUP(M312,Capa!A:AC,6,0))</f>
        <v>0.03095975232</v>
      </c>
      <c r="R312" s="178">
        <f t="shared" si="6"/>
        <v>230.00023</v>
      </c>
      <c r="S312" s="179" t="str">
        <f t="shared" si="7"/>
        <v>#N/A</v>
      </c>
    </row>
    <row r="313">
      <c r="A313" s="180"/>
      <c r="B313" s="167" t="s">
        <v>488</v>
      </c>
      <c r="C313" s="168">
        <f>VLOOKUP(B313,'Dados StatusInvest'!$A:$Z,26,0)</f>
        <v>12990.1</v>
      </c>
      <c r="D313" s="169">
        <f>VLOOKUP(B313,'Dados StatusInvest'!$A:$Z,20,0)/100</f>
        <v>0.8132</v>
      </c>
      <c r="E313" s="93" t="str">
        <f t="shared" si="1"/>
        <v>#N/A</v>
      </c>
      <c r="F313" s="170">
        <f>IF(ISERROR(1/VLOOKUP(B313,Capa!A:AC,13,0)),0,1/VLOOKUP(B313,Capa!A:AC,13,0))</f>
        <v>0.0003212933987</v>
      </c>
      <c r="G313" s="171">
        <f t="shared" si="2"/>
        <v>326.000326</v>
      </c>
      <c r="H313" s="172" t="str">
        <f t="shared" si="3"/>
        <v>#N/A</v>
      </c>
      <c r="M313" s="167" t="s">
        <v>488</v>
      </c>
      <c r="N313" s="168">
        <f>VLOOKUP(M313,'Dados StatusInvest'!$A:$Z,26,0)</f>
        <v>12990.1</v>
      </c>
      <c r="O313" s="175">
        <f>VLOOKUP(M313,'Dados StatusInvest'!$A:$Z,18,0)/100</f>
        <v>0.8886</v>
      </c>
      <c r="P313" s="176" t="str">
        <f t="shared" si="5"/>
        <v>#N/A</v>
      </c>
      <c r="Q313" s="177">
        <f>IF(ISERROR(1/VLOOKUP(M313,Capa!A:AC,6,0)),0,1/VLOOKUP(M313,Capa!A:AC,6,0))</f>
        <v>0.008</v>
      </c>
      <c r="R313" s="178">
        <f t="shared" si="6"/>
        <v>379.000379</v>
      </c>
      <c r="S313" s="179" t="str">
        <f t="shared" si="7"/>
        <v>#N/A</v>
      </c>
    </row>
    <row r="314">
      <c r="A314" s="180"/>
      <c r="B314" s="167" t="s">
        <v>277</v>
      </c>
      <c r="C314" s="168">
        <f>VLOOKUP(B314,'Dados StatusInvest'!$A:$Z,26,0)</f>
        <v>6294058.38</v>
      </c>
      <c r="D314" s="169">
        <f>VLOOKUP(B314,'Dados StatusInvest'!$A:$Z,20,0)/100</f>
        <v>0.0028</v>
      </c>
      <c r="E314" s="93" t="str">
        <f t="shared" si="1"/>
        <v>#N/A</v>
      </c>
      <c r="F314" s="170">
        <f>IF(ISERROR(1/VLOOKUP(B314,Capa!A:AC,13,0)),0,1/VLOOKUP(B314,Capa!A:AC,13,0))</f>
        <v>0</v>
      </c>
      <c r="G314" s="171">
        <f t="shared" si="2"/>
        <v>329.000329</v>
      </c>
      <c r="H314" s="172" t="str">
        <f t="shared" si="3"/>
        <v>#N/A</v>
      </c>
      <c r="M314" s="167" t="s">
        <v>277</v>
      </c>
      <c r="N314" s="168">
        <f>VLOOKUP(M314,'Dados StatusInvest'!$A:$Z,26,0)</f>
        <v>6294058.38</v>
      </c>
      <c r="O314" s="175">
        <f>VLOOKUP(M314,'Dados StatusInvest'!$A:$Z,18,0)/100</f>
        <v>-0.0497</v>
      </c>
      <c r="P314" s="176" t="str">
        <f t="shared" si="5"/>
        <v>#N/A</v>
      </c>
      <c r="Q314" s="177">
        <f>IF(ISERROR(1/VLOOKUP(M314,Capa!A:AC,6,0)),0,1/VLOOKUP(M314,Capa!A:AC,6,0))</f>
        <v>0.01710863986</v>
      </c>
      <c r="R314" s="178">
        <f t="shared" si="6"/>
        <v>309.000309</v>
      </c>
      <c r="S314" s="179" t="str">
        <f t="shared" si="7"/>
        <v>#N/A</v>
      </c>
    </row>
    <row r="315">
      <c r="A315" s="180"/>
      <c r="B315" s="167" t="s">
        <v>505</v>
      </c>
      <c r="C315" s="168">
        <f>VLOOKUP(B315,'Dados StatusInvest'!$A:$Z,26,0)</f>
        <v>11666.56</v>
      </c>
      <c r="D315" s="169">
        <f>VLOOKUP(B315,'Dados StatusInvest'!$A:$Z,20,0)/100</f>
        <v>0.0502</v>
      </c>
      <c r="E315" s="93" t="str">
        <f t="shared" si="1"/>
        <v>#N/A</v>
      </c>
      <c r="F315" s="170">
        <f>IF(ISERROR(1/VLOOKUP(B315,Capa!A:AC,13,0)),0,1/VLOOKUP(B315,Capa!A:AC,13,0))</f>
        <v>0.1212121212</v>
      </c>
      <c r="G315" s="171">
        <f t="shared" si="2"/>
        <v>58.000058</v>
      </c>
      <c r="H315" s="172" t="str">
        <f t="shared" si="3"/>
        <v>#N/A</v>
      </c>
      <c r="M315" s="167" t="s">
        <v>505</v>
      </c>
      <c r="N315" s="168">
        <f>VLOOKUP(M315,'Dados StatusInvest'!$A:$Z,26,0)</f>
        <v>11666.56</v>
      </c>
      <c r="O315" s="175">
        <f>VLOOKUP(M315,'Dados StatusInvest'!$A:$Z,18,0)/100</f>
        <v>0.0593</v>
      </c>
      <c r="P315" s="176" t="str">
        <f t="shared" si="5"/>
        <v>#N/A</v>
      </c>
      <c r="Q315" s="177">
        <f>IF(ISERROR(1/VLOOKUP(M315,Capa!A:AC,6,0)),0,1/VLOOKUP(M315,Capa!A:AC,6,0))</f>
        <v>0.03225806452</v>
      </c>
      <c r="R315" s="178">
        <f t="shared" si="6"/>
        <v>219.000219</v>
      </c>
      <c r="S315" s="179" t="str">
        <f t="shared" si="7"/>
        <v>#N/A</v>
      </c>
    </row>
    <row r="316">
      <c r="A316" s="180"/>
      <c r="B316" s="167" t="s">
        <v>380</v>
      </c>
      <c r="C316" s="168">
        <f>VLOOKUP(B316,'Dados StatusInvest'!$A:$Z,26,0)</f>
        <v>144462.92</v>
      </c>
      <c r="D316" s="169">
        <f>VLOOKUP(B316,'Dados StatusInvest'!$A:$Z,20,0)/100</f>
        <v>0</v>
      </c>
      <c r="E316" s="93" t="str">
        <f t="shared" si="1"/>
        <v>#N/A</v>
      </c>
      <c r="F316" s="170">
        <f>IF(ISERROR(1/VLOOKUP(B316,Capa!A:AC,13,0)),0,1/VLOOKUP(B316,Capa!A:AC,13,0))</f>
        <v>0.02808988764</v>
      </c>
      <c r="G316" s="171">
        <f t="shared" si="2"/>
        <v>252.000252</v>
      </c>
      <c r="H316" s="172" t="str">
        <f t="shared" si="3"/>
        <v>#N/A</v>
      </c>
      <c r="M316" s="167" t="s">
        <v>380</v>
      </c>
      <c r="N316" s="168">
        <f>VLOOKUP(M316,'Dados StatusInvest'!$A:$Z,26,0)</f>
        <v>144462.92</v>
      </c>
      <c r="O316" s="175">
        <f>VLOOKUP(M316,'Dados StatusInvest'!$A:$Z,18,0)/100</f>
        <v>0.1387</v>
      </c>
      <c r="P316" s="176" t="str">
        <f t="shared" si="5"/>
        <v>#N/A</v>
      </c>
      <c r="Q316" s="177">
        <f>IF(ISERROR(1/VLOOKUP(M316,Capa!A:AC,6,0)),0,1/VLOOKUP(M316,Capa!A:AC,6,0))</f>
        <v>0.03694126339</v>
      </c>
      <c r="R316" s="178">
        <f t="shared" si="6"/>
        <v>184.000184</v>
      </c>
      <c r="S316" s="179" t="str">
        <f t="shared" si="7"/>
        <v>#N/A</v>
      </c>
    </row>
    <row r="317">
      <c r="A317" s="180"/>
      <c r="B317" s="167" t="s">
        <v>471</v>
      </c>
      <c r="C317" s="168">
        <f>VLOOKUP(B317,'Dados StatusInvest'!$A:$Z,26,0)</f>
        <v>37288.6</v>
      </c>
      <c r="D317" s="169">
        <f>VLOOKUP(B317,'Dados StatusInvest'!$A:$Z,20,0)/100</f>
        <v>0.1255</v>
      </c>
      <c r="E317" s="93" t="str">
        <f t="shared" si="1"/>
        <v>#N/A</v>
      </c>
      <c r="F317" s="170">
        <f>IF(ISERROR(1/VLOOKUP(B317,Capa!A:AC,13,0)),0,1/VLOOKUP(B317,Capa!A:AC,13,0))</f>
        <v>0.1228501229</v>
      </c>
      <c r="G317" s="171">
        <f t="shared" si="2"/>
        <v>56.000056</v>
      </c>
      <c r="H317" s="172" t="str">
        <f t="shared" si="3"/>
        <v>#N/A</v>
      </c>
      <c r="M317" s="167" t="s">
        <v>471</v>
      </c>
      <c r="N317" s="168">
        <f>VLOOKUP(M317,'Dados StatusInvest'!$A:$Z,26,0)</f>
        <v>37288.6</v>
      </c>
      <c r="O317" s="175">
        <f>VLOOKUP(M317,'Dados StatusInvest'!$A:$Z,18,0)/100</f>
        <v>0.2685</v>
      </c>
      <c r="P317" s="176" t="str">
        <f t="shared" si="5"/>
        <v>#N/A</v>
      </c>
      <c r="Q317" s="177">
        <f>IF(ISERROR(1/VLOOKUP(M317,Capa!A:AC,6,0)),0,1/VLOOKUP(M317,Capa!A:AC,6,0))</f>
        <v>0.01055297594</v>
      </c>
      <c r="R317" s="178">
        <f t="shared" si="6"/>
        <v>360.00036</v>
      </c>
      <c r="S317" s="179" t="str">
        <f t="shared" si="7"/>
        <v>#N/A</v>
      </c>
    </row>
    <row r="318">
      <c r="A318" s="180"/>
      <c r="B318" s="167" t="s">
        <v>461</v>
      </c>
      <c r="C318" s="168">
        <f>VLOOKUP(B318,'Dados StatusInvest'!$A:$Z,26,0)</f>
        <v>26595.8</v>
      </c>
      <c r="D318" s="169">
        <f>VLOOKUP(B318,'Dados StatusInvest'!$A:$Z,20,0)/100</f>
        <v>-0.0347</v>
      </c>
      <c r="E318" s="93" t="str">
        <f t="shared" si="1"/>
        <v>#N/A</v>
      </c>
      <c r="F318" s="170">
        <f>IF(ISERROR(1/VLOOKUP(B318,Capa!A:AC,13,0)),0,1/VLOOKUP(B318,Capa!A:AC,13,0))</f>
        <v>0.1034126163</v>
      </c>
      <c r="G318" s="171">
        <f t="shared" si="2"/>
        <v>70.00007</v>
      </c>
      <c r="H318" s="172" t="str">
        <f t="shared" si="3"/>
        <v>#N/A</v>
      </c>
      <c r="M318" s="167" t="s">
        <v>461</v>
      </c>
      <c r="N318" s="168">
        <f>VLOOKUP(M318,'Dados StatusInvest'!$A:$Z,26,0)</f>
        <v>26595.8</v>
      </c>
      <c r="O318" s="175">
        <f>VLOOKUP(M318,'Dados StatusInvest'!$A:$Z,18,0)/100</f>
        <v>-0.0372</v>
      </c>
      <c r="P318" s="176" t="str">
        <f t="shared" si="5"/>
        <v>#N/A</v>
      </c>
      <c r="Q318" s="177">
        <f>IF(ISERROR(1/VLOOKUP(M318,Capa!A:AC,6,0)),0,1/VLOOKUP(M318,Capa!A:AC,6,0))</f>
        <v>0.01237623762</v>
      </c>
      <c r="R318" s="178">
        <f t="shared" si="6"/>
        <v>347.000347</v>
      </c>
      <c r="S318" s="179" t="str">
        <f t="shared" si="7"/>
        <v>#N/A</v>
      </c>
    </row>
    <row r="319">
      <c r="A319" s="180"/>
      <c r="B319" s="167" t="s">
        <v>493</v>
      </c>
      <c r="C319" s="168">
        <f>VLOOKUP(B319,'Dados StatusInvest'!$A:$Z,26,0)</f>
        <v>4478.1</v>
      </c>
      <c r="D319" s="169">
        <f>VLOOKUP(B319,'Dados StatusInvest'!$A:$Z,20,0)/100</f>
        <v>0.1106</v>
      </c>
      <c r="E319" s="93" t="str">
        <f t="shared" si="1"/>
        <v>#N/A</v>
      </c>
      <c r="F319" s="170">
        <f>IF(ISERROR(1/VLOOKUP(B319,Capa!A:AC,13,0)),0,1/VLOOKUP(B319,Capa!A:AC,13,0))</f>
        <v>0.017809439</v>
      </c>
      <c r="G319" s="171">
        <f t="shared" si="2"/>
        <v>287.000287</v>
      </c>
      <c r="H319" s="172" t="str">
        <f t="shared" si="3"/>
        <v>#N/A</v>
      </c>
      <c r="M319" s="167" t="s">
        <v>493</v>
      </c>
      <c r="N319" s="168">
        <f>VLOOKUP(M319,'Dados StatusInvest'!$A:$Z,26,0)</f>
        <v>4478.1</v>
      </c>
      <c r="O319" s="175">
        <f>VLOOKUP(M319,'Dados StatusInvest'!$A:$Z,18,0)/100</f>
        <v>0.115</v>
      </c>
      <c r="P319" s="176" t="str">
        <f t="shared" si="5"/>
        <v>#N/A</v>
      </c>
      <c r="Q319" s="177">
        <f>IF(ISERROR(1/VLOOKUP(M319,Capa!A:AC,6,0)),0,1/VLOOKUP(M319,Capa!A:AC,6,0))</f>
        <v>0.08992805755</v>
      </c>
      <c r="R319" s="178">
        <f t="shared" si="6"/>
        <v>75.000075</v>
      </c>
      <c r="S319" s="179" t="str">
        <f t="shared" si="7"/>
        <v>#N/A</v>
      </c>
    </row>
    <row r="320">
      <c r="A320" s="180"/>
      <c r="B320" s="167" t="s">
        <v>410</v>
      </c>
      <c r="C320" s="168">
        <f>VLOOKUP(B320,'Dados StatusInvest'!$A:$Z,26,0)</f>
        <v>73072.47</v>
      </c>
      <c r="D320" s="169">
        <f>VLOOKUP(B320,'Dados StatusInvest'!$A:$Z,20,0)/100</f>
        <v>0.5777</v>
      </c>
      <c r="E320" s="93" t="str">
        <f t="shared" si="1"/>
        <v>#N/A</v>
      </c>
      <c r="F320" s="170">
        <f>IF(ISERROR(1/VLOOKUP(B320,Capa!A:AC,13,0)),0,1/VLOOKUP(B320,Capa!A:AC,13,0))</f>
        <v>0.07604562738</v>
      </c>
      <c r="G320" s="171">
        <f t="shared" si="2"/>
        <v>100.0001</v>
      </c>
      <c r="H320" s="172" t="str">
        <f t="shared" si="3"/>
        <v>#N/A</v>
      </c>
      <c r="M320" s="167" t="s">
        <v>410</v>
      </c>
      <c r="N320" s="168">
        <f>VLOOKUP(M320,'Dados StatusInvest'!$A:$Z,26,0)</f>
        <v>73072.47</v>
      </c>
      <c r="O320" s="175">
        <f>VLOOKUP(M320,'Dados StatusInvest'!$A:$Z,18,0)/100</f>
        <v>-0.2657</v>
      </c>
      <c r="P320" s="176" t="str">
        <f t="shared" si="5"/>
        <v>#N/A</v>
      </c>
      <c r="Q320" s="177">
        <f>IF(ISERROR(1/VLOOKUP(M320,Capa!A:AC,6,0)),0,1/VLOOKUP(M320,Capa!A:AC,6,0))</f>
        <v>0.01449275362</v>
      </c>
      <c r="R320" s="178">
        <f t="shared" si="6"/>
        <v>331.000331</v>
      </c>
      <c r="S320" s="179" t="str">
        <f t="shared" si="7"/>
        <v>#N/A</v>
      </c>
    </row>
    <row r="321">
      <c r="A321" s="180"/>
      <c r="B321" s="167" t="s">
        <v>423</v>
      </c>
      <c r="C321" s="168">
        <f>VLOOKUP(B321,'Dados StatusInvest'!$A:$Z,26,0)</f>
        <v>33296.27</v>
      </c>
      <c r="D321" s="169">
        <f>VLOOKUP(B321,'Dados StatusInvest'!$A:$Z,20,0)/100</f>
        <v>0.0502</v>
      </c>
      <c r="E321" s="93" t="str">
        <f t="shared" si="1"/>
        <v>#N/A</v>
      </c>
      <c r="F321" s="170">
        <f>IF(ISERROR(1/VLOOKUP(B321,Capa!A:AC,13,0)),0,1/VLOOKUP(B321,Capa!A:AC,13,0))</f>
        <v>0.1212121212</v>
      </c>
      <c r="G321" s="171">
        <f t="shared" si="2"/>
        <v>58.000058</v>
      </c>
      <c r="H321" s="172" t="str">
        <f t="shared" si="3"/>
        <v>#N/A</v>
      </c>
      <c r="M321" s="167" t="s">
        <v>423</v>
      </c>
      <c r="N321" s="168">
        <f>VLOOKUP(M321,'Dados StatusInvest'!$A:$Z,26,0)</f>
        <v>33296.27</v>
      </c>
      <c r="O321" s="175">
        <f>VLOOKUP(M321,'Dados StatusInvest'!$A:$Z,18,0)/100</f>
        <v>0.0593</v>
      </c>
      <c r="P321" s="176" t="str">
        <f t="shared" si="5"/>
        <v>#N/A</v>
      </c>
      <c r="Q321" s="177">
        <f>IF(ISERROR(1/VLOOKUP(M321,Capa!A:AC,6,0)),0,1/VLOOKUP(M321,Capa!A:AC,6,0))</f>
        <v>0.04291845494</v>
      </c>
      <c r="R321" s="178">
        <f t="shared" si="6"/>
        <v>163.000163</v>
      </c>
      <c r="S321" s="179" t="str">
        <f t="shared" si="7"/>
        <v>#N/A</v>
      </c>
    </row>
    <row r="322">
      <c r="A322" s="180"/>
      <c r="B322" s="167" t="s">
        <v>383</v>
      </c>
      <c r="C322" s="168">
        <f>VLOOKUP(B322,'Dados StatusInvest'!$A:$Z,26,0)</f>
        <v>96723.06</v>
      </c>
      <c r="D322" s="169">
        <f>VLOOKUP(B322,'Dados StatusInvest'!$A:$Z,20,0)/100</f>
        <v>0.2394</v>
      </c>
      <c r="E322" s="93" t="str">
        <f t="shared" si="1"/>
        <v>#N/A</v>
      </c>
      <c r="F322" s="170">
        <f>IF(ISERROR(1/VLOOKUP(B322,Capa!A:AC,13,0)),0,1/VLOOKUP(B322,Capa!A:AC,13,0))</f>
        <v>0.03861003861</v>
      </c>
      <c r="G322" s="171">
        <f t="shared" si="2"/>
        <v>211.000211</v>
      </c>
      <c r="H322" s="172" t="str">
        <f t="shared" si="3"/>
        <v>#N/A</v>
      </c>
      <c r="M322" s="167" t="s">
        <v>383</v>
      </c>
      <c r="N322" s="168">
        <f>VLOOKUP(M322,'Dados StatusInvest'!$A:$Z,26,0)</f>
        <v>96723.06</v>
      </c>
      <c r="O322" s="175">
        <f>VLOOKUP(M322,'Dados StatusInvest'!$A:$Z,18,0)/100</f>
        <v>0.3394</v>
      </c>
      <c r="P322" s="176" t="str">
        <f t="shared" si="5"/>
        <v>#N/A</v>
      </c>
      <c r="Q322" s="177">
        <f>IF(ISERROR(1/VLOOKUP(M322,Capa!A:AC,6,0)),0,1/VLOOKUP(M322,Capa!A:AC,6,0))</f>
        <v>0.008335417188</v>
      </c>
      <c r="R322" s="178">
        <f t="shared" si="6"/>
        <v>375.000375</v>
      </c>
      <c r="S322" s="179" t="str">
        <f t="shared" si="7"/>
        <v>#N/A</v>
      </c>
    </row>
    <row r="323">
      <c r="A323" s="180"/>
      <c r="B323" s="167" t="s">
        <v>543</v>
      </c>
      <c r="C323" s="168">
        <f>VLOOKUP(B323,'Dados StatusInvest'!$A:$Z,26,0)</f>
        <v>1041</v>
      </c>
      <c r="D323" s="169">
        <f>VLOOKUP(B323,'Dados StatusInvest'!$A:$Z,20,0)/100</f>
        <v>0.0838</v>
      </c>
      <c r="E323" s="93" t="str">
        <f t="shared" si="1"/>
        <v>#N/A</v>
      </c>
      <c r="F323" s="170">
        <f>IF(ISERROR(1/VLOOKUP(B323,Capa!A:AC,13,0)),0,1/VLOOKUP(B323,Capa!A:AC,13,0))</f>
        <v>0.0003579725865</v>
      </c>
      <c r="G323" s="171">
        <f t="shared" si="2"/>
        <v>320.00032</v>
      </c>
      <c r="H323" s="172" t="str">
        <f t="shared" si="3"/>
        <v>#N/A</v>
      </c>
      <c r="M323" s="167" t="s">
        <v>543</v>
      </c>
      <c r="N323" s="168">
        <f>VLOOKUP(M323,'Dados StatusInvest'!$A:$Z,26,0)</f>
        <v>1041</v>
      </c>
      <c r="O323" s="175">
        <f>VLOOKUP(M323,'Dados StatusInvest'!$A:$Z,18,0)/100</f>
        <v>0.0208</v>
      </c>
      <c r="P323" s="176" t="str">
        <f t="shared" si="5"/>
        <v>#N/A</v>
      </c>
      <c r="Q323" s="177">
        <f>IF(ISERROR(1/VLOOKUP(M323,Capa!A:AC,6,0)),0,1/VLOOKUP(M323,Capa!A:AC,6,0))</f>
        <v>0.025</v>
      </c>
      <c r="R323" s="178">
        <f t="shared" si="6"/>
        <v>255.000255</v>
      </c>
      <c r="S323" s="179" t="str">
        <f t="shared" si="7"/>
        <v>#N/A</v>
      </c>
    </row>
    <row r="324">
      <c r="A324" s="180"/>
      <c r="B324" s="167" t="s">
        <v>480</v>
      </c>
      <c r="C324" s="168">
        <f>VLOOKUP(B324,'Dados StatusInvest'!$A:$Z,26,0)</f>
        <v>17711.29</v>
      </c>
      <c r="D324" s="169">
        <f>VLOOKUP(B324,'Dados StatusInvest'!$A:$Z,20,0)/100</f>
        <v>0</v>
      </c>
      <c r="E324" s="93" t="str">
        <f t="shared" si="1"/>
        <v>#N/A</v>
      </c>
      <c r="F324" s="170">
        <f>IF(ISERROR(1/VLOOKUP(B324,Capa!A:AC,13,0)),0,1/VLOOKUP(B324,Capa!A:AC,13,0))</f>
        <v>0.08110300081</v>
      </c>
      <c r="G324" s="171">
        <f t="shared" si="2"/>
        <v>94.000094</v>
      </c>
      <c r="H324" s="172" t="str">
        <f t="shared" si="3"/>
        <v>#N/A</v>
      </c>
      <c r="M324" s="167" t="s">
        <v>480</v>
      </c>
      <c r="N324" s="168">
        <f>VLOOKUP(M324,'Dados StatusInvest'!$A:$Z,26,0)</f>
        <v>17711.29</v>
      </c>
      <c r="O324" s="175">
        <f>VLOOKUP(M324,'Dados StatusInvest'!$A:$Z,18,0)/100</f>
        <v>0.0546</v>
      </c>
      <c r="P324" s="176" t="str">
        <f t="shared" si="5"/>
        <v>#N/A</v>
      </c>
      <c r="Q324" s="177">
        <f>IF(ISERROR(1/VLOOKUP(M324,Capa!A:AC,6,0)),0,1/VLOOKUP(M324,Capa!A:AC,6,0))</f>
        <v>0.1353179973</v>
      </c>
      <c r="R324" s="178">
        <f t="shared" si="6"/>
        <v>38.000038</v>
      </c>
      <c r="S324" s="179" t="str">
        <f t="shared" si="7"/>
        <v>#N/A</v>
      </c>
    </row>
    <row r="325">
      <c r="A325" s="180"/>
      <c r="B325" s="167" t="s">
        <v>399</v>
      </c>
      <c r="C325" s="168">
        <f>VLOOKUP(B325,'Dados StatusInvest'!$A:$Z,26,0)</f>
        <v>90901.5</v>
      </c>
      <c r="D325" s="169">
        <f>VLOOKUP(B325,'Dados StatusInvest'!$A:$Z,20,0)/100</f>
        <v>0</v>
      </c>
      <c r="E325" s="93" t="str">
        <f t="shared" si="1"/>
        <v>#N/A</v>
      </c>
      <c r="F325" s="170">
        <f>IF(ISERROR(1/VLOOKUP(B325,Capa!A:AC,13,0)),0,1/VLOOKUP(B325,Capa!A:AC,13,0))</f>
        <v>0.02808988764</v>
      </c>
      <c r="G325" s="171">
        <f t="shared" si="2"/>
        <v>252.000252</v>
      </c>
      <c r="H325" s="172" t="str">
        <f t="shared" si="3"/>
        <v>#N/A</v>
      </c>
      <c r="M325" s="167" t="s">
        <v>399</v>
      </c>
      <c r="N325" s="168">
        <f>VLOOKUP(M325,'Dados StatusInvest'!$A:$Z,26,0)</f>
        <v>90901.5</v>
      </c>
      <c r="O325" s="175">
        <f>VLOOKUP(M325,'Dados StatusInvest'!$A:$Z,18,0)/100</f>
        <v>0.1387</v>
      </c>
      <c r="P325" s="176" t="str">
        <f t="shared" si="5"/>
        <v>#N/A</v>
      </c>
      <c r="Q325" s="177">
        <f>IF(ISERROR(1/VLOOKUP(M325,Capa!A:AC,6,0)),0,1/VLOOKUP(M325,Capa!A:AC,6,0))</f>
        <v>0.1066098081</v>
      </c>
      <c r="R325" s="178">
        <f t="shared" si="6"/>
        <v>58.000058</v>
      </c>
      <c r="S325" s="179" t="str">
        <f t="shared" si="7"/>
        <v>#N/A</v>
      </c>
    </row>
    <row r="326">
      <c r="A326" s="180"/>
      <c r="B326" s="167" t="s">
        <v>342</v>
      </c>
      <c r="C326" s="168">
        <f>VLOOKUP(B326,'Dados StatusInvest'!$A:$Z,26,0)</f>
        <v>774705.83</v>
      </c>
      <c r="D326" s="169">
        <f>VLOOKUP(B326,'Dados StatusInvest'!$A:$Z,20,0)/100</f>
        <v>-0.0569</v>
      </c>
      <c r="E326" s="93" t="str">
        <f t="shared" si="1"/>
        <v>#N/A</v>
      </c>
      <c r="F326" s="170">
        <f>IF(ISERROR(1/VLOOKUP(B326,Capa!A:AC,13,0)),0,1/VLOOKUP(B326,Capa!A:AC,13,0))</f>
        <v>-0.01725625539</v>
      </c>
      <c r="G326" s="171">
        <f t="shared" si="2"/>
        <v>408.000408</v>
      </c>
      <c r="H326" s="172" t="str">
        <f t="shared" si="3"/>
        <v>#N/A</v>
      </c>
      <c r="M326" s="167" t="s">
        <v>342</v>
      </c>
      <c r="N326" s="168">
        <f>VLOOKUP(M326,'Dados StatusInvest'!$A:$Z,26,0)</f>
        <v>774705.83</v>
      </c>
      <c r="O326" s="175">
        <f>VLOOKUP(M326,'Dados StatusInvest'!$A:$Z,18,0)/100</f>
        <v>-0.0506</v>
      </c>
      <c r="P326" s="176" t="str">
        <f t="shared" si="5"/>
        <v>#N/A</v>
      </c>
      <c r="Q326" s="177">
        <f>IF(ISERROR(1/VLOOKUP(M326,Capa!A:AC,6,0)),0,1/VLOOKUP(M326,Capa!A:AC,6,0))</f>
        <v>0.1004016064</v>
      </c>
      <c r="R326" s="178">
        <f t="shared" si="6"/>
        <v>64.000064</v>
      </c>
      <c r="S326" s="179" t="str">
        <f t="shared" si="7"/>
        <v>#N/A</v>
      </c>
    </row>
    <row r="327">
      <c r="A327" s="180"/>
      <c r="B327" s="167" t="s">
        <v>437</v>
      </c>
      <c r="C327" s="168">
        <f>VLOOKUP(B327,'Dados StatusInvest'!$A:$Z,26,0)</f>
        <v>24116.48</v>
      </c>
      <c r="D327" s="169">
        <f>VLOOKUP(B327,'Dados StatusInvest'!$A:$Z,20,0)/100</f>
        <v>1.9555</v>
      </c>
      <c r="E327" s="93" t="str">
        <f t="shared" si="1"/>
        <v>#N/A</v>
      </c>
      <c r="F327" s="170">
        <f>IF(ISERROR(1/VLOOKUP(B327,Capa!A:AC,13,0)),0,1/VLOOKUP(B327,Capa!A:AC,13,0))</f>
        <v>-0.09225092251</v>
      </c>
      <c r="G327" s="171">
        <f t="shared" si="2"/>
        <v>427.000427</v>
      </c>
      <c r="H327" s="172" t="str">
        <f t="shared" si="3"/>
        <v>#N/A</v>
      </c>
      <c r="M327" s="167" t="s">
        <v>437</v>
      </c>
      <c r="N327" s="168">
        <f>VLOOKUP(M327,'Dados StatusInvest'!$A:$Z,26,0)</f>
        <v>24116.48</v>
      </c>
      <c r="O327" s="175">
        <f>VLOOKUP(M327,'Dados StatusInvest'!$A:$Z,18,0)/100</f>
        <v>-0.3964</v>
      </c>
      <c r="P327" s="176" t="str">
        <f t="shared" si="5"/>
        <v>#N/A</v>
      </c>
      <c r="Q327" s="177">
        <f>IF(ISERROR(1/VLOOKUP(M327,Capa!A:AC,6,0)),0,1/VLOOKUP(M327,Capa!A:AC,6,0))</f>
        <v>0.05</v>
      </c>
      <c r="R327" s="178">
        <f t="shared" si="6"/>
        <v>148.000148</v>
      </c>
      <c r="S327" s="179" t="str">
        <f t="shared" si="7"/>
        <v>#N/A</v>
      </c>
    </row>
    <row r="328">
      <c r="A328" s="180"/>
      <c r="B328" s="167" t="s">
        <v>411</v>
      </c>
      <c r="C328" s="168">
        <f>VLOOKUP(B328,'Dados StatusInvest'!$A:$Z,26,0)</f>
        <v>108945.05</v>
      </c>
      <c r="D328" s="169">
        <f>VLOOKUP(B328,'Dados StatusInvest'!$A:$Z,20,0)/100</f>
        <v>-0.0445</v>
      </c>
      <c r="E328" s="93" t="str">
        <f t="shared" si="1"/>
        <v>#N/A</v>
      </c>
      <c r="F328" s="170">
        <f>IF(ISERROR(1/VLOOKUP(B328,Capa!A:AC,13,0)),0,1/VLOOKUP(B328,Capa!A:AC,13,0))</f>
        <v>-0.03542330854</v>
      </c>
      <c r="G328" s="171">
        <f t="shared" si="2"/>
        <v>418.000418</v>
      </c>
      <c r="H328" s="172" t="str">
        <f t="shared" si="3"/>
        <v>#N/A</v>
      </c>
      <c r="M328" s="167" t="s">
        <v>411</v>
      </c>
      <c r="N328" s="168">
        <f>VLOOKUP(M328,'Dados StatusInvest'!$A:$Z,26,0)</f>
        <v>108945.05</v>
      </c>
      <c r="O328" s="175">
        <f>VLOOKUP(M328,'Dados StatusInvest'!$A:$Z,18,0)/100</f>
        <v>-0.0739</v>
      </c>
      <c r="P328" s="176" t="str">
        <f t="shared" si="5"/>
        <v>#N/A</v>
      </c>
      <c r="Q328" s="177">
        <f>IF(ISERROR(1/VLOOKUP(M328,Capa!A:AC,6,0)),0,1/VLOOKUP(M328,Capa!A:AC,6,0))</f>
        <v>0.007407407407</v>
      </c>
      <c r="R328" s="178">
        <f t="shared" si="6"/>
        <v>380.00038</v>
      </c>
      <c r="S328" s="179" t="str">
        <f t="shared" si="7"/>
        <v>#N/A</v>
      </c>
    </row>
    <row r="329">
      <c r="A329" s="180"/>
      <c r="B329" s="167" t="s">
        <v>635</v>
      </c>
      <c r="C329" s="168">
        <f>VLOOKUP(B329,'Dados StatusInvest'!$A:$Z,26,0)</f>
        <v>0</v>
      </c>
      <c r="D329" s="169">
        <f>VLOOKUP(B329,'Dados StatusInvest'!$A:$Z,20,0)/100</f>
        <v>0.1589</v>
      </c>
      <c r="E329" s="93" t="str">
        <f t="shared" si="1"/>
        <v>#N/A</v>
      </c>
      <c r="F329" s="170">
        <f>IF(ISERROR(1/VLOOKUP(B329,Capa!A:AC,13,0)),0,1/VLOOKUP(B329,Capa!A:AC,13,0))</f>
        <v>0</v>
      </c>
      <c r="G329" s="171">
        <f t="shared" si="2"/>
        <v>329.000329</v>
      </c>
      <c r="H329" s="172" t="str">
        <f t="shared" si="3"/>
        <v>#N/A</v>
      </c>
      <c r="M329" s="167" t="s">
        <v>635</v>
      </c>
      <c r="N329" s="168">
        <f>VLOOKUP(M329,'Dados StatusInvest'!$A:$Z,26,0)</f>
        <v>0</v>
      </c>
      <c r="O329" s="175">
        <f>VLOOKUP(M329,'Dados StatusInvest'!$A:$Z,18,0)/100</f>
        <v>0.2342</v>
      </c>
      <c r="P329" s="176" t="str">
        <f t="shared" si="5"/>
        <v>#N/A</v>
      </c>
      <c r="Q329" s="177">
        <f>IF(ISERROR(1/VLOOKUP(M329,Capa!A:AC,6,0)),0,1/VLOOKUP(M329,Capa!A:AC,6,0))</f>
        <v>0</v>
      </c>
      <c r="R329" s="178">
        <f t="shared" si="6"/>
        <v>399.000399</v>
      </c>
      <c r="S329" s="179" t="str">
        <f t="shared" si="7"/>
        <v>#N/A</v>
      </c>
    </row>
    <row r="330">
      <c r="A330" s="180"/>
      <c r="B330" s="167" t="s">
        <v>479</v>
      </c>
      <c r="C330" s="168">
        <f>VLOOKUP(B330,'Dados StatusInvest'!$A:$Z,26,0)</f>
        <v>14303</v>
      </c>
      <c r="D330" s="169">
        <f>VLOOKUP(B330,'Dados StatusInvest'!$A:$Z,20,0)/100</f>
        <v>0.0307</v>
      </c>
      <c r="E330" s="93" t="str">
        <f t="shared" si="1"/>
        <v>#N/A</v>
      </c>
      <c r="F330" s="170">
        <f>IF(ISERROR(1/VLOOKUP(B330,Capa!A:AC,13,0)),0,1/VLOOKUP(B330,Capa!A:AC,13,0))</f>
        <v>0.1751313485</v>
      </c>
      <c r="G330" s="171">
        <f t="shared" si="2"/>
        <v>33.000033</v>
      </c>
      <c r="H330" s="172" t="str">
        <f t="shared" si="3"/>
        <v>#N/A</v>
      </c>
      <c r="M330" s="167" t="s">
        <v>479</v>
      </c>
      <c r="N330" s="168">
        <f>VLOOKUP(M330,'Dados StatusInvest'!$A:$Z,26,0)</f>
        <v>14303</v>
      </c>
      <c r="O330" s="175">
        <f>VLOOKUP(M330,'Dados StatusInvest'!$A:$Z,18,0)/100</f>
        <v>0.0762</v>
      </c>
      <c r="P330" s="176" t="str">
        <f t="shared" si="5"/>
        <v>#N/A</v>
      </c>
      <c r="Q330" s="177">
        <f>IF(ISERROR(1/VLOOKUP(M330,Capa!A:AC,6,0)),0,1/VLOOKUP(M330,Capa!A:AC,6,0))</f>
        <v>0.0125</v>
      </c>
      <c r="R330" s="178">
        <f t="shared" si="6"/>
        <v>343.000343</v>
      </c>
      <c r="S330" s="179" t="str">
        <f t="shared" si="7"/>
        <v>#N/A</v>
      </c>
    </row>
    <row r="331">
      <c r="A331" s="180"/>
      <c r="B331" s="167" t="s">
        <v>502</v>
      </c>
      <c r="C331" s="168">
        <f>VLOOKUP(B331,'Dados StatusInvest'!$A:$Z,26,0)</f>
        <v>9554</v>
      </c>
      <c r="D331" s="169">
        <f>VLOOKUP(B331,'Dados StatusInvest'!$A:$Z,20,0)/100</f>
        <v>0.1382</v>
      </c>
      <c r="E331" s="93" t="str">
        <f t="shared" si="1"/>
        <v>#N/A</v>
      </c>
      <c r="F331" s="170">
        <f>IF(ISERROR(1/VLOOKUP(B331,Capa!A:AC,13,0)),0,1/VLOOKUP(B331,Capa!A:AC,13,0))</f>
        <v>0.07662835249</v>
      </c>
      <c r="G331" s="171">
        <f t="shared" si="2"/>
        <v>99.000099</v>
      </c>
      <c r="H331" s="172" t="str">
        <f t="shared" si="3"/>
        <v>#N/A</v>
      </c>
      <c r="M331" s="167" t="s">
        <v>502</v>
      </c>
      <c r="N331" s="168">
        <f>VLOOKUP(M331,'Dados StatusInvest'!$A:$Z,26,0)</f>
        <v>9554</v>
      </c>
      <c r="O331" s="175">
        <f>VLOOKUP(M331,'Dados StatusInvest'!$A:$Z,18,0)/100</f>
        <v>0.4309</v>
      </c>
      <c r="P331" s="176" t="str">
        <f t="shared" si="5"/>
        <v>#N/A</v>
      </c>
      <c r="Q331" s="177">
        <f>IF(ISERROR(1/VLOOKUP(M331,Capa!A:AC,6,0)),0,1/VLOOKUP(M331,Capa!A:AC,6,0))</f>
        <v>0.01428571429</v>
      </c>
      <c r="R331" s="178">
        <f t="shared" si="6"/>
        <v>333.000333</v>
      </c>
      <c r="S331" s="179" t="str">
        <f t="shared" si="7"/>
        <v>#N/A</v>
      </c>
    </row>
    <row r="332">
      <c r="A332" s="180"/>
      <c r="B332" s="167" t="s">
        <v>408</v>
      </c>
      <c r="C332" s="168">
        <f>VLOOKUP(B332,'Dados StatusInvest'!$A:$Z,26,0)</f>
        <v>90597.05</v>
      </c>
      <c r="D332" s="169">
        <f>VLOOKUP(B332,'Dados StatusInvest'!$A:$Z,20,0)/100</f>
        <v>0.194</v>
      </c>
      <c r="E332" s="93" t="str">
        <f t="shared" si="1"/>
        <v>#N/A</v>
      </c>
      <c r="F332" s="170">
        <f>IF(ISERROR(1/VLOOKUP(B332,Capa!A:AC,13,0)),0,1/VLOOKUP(B332,Capa!A:AC,13,0))</f>
        <v>0.04587155963</v>
      </c>
      <c r="G332" s="171">
        <f t="shared" si="2"/>
        <v>183.000183</v>
      </c>
      <c r="H332" s="172" t="str">
        <f t="shared" si="3"/>
        <v>#N/A</v>
      </c>
      <c r="M332" s="167" t="s">
        <v>408</v>
      </c>
      <c r="N332" s="168">
        <f>VLOOKUP(M332,'Dados StatusInvest'!$A:$Z,26,0)</f>
        <v>90597.05</v>
      </c>
      <c r="O332" s="175">
        <f>VLOOKUP(M332,'Dados StatusInvest'!$A:$Z,18,0)/100</f>
        <v>-0.5808</v>
      </c>
      <c r="P332" s="176" t="str">
        <f t="shared" si="5"/>
        <v>#N/A</v>
      </c>
      <c r="Q332" s="177">
        <f>IF(ISERROR(1/VLOOKUP(M332,Capa!A:AC,6,0)),0,1/VLOOKUP(M332,Capa!A:AC,6,0))</f>
        <v>0.03040437823</v>
      </c>
      <c r="R332" s="178">
        <f t="shared" si="6"/>
        <v>234.000234</v>
      </c>
      <c r="S332" s="179" t="str">
        <f t="shared" si="7"/>
        <v>#N/A</v>
      </c>
    </row>
    <row r="333">
      <c r="A333" s="180"/>
      <c r="B333" s="167" t="s">
        <v>344</v>
      </c>
      <c r="C333" s="168">
        <f>VLOOKUP(B333,'Dados StatusInvest'!$A:$Z,26,0)</f>
        <v>462291.5</v>
      </c>
      <c r="D333" s="169">
        <f>VLOOKUP(B333,'Dados StatusInvest'!$A:$Z,20,0)/100</f>
        <v>1.1254</v>
      </c>
      <c r="E333" s="93" t="str">
        <f t="shared" si="1"/>
        <v>#N/A</v>
      </c>
      <c r="F333" s="170">
        <f>IF(ISERROR(1/VLOOKUP(B333,Capa!A:AC,13,0)),0,1/VLOOKUP(B333,Capa!A:AC,13,0))</f>
        <v>0.03533568905</v>
      </c>
      <c r="G333" s="171">
        <f t="shared" si="2"/>
        <v>225.000225</v>
      </c>
      <c r="H333" s="172" t="str">
        <f t="shared" si="3"/>
        <v>#N/A</v>
      </c>
      <c r="M333" s="167" t="s">
        <v>344</v>
      </c>
      <c r="N333" s="168">
        <f>VLOOKUP(M333,'Dados StatusInvest'!$A:$Z,26,0)</f>
        <v>462291.5</v>
      </c>
      <c r="O333" s="175">
        <f>VLOOKUP(M333,'Dados StatusInvest'!$A:$Z,18,0)/100</f>
        <v>0.8748</v>
      </c>
      <c r="P333" s="176" t="str">
        <f t="shared" si="5"/>
        <v>#N/A</v>
      </c>
      <c r="Q333" s="177">
        <f>IF(ISERROR(1/VLOOKUP(M333,Capa!A:AC,6,0)),0,1/VLOOKUP(M333,Capa!A:AC,6,0))</f>
        <v>0.01006846557</v>
      </c>
      <c r="R333" s="178">
        <f t="shared" si="6"/>
        <v>364.000364</v>
      </c>
      <c r="S333" s="179" t="str">
        <f t="shared" si="7"/>
        <v>#N/A</v>
      </c>
    </row>
    <row r="334">
      <c r="A334" s="180"/>
      <c r="B334" s="167" t="s">
        <v>427</v>
      </c>
      <c r="C334" s="168">
        <f>VLOOKUP(B334,'Dados StatusInvest'!$A:$Z,26,0)</f>
        <v>47294.46</v>
      </c>
      <c r="D334" s="169">
        <f>VLOOKUP(B334,'Dados StatusInvest'!$A:$Z,20,0)/100</f>
        <v>0.0803</v>
      </c>
      <c r="E334" s="93" t="str">
        <f t="shared" si="1"/>
        <v>#N/A</v>
      </c>
      <c r="F334" s="170">
        <f>IF(ISERROR(1/VLOOKUP(B334,Capa!A:AC,13,0)),0,1/VLOOKUP(B334,Capa!A:AC,13,0))</f>
        <v>0.1182033097</v>
      </c>
      <c r="G334" s="171">
        <f t="shared" si="2"/>
        <v>60.00006</v>
      </c>
      <c r="H334" s="172" t="str">
        <f t="shared" si="3"/>
        <v>#N/A</v>
      </c>
      <c r="M334" s="167" t="s">
        <v>427</v>
      </c>
      <c r="N334" s="168">
        <f>VLOOKUP(M334,'Dados StatusInvest'!$A:$Z,26,0)</f>
        <v>47294.46</v>
      </c>
      <c r="O334" s="175">
        <f>VLOOKUP(M334,'Dados StatusInvest'!$A:$Z,18,0)/100</f>
        <v>0.008</v>
      </c>
      <c r="P334" s="176" t="str">
        <f t="shared" si="5"/>
        <v>#N/A</v>
      </c>
      <c r="Q334" s="177">
        <f>IF(ISERROR(1/VLOOKUP(M334,Capa!A:AC,6,0)),0,1/VLOOKUP(M334,Capa!A:AC,6,0))</f>
        <v>0.2380952381</v>
      </c>
      <c r="R334" s="178">
        <f t="shared" si="6"/>
        <v>14.000014</v>
      </c>
      <c r="S334" s="179" t="str">
        <f t="shared" si="7"/>
        <v>#N/A</v>
      </c>
    </row>
    <row r="335">
      <c r="A335" s="180"/>
      <c r="B335" s="167" t="s">
        <v>473</v>
      </c>
      <c r="C335" s="168">
        <f>VLOOKUP(B335,'Dados StatusInvest'!$A:$Z,26,0)</f>
        <v>21752.74</v>
      </c>
      <c r="D335" s="169">
        <f>VLOOKUP(B335,'Dados StatusInvest'!$A:$Z,20,0)/100</f>
        <v>0</v>
      </c>
      <c r="E335" s="93" t="str">
        <f t="shared" si="1"/>
        <v>#N/A</v>
      </c>
      <c r="F335" s="170">
        <f>IF(ISERROR(1/VLOOKUP(B335,Capa!A:AC,13,0)),0,1/VLOOKUP(B335,Capa!A:AC,13,0))</f>
        <v>0.01804728388</v>
      </c>
      <c r="G335" s="171">
        <f t="shared" si="2"/>
        <v>285.000285</v>
      </c>
      <c r="H335" s="172" t="str">
        <f t="shared" si="3"/>
        <v>#N/A</v>
      </c>
      <c r="M335" s="167" t="s">
        <v>473</v>
      </c>
      <c r="N335" s="168">
        <f>VLOOKUP(M335,'Dados StatusInvest'!$A:$Z,26,0)</f>
        <v>21752.74</v>
      </c>
      <c r="O335" s="175">
        <f>VLOOKUP(M335,'Dados StatusInvest'!$A:$Z,18,0)/100</f>
        <v>0.0299</v>
      </c>
      <c r="P335" s="176" t="str">
        <f t="shared" si="5"/>
        <v>#N/A</v>
      </c>
      <c r="Q335" s="177">
        <f>IF(ISERROR(1/VLOOKUP(M335,Capa!A:AC,6,0)),0,1/VLOOKUP(M335,Capa!A:AC,6,0))</f>
        <v>0.03174603175</v>
      </c>
      <c r="R335" s="178">
        <f t="shared" si="6"/>
        <v>223.000223</v>
      </c>
      <c r="S335" s="179" t="str">
        <f t="shared" si="7"/>
        <v>#N/A</v>
      </c>
    </row>
    <row r="336">
      <c r="A336" s="180"/>
      <c r="B336" s="167" t="s">
        <v>503</v>
      </c>
      <c r="C336" s="168">
        <f>VLOOKUP(B336,'Dados StatusInvest'!$A:$Z,26,0)</f>
        <v>9450</v>
      </c>
      <c r="D336" s="169">
        <f>VLOOKUP(B336,'Dados StatusInvest'!$A:$Z,20,0)/100</f>
        <v>0.1273</v>
      </c>
      <c r="E336" s="93" t="str">
        <f t="shared" si="1"/>
        <v>#N/A</v>
      </c>
      <c r="F336" s="170">
        <f>IF(ISERROR(1/VLOOKUP(B336,Capa!A:AC,13,0)),0,1/VLOOKUP(B336,Capa!A:AC,13,0))</f>
        <v>0.07112375533</v>
      </c>
      <c r="G336" s="171">
        <f t="shared" si="2"/>
        <v>108.000108</v>
      </c>
      <c r="H336" s="172" t="str">
        <f t="shared" si="3"/>
        <v>#N/A</v>
      </c>
      <c r="M336" s="167" t="s">
        <v>503</v>
      </c>
      <c r="N336" s="168">
        <f>VLOOKUP(M336,'Dados StatusInvest'!$A:$Z,26,0)</f>
        <v>9450</v>
      </c>
      <c r="O336" s="175">
        <f>VLOOKUP(M336,'Dados StatusInvest'!$A:$Z,18,0)/100</f>
        <v>0.1732</v>
      </c>
      <c r="P336" s="176" t="str">
        <f t="shared" si="5"/>
        <v>#N/A</v>
      </c>
      <c r="Q336" s="177">
        <f>IF(ISERROR(1/VLOOKUP(M336,Capa!A:AC,6,0)),0,1/VLOOKUP(M336,Capa!A:AC,6,0))</f>
        <v>0.01550387597</v>
      </c>
      <c r="R336" s="178">
        <f t="shared" si="6"/>
        <v>324.000324</v>
      </c>
      <c r="S336" s="179" t="str">
        <f t="shared" si="7"/>
        <v>#N/A</v>
      </c>
    </row>
    <row r="337">
      <c r="A337" s="180"/>
      <c r="B337" s="167" t="s">
        <v>403</v>
      </c>
      <c r="C337" s="168">
        <f>VLOOKUP(B337,'Dados StatusInvest'!$A:$Z,26,0)</f>
        <v>96997</v>
      </c>
      <c r="D337" s="169">
        <f>VLOOKUP(B337,'Dados StatusInvest'!$A:$Z,20,0)/100</f>
        <v>-0.0707</v>
      </c>
      <c r="E337" s="93" t="str">
        <f t="shared" si="1"/>
        <v>#N/A</v>
      </c>
      <c r="F337" s="170">
        <f>IF(ISERROR(1/VLOOKUP(B337,Capa!A:AC,13,0)),0,1/VLOOKUP(B337,Capa!A:AC,13,0))</f>
        <v>-0.02547770701</v>
      </c>
      <c r="G337" s="171">
        <f t="shared" si="2"/>
        <v>413.000413</v>
      </c>
      <c r="H337" s="172" t="str">
        <f t="shared" si="3"/>
        <v>#N/A</v>
      </c>
      <c r="M337" s="167" t="s">
        <v>403</v>
      </c>
      <c r="N337" s="168">
        <f>VLOOKUP(M337,'Dados StatusInvest'!$A:$Z,26,0)</f>
        <v>96997</v>
      </c>
      <c r="O337" s="175">
        <f>VLOOKUP(M337,'Dados StatusInvest'!$A:$Z,18,0)/100</f>
        <v>-0.0463</v>
      </c>
      <c r="P337" s="176" t="str">
        <f t="shared" si="5"/>
        <v>#N/A</v>
      </c>
      <c r="Q337" s="177">
        <f>IF(ISERROR(1/VLOOKUP(M337,Capa!A:AC,6,0)),0,1/VLOOKUP(M337,Capa!A:AC,6,0))</f>
        <v>0.007407407407</v>
      </c>
      <c r="R337" s="178">
        <f t="shared" si="6"/>
        <v>380.00038</v>
      </c>
      <c r="S337" s="179" t="str">
        <f t="shared" si="7"/>
        <v>#N/A</v>
      </c>
    </row>
    <row r="338">
      <c r="A338" s="180"/>
      <c r="B338" s="167" t="s">
        <v>394</v>
      </c>
      <c r="C338" s="168">
        <f>VLOOKUP(B338,'Dados StatusInvest'!$A:$Z,26,0)</f>
        <v>142842.77</v>
      </c>
      <c r="D338" s="169">
        <f>VLOOKUP(B338,'Dados StatusInvest'!$A:$Z,20,0)/100</f>
        <v>0.1813</v>
      </c>
      <c r="E338" s="93" t="str">
        <f t="shared" si="1"/>
        <v>#N/A</v>
      </c>
      <c r="F338" s="170">
        <f>IF(ISERROR(1/VLOOKUP(B338,Capa!A:AC,13,0)),0,1/VLOOKUP(B338,Capa!A:AC,13,0))</f>
        <v>0.04037141704</v>
      </c>
      <c r="G338" s="171">
        <f t="shared" si="2"/>
        <v>205.000205</v>
      </c>
      <c r="H338" s="172" t="str">
        <f t="shared" si="3"/>
        <v>#N/A</v>
      </c>
      <c r="M338" s="167" t="s">
        <v>394</v>
      </c>
      <c r="N338" s="168">
        <f>VLOOKUP(M338,'Dados StatusInvest'!$A:$Z,26,0)</f>
        <v>142842.77</v>
      </c>
      <c r="O338" s="175">
        <f>VLOOKUP(M338,'Dados StatusInvest'!$A:$Z,18,0)/100</f>
        <v>0.3953</v>
      </c>
      <c r="P338" s="176" t="str">
        <f t="shared" si="5"/>
        <v>#N/A</v>
      </c>
      <c r="Q338" s="177">
        <f>IF(ISERROR(1/VLOOKUP(M338,Capa!A:AC,6,0)),0,1/VLOOKUP(M338,Capa!A:AC,6,0))</f>
        <v>0.0125</v>
      </c>
      <c r="R338" s="178">
        <f t="shared" si="6"/>
        <v>343.000343</v>
      </c>
      <c r="S338" s="179" t="str">
        <f t="shared" si="7"/>
        <v>#N/A</v>
      </c>
    </row>
    <row r="339">
      <c r="A339" s="180"/>
      <c r="B339" s="167" t="s">
        <v>606</v>
      </c>
      <c r="C339" s="168">
        <f>VLOOKUP(B339,'Dados StatusInvest'!$A:$Z,26,0)</f>
        <v>0</v>
      </c>
      <c r="D339" s="169">
        <f>VLOOKUP(B339,'Dados StatusInvest'!$A:$Z,20,0)/100</f>
        <v>0.0438</v>
      </c>
      <c r="E339" s="93" t="str">
        <f t="shared" si="1"/>
        <v>#N/A</v>
      </c>
      <c r="F339" s="170">
        <f>IF(ISERROR(1/VLOOKUP(B339,Capa!A:AC,13,0)),0,1/VLOOKUP(B339,Capa!A:AC,13,0))</f>
        <v>0</v>
      </c>
      <c r="G339" s="171">
        <f t="shared" si="2"/>
        <v>329.000329</v>
      </c>
      <c r="H339" s="172" t="str">
        <f t="shared" si="3"/>
        <v>#N/A</v>
      </c>
      <c r="M339" s="167" t="s">
        <v>606</v>
      </c>
      <c r="N339" s="168">
        <f>VLOOKUP(M339,'Dados StatusInvest'!$A:$Z,26,0)</f>
        <v>0</v>
      </c>
      <c r="O339" s="175">
        <f>VLOOKUP(M339,'Dados StatusInvest'!$A:$Z,18,0)/100</f>
        <v>0.1087</v>
      </c>
      <c r="P339" s="176" t="str">
        <f t="shared" si="5"/>
        <v>#N/A</v>
      </c>
      <c r="Q339" s="177">
        <f>IF(ISERROR(1/VLOOKUP(M339,Capa!A:AC,6,0)),0,1/VLOOKUP(M339,Capa!A:AC,6,0))</f>
        <v>0</v>
      </c>
      <c r="R339" s="178">
        <f t="shared" si="6"/>
        <v>399.000399</v>
      </c>
      <c r="S339" s="179" t="str">
        <f t="shared" si="7"/>
        <v>#N/A</v>
      </c>
    </row>
    <row r="340">
      <c r="A340" s="180"/>
      <c r="B340" s="167" t="s">
        <v>495</v>
      </c>
      <c r="C340" s="168">
        <f>VLOOKUP(B340,'Dados StatusInvest'!$A:$Z,26,0)</f>
        <v>6912.25</v>
      </c>
      <c r="D340" s="169">
        <f>VLOOKUP(B340,'Dados StatusInvest'!$A:$Z,20,0)/100</f>
        <v>0.7309</v>
      </c>
      <c r="E340" s="93" t="str">
        <f t="shared" si="1"/>
        <v>#N/A</v>
      </c>
      <c r="F340" s="170">
        <f>IF(ISERROR(1/VLOOKUP(B340,Capa!A:AC,13,0)),0,1/VLOOKUP(B340,Capa!A:AC,13,0))</f>
        <v>-0.06349206349</v>
      </c>
      <c r="G340" s="171">
        <f t="shared" si="2"/>
        <v>421.000421</v>
      </c>
      <c r="H340" s="172" t="str">
        <f t="shared" si="3"/>
        <v>#N/A</v>
      </c>
      <c r="M340" s="167" t="s">
        <v>495</v>
      </c>
      <c r="N340" s="168">
        <f>VLOOKUP(M340,'Dados StatusInvest'!$A:$Z,26,0)</f>
        <v>6912.25</v>
      </c>
      <c r="O340" s="175">
        <f>VLOOKUP(M340,'Dados StatusInvest'!$A:$Z,18,0)/100</f>
        <v>-1.2215</v>
      </c>
      <c r="P340" s="176" t="str">
        <f t="shared" si="5"/>
        <v>#N/A</v>
      </c>
      <c r="Q340" s="177">
        <f>IF(ISERROR(1/VLOOKUP(M340,Capa!A:AC,6,0)),0,1/VLOOKUP(M340,Capa!A:AC,6,0))</f>
        <v>0.03225806452</v>
      </c>
      <c r="R340" s="178">
        <f t="shared" si="6"/>
        <v>219.000219</v>
      </c>
      <c r="S340" s="179" t="str">
        <f t="shared" si="7"/>
        <v>#N/A</v>
      </c>
    </row>
    <row r="341">
      <c r="A341" s="180"/>
      <c r="B341" s="167" t="s">
        <v>368</v>
      </c>
      <c r="C341" s="168">
        <f>VLOOKUP(B341,'Dados StatusInvest'!$A:$Z,26,0)</f>
        <v>277590.29</v>
      </c>
      <c r="D341" s="169">
        <f>VLOOKUP(B341,'Dados StatusInvest'!$A:$Z,20,0)/100</f>
        <v>-0.0569</v>
      </c>
      <c r="E341" s="93" t="str">
        <f t="shared" si="1"/>
        <v>#N/A</v>
      </c>
      <c r="F341" s="170">
        <f>IF(ISERROR(1/VLOOKUP(B341,Capa!A:AC,13,0)),0,1/VLOOKUP(B341,Capa!A:AC,13,0))</f>
        <v>-0.01725625539</v>
      </c>
      <c r="G341" s="171">
        <f t="shared" si="2"/>
        <v>408.000408</v>
      </c>
      <c r="H341" s="172" t="str">
        <f t="shared" si="3"/>
        <v>#N/A</v>
      </c>
      <c r="M341" s="167" t="s">
        <v>368</v>
      </c>
      <c r="N341" s="168">
        <f>VLOOKUP(M341,'Dados StatusInvest'!$A:$Z,26,0)</f>
        <v>277590.29</v>
      </c>
      <c r="O341" s="175">
        <f>VLOOKUP(M341,'Dados StatusInvest'!$A:$Z,18,0)/100</f>
        <v>-0.0506</v>
      </c>
      <c r="P341" s="176" t="str">
        <f t="shared" si="5"/>
        <v>#N/A</v>
      </c>
      <c r="Q341" s="177">
        <f>IF(ISERROR(1/VLOOKUP(M341,Capa!A:AC,6,0)),0,1/VLOOKUP(M341,Capa!A:AC,6,0))</f>
        <v>0.09345794393</v>
      </c>
      <c r="R341" s="178">
        <f t="shared" si="6"/>
        <v>71.000071</v>
      </c>
      <c r="S341" s="179" t="str">
        <f t="shared" si="7"/>
        <v>#N/A</v>
      </c>
    </row>
    <row r="342">
      <c r="A342" s="180"/>
      <c r="B342" s="167" t="s">
        <v>367</v>
      </c>
      <c r="C342" s="168">
        <f>VLOOKUP(B342,'Dados StatusInvest'!$A:$Z,26,0)</f>
        <v>322522.19</v>
      </c>
      <c r="D342" s="169">
        <f>VLOOKUP(B342,'Dados StatusInvest'!$A:$Z,20,0)/100</f>
        <v>0.6187</v>
      </c>
      <c r="E342" s="93" t="str">
        <f t="shared" si="1"/>
        <v>#N/A</v>
      </c>
      <c r="F342" s="170">
        <f>IF(ISERROR(1/VLOOKUP(B342,Capa!A:AC,13,0)),0,1/VLOOKUP(B342,Capa!A:AC,13,0))</f>
        <v>-0.004703447627</v>
      </c>
      <c r="G342" s="171">
        <f t="shared" si="2"/>
        <v>395.000395</v>
      </c>
      <c r="H342" s="172" t="str">
        <f t="shared" si="3"/>
        <v>#N/A</v>
      </c>
      <c r="M342" s="167" t="s">
        <v>367</v>
      </c>
      <c r="N342" s="168">
        <f>VLOOKUP(M342,'Dados StatusInvest'!$A:$Z,26,0)</f>
        <v>322522.19</v>
      </c>
      <c r="O342" s="175">
        <f>VLOOKUP(M342,'Dados StatusInvest'!$A:$Z,18,0)/100</f>
        <v>0.8842</v>
      </c>
      <c r="P342" s="176" t="str">
        <f t="shared" si="5"/>
        <v>#N/A</v>
      </c>
      <c r="Q342" s="177">
        <f>IF(ISERROR(1/VLOOKUP(M342,Capa!A:AC,6,0)),0,1/VLOOKUP(M342,Capa!A:AC,6,0))</f>
        <v>0.003861003861</v>
      </c>
      <c r="R342" s="178">
        <f t="shared" si="6"/>
        <v>394.000394</v>
      </c>
      <c r="S342" s="179" t="str">
        <f t="shared" si="7"/>
        <v>#N/A</v>
      </c>
    </row>
    <row r="343">
      <c r="A343" s="180"/>
      <c r="B343" s="167" t="s">
        <v>401</v>
      </c>
      <c r="C343" s="168">
        <f>VLOOKUP(B343,'Dados StatusInvest'!$A:$Z,26,0)</f>
        <v>138570.29</v>
      </c>
      <c r="D343" s="169">
        <f>VLOOKUP(B343,'Dados StatusInvest'!$A:$Z,20,0)/100</f>
        <v>0.3312</v>
      </c>
      <c r="E343" s="93" t="str">
        <f t="shared" si="1"/>
        <v>#N/A</v>
      </c>
      <c r="F343" s="170">
        <f>IF(ISERROR(1/VLOOKUP(B343,Capa!A:AC,13,0)),0,1/VLOOKUP(B343,Capa!A:AC,13,0))</f>
        <v>0.08576329331</v>
      </c>
      <c r="G343" s="171">
        <f t="shared" si="2"/>
        <v>87.000087</v>
      </c>
      <c r="H343" s="172" t="str">
        <f t="shared" si="3"/>
        <v>#N/A</v>
      </c>
      <c r="M343" s="167" t="s">
        <v>401</v>
      </c>
      <c r="N343" s="168">
        <f>VLOOKUP(M343,'Dados StatusInvest'!$A:$Z,26,0)</f>
        <v>138570.29</v>
      </c>
      <c r="O343" s="175">
        <f>VLOOKUP(M343,'Dados StatusInvest'!$A:$Z,18,0)/100</f>
        <v>0.4854</v>
      </c>
      <c r="P343" s="176" t="str">
        <f t="shared" si="5"/>
        <v>#N/A</v>
      </c>
      <c r="Q343" s="177">
        <f>IF(ISERROR(1/VLOOKUP(M343,Capa!A:AC,6,0)),0,1/VLOOKUP(M343,Capa!A:AC,6,0))</f>
        <v>0.1282051282</v>
      </c>
      <c r="R343" s="178">
        <f t="shared" si="6"/>
        <v>44.000044</v>
      </c>
      <c r="S343" s="179" t="str">
        <f t="shared" si="7"/>
        <v>#N/A</v>
      </c>
    </row>
    <row r="344">
      <c r="A344" s="180"/>
      <c r="B344" s="167" t="s">
        <v>322</v>
      </c>
      <c r="C344" s="168">
        <f>VLOOKUP(B344,'Dados StatusInvest'!$A:$Z,26,0)</f>
        <v>1167976.33</v>
      </c>
      <c r="D344" s="169">
        <f>VLOOKUP(B344,'Dados StatusInvest'!$A:$Z,20,0)/100</f>
        <v>-2.1735</v>
      </c>
      <c r="E344" s="93" t="str">
        <f t="shared" si="1"/>
        <v>#N/A</v>
      </c>
      <c r="F344" s="170">
        <f>IF(ISERROR(1/VLOOKUP(B344,Capa!A:AC,13,0)),0,1/VLOOKUP(B344,Capa!A:AC,13,0))</f>
        <v>0.0009008116313</v>
      </c>
      <c r="G344" s="171">
        <f t="shared" si="2"/>
        <v>316.000316</v>
      </c>
      <c r="H344" s="172" t="str">
        <f t="shared" si="3"/>
        <v>#N/A</v>
      </c>
      <c r="M344" s="167" t="s">
        <v>322</v>
      </c>
      <c r="N344" s="168">
        <f>VLOOKUP(M344,'Dados StatusInvest'!$A:$Z,26,0)</f>
        <v>1167976.33</v>
      </c>
      <c r="O344" s="175">
        <f>VLOOKUP(M344,'Dados StatusInvest'!$A:$Z,18,0)/100</f>
        <v>-2.1322</v>
      </c>
      <c r="P344" s="176" t="str">
        <f t="shared" si="5"/>
        <v>#N/A</v>
      </c>
      <c r="Q344" s="177">
        <f>IF(ISERROR(1/VLOOKUP(M344,Capa!A:AC,6,0)),0,1/VLOOKUP(M344,Capa!A:AC,6,0))</f>
        <v>0.07142857143</v>
      </c>
      <c r="R344" s="178">
        <f t="shared" si="6"/>
        <v>101.000101</v>
      </c>
      <c r="S344" s="179" t="str">
        <f t="shared" si="7"/>
        <v>#N/A</v>
      </c>
    </row>
    <row r="345">
      <c r="A345" s="180"/>
      <c r="B345" s="167" t="s">
        <v>1682</v>
      </c>
      <c r="C345" s="168" t="str">
        <f>VLOOKUP(B345,'Dados StatusInvest'!$A:$Z,26,0)</f>
        <v>#N/A</v>
      </c>
      <c r="D345" s="169" t="str">
        <f>VLOOKUP(B345,'Dados StatusInvest'!$A:$Z,20,0)/100</f>
        <v>#N/A</v>
      </c>
      <c r="E345" s="93" t="str">
        <f t="shared" si="1"/>
        <v>#N/A</v>
      </c>
      <c r="F345" s="170">
        <f>IF(ISERROR(1/VLOOKUP(B345,Capa!A:AC,13,0)),0,1/VLOOKUP(B345,Capa!A:AC,13,0))</f>
        <v>0</v>
      </c>
      <c r="G345" s="171">
        <f t="shared" si="2"/>
        <v>329.000329</v>
      </c>
      <c r="H345" s="172" t="str">
        <f t="shared" si="3"/>
        <v>#N/A</v>
      </c>
      <c r="M345" s="167" t="s">
        <v>1682</v>
      </c>
      <c r="N345" s="168" t="str">
        <f>VLOOKUP(M345,'Dados StatusInvest'!$A:$Z,26,0)</f>
        <v>#N/A</v>
      </c>
      <c r="O345" s="175" t="str">
        <f>VLOOKUP(M345,'Dados StatusInvest'!$A:$Z,18,0)/100</f>
        <v>#N/A</v>
      </c>
      <c r="P345" s="176" t="str">
        <f t="shared" si="5"/>
        <v>#N/A</v>
      </c>
      <c r="Q345" s="177">
        <f>IF(ISERROR(1/VLOOKUP(M345,Capa!A:AC,6,0)),0,1/VLOOKUP(M345,Capa!A:AC,6,0))</f>
        <v>0</v>
      </c>
      <c r="R345" s="178">
        <f t="shared" si="6"/>
        <v>399.000399</v>
      </c>
      <c r="S345" s="179" t="str">
        <f t="shared" si="7"/>
        <v>#N/A</v>
      </c>
    </row>
    <row r="346">
      <c r="A346" s="180"/>
      <c r="B346" s="167" t="s">
        <v>371</v>
      </c>
      <c r="C346" s="168">
        <f>VLOOKUP(B346,'Dados StatusInvest'!$A:$Z,26,0)</f>
        <v>550707.63</v>
      </c>
      <c r="D346" s="169">
        <f>VLOOKUP(B346,'Dados StatusInvest'!$A:$Z,20,0)/100</f>
        <v>0.0789</v>
      </c>
      <c r="E346" s="93" t="str">
        <f t="shared" si="1"/>
        <v>#N/A</v>
      </c>
      <c r="F346" s="170">
        <f>IF(ISERROR(1/VLOOKUP(B346,Capa!A:AC,13,0)),0,1/VLOOKUP(B346,Capa!A:AC,13,0))</f>
        <v>-0.007253735674</v>
      </c>
      <c r="G346" s="171">
        <f t="shared" si="2"/>
        <v>401.000401</v>
      </c>
      <c r="H346" s="172" t="str">
        <f t="shared" si="3"/>
        <v>#N/A</v>
      </c>
      <c r="M346" s="167" t="s">
        <v>371</v>
      </c>
      <c r="N346" s="168">
        <f>VLOOKUP(M346,'Dados StatusInvest'!$A:$Z,26,0)</f>
        <v>550707.63</v>
      </c>
      <c r="O346" s="175">
        <f>VLOOKUP(M346,'Dados StatusInvest'!$A:$Z,18,0)/100</f>
        <v>-0.0999</v>
      </c>
      <c r="P346" s="176" t="str">
        <f t="shared" si="5"/>
        <v>#N/A</v>
      </c>
      <c r="Q346" s="177">
        <f>IF(ISERROR(1/VLOOKUP(M346,Capa!A:AC,6,0)),0,1/VLOOKUP(M346,Capa!A:AC,6,0))</f>
        <v>0.1428571429</v>
      </c>
      <c r="R346" s="178">
        <f t="shared" si="6"/>
        <v>32.000032</v>
      </c>
      <c r="S346" s="179" t="str">
        <f t="shared" si="7"/>
        <v>#N/A</v>
      </c>
    </row>
    <row r="347">
      <c r="A347" s="180"/>
      <c r="B347" s="167" t="s">
        <v>500</v>
      </c>
      <c r="C347" s="168">
        <f>VLOOKUP(B347,'Dados StatusInvest'!$A:$Z,26,0)</f>
        <v>15975.65</v>
      </c>
      <c r="D347" s="169">
        <f>VLOOKUP(B347,'Dados StatusInvest'!$A:$Z,20,0)/100</f>
        <v>0</v>
      </c>
      <c r="E347" s="93" t="str">
        <f t="shared" si="1"/>
        <v>#N/A</v>
      </c>
      <c r="F347" s="170">
        <f>IF(ISERROR(1/VLOOKUP(B347,Capa!A:AC,13,0)),0,1/VLOOKUP(B347,Capa!A:AC,13,0))</f>
        <v>0.04113533525</v>
      </c>
      <c r="G347" s="171">
        <f t="shared" si="2"/>
        <v>200.0002</v>
      </c>
      <c r="H347" s="172" t="str">
        <f t="shared" si="3"/>
        <v>#N/A</v>
      </c>
      <c r="M347" s="167" t="s">
        <v>500</v>
      </c>
      <c r="N347" s="168">
        <f>VLOOKUP(M347,'Dados StatusInvest'!$A:$Z,26,0)</f>
        <v>15975.65</v>
      </c>
      <c r="O347" s="175">
        <f>VLOOKUP(M347,'Dados StatusInvest'!$A:$Z,18,0)/100</f>
        <v>0.054</v>
      </c>
      <c r="P347" s="176" t="str">
        <f t="shared" si="5"/>
        <v>#N/A</v>
      </c>
      <c r="Q347" s="177">
        <f>IF(ISERROR(1/VLOOKUP(M347,Capa!A:AC,6,0)),0,1/VLOOKUP(M347,Capa!A:AC,6,0))</f>
        <v>0.08136696501</v>
      </c>
      <c r="R347" s="178">
        <f t="shared" si="6"/>
        <v>84.000084</v>
      </c>
      <c r="S347" s="179" t="str">
        <f t="shared" si="7"/>
        <v>#N/A</v>
      </c>
    </row>
    <row r="348">
      <c r="A348" s="180"/>
      <c r="B348" s="167" t="s">
        <v>381</v>
      </c>
      <c r="C348" s="168">
        <f>VLOOKUP(B348,'Dados StatusInvest'!$A:$Z,26,0)</f>
        <v>161386.79</v>
      </c>
      <c r="D348" s="169">
        <f>VLOOKUP(B348,'Dados StatusInvest'!$A:$Z,20,0)/100</f>
        <v>-37.3167</v>
      </c>
      <c r="E348" s="93" t="str">
        <f t="shared" si="1"/>
        <v>#N/A</v>
      </c>
      <c r="F348" s="170">
        <f>IF(ISERROR(1/VLOOKUP(B348,Capa!A:AC,13,0)),0,1/VLOOKUP(B348,Capa!A:AC,13,0))</f>
        <v>0.02294630564</v>
      </c>
      <c r="G348" s="171">
        <f t="shared" si="2"/>
        <v>272.000272</v>
      </c>
      <c r="H348" s="172" t="str">
        <f t="shared" si="3"/>
        <v>#N/A</v>
      </c>
      <c r="M348" s="167" t="s">
        <v>381</v>
      </c>
      <c r="N348" s="168">
        <f>VLOOKUP(M348,'Dados StatusInvest'!$A:$Z,26,0)</f>
        <v>161386.79</v>
      </c>
      <c r="O348" s="175">
        <f>VLOOKUP(M348,'Dados StatusInvest'!$A:$Z,18,0)/100</f>
        <v>-3.2858</v>
      </c>
      <c r="P348" s="176" t="str">
        <f t="shared" si="5"/>
        <v>#N/A</v>
      </c>
      <c r="Q348" s="177">
        <f>IF(ISERROR(1/VLOOKUP(M348,Capa!A:AC,6,0)),0,1/VLOOKUP(M348,Capa!A:AC,6,0))</f>
        <v>0.02083333333</v>
      </c>
      <c r="R348" s="178">
        <f t="shared" si="6"/>
        <v>286.000286</v>
      </c>
      <c r="S348" s="179" t="str">
        <f t="shared" si="7"/>
        <v>#N/A</v>
      </c>
    </row>
    <row r="349">
      <c r="A349" s="180"/>
      <c r="B349" s="167" t="s">
        <v>458</v>
      </c>
      <c r="C349" s="168">
        <f>VLOOKUP(B349,'Dados StatusInvest'!$A:$Z,26,0)</f>
        <v>720</v>
      </c>
      <c r="D349" s="169">
        <f>VLOOKUP(B349,'Dados StatusInvest'!$A:$Z,20,0)/100</f>
        <v>0.1432</v>
      </c>
      <c r="E349" s="93" t="str">
        <f t="shared" si="1"/>
        <v>#N/A</v>
      </c>
      <c r="F349" s="170">
        <f>IF(ISERROR(1/VLOOKUP(B349,Capa!A:AC,13,0)),0,1/VLOOKUP(B349,Capa!A:AC,13,0))</f>
        <v>0.04830917874</v>
      </c>
      <c r="G349" s="171">
        <f t="shared" si="2"/>
        <v>170.00017</v>
      </c>
      <c r="H349" s="172" t="str">
        <f t="shared" si="3"/>
        <v>#N/A</v>
      </c>
      <c r="M349" s="167" t="s">
        <v>458</v>
      </c>
      <c r="N349" s="168">
        <f>VLOOKUP(M349,'Dados StatusInvest'!$A:$Z,26,0)</f>
        <v>720</v>
      </c>
      <c r="O349" s="175">
        <f>VLOOKUP(M349,'Dados StatusInvest'!$A:$Z,18,0)/100</f>
        <v>0.2369</v>
      </c>
      <c r="P349" s="176" t="str">
        <f t="shared" si="5"/>
        <v>#N/A</v>
      </c>
      <c r="Q349" s="177">
        <f>IF(ISERROR(1/VLOOKUP(M349,Capa!A:AC,6,0)),0,1/VLOOKUP(M349,Capa!A:AC,6,0))</f>
        <v>0.07407407407</v>
      </c>
      <c r="R349" s="178">
        <f t="shared" si="6"/>
        <v>97.000097</v>
      </c>
      <c r="S349" s="179" t="str">
        <f t="shared" si="7"/>
        <v>#N/A</v>
      </c>
    </row>
    <row r="350">
      <c r="A350" s="180"/>
      <c r="B350" s="167" t="s">
        <v>420</v>
      </c>
      <c r="C350" s="168">
        <f>VLOOKUP(B350,'Dados StatusInvest'!$A:$Z,26,0)</f>
        <v>5265.13</v>
      </c>
      <c r="D350" s="169">
        <f>VLOOKUP(B350,'Dados StatusInvest'!$A:$Z,20,0)/100</f>
        <v>0.1432</v>
      </c>
      <c r="E350" s="93" t="str">
        <f t="shared" si="1"/>
        <v>#N/A</v>
      </c>
      <c r="F350" s="170">
        <f>IF(ISERROR(1/VLOOKUP(B350,Capa!A:AC,13,0)),0,1/VLOOKUP(B350,Capa!A:AC,13,0))</f>
        <v>0.04830917874</v>
      </c>
      <c r="G350" s="171">
        <f t="shared" si="2"/>
        <v>170.00017</v>
      </c>
      <c r="H350" s="172" t="str">
        <f t="shared" si="3"/>
        <v>#N/A</v>
      </c>
      <c r="M350" s="167" t="s">
        <v>420</v>
      </c>
      <c r="N350" s="168">
        <f>VLOOKUP(M350,'Dados StatusInvest'!$A:$Z,26,0)</f>
        <v>5265.13</v>
      </c>
      <c r="O350" s="175">
        <f>VLOOKUP(M350,'Dados StatusInvest'!$A:$Z,18,0)/100</f>
        <v>0.2369</v>
      </c>
      <c r="P350" s="176" t="str">
        <f t="shared" si="5"/>
        <v>#N/A</v>
      </c>
      <c r="Q350" s="177">
        <f>IF(ISERROR(1/VLOOKUP(M350,Capa!A:AC,6,0)),0,1/VLOOKUP(M350,Capa!A:AC,6,0))</f>
        <v>0.09345794393</v>
      </c>
      <c r="R350" s="178">
        <f t="shared" si="6"/>
        <v>71.000071</v>
      </c>
      <c r="S350" s="179" t="str">
        <f t="shared" si="7"/>
        <v>#N/A</v>
      </c>
    </row>
    <row r="351">
      <c r="A351" s="180"/>
      <c r="B351" s="167" t="s">
        <v>511</v>
      </c>
      <c r="C351" s="168">
        <f>VLOOKUP(B351,'Dados StatusInvest'!$A:$Z,26,0)</f>
        <v>7545</v>
      </c>
      <c r="D351" s="169">
        <f>VLOOKUP(B351,'Dados StatusInvest'!$A:$Z,20,0)/100</f>
        <v>0.026</v>
      </c>
      <c r="E351" s="93" t="str">
        <f t="shared" si="1"/>
        <v>#N/A</v>
      </c>
      <c r="F351" s="170">
        <f>IF(ISERROR(1/VLOOKUP(B351,Capa!A:AC,13,0)),0,1/VLOOKUP(B351,Capa!A:AC,13,0))</f>
        <v>0</v>
      </c>
      <c r="G351" s="171">
        <f t="shared" si="2"/>
        <v>329.000329</v>
      </c>
      <c r="H351" s="172" t="str">
        <f t="shared" si="3"/>
        <v>#N/A</v>
      </c>
      <c r="M351" s="167" t="s">
        <v>511</v>
      </c>
      <c r="N351" s="168">
        <f>VLOOKUP(M351,'Dados StatusInvest'!$A:$Z,26,0)</f>
        <v>7545</v>
      </c>
      <c r="O351" s="175">
        <f>VLOOKUP(M351,'Dados StatusInvest'!$A:$Z,18,0)/100</f>
        <v>-0.0262</v>
      </c>
      <c r="P351" s="176" t="str">
        <f t="shared" si="5"/>
        <v>#N/A</v>
      </c>
      <c r="Q351" s="177">
        <f>IF(ISERROR(1/VLOOKUP(M351,Capa!A:AC,6,0)),0,1/VLOOKUP(M351,Capa!A:AC,6,0))</f>
        <v>0.01695202577</v>
      </c>
      <c r="R351" s="178">
        <f t="shared" si="6"/>
        <v>311.000311</v>
      </c>
      <c r="S351" s="179" t="str">
        <f t="shared" si="7"/>
        <v>#N/A</v>
      </c>
    </row>
    <row r="352">
      <c r="A352" s="180"/>
      <c r="B352" s="167" t="s">
        <v>483</v>
      </c>
      <c r="C352" s="168">
        <f>VLOOKUP(B352,'Dados StatusInvest'!$A:$Z,26,0)</f>
        <v>16173.07</v>
      </c>
      <c r="D352" s="169">
        <f>VLOOKUP(B352,'Dados StatusInvest'!$A:$Z,20,0)/100</f>
        <v>0.2914</v>
      </c>
      <c r="E352" s="93" t="str">
        <f t="shared" si="1"/>
        <v>#N/A</v>
      </c>
      <c r="F352" s="170">
        <f>IF(ISERROR(1/VLOOKUP(B352,Capa!A:AC,13,0)),0,1/VLOOKUP(B352,Capa!A:AC,13,0))</f>
        <v>0.01069633116</v>
      </c>
      <c r="G352" s="171">
        <f t="shared" si="2"/>
        <v>300.0003</v>
      </c>
      <c r="H352" s="172" t="str">
        <f t="shared" si="3"/>
        <v>#N/A</v>
      </c>
      <c r="M352" s="167" t="s">
        <v>483</v>
      </c>
      <c r="N352" s="168">
        <f>VLOOKUP(M352,'Dados StatusInvest'!$A:$Z,26,0)</f>
        <v>16173.07</v>
      </c>
      <c r="O352" s="175">
        <f>VLOOKUP(M352,'Dados StatusInvest'!$A:$Z,18,0)/100</f>
        <v>0.2647</v>
      </c>
      <c r="P352" s="176" t="str">
        <f t="shared" si="5"/>
        <v>#N/A</v>
      </c>
      <c r="Q352" s="177">
        <f>IF(ISERROR(1/VLOOKUP(M352,Capa!A:AC,6,0)),0,1/VLOOKUP(M352,Capa!A:AC,6,0))</f>
        <v>0.01821493625</v>
      </c>
      <c r="R352" s="178">
        <f t="shared" si="6"/>
        <v>304.000304</v>
      </c>
      <c r="S352" s="179" t="str">
        <f t="shared" si="7"/>
        <v>#N/A</v>
      </c>
    </row>
    <row r="353">
      <c r="A353" s="180"/>
      <c r="B353" s="167" t="s">
        <v>454</v>
      </c>
      <c r="C353" s="168">
        <f>VLOOKUP(B353,'Dados StatusInvest'!$A:$Z,26,0)</f>
        <v>32705.57</v>
      </c>
      <c r="D353" s="169">
        <f>VLOOKUP(B353,'Dados StatusInvest'!$A:$Z,20,0)/100</f>
        <v>0.8132</v>
      </c>
      <c r="E353" s="93" t="str">
        <f t="shared" si="1"/>
        <v>#N/A</v>
      </c>
      <c r="F353" s="170">
        <f>IF(ISERROR(1/VLOOKUP(B353,Capa!A:AC,13,0)),0,1/VLOOKUP(B353,Capa!A:AC,13,0))</f>
        <v>0.0003212933987</v>
      </c>
      <c r="G353" s="171">
        <f t="shared" si="2"/>
        <v>326.000326</v>
      </c>
      <c r="H353" s="172" t="str">
        <f t="shared" si="3"/>
        <v>#N/A</v>
      </c>
      <c r="M353" s="167" t="s">
        <v>454</v>
      </c>
      <c r="N353" s="168">
        <f>VLOOKUP(M353,'Dados StatusInvest'!$A:$Z,26,0)</f>
        <v>32705.57</v>
      </c>
      <c r="O353" s="175">
        <f>VLOOKUP(M353,'Dados StatusInvest'!$A:$Z,18,0)/100</f>
        <v>0.8886</v>
      </c>
      <c r="P353" s="176" t="str">
        <f t="shared" si="5"/>
        <v>#N/A</v>
      </c>
      <c r="Q353" s="177">
        <f>IF(ISERROR(1/VLOOKUP(M353,Capa!A:AC,6,0)),0,1/VLOOKUP(M353,Capa!A:AC,6,0))</f>
        <v>0.008771929825</v>
      </c>
      <c r="R353" s="178">
        <f t="shared" si="6"/>
        <v>374.000374</v>
      </c>
      <c r="S353" s="179" t="str">
        <f t="shared" si="7"/>
        <v>#N/A</v>
      </c>
    </row>
    <row r="354">
      <c r="A354" s="180"/>
      <c r="B354" s="167" t="s">
        <v>478</v>
      </c>
      <c r="C354" s="168">
        <f>VLOOKUP(B354,'Dados StatusInvest'!$A:$Z,26,0)</f>
        <v>23155.22</v>
      </c>
      <c r="D354" s="169">
        <f>VLOOKUP(B354,'Dados StatusInvest'!$A:$Z,20,0)/100</f>
        <v>0.194</v>
      </c>
      <c r="E354" s="93" t="str">
        <f t="shared" si="1"/>
        <v>#N/A</v>
      </c>
      <c r="F354" s="170">
        <f>IF(ISERROR(1/VLOOKUP(B354,Capa!A:AC,13,0)),0,1/VLOOKUP(B354,Capa!A:AC,13,0))</f>
        <v>0.04587155963</v>
      </c>
      <c r="G354" s="171">
        <f t="shared" si="2"/>
        <v>183.000183</v>
      </c>
      <c r="H354" s="172" t="str">
        <f t="shared" si="3"/>
        <v>#N/A</v>
      </c>
      <c r="M354" s="167" t="s">
        <v>478</v>
      </c>
      <c r="N354" s="168">
        <f>VLOOKUP(M354,'Dados StatusInvest'!$A:$Z,26,0)</f>
        <v>23155.22</v>
      </c>
      <c r="O354" s="175">
        <f>VLOOKUP(M354,'Dados StatusInvest'!$A:$Z,18,0)/100</f>
        <v>-0.5808</v>
      </c>
      <c r="P354" s="176" t="str">
        <f t="shared" si="5"/>
        <v>#N/A</v>
      </c>
      <c r="Q354" s="177">
        <f>IF(ISERROR(1/VLOOKUP(M354,Capa!A:AC,6,0)),0,1/VLOOKUP(M354,Capa!A:AC,6,0))</f>
        <v>0.02195871761</v>
      </c>
      <c r="R354" s="178">
        <f t="shared" si="6"/>
        <v>275.000275</v>
      </c>
      <c r="S354" s="179" t="str">
        <f t="shared" si="7"/>
        <v>#N/A</v>
      </c>
    </row>
    <row r="355">
      <c r="A355" s="180"/>
      <c r="B355" s="167" t="s">
        <v>519</v>
      </c>
      <c r="C355" s="168">
        <f>VLOOKUP(B355,'Dados StatusInvest'!$A:$Z,26,0)</f>
        <v>5473.83</v>
      </c>
      <c r="D355" s="169">
        <f>VLOOKUP(B355,'Dados StatusInvest'!$A:$Z,20,0)/100</f>
        <v>0</v>
      </c>
      <c r="E355" s="93" t="str">
        <f t="shared" si="1"/>
        <v>#N/A</v>
      </c>
      <c r="F355" s="170">
        <f>IF(ISERROR(1/VLOOKUP(B355,Capa!A:AC,13,0)),0,1/VLOOKUP(B355,Capa!A:AC,13,0))</f>
        <v>0.05868544601</v>
      </c>
      <c r="G355" s="171">
        <f t="shared" si="2"/>
        <v>126.000126</v>
      </c>
      <c r="H355" s="172" t="str">
        <f t="shared" si="3"/>
        <v>#N/A</v>
      </c>
      <c r="M355" s="167" t="s">
        <v>519</v>
      </c>
      <c r="N355" s="168">
        <f>VLOOKUP(M355,'Dados StatusInvest'!$A:$Z,26,0)</f>
        <v>5473.83</v>
      </c>
      <c r="O355" s="175">
        <f>VLOOKUP(M355,'Dados StatusInvest'!$A:$Z,18,0)/100</f>
        <v>0.1034</v>
      </c>
      <c r="P355" s="176" t="str">
        <f t="shared" si="5"/>
        <v>#N/A</v>
      </c>
      <c r="Q355" s="177">
        <f>IF(ISERROR(1/VLOOKUP(M355,Capa!A:AC,6,0)),0,1/VLOOKUP(M355,Capa!A:AC,6,0))</f>
        <v>0.04566210046</v>
      </c>
      <c r="R355" s="178">
        <f t="shared" si="6"/>
        <v>155.000155</v>
      </c>
      <c r="S355" s="179" t="str">
        <f t="shared" si="7"/>
        <v>#N/A</v>
      </c>
    </row>
    <row r="356">
      <c r="A356" s="180"/>
      <c r="B356" s="167" t="s">
        <v>520</v>
      </c>
      <c r="C356" s="168">
        <f>VLOOKUP(B356,'Dados StatusInvest'!$A:$Z,26,0)</f>
        <v>5792.59</v>
      </c>
      <c r="D356" s="169">
        <f>VLOOKUP(B356,'Dados StatusInvest'!$A:$Z,20,0)/100</f>
        <v>0</v>
      </c>
      <c r="E356" s="93" t="str">
        <f t="shared" si="1"/>
        <v>#N/A</v>
      </c>
      <c r="F356" s="170">
        <f>IF(ISERROR(1/VLOOKUP(B356,Capa!A:AC,13,0)),0,1/VLOOKUP(B356,Capa!A:AC,13,0))</f>
        <v>0.08110300081</v>
      </c>
      <c r="G356" s="171">
        <f t="shared" si="2"/>
        <v>94.000094</v>
      </c>
      <c r="H356" s="172" t="str">
        <f t="shared" si="3"/>
        <v>#N/A</v>
      </c>
      <c r="M356" s="167" t="s">
        <v>520</v>
      </c>
      <c r="N356" s="168">
        <f>VLOOKUP(M356,'Dados StatusInvest'!$A:$Z,26,0)</f>
        <v>5792.59</v>
      </c>
      <c r="O356" s="175">
        <f>VLOOKUP(M356,'Dados StatusInvest'!$A:$Z,18,0)/100</f>
        <v>0.0546</v>
      </c>
      <c r="P356" s="176" t="str">
        <f t="shared" si="5"/>
        <v>#N/A</v>
      </c>
      <c r="Q356" s="177">
        <f>IF(ISERROR(1/VLOOKUP(M356,Capa!A:AC,6,0)),0,1/VLOOKUP(M356,Capa!A:AC,6,0))</f>
        <v>0.1138952164</v>
      </c>
      <c r="R356" s="178">
        <f t="shared" si="6"/>
        <v>54.000054</v>
      </c>
      <c r="S356" s="179" t="str">
        <f t="shared" si="7"/>
        <v>#N/A</v>
      </c>
    </row>
    <row r="357">
      <c r="A357" s="180"/>
      <c r="B357" s="167" t="s">
        <v>466</v>
      </c>
      <c r="C357" s="168">
        <f>VLOOKUP(B357,'Dados StatusInvest'!$A:$Z,26,0)</f>
        <v>7051</v>
      </c>
      <c r="D357" s="169">
        <f>VLOOKUP(B357,'Dados StatusInvest'!$A:$Z,20,0)/100</f>
        <v>0.1008</v>
      </c>
      <c r="E357" s="93" t="str">
        <f t="shared" si="1"/>
        <v>#N/A</v>
      </c>
      <c r="F357" s="170">
        <f>IF(ISERROR(1/VLOOKUP(B357,Capa!A:AC,13,0)),0,1/VLOOKUP(B357,Capa!A:AC,13,0))</f>
        <v>0.09107468124</v>
      </c>
      <c r="G357" s="171">
        <f t="shared" si="2"/>
        <v>75.000075</v>
      </c>
      <c r="H357" s="172" t="str">
        <f t="shared" si="3"/>
        <v>#N/A</v>
      </c>
      <c r="M357" s="167" t="s">
        <v>466</v>
      </c>
      <c r="N357" s="168">
        <f>VLOOKUP(M357,'Dados StatusInvest'!$A:$Z,26,0)</f>
        <v>7051</v>
      </c>
      <c r="O357" s="175">
        <f>VLOOKUP(M357,'Dados StatusInvest'!$A:$Z,18,0)/100</f>
        <v>0.2444</v>
      </c>
      <c r="P357" s="176" t="str">
        <f t="shared" si="5"/>
        <v>#N/A</v>
      </c>
      <c r="Q357" s="177">
        <f>IF(ISERROR(1/VLOOKUP(M357,Capa!A:AC,6,0)),0,1/VLOOKUP(M357,Capa!A:AC,6,0))</f>
        <v>0.02222222222</v>
      </c>
      <c r="R357" s="178">
        <f t="shared" si="6"/>
        <v>272.000272</v>
      </c>
      <c r="S357" s="179" t="str">
        <f t="shared" si="7"/>
        <v>#N/A</v>
      </c>
    </row>
    <row r="358">
      <c r="A358" s="180"/>
      <c r="B358" s="167" t="s">
        <v>447</v>
      </c>
      <c r="C358" s="168">
        <f>VLOOKUP(B358,'Dados StatusInvest'!$A:$Z,26,0)</f>
        <v>11258.13</v>
      </c>
      <c r="D358" s="169">
        <f>VLOOKUP(B358,'Dados StatusInvest'!$A:$Z,20,0)/100</f>
        <v>0.215</v>
      </c>
      <c r="E358" s="93" t="str">
        <f t="shared" si="1"/>
        <v>#N/A</v>
      </c>
      <c r="F358" s="170">
        <f>IF(ISERROR(1/VLOOKUP(B358,Capa!A:AC,13,0)),0,1/VLOOKUP(B358,Capa!A:AC,13,0))</f>
        <v>0.02219263205</v>
      </c>
      <c r="G358" s="171">
        <f t="shared" si="2"/>
        <v>275.000275</v>
      </c>
      <c r="H358" s="172" t="str">
        <f t="shared" si="3"/>
        <v>#N/A</v>
      </c>
      <c r="M358" s="167" t="s">
        <v>447</v>
      </c>
      <c r="N358" s="168">
        <f>VLOOKUP(M358,'Dados StatusInvest'!$A:$Z,26,0)</f>
        <v>11258.13</v>
      </c>
      <c r="O358" s="175">
        <f>VLOOKUP(M358,'Dados StatusInvest'!$A:$Z,18,0)/100</f>
        <v>0.2372</v>
      </c>
      <c r="P358" s="176" t="str">
        <f t="shared" si="5"/>
        <v>#N/A</v>
      </c>
      <c r="Q358" s="177">
        <f>IF(ISERROR(1/VLOOKUP(M358,Capa!A:AC,6,0)),0,1/VLOOKUP(M358,Capa!A:AC,6,0))</f>
        <v>0.01219660934</v>
      </c>
      <c r="R358" s="178">
        <f t="shared" si="6"/>
        <v>349.000349</v>
      </c>
      <c r="S358" s="179" t="str">
        <f t="shared" si="7"/>
        <v>#N/A</v>
      </c>
    </row>
    <row r="359">
      <c r="A359" s="180"/>
      <c r="B359" s="167" t="s">
        <v>464</v>
      </c>
      <c r="C359" s="168">
        <f>VLOOKUP(B359,'Dados StatusInvest'!$A:$Z,26,0)</f>
        <v>21502.4</v>
      </c>
      <c r="D359" s="169">
        <f>VLOOKUP(B359,'Dados StatusInvest'!$A:$Z,20,0)/100</f>
        <v>0.0307</v>
      </c>
      <c r="E359" s="93" t="str">
        <f t="shared" si="1"/>
        <v>#N/A</v>
      </c>
      <c r="F359" s="170">
        <f>IF(ISERROR(1/VLOOKUP(B359,Capa!A:AC,13,0)),0,1/VLOOKUP(B359,Capa!A:AC,13,0))</f>
        <v>0.1751313485</v>
      </c>
      <c r="G359" s="171">
        <f t="shared" si="2"/>
        <v>33.000033</v>
      </c>
      <c r="H359" s="172" t="str">
        <f t="shared" si="3"/>
        <v>#N/A</v>
      </c>
      <c r="M359" s="167" t="s">
        <v>464</v>
      </c>
      <c r="N359" s="168">
        <f>VLOOKUP(M359,'Dados StatusInvest'!$A:$Z,26,0)</f>
        <v>21502.4</v>
      </c>
      <c r="O359" s="175">
        <f>VLOOKUP(M359,'Dados StatusInvest'!$A:$Z,18,0)/100</f>
        <v>0.0762</v>
      </c>
      <c r="P359" s="176" t="str">
        <f t="shared" si="5"/>
        <v>#N/A</v>
      </c>
      <c r="Q359" s="177">
        <f>IF(ISERROR(1/VLOOKUP(M359,Capa!A:AC,6,0)),0,1/VLOOKUP(M359,Capa!A:AC,6,0))</f>
        <v>0.01724137931</v>
      </c>
      <c r="R359" s="178">
        <f t="shared" si="6"/>
        <v>307.000307</v>
      </c>
      <c r="S359" s="179" t="str">
        <f t="shared" si="7"/>
        <v>#N/A</v>
      </c>
    </row>
    <row r="360">
      <c r="A360" s="180"/>
      <c r="B360" s="167" t="s">
        <v>532</v>
      </c>
      <c r="C360" s="168">
        <f>VLOOKUP(B360,'Dados StatusInvest'!$A:$Z,26,0)</f>
        <v>3675.6</v>
      </c>
      <c r="D360" s="169">
        <f>VLOOKUP(B360,'Dados StatusInvest'!$A:$Z,20,0)/100</f>
        <v>0</v>
      </c>
      <c r="E360" s="93" t="str">
        <f t="shared" si="1"/>
        <v>#N/A</v>
      </c>
      <c r="F360" s="170">
        <f>IF(ISERROR(1/VLOOKUP(B360,Capa!A:AC,13,0)),0,1/VLOOKUP(B360,Capa!A:AC,13,0))</f>
        <v>0.04113533525</v>
      </c>
      <c r="G360" s="171">
        <f t="shared" si="2"/>
        <v>200.0002</v>
      </c>
      <c r="H360" s="172" t="str">
        <f t="shared" si="3"/>
        <v>#N/A</v>
      </c>
      <c r="M360" s="167" t="s">
        <v>532</v>
      </c>
      <c r="N360" s="168">
        <f>VLOOKUP(M360,'Dados StatusInvest'!$A:$Z,26,0)</f>
        <v>3675.6</v>
      </c>
      <c r="O360" s="175">
        <f>VLOOKUP(M360,'Dados StatusInvest'!$A:$Z,18,0)/100</f>
        <v>0.054</v>
      </c>
      <c r="P360" s="176" t="str">
        <f t="shared" si="5"/>
        <v>#N/A</v>
      </c>
      <c r="Q360" s="177">
        <f>IF(ISERROR(1/VLOOKUP(M360,Capa!A:AC,6,0)),0,1/VLOOKUP(M360,Capa!A:AC,6,0))</f>
        <v>0.05376344086</v>
      </c>
      <c r="R360" s="178">
        <f t="shared" si="6"/>
        <v>136.000136</v>
      </c>
      <c r="S360" s="179" t="str">
        <f t="shared" si="7"/>
        <v>#N/A</v>
      </c>
    </row>
    <row r="361">
      <c r="A361" s="180"/>
      <c r="B361" s="167" t="s">
        <v>419</v>
      </c>
      <c r="C361" s="168">
        <f>VLOOKUP(B361,'Dados StatusInvest'!$A:$Z,26,0)</f>
        <v>114327.78</v>
      </c>
      <c r="D361" s="169">
        <f>VLOOKUP(B361,'Dados StatusInvest'!$A:$Z,20,0)/100</f>
        <v>0.1813</v>
      </c>
      <c r="E361" s="93" t="str">
        <f t="shared" si="1"/>
        <v>#N/A</v>
      </c>
      <c r="F361" s="170">
        <f>IF(ISERROR(1/VLOOKUP(B361,Capa!A:AC,13,0)),0,1/VLOOKUP(B361,Capa!A:AC,13,0))</f>
        <v>0.04037141704</v>
      </c>
      <c r="G361" s="171">
        <f t="shared" si="2"/>
        <v>205.000205</v>
      </c>
      <c r="H361" s="172" t="str">
        <f t="shared" si="3"/>
        <v>#N/A</v>
      </c>
      <c r="M361" s="167" t="s">
        <v>419</v>
      </c>
      <c r="N361" s="168">
        <f>VLOOKUP(M361,'Dados StatusInvest'!$A:$Z,26,0)</f>
        <v>114327.78</v>
      </c>
      <c r="O361" s="175">
        <f>VLOOKUP(M361,'Dados StatusInvest'!$A:$Z,18,0)/100</f>
        <v>0.3953</v>
      </c>
      <c r="P361" s="176" t="str">
        <f t="shared" si="5"/>
        <v>#N/A</v>
      </c>
      <c r="Q361" s="177">
        <f>IF(ISERROR(1/VLOOKUP(M361,Capa!A:AC,6,0)),0,1/VLOOKUP(M361,Capa!A:AC,6,0))</f>
        <v>0.0125</v>
      </c>
      <c r="R361" s="178">
        <f t="shared" si="6"/>
        <v>343.000343</v>
      </c>
      <c r="S361" s="179" t="str">
        <f t="shared" si="7"/>
        <v>#N/A</v>
      </c>
    </row>
    <row r="362">
      <c r="A362" s="180"/>
      <c r="B362" s="167" t="s">
        <v>446</v>
      </c>
      <c r="C362" s="168">
        <f>VLOOKUP(B362,'Dados StatusInvest'!$A:$Z,26,0)</f>
        <v>80067.19</v>
      </c>
      <c r="D362" s="169">
        <f>VLOOKUP(B362,'Dados StatusInvest'!$A:$Z,20,0)/100</f>
        <v>-0.0011</v>
      </c>
      <c r="E362" s="93" t="str">
        <f t="shared" si="1"/>
        <v>#N/A</v>
      </c>
      <c r="F362" s="170">
        <f>IF(ISERROR(1/VLOOKUP(B362,Capa!A:AC,13,0)),0,1/VLOOKUP(B362,Capa!A:AC,13,0))</f>
        <v>0.2597402597</v>
      </c>
      <c r="G362" s="171">
        <f t="shared" si="2"/>
        <v>17.000017</v>
      </c>
      <c r="H362" s="172" t="str">
        <f t="shared" si="3"/>
        <v>#N/A</v>
      </c>
      <c r="M362" s="167" t="s">
        <v>446</v>
      </c>
      <c r="N362" s="168">
        <f>VLOOKUP(M362,'Dados StatusInvest'!$A:$Z,26,0)</f>
        <v>80067.19</v>
      </c>
      <c r="O362" s="175">
        <f>VLOOKUP(M362,'Dados StatusInvest'!$A:$Z,18,0)/100</f>
        <v>0.0153</v>
      </c>
      <c r="P362" s="176" t="str">
        <f t="shared" si="5"/>
        <v>#N/A</v>
      </c>
      <c r="Q362" s="177">
        <f>IF(ISERROR(1/VLOOKUP(M362,Capa!A:AC,6,0)),0,1/VLOOKUP(M362,Capa!A:AC,6,0))</f>
        <v>0.003367003367</v>
      </c>
      <c r="R362" s="178">
        <f t="shared" si="6"/>
        <v>395.000395</v>
      </c>
      <c r="S362" s="179" t="str">
        <f t="shared" si="7"/>
        <v>#N/A</v>
      </c>
    </row>
    <row r="363">
      <c r="A363" s="180"/>
      <c r="B363" s="167" t="s">
        <v>522</v>
      </c>
      <c r="C363" s="168">
        <f>VLOOKUP(B363,'Dados StatusInvest'!$A:$Z,26,0)</f>
        <v>7800</v>
      </c>
      <c r="D363" s="169">
        <f>VLOOKUP(B363,'Dados StatusInvest'!$A:$Z,20,0)/100</f>
        <v>0.132</v>
      </c>
      <c r="E363" s="93" t="str">
        <f t="shared" si="1"/>
        <v>#N/A</v>
      </c>
      <c r="F363" s="170">
        <f>IF(ISERROR(1/VLOOKUP(B363,Capa!A:AC,13,0)),0,1/VLOOKUP(B363,Capa!A:AC,13,0))</f>
        <v>0.05652911249</v>
      </c>
      <c r="G363" s="171">
        <f t="shared" si="2"/>
        <v>133.000133</v>
      </c>
      <c r="H363" s="172" t="str">
        <f t="shared" si="3"/>
        <v>#N/A</v>
      </c>
      <c r="M363" s="167" t="s">
        <v>522</v>
      </c>
      <c r="N363" s="168">
        <f>VLOOKUP(M363,'Dados StatusInvest'!$A:$Z,26,0)</f>
        <v>7800</v>
      </c>
      <c r="O363" s="175">
        <f>VLOOKUP(M363,'Dados StatusInvest'!$A:$Z,18,0)/100</f>
        <v>0.2599</v>
      </c>
      <c r="P363" s="176" t="str">
        <f t="shared" si="5"/>
        <v>#N/A</v>
      </c>
      <c r="Q363" s="177">
        <f>IF(ISERROR(1/VLOOKUP(M363,Capa!A:AC,6,0)),0,1/VLOOKUP(M363,Capa!A:AC,6,0))</f>
        <v>0.01724137931</v>
      </c>
      <c r="R363" s="178">
        <f t="shared" si="6"/>
        <v>307.000307</v>
      </c>
      <c r="S363" s="179" t="str">
        <f t="shared" si="7"/>
        <v>#N/A</v>
      </c>
    </row>
    <row r="364">
      <c r="A364" s="180"/>
      <c r="B364" s="167" t="s">
        <v>472</v>
      </c>
      <c r="C364" s="168">
        <f>VLOOKUP(B364,'Dados StatusInvest'!$A:$Z,26,0)</f>
        <v>20281</v>
      </c>
      <c r="D364" s="169">
        <f>VLOOKUP(B364,'Dados StatusInvest'!$A:$Z,20,0)/100</f>
        <v>0.7388</v>
      </c>
      <c r="E364" s="93" t="str">
        <f t="shared" si="1"/>
        <v>#N/A</v>
      </c>
      <c r="F364" s="170">
        <f>IF(ISERROR(1/VLOOKUP(B364,Capa!A:AC,13,0)),0,1/VLOOKUP(B364,Capa!A:AC,13,0))</f>
        <v>-0.0001144321875</v>
      </c>
      <c r="G364" s="171">
        <f t="shared" si="2"/>
        <v>384.000384</v>
      </c>
      <c r="H364" s="172" t="str">
        <f t="shared" si="3"/>
        <v>#N/A</v>
      </c>
      <c r="M364" s="167" t="s">
        <v>472</v>
      </c>
      <c r="N364" s="168">
        <f>VLOOKUP(M364,'Dados StatusInvest'!$A:$Z,26,0)</f>
        <v>20281</v>
      </c>
      <c r="O364" s="175">
        <f>VLOOKUP(M364,'Dados StatusInvest'!$A:$Z,18,0)/100</f>
        <v>-0.3124</v>
      </c>
      <c r="P364" s="176" t="str">
        <f t="shared" si="5"/>
        <v>#N/A</v>
      </c>
      <c r="Q364" s="177">
        <f>IF(ISERROR(1/VLOOKUP(M364,Capa!A:AC,6,0)),0,1/VLOOKUP(M364,Capa!A:AC,6,0))</f>
        <v>0.05037783375</v>
      </c>
      <c r="R364" s="178">
        <f t="shared" si="6"/>
        <v>146.000146</v>
      </c>
      <c r="S364" s="179" t="str">
        <f t="shared" si="7"/>
        <v>#N/A</v>
      </c>
    </row>
    <row r="365">
      <c r="A365" s="180"/>
      <c r="B365" s="167" t="s">
        <v>474</v>
      </c>
      <c r="C365" s="168">
        <f>VLOOKUP(B365,'Dados StatusInvest'!$A:$Z,26,0)</f>
        <v>28429.33</v>
      </c>
      <c r="D365" s="169">
        <f>VLOOKUP(B365,'Dados StatusInvest'!$A:$Z,20,0)/100</f>
        <v>0.0304</v>
      </c>
      <c r="E365" s="93" t="str">
        <f t="shared" si="1"/>
        <v>#N/A</v>
      </c>
      <c r="F365" s="170">
        <f>IF(ISERROR(1/VLOOKUP(B365,Capa!A:AC,13,0)),0,1/VLOOKUP(B365,Capa!A:AC,13,0))</f>
        <v>0.1915708812</v>
      </c>
      <c r="G365" s="171">
        <f t="shared" si="2"/>
        <v>26.000026</v>
      </c>
      <c r="H365" s="172" t="str">
        <f t="shared" si="3"/>
        <v>#N/A</v>
      </c>
      <c r="M365" s="167" t="s">
        <v>474</v>
      </c>
      <c r="N365" s="168">
        <f>VLOOKUP(M365,'Dados StatusInvest'!$A:$Z,26,0)</f>
        <v>28429.33</v>
      </c>
      <c r="O365" s="175">
        <f>VLOOKUP(M365,'Dados StatusInvest'!$A:$Z,18,0)/100</f>
        <v>0.0462</v>
      </c>
      <c r="P365" s="176" t="str">
        <f t="shared" si="5"/>
        <v>#N/A</v>
      </c>
      <c r="Q365" s="177">
        <f>IF(ISERROR(1/VLOOKUP(M365,Capa!A:AC,6,0)),0,1/VLOOKUP(M365,Capa!A:AC,6,0))</f>
        <v>0.02301495972</v>
      </c>
      <c r="R365" s="178">
        <f t="shared" si="6"/>
        <v>265.000265</v>
      </c>
      <c r="S365" s="179" t="str">
        <f t="shared" si="7"/>
        <v>#N/A</v>
      </c>
    </row>
    <row r="366">
      <c r="A366" s="180"/>
      <c r="B366" s="167" t="s">
        <v>439</v>
      </c>
      <c r="C366" s="168">
        <f>VLOOKUP(B366,'Dados StatusInvest'!$A:$Z,26,0)</f>
        <v>43866.67</v>
      </c>
      <c r="D366" s="169">
        <f>VLOOKUP(B366,'Dados StatusInvest'!$A:$Z,20,0)/100</f>
        <v>-0.1338</v>
      </c>
      <c r="E366" s="93" t="str">
        <f t="shared" si="1"/>
        <v>#N/A</v>
      </c>
      <c r="F366" s="170">
        <f>IF(ISERROR(1/VLOOKUP(B366,Capa!A:AC,13,0)),0,1/VLOOKUP(B366,Capa!A:AC,13,0))</f>
        <v>0</v>
      </c>
      <c r="G366" s="171">
        <f t="shared" si="2"/>
        <v>329.000329</v>
      </c>
      <c r="H366" s="172" t="str">
        <f t="shared" si="3"/>
        <v>#N/A</v>
      </c>
      <c r="M366" s="167" t="s">
        <v>439</v>
      </c>
      <c r="N366" s="168">
        <f>VLOOKUP(M366,'Dados StatusInvest'!$A:$Z,26,0)</f>
        <v>43866.67</v>
      </c>
      <c r="O366" s="175">
        <f>VLOOKUP(M366,'Dados StatusInvest'!$A:$Z,18,0)/100</f>
        <v>-0.0439</v>
      </c>
      <c r="P366" s="176" t="str">
        <f t="shared" si="5"/>
        <v>#N/A</v>
      </c>
      <c r="Q366" s="177">
        <f>IF(ISERROR(1/VLOOKUP(M366,Capa!A:AC,6,0)),0,1/VLOOKUP(M366,Capa!A:AC,6,0))</f>
        <v>0.01133401337</v>
      </c>
      <c r="R366" s="178">
        <f t="shared" si="6"/>
        <v>357.000357</v>
      </c>
      <c r="S366" s="179" t="str">
        <f t="shared" si="7"/>
        <v>#N/A</v>
      </c>
    </row>
    <row r="367">
      <c r="A367" s="180"/>
      <c r="B367" s="167" t="s">
        <v>376</v>
      </c>
      <c r="C367" s="168">
        <f>VLOOKUP(B367,'Dados StatusInvest'!$A:$Z,26,0)</f>
        <v>166132.63</v>
      </c>
      <c r="D367" s="169">
        <f>VLOOKUP(B367,'Dados StatusInvest'!$A:$Z,20,0)/100</f>
        <v>-0.0765</v>
      </c>
      <c r="E367" s="93" t="str">
        <f t="shared" si="1"/>
        <v>#N/A</v>
      </c>
      <c r="F367" s="170">
        <f>IF(ISERROR(1/VLOOKUP(B367,Capa!A:AC,13,0)),0,1/VLOOKUP(B367,Capa!A:AC,13,0))</f>
        <v>0.0730994152</v>
      </c>
      <c r="G367" s="171">
        <f t="shared" si="2"/>
        <v>105.000105</v>
      </c>
      <c r="H367" s="172" t="str">
        <f t="shared" si="3"/>
        <v>#N/A</v>
      </c>
      <c r="M367" s="167" t="s">
        <v>376</v>
      </c>
      <c r="N367" s="168">
        <f>VLOOKUP(M367,'Dados StatusInvest'!$A:$Z,26,0)</f>
        <v>166132.63</v>
      </c>
      <c r="O367" s="175">
        <f>VLOOKUP(M367,'Dados StatusInvest'!$A:$Z,18,0)/100</f>
        <v>-0.0099</v>
      </c>
      <c r="P367" s="176" t="str">
        <f t="shared" si="5"/>
        <v>#N/A</v>
      </c>
      <c r="Q367" s="177">
        <f>IF(ISERROR(1/VLOOKUP(M367,Capa!A:AC,6,0)),0,1/VLOOKUP(M367,Capa!A:AC,6,0))</f>
        <v>0.03847633705</v>
      </c>
      <c r="R367" s="178">
        <f t="shared" si="6"/>
        <v>175.000175</v>
      </c>
      <c r="S367" s="179" t="str">
        <f t="shared" si="7"/>
        <v>#N/A</v>
      </c>
    </row>
    <row r="368">
      <c r="A368" s="180"/>
      <c r="B368" s="167" t="s">
        <v>1683</v>
      </c>
      <c r="C368" s="168" t="str">
        <f>VLOOKUP(B368,'Dados StatusInvest'!$A:$Z,26,0)</f>
        <v>#N/A</v>
      </c>
      <c r="D368" s="169" t="str">
        <f>VLOOKUP(B368,'Dados StatusInvest'!$A:$Z,20,0)/100</f>
        <v>#N/A</v>
      </c>
      <c r="E368" s="93" t="str">
        <f t="shared" si="1"/>
        <v>#N/A</v>
      </c>
      <c r="F368" s="170">
        <f>IF(ISERROR(1/VLOOKUP(B368,Capa!A:AC,13,0)),0,1/VLOOKUP(B368,Capa!A:AC,13,0))</f>
        <v>0</v>
      </c>
      <c r="G368" s="171">
        <f t="shared" si="2"/>
        <v>329.000329</v>
      </c>
      <c r="H368" s="172" t="str">
        <f t="shared" si="3"/>
        <v>#N/A</v>
      </c>
      <c r="M368" s="167" t="s">
        <v>1683</v>
      </c>
      <c r="N368" s="168" t="str">
        <f>VLOOKUP(M368,'Dados StatusInvest'!$A:$Z,26,0)</f>
        <v>#N/A</v>
      </c>
      <c r="O368" s="175" t="str">
        <f>VLOOKUP(M368,'Dados StatusInvest'!$A:$Z,18,0)/100</f>
        <v>#N/A</v>
      </c>
      <c r="P368" s="176" t="str">
        <f t="shared" si="5"/>
        <v>#N/A</v>
      </c>
      <c r="Q368" s="177">
        <f>IF(ISERROR(1/VLOOKUP(M368,Capa!A:AC,6,0)),0,1/VLOOKUP(M368,Capa!A:AC,6,0))</f>
        <v>0</v>
      </c>
      <c r="R368" s="178">
        <f t="shared" si="6"/>
        <v>399.000399</v>
      </c>
      <c r="S368" s="179" t="str">
        <f t="shared" si="7"/>
        <v>#N/A</v>
      </c>
    </row>
    <row r="369">
      <c r="A369" s="180"/>
      <c r="B369" s="167" t="s">
        <v>421</v>
      </c>
      <c r="C369" s="168">
        <f>VLOOKUP(B369,'Dados StatusInvest'!$A:$Z,26,0)</f>
        <v>58824.83</v>
      </c>
      <c r="D369" s="169">
        <f>VLOOKUP(B369,'Dados StatusInvest'!$A:$Z,20,0)/100</f>
        <v>0.127</v>
      </c>
      <c r="E369" s="93" t="str">
        <f t="shared" si="1"/>
        <v>#N/A</v>
      </c>
      <c r="F369" s="170">
        <f>IF(ISERROR(1/VLOOKUP(B369,Capa!A:AC,13,0)),0,1/VLOOKUP(B369,Capa!A:AC,13,0))</f>
        <v>0.05561735261</v>
      </c>
      <c r="G369" s="171">
        <f t="shared" si="2"/>
        <v>138.000138</v>
      </c>
      <c r="H369" s="172" t="str">
        <f t="shared" si="3"/>
        <v>#N/A</v>
      </c>
      <c r="M369" s="167" t="s">
        <v>421</v>
      </c>
      <c r="N369" s="168">
        <f>VLOOKUP(M369,'Dados StatusInvest'!$A:$Z,26,0)</f>
        <v>58824.83</v>
      </c>
      <c r="O369" s="175">
        <f>VLOOKUP(M369,'Dados StatusInvest'!$A:$Z,18,0)/100</f>
        <v>0.1872</v>
      </c>
      <c r="P369" s="176" t="str">
        <f t="shared" si="5"/>
        <v>#N/A</v>
      </c>
      <c r="Q369" s="177">
        <f>IF(ISERROR(1/VLOOKUP(M369,Capa!A:AC,6,0)),0,1/VLOOKUP(M369,Capa!A:AC,6,0))</f>
        <v>0.1336898396</v>
      </c>
      <c r="R369" s="178">
        <f t="shared" si="6"/>
        <v>39.000039</v>
      </c>
      <c r="S369" s="179" t="str">
        <f t="shared" si="7"/>
        <v>#N/A</v>
      </c>
    </row>
    <row r="370">
      <c r="A370" s="180"/>
      <c r="B370" s="167" t="s">
        <v>538</v>
      </c>
      <c r="C370" s="168">
        <f>VLOOKUP(B370,'Dados StatusInvest'!$A:$Z,26,0)</f>
        <v>2924.33</v>
      </c>
      <c r="D370" s="169">
        <f>VLOOKUP(B370,'Dados StatusInvest'!$A:$Z,20,0)/100</f>
        <v>0.1008</v>
      </c>
      <c r="E370" s="93" t="str">
        <f t="shared" si="1"/>
        <v>#N/A</v>
      </c>
      <c r="F370" s="170">
        <f>IF(ISERROR(1/VLOOKUP(B370,Capa!A:AC,13,0)),0,1/VLOOKUP(B370,Capa!A:AC,13,0))</f>
        <v>0.09107468124</v>
      </c>
      <c r="G370" s="171">
        <f t="shared" si="2"/>
        <v>75.000075</v>
      </c>
      <c r="H370" s="172" t="str">
        <f t="shared" si="3"/>
        <v>#N/A</v>
      </c>
      <c r="M370" s="167" t="s">
        <v>538</v>
      </c>
      <c r="N370" s="168">
        <f>VLOOKUP(M370,'Dados StatusInvest'!$A:$Z,26,0)</f>
        <v>2924.33</v>
      </c>
      <c r="O370" s="175">
        <f>VLOOKUP(M370,'Dados StatusInvest'!$A:$Z,18,0)/100</f>
        <v>0.2444</v>
      </c>
      <c r="P370" s="176" t="str">
        <f t="shared" si="5"/>
        <v>#N/A</v>
      </c>
      <c r="Q370" s="177">
        <f>IF(ISERROR(1/VLOOKUP(M370,Capa!A:AC,6,0)),0,1/VLOOKUP(M370,Capa!A:AC,6,0))</f>
        <v>0.0185013876</v>
      </c>
      <c r="R370" s="178">
        <f t="shared" si="6"/>
        <v>302.000302</v>
      </c>
      <c r="S370" s="179" t="str">
        <f t="shared" si="7"/>
        <v>#N/A</v>
      </c>
    </row>
    <row r="371">
      <c r="A371" s="180"/>
      <c r="B371" s="167" t="s">
        <v>523</v>
      </c>
      <c r="C371" s="168">
        <f>VLOOKUP(B371,'Dados StatusInvest'!$A:$Z,26,0)</f>
        <v>5580</v>
      </c>
      <c r="D371" s="169">
        <f>VLOOKUP(B371,'Dados StatusInvest'!$A:$Z,20,0)/100</f>
        <v>0.208</v>
      </c>
      <c r="E371" s="93" t="str">
        <f t="shared" si="1"/>
        <v>#N/A</v>
      </c>
      <c r="F371" s="170">
        <f>IF(ISERROR(1/VLOOKUP(B371,Capa!A:AC,13,0)),0,1/VLOOKUP(B371,Capa!A:AC,13,0))</f>
        <v>-0.1315789474</v>
      </c>
      <c r="G371" s="171">
        <f t="shared" si="2"/>
        <v>431.000431</v>
      </c>
      <c r="H371" s="172" t="str">
        <f t="shared" si="3"/>
        <v>#N/A</v>
      </c>
      <c r="M371" s="167" t="s">
        <v>523</v>
      </c>
      <c r="N371" s="168">
        <f>VLOOKUP(M371,'Dados StatusInvest'!$A:$Z,26,0)</f>
        <v>5580</v>
      </c>
      <c r="O371" s="175">
        <f>VLOOKUP(M371,'Dados StatusInvest'!$A:$Z,18,0)/100</f>
        <v>-0.3538</v>
      </c>
      <c r="P371" s="176" t="str">
        <f t="shared" si="5"/>
        <v>#N/A</v>
      </c>
      <c r="Q371" s="177">
        <f>IF(ISERROR(1/VLOOKUP(M371,Capa!A:AC,6,0)),0,1/VLOOKUP(M371,Capa!A:AC,6,0))</f>
        <v>0.01010305112</v>
      </c>
      <c r="R371" s="178">
        <f t="shared" si="6"/>
        <v>363.000363</v>
      </c>
      <c r="S371" s="179" t="str">
        <f t="shared" si="7"/>
        <v>#N/A</v>
      </c>
    </row>
    <row r="372">
      <c r="A372" s="180"/>
      <c r="B372" s="167" t="s">
        <v>506</v>
      </c>
      <c r="C372" s="168">
        <f>VLOOKUP(B372,'Dados StatusInvest'!$A:$Z,26,0)</f>
        <v>10531.71</v>
      </c>
      <c r="D372" s="169">
        <f>VLOOKUP(B372,'Dados StatusInvest'!$A:$Z,20,0)/100</f>
        <v>0.1082</v>
      </c>
      <c r="E372" s="93" t="str">
        <f t="shared" si="1"/>
        <v>#N/A</v>
      </c>
      <c r="F372" s="170">
        <f>IF(ISERROR(1/VLOOKUP(B372,Capa!A:AC,13,0)),0,1/VLOOKUP(B372,Capa!A:AC,13,0))</f>
        <v>0.1996007984</v>
      </c>
      <c r="G372" s="171">
        <f t="shared" si="2"/>
        <v>24.000024</v>
      </c>
      <c r="H372" s="172" t="str">
        <f t="shared" si="3"/>
        <v>#N/A</v>
      </c>
      <c r="M372" s="167" t="s">
        <v>506</v>
      </c>
      <c r="N372" s="168">
        <f>VLOOKUP(M372,'Dados StatusInvest'!$A:$Z,26,0)</f>
        <v>10531.71</v>
      </c>
      <c r="O372" s="175">
        <f>VLOOKUP(M372,'Dados StatusInvest'!$A:$Z,18,0)/100</f>
        <v>0.0236</v>
      </c>
      <c r="P372" s="176" t="str">
        <f t="shared" si="5"/>
        <v>#N/A</v>
      </c>
      <c r="Q372" s="177">
        <f>IF(ISERROR(1/VLOOKUP(M372,Capa!A:AC,6,0)),0,1/VLOOKUP(M372,Capa!A:AC,6,0))</f>
        <v>0.04784688995</v>
      </c>
      <c r="R372" s="178">
        <f t="shared" si="6"/>
        <v>150.00015</v>
      </c>
      <c r="S372" s="179" t="str">
        <f t="shared" si="7"/>
        <v>#N/A</v>
      </c>
    </row>
    <row r="373">
      <c r="A373" s="180"/>
      <c r="B373" s="167" t="s">
        <v>548</v>
      </c>
      <c r="C373" s="168">
        <f>VLOOKUP(B373,'Dados StatusInvest'!$A:$Z,26,0)</f>
        <v>0</v>
      </c>
      <c r="D373" s="169">
        <f>VLOOKUP(B373,'Dados StatusInvest'!$A:$Z,20,0)/100</f>
        <v>12.2005</v>
      </c>
      <c r="E373" s="93" t="str">
        <f t="shared" si="1"/>
        <v>#N/A</v>
      </c>
      <c r="F373" s="170">
        <f>IF(ISERROR(1/VLOOKUP(B373,Capa!A:AC,13,0)),0,1/VLOOKUP(B373,Capa!A:AC,13,0))</f>
        <v>0.03497726478</v>
      </c>
      <c r="G373" s="171">
        <f t="shared" si="2"/>
        <v>227.000227</v>
      </c>
      <c r="H373" s="172" t="str">
        <f t="shared" si="3"/>
        <v>#N/A</v>
      </c>
      <c r="M373" s="167" t="s">
        <v>548</v>
      </c>
      <c r="N373" s="168">
        <f>VLOOKUP(M373,'Dados StatusInvest'!$A:$Z,26,0)</f>
        <v>0</v>
      </c>
      <c r="O373" s="175">
        <f>VLOOKUP(M373,'Dados StatusInvest'!$A:$Z,18,0)/100</f>
        <v>14.0396</v>
      </c>
      <c r="P373" s="176" t="str">
        <f t="shared" si="5"/>
        <v>#N/A</v>
      </c>
      <c r="Q373" s="177">
        <f>IF(ISERROR(1/VLOOKUP(M373,Capa!A:AC,6,0)),0,1/VLOOKUP(M373,Capa!A:AC,6,0))</f>
        <v>0.01219512195</v>
      </c>
      <c r="R373" s="178">
        <f t="shared" si="6"/>
        <v>350.00035</v>
      </c>
      <c r="S373" s="179" t="str">
        <f t="shared" si="7"/>
        <v>#N/A</v>
      </c>
    </row>
    <row r="374">
      <c r="A374" s="180"/>
      <c r="B374" s="167" t="s">
        <v>1684</v>
      </c>
      <c r="C374" s="168" t="str">
        <f>VLOOKUP(B374,'Dados StatusInvest'!$A:$Z,26,0)</f>
        <v>#N/A</v>
      </c>
      <c r="D374" s="169" t="str">
        <f>VLOOKUP(B374,'Dados StatusInvest'!$A:$Z,20,0)/100</f>
        <v>#N/A</v>
      </c>
      <c r="E374" s="93" t="str">
        <f t="shared" si="1"/>
        <v>#N/A</v>
      </c>
      <c r="F374" s="170">
        <f>IF(ISERROR(1/VLOOKUP(B374,Capa!A:AC,13,0)),0,1/VLOOKUP(B374,Capa!A:AC,13,0))</f>
        <v>0</v>
      </c>
      <c r="G374" s="171">
        <f t="shared" si="2"/>
        <v>329.000329</v>
      </c>
      <c r="H374" s="172" t="str">
        <f t="shared" si="3"/>
        <v>#N/A</v>
      </c>
      <c r="M374" s="167" t="s">
        <v>1684</v>
      </c>
      <c r="N374" s="168" t="str">
        <f>VLOOKUP(M374,'Dados StatusInvest'!$A:$Z,26,0)</f>
        <v>#N/A</v>
      </c>
      <c r="O374" s="175" t="str">
        <f>VLOOKUP(M374,'Dados StatusInvest'!$A:$Z,18,0)/100</f>
        <v>#N/A</v>
      </c>
      <c r="P374" s="176" t="str">
        <f t="shared" si="5"/>
        <v>#N/A</v>
      </c>
      <c r="Q374" s="177">
        <f>IF(ISERROR(1/VLOOKUP(M374,Capa!A:AC,6,0)),0,1/VLOOKUP(M374,Capa!A:AC,6,0))</f>
        <v>0</v>
      </c>
      <c r="R374" s="178">
        <f t="shared" si="6"/>
        <v>399.000399</v>
      </c>
      <c r="S374" s="179" t="str">
        <f t="shared" si="7"/>
        <v>#N/A</v>
      </c>
    </row>
    <row r="375">
      <c r="A375" s="180"/>
      <c r="B375" s="167" t="s">
        <v>537</v>
      </c>
      <c r="C375" s="168">
        <f>VLOOKUP(B375,'Dados StatusInvest'!$A:$Z,26,0)</f>
        <v>5069.17</v>
      </c>
      <c r="D375" s="169">
        <f>VLOOKUP(B375,'Dados StatusInvest'!$A:$Z,20,0)/100</f>
        <v>0.0838</v>
      </c>
      <c r="E375" s="93" t="str">
        <f t="shared" si="1"/>
        <v>#N/A</v>
      </c>
      <c r="F375" s="170">
        <f>IF(ISERROR(1/VLOOKUP(B375,Capa!A:AC,13,0)),0,1/VLOOKUP(B375,Capa!A:AC,13,0))</f>
        <v>0.0003579725865</v>
      </c>
      <c r="G375" s="171">
        <f t="shared" si="2"/>
        <v>320.00032</v>
      </c>
      <c r="H375" s="172" t="str">
        <f t="shared" si="3"/>
        <v>#N/A</v>
      </c>
      <c r="M375" s="167" t="s">
        <v>537</v>
      </c>
      <c r="N375" s="168">
        <f>VLOOKUP(M375,'Dados StatusInvest'!$A:$Z,26,0)</f>
        <v>5069.17</v>
      </c>
      <c r="O375" s="175">
        <f>VLOOKUP(M375,'Dados StatusInvest'!$A:$Z,18,0)/100</f>
        <v>0.0208</v>
      </c>
      <c r="P375" s="176" t="str">
        <f t="shared" si="5"/>
        <v>#N/A</v>
      </c>
      <c r="Q375" s="177">
        <f>IF(ISERROR(1/VLOOKUP(M375,Capa!A:AC,6,0)),0,1/VLOOKUP(M375,Capa!A:AC,6,0))</f>
        <v>0.1428571429</v>
      </c>
      <c r="R375" s="178">
        <f t="shared" si="6"/>
        <v>32.000032</v>
      </c>
      <c r="S375" s="179" t="str">
        <f t="shared" si="7"/>
        <v>#N/A</v>
      </c>
    </row>
    <row r="376">
      <c r="A376" s="180"/>
      <c r="B376" s="167" t="s">
        <v>442</v>
      </c>
      <c r="C376" s="168">
        <f>VLOOKUP(B376,'Dados StatusInvest'!$A:$Z,26,0)</f>
        <v>25340.67</v>
      </c>
      <c r="D376" s="169">
        <f>VLOOKUP(B376,'Dados StatusInvest'!$A:$Z,20,0)/100</f>
        <v>0.0946</v>
      </c>
      <c r="E376" s="93" t="str">
        <f t="shared" si="1"/>
        <v>#N/A</v>
      </c>
      <c r="F376" s="170">
        <f>IF(ISERROR(1/VLOOKUP(B376,Capa!A:AC,13,0)),0,1/VLOOKUP(B376,Capa!A:AC,13,0))</f>
        <v>0.1757469244</v>
      </c>
      <c r="G376" s="171">
        <f t="shared" si="2"/>
        <v>32.000032</v>
      </c>
      <c r="H376" s="172" t="str">
        <f t="shared" si="3"/>
        <v>#N/A</v>
      </c>
      <c r="M376" s="167" t="s">
        <v>442</v>
      </c>
      <c r="N376" s="168">
        <f>VLOOKUP(M376,'Dados StatusInvest'!$A:$Z,26,0)</f>
        <v>25340.67</v>
      </c>
      <c r="O376" s="175">
        <f>VLOOKUP(M376,'Dados StatusInvest'!$A:$Z,18,0)/100</f>
        <v>-0.077</v>
      </c>
      <c r="P376" s="176" t="str">
        <f t="shared" si="5"/>
        <v>#N/A</v>
      </c>
      <c r="Q376" s="177">
        <f>IF(ISERROR(1/VLOOKUP(M376,Capa!A:AC,6,0)),0,1/VLOOKUP(M376,Capa!A:AC,6,0))</f>
        <v>0.009177679883</v>
      </c>
      <c r="R376" s="178">
        <f t="shared" si="6"/>
        <v>370.00037</v>
      </c>
      <c r="S376" s="179" t="str">
        <f t="shared" si="7"/>
        <v>#N/A</v>
      </c>
    </row>
    <row r="377">
      <c r="A377" s="180"/>
      <c r="B377" s="167" t="s">
        <v>535</v>
      </c>
      <c r="C377" s="168">
        <f>VLOOKUP(B377,'Dados StatusInvest'!$A:$Z,26,0)</f>
        <v>4219.5</v>
      </c>
      <c r="D377" s="169">
        <f>VLOOKUP(B377,'Dados StatusInvest'!$A:$Z,20,0)/100</f>
        <v>0.0701</v>
      </c>
      <c r="E377" s="93" t="str">
        <f t="shared" si="1"/>
        <v>#N/A</v>
      </c>
      <c r="F377" s="170">
        <f>IF(ISERROR(1/VLOOKUP(B377,Capa!A:AC,13,0)),0,1/VLOOKUP(B377,Capa!A:AC,13,0))</f>
        <v>0.1121076233</v>
      </c>
      <c r="G377" s="171">
        <f t="shared" si="2"/>
        <v>65.000065</v>
      </c>
      <c r="H377" s="172" t="str">
        <f t="shared" si="3"/>
        <v>#N/A</v>
      </c>
      <c r="M377" s="167" t="s">
        <v>535</v>
      </c>
      <c r="N377" s="168">
        <f>VLOOKUP(M377,'Dados StatusInvest'!$A:$Z,26,0)</f>
        <v>4219.5</v>
      </c>
      <c r="O377" s="175">
        <f>VLOOKUP(M377,'Dados StatusInvest'!$A:$Z,18,0)/100</f>
        <v>-0.1154</v>
      </c>
      <c r="P377" s="176" t="str">
        <f t="shared" si="5"/>
        <v>#N/A</v>
      </c>
      <c r="Q377" s="177">
        <f>IF(ISERROR(1/VLOOKUP(M377,Capa!A:AC,6,0)),0,1/VLOOKUP(M377,Capa!A:AC,6,0))</f>
        <v>0.0625</v>
      </c>
      <c r="R377" s="178">
        <f t="shared" si="6"/>
        <v>122.000122</v>
      </c>
      <c r="S377" s="179" t="str">
        <f t="shared" si="7"/>
        <v>#N/A</v>
      </c>
    </row>
    <row r="378">
      <c r="A378" s="180"/>
      <c r="B378" s="167" t="s">
        <v>547</v>
      </c>
      <c r="C378" s="168">
        <f>VLOOKUP(B378,'Dados StatusInvest'!$A:$Z,26,0)</f>
        <v>0</v>
      </c>
      <c r="D378" s="169">
        <f>VLOOKUP(B378,'Dados StatusInvest'!$A:$Z,20,0)/100</f>
        <v>0.1432</v>
      </c>
      <c r="E378" s="93" t="str">
        <f t="shared" si="1"/>
        <v>#N/A</v>
      </c>
      <c r="F378" s="170">
        <f>IF(ISERROR(1/VLOOKUP(B378,Capa!A:AC,13,0)),0,1/VLOOKUP(B378,Capa!A:AC,13,0))</f>
        <v>0.04830917874</v>
      </c>
      <c r="G378" s="171">
        <f t="shared" si="2"/>
        <v>170.00017</v>
      </c>
      <c r="H378" s="172" t="str">
        <f t="shared" si="3"/>
        <v>#N/A</v>
      </c>
      <c r="M378" s="167" t="s">
        <v>547</v>
      </c>
      <c r="N378" s="168">
        <f>VLOOKUP(M378,'Dados StatusInvest'!$A:$Z,26,0)</f>
        <v>0</v>
      </c>
      <c r="O378" s="175">
        <f>VLOOKUP(M378,'Dados StatusInvest'!$A:$Z,18,0)/100</f>
        <v>0.2369</v>
      </c>
      <c r="P378" s="176" t="str">
        <f t="shared" si="5"/>
        <v>#N/A</v>
      </c>
      <c r="Q378" s="177">
        <f>IF(ISERROR(1/VLOOKUP(M378,Capa!A:AC,6,0)),0,1/VLOOKUP(M378,Capa!A:AC,6,0))</f>
        <v>0.04444444444</v>
      </c>
      <c r="R378" s="178">
        <f t="shared" si="6"/>
        <v>160.00016</v>
      </c>
      <c r="S378" s="179" t="str">
        <f t="shared" si="7"/>
        <v>#N/A</v>
      </c>
    </row>
    <row r="379">
      <c r="A379" s="180"/>
      <c r="B379" s="167" t="s">
        <v>492</v>
      </c>
      <c r="C379" s="168">
        <f>VLOOKUP(B379,'Dados StatusInvest'!$A:$Z,26,0)</f>
        <v>13000</v>
      </c>
      <c r="D379" s="169">
        <f>VLOOKUP(B379,'Dados StatusInvest'!$A:$Z,20,0)/100</f>
        <v>0</v>
      </c>
      <c r="E379" s="93" t="str">
        <f t="shared" si="1"/>
        <v>#N/A</v>
      </c>
      <c r="F379" s="170">
        <f>IF(ISERROR(1/VLOOKUP(B379,Capa!A:AC,13,0)),0,1/VLOOKUP(B379,Capa!A:AC,13,0))</f>
        <v>0.0007781677263</v>
      </c>
      <c r="G379" s="171">
        <f t="shared" si="2"/>
        <v>318.000318</v>
      </c>
      <c r="H379" s="172" t="str">
        <f t="shared" si="3"/>
        <v>#N/A</v>
      </c>
      <c r="M379" s="167" t="s">
        <v>492</v>
      </c>
      <c r="N379" s="168">
        <f>VLOOKUP(M379,'Dados StatusInvest'!$A:$Z,26,0)</f>
        <v>13000</v>
      </c>
      <c r="O379" s="175">
        <f>VLOOKUP(M379,'Dados StatusInvest'!$A:$Z,18,0)/100</f>
        <v>0.261</v>
      </c>
      <c r="P379" s="176" t="str">
        <f t="shared" si="5"/>
        <v>#N/A</v>
      </c>
      <c r="Q379" s="177">
        <f>IF(ISERROR(1/VLOOKUP(M379,Capa!A:AC,6,0)),0,1/VLOOKUP(M379,Capa!A:AC,6,0))</f>
        <v>0.01449065353</v>
      </c>
      <c r="R379" s="178">
        <f t="shared" si="6"/>
        <v>332.000332</v>
      </c>
      <c r="S379" s="179" t="str">
        <f t="shared" si="7"/>
        <v>#N/A</v>
      </c>
    </row>
    <row r="380">
      <c r="A380" s="180"/>
      <c r="B380" s="167" t="s">
        <v>510</v>
      </c>
      <c r="C380" s="168">
        <f>VLOOKUP(B380,'Dados StatusInvest'!$A:$Z,26,0)</f>
        <v>6590</v>
      </c>
      <c r="D380" s="169">
        <f>VLOOKUP(B380,'Dados StatusInvest'!$A:$Z,20,0)/100</f>
        <v>0.0586</v>
      </c>
      <c r="E380" s="93" t="str">
        <f t="shared" si="1"/>
        <v>#N/A</v>
      </c>
      <c r="F380" s="170">
        <f>IF(ISERROR(1/VLOOKUP(B380,Capa!A:AC,13,0)),0,1/VLOOKUP(B380,Capa!A:AC,13,0))</f>
        <v>0.117370892</v>
      </c>
      <c r="G380" s="171">
        <f t="shared" si="2"/>
        <v>62.000062</v>
      </c>
      <c r="H380" s="172" t="str">
        <f t="shared" si="3"/>
        <v>#N/A</v>
      </c>
      <c r="M380" s="167" t="s">
        <v>510</v>
      </c>
      <c r="N380" s="168">
        <f>VLOOKUP(M380,'Dados StatusInvest'!$A:$Z,26,0)</f>
        <v>6590</v>
      </c>
      <c r="O380" s="175">
        <f>VLOOKUP(M380,'Dados StatusInvest'!$A:$Z,18,0)/100</f>
        <v>0.127</v>
      </c>
      <c r="P380" s="176" t="str">
        <f t="shared" si="5"/>
        <v>#N/A</v>
      </c>
      <c r="Q380" s="177">
        <f>IF(ISERROR(1/VLOOKUP(M380,Capa!A:AC,6,0)),0,1/VLOOKUP(M380,Capa!A:AC,6,0))</f>
        <v>0.01144688645</v>
      </c>
      <c r="R380" s="178">
        <f t="shared" si="6"/>
        <v>355.000355</v>
      </c>
      <c r="S380" s="179" t="str">
        <f t="shared" si="7"/>
        <v>#N/A</v>
      </c>
    </row>
    <row r="381">
      <c r="A381" s="180"/>
      <c r="B381" s="167" t="s">
        <v>524</v>
      </c>
      <c r="C381" s="168">
        <f>VLOOKUP(B381,'Dados StatusInvest'!$A:$Z,26,0)</f>
        <v>6142.2</v>
      </c>
      <c r="D381" s="169">
        <f>VLOOKUP(B381,'Dados StatusInvest'!$A:$Z,20,0)/100</f>
        <v>0.3139</v>
      </c>
      <c r="E381" s="93" t="str">
        <f t="shared" si="1"/>
        <v>#N/A</v>
      </c>
      <c r="F381" s="170">
        <f>IF(ISERROR(1/VLOOKUP(B381,Capa!A:AC,13,0)),0,1/VLOOKUP(B381,Capa!A:AC,13,0))</f>
        <v>0.05128205128</v>
      </c>
      <c r="G381" s="171">
        <f t="shared" si="2"/>
        <v>163.000163</v>
      </c>
      <c r="H381" s="172" t="str">
        <f t="shared" si="3"/>
        <v>#N/A</v>
      </c>
      <c r="M381" s="167" t="s">
        <v>524</v>
      </c>
      <c r="N381" s="168">
        <f>VLOOKUP(M381,'Dados StatusInvest'!$A:$Z,26,0)</f>
        <v>6142.2</v>
      </c>
      <c r="O381" s="175">
        <f>VLOOKUP(M381,'Dados StatusInvest'!$A:$Z,18,0)/100</f>
        <v>1.0798</v>
      </c>
      <c r="P381" s="176" t="str">
        <f t="shared" si="5"/>
        <v>#N/A</v>
      </c>
      <c r="Q381" s="177">
        <f>IF(ISERROR(1/VLOOKUP(M381,Capa!A:AC,6,0)),0,1/VLOOKUP(M381,Capa!A:AC,6,0))</f>
        <v>0.02272727273</v>
      </c>
      <c r="R381" s="178">
        <f t="shared" si="6"/>
        <v>268.000268</v>
      </c>
      <c r="S381" s="179" t="str">
        <f t="shared" si="7"/>
        <v>#N/A</v>
      </c>
    </row>
    <row r="382">
      <c r="A382" s="180"/>
      <c r="B382" s="167" t="s">
        <v>425</v>
      </c>
      <c r="C382" s="168">
        <f>VLOOKUP(B382,'Dados StatusInvest'!$A:$Z,26,0)</f>
        <v>67459.21</v>
      </c>
      <c r="D382" s="169">
        <f>VLOOKUP(B382,'Dados StatusInvest'!$A:$Z,20,0)/100</f>
        <v>0.1145</v>
      </c>
      <c r="E382" s="93" t="str">
        <f t="shared" si="1"/>
        <v>#N/A</v>
      </c>
      <c r="F382" s="170">
        <f>IF(ISERROR(1/VLOOKUP(B382,Capa!A:AC,13,0)),0,1/VLOOKUP(B382,Capa!A:AC,13,0))</f>
        <v>0.06337135615</v>
      </c>
      <c r="G382" s="171">
        <f t="shared" si="2"/>
        <v>118.000118</v>
      </c>
      <c r="H382" s="172" t="str">
        <f t="shared" si="3"/>
        <v>#N/A</v>
      </c>
      <c r="M382" s="167" t="s">
        <v>425</v>
      </c>
      <c r="N382" s="168">
        <f>VLOOKUP(M382,'Dados StatusInvest'!$A:$Z,26,0)</f>
        <v>67459.21</v>
      </c>
      <c r="O382" s="175">
        <f>VLOOKUP(M382,'Dados StatusInvest'!$A:$Z,18,0)/100</f>
        <v>0.1216</v>
      </c>
      <c r="P382" s="176" t="str">
        <f t="shared" si="5"/>
        <v>#N/A</v>
      </c>
      <c r="Q382" s="177">
        <f>IF(ISERROR(1/VLOOKUP(M382,Capa!A:AC,6,0)),0,1/VLOOKUP(M382,Capa!A:AC,6,0))</f>
        <v>0.01234720336</v>
      </c>
      <c r="R382" s="178">
        <f t="shared" si="6"/>
        <v>348.000348</v>
      </c>
      <c r="S382" s="179" t="str">
        <f t="shared" si="7"/>
        <v>#N/A</v>
      </c>
    </row>
    <row r="383">
      <c r="A383" s="180"/>
      <c r="B383" s="167" t="s">
        <v>512</v>
      </c>
      <c r="C383" s="168">
        <f>VLOOKUP(B383,'Dados StatusInvest'!$A:$Z,26,0)</f>
        <v>2303.13</v>
      </c>
      <c r="D383" s="169">
        <f>VLOOKUP(B383,'Dados StatusInvest'!$A:$Z,20,0)/100</f>
        <v>0.0204</v>
      </c>
      <c r="E383" s="93" t="str">
        <f t="shared" si="1"/>
        <v>#N/A</v>
      </c>
      <c r="F383" s="170">
        <f>IF(ISERROR(1/VLOOKUP(B383,Capa!A:AC,13,0)),0,1/VLOOKUP(B383,Capa!A:AC,13,0))</f>
        <v>0</v>
      </c>
      <c r="G383" s="171">
        <f t="shared" si="2"/>
        <v>329.000329</v>
      </c>
      <c r="H383" s="172" t="str">
        <f t="shared" si="3"/>
        <v>#N/A</v>
      </c>
      <c r="M383" s="167" t="s">
        <v>512</v>
      </c>
      <c r="N383" s="168">
        <f>VLOOKUP(M383,'Dados StatusInvest'!$A:$Z,26,0)</f>
        <v>2303.13</v>
      </c>
      <c r="O383" s="175">
        <f>VLOOKUP(M383,'Dados StatusInvest'!$A:$Z,18,0)/100</f>
        <v>0.0205</v>
      </c>
      <c r="P383" s="176" t="str">
        <f t="shared" si="5"/>
        <v>#N/A</v>
      </c>
      <c r="Q383" s="177">
        <f>IF(ISERROR(1/VLOOKUP(M383,Capa!A:AC,6,0)),0,1/VLOOKUP(M383,Capa!A:AC,6,0))</f>
        <v>0.06925207756</v>
      </c>
      <c r="R383" s="178">
        <f t="shared" si="6"/>
        <v>104.000104</v>
      </c>
      <c r="S383" s="179" t="str">
        <f t="shared" si="7"/>
        <v>#N/A</v>
      </c>
    </row>
    <row r="384">
      <c r="A384" s="180"/>
      <c r="B384" s="167" t="s">
        <v>433</v>
      </c>
      <c r="C384" s="168">
        <f>VLOOKUP(B384,'Dados StatusInvest'!$A:$Z,26,0)</f>
        <v>28942.14</v>
      </c>
      <c r="D384" s="169">
        <f>VLOOKUP(B384,'Dados StatusInvest'!$A:$Z,20,0)/100</f>
        <v>0.1082</v>
      </c>
      <c r="E384" s="93" t="str">
        <f t="shared" si="1"/>
        <v>#N/A</v>
      </c>
      <c r="F384" s="170">
        <f>IF(ISERROR(1/VLOOKUP(B384,Capa!A:AC,13,0)),0,1/VLOOKUP(B384,Capa!A:AC,13,0))</f>
        <v>0.1996007984</v>
      </c>
      <c r="G384" s="171">
        <f t="shared" si="2"/>
        <v>24.000024</v>
      </c>
      <c r="H384" s="172" t="str">
        <f t="shared" si="3"/>
        <v>#N/A</v>
      </c>
      <c r="M384" s="167" t="s">
        <v>433</v>
      </c>
      <c r="N384" s="168">
        <f>VLOOKUP(M384,'Dados StatusInvest'!$A:$Z,26,0)</f>
        <v>28942.14</v>
      </c>
      <c r="O384" s="175">
        <f>VLOOKUP(M384,'Dados StatusInvest'!$A:$Z,18,0)/100</f>
        <v>0.0236</v>
      </c>
      <c r="P384" s="176" t="str">
        <f t="shared" si="5"/>
        <v>#N/A</v>
      </c>
      <c r="Q384" s="177">
        <f>IF(ISERROR(1/VLOOKUP(M384,Capa!A:AC,6,0)),0,1/VLOOKUP(M384,Capa!A:AC,6,0))</f>
        <v>0.07530120482</v>
      </c>
      <c r="R384" s="178">
        <f t="shared" si="6"/>
        <v>94.000094</v>
      </c>
      <c r="S384" s="179" t="str">
        <f t="shared" si="7"/>
        <v>#N/A</v>
      </c>
    </row>
    <row r="385">
      <c r="A385" s="180"/>
      <c r="B385" s="167" t="s">
        <v>490</v>
      </c>
      <c r="C385" s="168">
        <f>VLOOKUP(B385,'Dados StatusInvest'!$A:$Z,26,0)</f>
        <v>4510.17</v>
      </c>
      <c r="D385" s="169">
        <f>VLOOKUP(B385,'Dados StatusInvest'!$A:$Z,20,0)/100</f>
        <v>0.208</v>
      </c>
      <c r="E385" s="93" t="str">
        <f t="shared" si="1"/>
        <v>#N/A</v>
      </c>
      <c r="F385" s="170">
        <f>IF(ISERROR(1/VLOOKUP(B385,Capa!A:AC,13,0)),0,1/VLOOKUP(B385,Capa!A:AC,13,0))</f>
        <v>-0.1315789474</v>
      </c>
      <c r="G385" s="171">
        <f t="shared" si="2"/>
        <v>431.000431</v>
      </c>
      <c r="H385" s="172" t="str">
        <f t="shared" si="3"/>
        <v>#N/A</v>
      </c>
      <c r="M385" s="167" t="s">
        <v>490</v>
      </c>
      <c r="N385" s="168">
        <f>VLOOKUP(M385,'Dados StatusInvest'!$A:$Z,26,0)</f>
        <v>4510.17</v>
      </c>
      <c r="O385" s="175">
        <f>VLOOKUP(M385,'Dados StatusInvest'!$A:$Z,18,0)/100</f>
        <v>-0.3538</v>
      </c>
      <c r="P385" s="176" t="str">
        <f t="shared" si="5"/>
        <v>#N/A</v>
      </c>
      <c r="Q385" s="177">
        <f>IF(ISERROR(1/VLOOKUP(M385,Capa!A:AC,6,0)),0,1/VLOOKUP(M385,Capa!A:AC,6,0))</f>
        <v>0.01249687578</v>
      </c>
      <c r="R385" s="178">
        <f t="shared" si="6"/>
        <v>346.000346</v>
      </c>
      <c r="S385" s="179" t="str">
        <f t="shared" si="7"/>
        <v>#N/A</v>
      </c>
    </row>
    <row r="386">
      <c r="A386" s="180"/>
      <c r="B386" s="167" t="s">
        <v>469</v>
      </c>
      <c r="C386" s="168">
        <f>VLOOKUP(B386,'Dados StatusInvest'!$A:$Z,26,0)</f>
        <v>15063.11</v>
      </c>
      <c r="D386" s="169">
        <f>VLOOKUP(B386,'Dados StatusInvest'!$A:$Z,20,0)/100</f>
        <v>0.1528</v>
      </c>
      <c r="E386" s="93" t="str">
        <f t="shared" si="1"/>
        <v>#N/A</v>
      </c>
      <c r="F386" s="170">
        <f>IF(ISERROR(1/VLOOKUP(B386,Capa!A:AC,13,0)),0,1/VLOOKUP(B386,Capa!A:AC,13,0))</f>
        <v>0.05561735261</v>
      </c>
      <c r="G386" s="171">
        <f t="shared" si="2"/>
        <v>138.000138</v>
      </c>
      <c r="H386" s="172" t="str">
        <f t="shared" si="3"/>
        <v>#N/A</v>
      </c>
      <c r="M386" s="167" t="s">
        <v>469</v>
      </c>
      <c r="N386" s="168">
        <f>VLOOKUP(M386,'Dados StatusInvest'!$A:$Z,26,0)</f>
        <v>15063.11</v>
      </c>
      <c r="O386" s="175">
        <f>VLOOKUP(M386,'Dados StatusInvest'!$A:$Z,18,0)/100</f>
        <v>0.3304</v>
      </c>
      <c r="P386" s="176" t="str">
        <f t="shared" si="5"/>
        <v>#N/A</v>
      </c>
      <c r="Q386" s="177">
        <f>IF(ISERROR(1/VLOOKUP(M386,Capa!A:AC,6,0)),0,1/VLOOKUP(M386,Capa!A:AC,6,0))</f>
        <v>0.03549875754</v>
      </c>
      <c r="R386" s="178">
        <f t="shared" si="6"/>
        <v>192.000192</v>
      </c>
      <c r="S386" s="179" t="str">
        <f t="shared" si="7"/>
        <v>#N/A</v>
      </c>
    </row>
    <row r="387">
      <c r="A387" s="180"/>
      <c r="B387" s="167" t="s">
        <v>634</v>
      </c>
      <c r="C387" s="168">
        <f>VLOOKUP(B387,'Dados StatusInvest'!$A:$Z,26,0)</f>
        <v>0</v>
      </c>
      <c r="D387" s="169">
        <f>VLOOKUP(B387,'Dados StatusInvest'!$A:$Z,20,0)/100</f>
        <v>0.1589</v>
      </c>
      <c r="E387" s="93" t="str">
        <f t="shared" si="1"/>
        <v>#N/A</v>
      </c>
      <c r="F387" s="170">
        <f>IF(ISERROR(1/VLOOKUP(B387,Capa!A:AC,13,0)),0,1/VLOOKUP(B387,Capa!A:AC,13,0))</f>
        <v>0</v>
      </c>
      <c r="G387" s="171">
        <f t="shared" si="2"/>
        <v>329.000329</v>
      </c>
      <c r="H387" s="172" t="str">
        <f t="shared" si="3"/>
        <v>#N/A</v>
      </c>
      <c r="M387" s="167" t="s">
        <v>634</v>
      </c>
      <c r="N387" s="168">
        <f>VLOOKUP(M387,'Dados StatusInvest'!$A:$Z,26,0)</f>
        <v>0</v>
      </c>
      <c r="O387" s="175">
        <f>VLOOKUP(M387,'Dados StatusInvest'!$A:$Z,18,0)/100</f>
        <v>0.2342</v>
      </c>
      <c r="P387" s="176" t="str">
        <f t="shared" si="5"/>
        <v>#N/A</v>
      </c>
      <c r="Q387" s="177">
        <f>IF(ISERROR(1/VLOOKUP(M387,Capa!A:AC,6,0)),0,1/VLOOKUP(M387,Capa!A:AC,6,0))</f>
        <v>0</v>
      </c>
      <c r="R387" s="178">
        <f t="shared" si="6"/>
        <v>399.000399</v>
      </c>
      <c r="S387" s="179" t="str">
        <f t="shared" si="7"/>
        <v>#N/A</v>
      </c>
    </row>
    <row r="388">
      <c r="A388" s="180"/>
      <c r="B388" s="167" t="s">
        <v>498</v>
      </c>
      <c r="C388" s="168">
        <f>VLOOKUP(B388,'Dados StatusInvest'!$A:$Z,26,0)</f>
        <v>908</v>
      </c>
      <c r="D388" s="169">
        <f>VLOOKUP(B388,'Dados StatusInvest'!$A:$Z,20,0)/100</f>
        <v>0.0838</v>
      </c>
      <c r="E388" s="93" t="str">
        <f t="shared" si="1"/>
        <v>#N/A</v>
      </c>
      <c r="F388" s="170">
        <f>IF(ISERROR(1/VLOOKUP(B388,Capa!A:AC,13,0)),0,1/VLOOKUP(B388,Capa!A:AC,13,0))</f>
        <v>0.0003579725865</v>
      </c>
      <c r="G388" s="171">
        <f t="shared" si="2"/>
        <v>320.00032</v>
      </c>
      <c r="H388" s="172" t="str">
        <f t="shared" si="3"/>
        <v>#N/A</v>
      </c>
      <c r="M388" s="167" t="s">
        <v>498</v>
      </c>
      <c r="N388" s="168">
        <f>VLOOKUP(M388,'Dados StatusInvest'!$A:$Z,26,0)</f>
        <v>908</v>
      </c>
      <c r="O388" s="175">
        <f>VLOOKUP(M388,'Dados StatusInvest'!$A:$Z,18,0)/100</f>
        <v>0.0208</v>
      </c>
      <c r="P388" s="176" t="str">
        <f t="shared" si="5"/>
        <v>#N/A</v>
      </c>
      <c r="Q388" s="177">
        <f>IF(ISERROR(1/VLOOKUP(M388,Capa!A:AC,6,0)),0,1/VLOOKUP(M388,Capa!A:AC,6,0))</f>
        <v>0.06849315068</v>
      </c>
      <c r="R388" s="178">
        <f t="shared" si="6"/>
        <v>108.000108</v>
      </c>
      <c r="S388" s="179" t="str">
        <f t="shared" si="7"/>
        <v>#N/A</v>
      </c>
    </row>
    <row r="389">
      <c r="A389" s="180"/>
      <c r="B389" s="167" t="s">
        <v>432</v>
      </c>
      <c r="C389" s="168">
        <f>VLOOKUP(B389,'Dados StatusInvest'!$A:$Z,26,0)</f>
        <v>73987.39</v>
      </c>
      <c r="D389" s="169">
        <f>VLOOKUP(B389,'Dados StatusInvest'!$A:$Z,20,0)/100</f>
        <v>-0.0143</v>
      </c>
      <c r="E389" s="93" t="str">
        <f t="shared" si="1"/>
        <v>#N/A</v>
      </c>
      <c r="F389" s="170">
        <f>IF(ISERROR(1/VLOOKUP(B389,Capa!A:AC,13,0)),0,1/VLOOKUP(B389,Capa!A:AC,13,0))</f>
        <v>0.01222493888</v>
      </c>
      <c r="G389" s="171">
        <f t="shared" si="2"/>
        <v>297.000297</v>
      </c>
      <c r="H389" s="172" t="str">
        <f t="shared" si="3"/>
        <v>#N/A</v>
      </c>
      <c r="M389" s="167" t="s">
        <v>432</v>
      </c>
      <c r="N389" s="168">
        <f>VLOOKUP(M389,'Dados StatusInvest'!$A:$Z,26,0)</f>
        <v>73987.39</v>
      </c>
      <c r="O389" s="175">
        <f>VLOOKUP(M389,'Dados StatusInvest'!$A:$Z,18,0)/100</f>
        <v>-0.0083</v>
      </c>
      <c r="P389" s="176" t="str">
        <f t="shared" si="5"/>
        <v>#N/A</v>
      </c>
      <c r="Q389" s="177">
        <f>IF(ISERROR(1/VLOOKUP(M389,Capa!A:AC,6,0)),0,1/VLOOKUP(M389,Capa!A:AC,6,0))</f>
        <v>0.01666666667</v>
      </c>
      <c r="R389" s="178">
        <f t="shared" si="6"/>
        <v>312.000312</v>
      </c>
      <c r="S389" s="179" t="str">
        <f t="shared" si="7"/>
        <v>#N/A</v>
      </c>
    </row>
    <row r="390">
      <c r="A390" s="180"/>
      <c r="B390" s="167" t="s">
        <v>429</v>
      </c>
      <c r="C390" s="168">
        <f>VLOOKUP(B390,'Dados StatusInvest'!$A:$Z,26,0)</f>
        <v>101931.88</v>
      </c>
      <c r="D390" s="169">
        <f>VLOOKUP(B390,'Dados StatusInvest'!$A:$Z,20,0)/100</f>
        <v>0.132</v>
      </c>
      <c r="E390" s="93" t="str">
        <f t="shared" si="1"/>
        <v>#N/A</v>
      </c>
      <c r="F390" s="170">
        <f>IF(ISERROR(1/VLOOKUP(B390,Capa!A:AC,13,0)),0,1/VLOOKUP(B390,Capa!A:AC,13,0))</f>
        <v>0.05652911249</v>
      </c>
      <c r="G390" s="171">
        <f t="shared" si="2"/>
        <v>133.000133</v>
      </c>
      <c r="H390" s="172" t="str">
        <f t="shared" si="3"/>
        <v>#N/A</v>
      </c>
      <c r="M390" s="167" t="s">
        <v>429</v>
      </c>
      <c r="N390" s="168">
        <f>VLOOKUP(M390,'Dados StatusInvest'!$A:$Z,26,0)</f>
        <v>101931.88</v>
      </c>
      <c r="O390" s="175">
        <f>VLOOKUP(M390,'Dados StatusInvest'!$A:$Z,18,0)/100</f>
        <v>0.2599</v>
      </c>
      <c r="P390" s="176" t="str">
        <f t="shared" si="5"/>
        <v>#N/A</v>
      </c>
      <c r="Q390" s="177">
        <f>IF(ISERROR(1/VLOOKUP(M390,Capa!A:AC,6,0)),0,1/VLOOKUP(M390,Capa!A:AC,6,0))</f>
        <v>0.01470588235</v>
      </c>
      <c r="R390" s="178">
        <f t="shared" si="6"/>
        <v>329.000329</v>
      </c>
      <c r="S390" s="179" t="str">
        <f t="shared" si="7"/>
        <v>#N/A</v>
      </c>
    </row>
    <row r="391">
      <c r="A391" s="180"/>
      <c r="B391" s="167" t="s">
        <v>605</v>
      </c>
      <c r="C391" s="168">
        <f>VLOOKUP(B391,'Dados StatusInvest'!$A:$Z,26,0)</f>
        <v>0</v>
      </c>
      <c r="D391" s="169">
        <f>VLOOKUP(B391,'Dados StatusInvest'!$A:$Z,20,0)/100</f>
        <v>0.0438</v>
      </c>
      <c r="E391" s="93" t="str">
        <f t="shared" si="1"/>
        <v>#N/A</v>
      </c>
      <c r="F391" s="170">
        <f>IF(ISERROR(1/VLOOKUP(B391,Capa!A:AC,13,0)),0,1/VLOOKUP(B391,Capa!A:AC,13,0))</f>
        <v>0</v>
      </c>
      <c r="G391" s="171">
        <f t="shared" si="2"/>
        <v>329.000329</v>
      </c>
      <c r="H391" s="172" t="str">
        <f t="shared" si="3"/>
        <v>#N/A</v>
      </c>
      <c r="M391" s="167" t="s">
        <v>605</v>
      </c>
      <c r="N391" s="168">
        <f>VLOOKUP(M391,'Dados StatusInvest'!$A:$Z,26,0)</f>
        <v>0</v>
      </c>
      <c r="O391" s="175">
        <f>VLOOKUP(M391,'Dados StatusInvest'!$A:$Z,18,0)/100</f>
        <v>0.1087</v>
      </c>
      <c r="P391" s="176" t="str">
        <f t="shared" si="5"/>
        <v>#N/A</v>
      </c>
      <c r="Q391" s="177">
        <f>IF(ISERROR(1/VLOOKUP(M391,Capa!A:AC,6,0)),0,1/VLOOKUP(M391,Capa!A:AC,6,0))</f>
        <v>0</v>
      </c>
      <c r="R391" s="178">
        <f t="shared" si="6"/>
        <v>399.000399</v>
      </c>
      <c r="S391" s="179" t="str">
        <f t="shared" si="7"/>
        <v>#N/A</v>
      </c>
    </row>
    <row r="392">
      <c r="A392" s="180"/>
      <c r="B392" s="167" t="s">
        <v>509</v>
      </c>
      <c r="C392" s="168">
        <f>VLOOKUP(B392,'Dados StatusInvest'!$A:$Z,26,0)</f>
        <v>15978</v>
      </c>
      <c r="D392" s="169">
        <f>VLOOKUP(B392,'Dados StatusInvest'!$A:$Z,20,0)/100</f>
        <v>-0.1338</v>
      </c>
      <c r="E392" s="93" t="str">
        <f t="shared" si="1"/>
        <v>#N/A</v>
      </c>
      <c r="F392" s="170">
        <f>IF(ISERROR(1/VLOOKUP(B392,Capa!A:AC,13,0)),0,1/VLOOKUP(B392,Capa!A:AC,13,0))</f>
        <v>0</v>
      </c>
      <c r="G392" s="171">
        <f t="shared" si="2"/>
        <v>329.000329</v>
      </c>
      <c r="H392" s="172" t="str">
        <f t="shared" si="3"/>
        <v>#N/A</v>
      </c>
      <c r="M392" s="167" t="s">
        <v>509</v>
      </c>
      <c r="N392" s="168">
        <f>VLOOKUP(M392,'Dados StatusInvest'!$A:$Z,26,0)</f>
        <v>15978</v>
      </c>
      <c r="O392" s="175">
        <f>VLOOKUP(M392,'Dados StatusInvest'!$A:$Z,18,0)/100</f>
        <v>-0.0439</v>
      </c>
      <c r="P392" s="176" t="str">
        <f t="shared" si="5"/>
        <v>#N/A</v>
      </c>
      <c r="Q392" s="177">
        <f>IF(ISERROR(1/VLOOKUP(M392,Capa!A:AC,6,0)),0,1/VLOOKUP(M392,Capa!A:AC,6,0))</f>
        <v>0.008333333333</v>
      </c>
      <c r="R392" s="178">
        <f t="shared" si="6"/>
        <v>376.000376</v>
      </c>
      <c r="S392" s="179" t="str">
        <f t="shared" si="7"/>
        <v>#N/A</v>
      </c>
    </row>
    <row r="393">
      <c r="A393" s="180"/>
      <c r="B393" s="167" t="s">
        <v>449</v>
      </c>
      <c r="C393" s="168">
        <f>VLOOKUP(B393,'Dados StatusInvest'!$A:$Z,26,0)</f>
        <v>35902.42</v>
      </c>
      <c r="D393" s="169">
        <f>VLOOKUP(B393,'Dados StatusInvest'!$A:$Z,20,0)/100</f>
        <v>0.1763</v>
      </c>
      <c r="E393" s="93" t="str">
        <f t="shared" si="1"/>
        <v>#N/A</v>
      </c>
      <c r="F393" s="170">
        <f>IF(ISERROR(1/VLOOKUP(B393,Capa!A:AC,13,0)),0,1/VLOOKUP(B393,Capa!A:AC,13,0))</f>
        <v>0.04201680672</v>
      </c>
      <c r="G393" s="171">
        <f t="shared" si="2"/>
        <v>198.000198</v>
      </c>
      <c r="H393" s="172" t="str">
        <f t="shared" si="3"/>
        <v>#N/A</v>
      </c>
      <c r="M393" s="167" t="s">
        <v>449</v>
      </c>
      <c r="N393" s="168">
        <f>VLOOKUP(M393,'Dados StatusInvest'!$A:$Z,26,0)</f>
        <v>35902.42</v>
      </c>
      <c r="O393" s="175">
        <f>VLOOKUP(M393,'Dados StatusInvest'!$A:$Z,18,0)/100</f>
        <v>0.1132</v>
      </c>
      <c r="P393" s="176" t="str">
        <f t="shared" si="5"/>
        <v>#N/A</v>
      </c>
      <c r="Q393" s="177">
        <f>IF(ISERROR(1/VLOOKUP(M393,Capa!A:AC,6,0)),0,1/VLOOKUP(M393,Capa!A:AC,6,0))</f>
        <v>0.01554726368</v>
      </c>
      <c r="R393" s="178">
        <f t="shared" si="6"/>
        <v>323.000323</v>
      </c>
      <c r="S393" s="179" t="str">
        <f t="shared" si="7"/>
        <v>#N/A</v>
      </c>
    </row>
    <row r="394">
      <c r="A394" s="180"/>
      <c r="B394" s="167" t="s">
        <v>485</v>
      </c>
      <c r="C394" s="168">
        <f>VLOOKUP(B394,'Dados StatusInvest'!$A:$Z,26,0)</f>
        <v>22723.83</v>
      </c>
      <c r="D394" s="169">
        <f>VLOOKUP(B394,'Dados StatusInvest'!$A:$Z,20,0)/100</f>
        <v>0.2008</v>
      </c>
      <c r="E394" s="93" t="str">
        <f t="shared" si="1"/>
        <v>#N/A</v>
      </c>
      <c r="F394" s="170">
        <f>IF(ISERROR(1/VLOOKUP(B394,Capa!A:AC,13,0)),0,1/VLOOKUP(B394,Capa!A:AC,13,0))</f>
        <v>0.05783689994</v>
      </c>
      <c r="G394" s="171">
        <f t="shared" si="2"/>
        <v>130.00013</v>
      </c>
      <c r="H394" s="172" t="str">
        <f t="shared" si="3"/>
        <v>#N/A</v>
      </c>
      <c r="M394" s="167" t="s">
        <v>485</v>
      </c>
      <c r="N394" s="168">
        <f>VLOOKUP(M394,'Dados StatusInvest'!$A:$Z,26,0)</f>
        <v>22723.83</v>
      </c>
      <c r="O394" s="175">
        <f>VLOOKUP(M394,'Dados StatusInvest'!$A:$Z,18,0)/100</f>
        <v>0.3287</v>
      </c>
      <c r="P394" s="176" t="str">
        <f t="shared" si="5"/>
        <v>#N/A</v>
      </c>
      <c r="Q394" s="177">
        <f>IF(ISERROR(1/VLOOKUP(M394,Capa!A:AC,6,0)),0,1/VLOOKUP(M394,Capa!A:AC,6,0))</f>
        <v>0.01190901512</v>
      </c>
      <c r="R394" s="178">
        <f t="shared" si="6"/>
        <v>351.000351</v>
      </c>
      <c r="S394" s="179" t="str">
        <f t="shared" si="7"/>
        <v>#N/A</v>
      </c>
    </row>
    <row r="395">
      <c r="A395" s="180"/>
      <c r="B395" s="167" t="s">
        <v>539</v>
      </c>
      <c r="C395" s="168">
        <f>VLOOKUP(B395,'Dados StatusInvest'!$A:$Z,26,0)</f>
        <v>3197.67</v>
      </c>
      <c r="D395" s="169">
        <f>VLOOKUP(B395,'Dados StatusInvest'!$A:$Z,20,0)/100</f>
        <v>0.2418</v>
      </c>
      <c r="E395" s="93" t="str">
        <f t="shared" si="1"/>
        <v>#N/A</v>
      </c>
      <c r="F395" s="170">
        <f>IF(ISERROR(1/VLOOKUP(B395,Capa!A:AC,13,0)),0,1/VLOOKUP(B395,Capa!A:AC,13,0))</f>
        <v>0.02742731761</v>
      </c>
      <c r="G395" s="171">
        <f t="shared" si="2"/>
        <v>256.000256</v>
      </c>
      <c r="H395" s="172" t="str">
        <f t="shared" si="3"/>
        <v>#N/A</v>
      </c>
      <c r="M395" s="167" t="s">
        <v>539</v>
      </c>
      <c r="N395" s="168">
        <f>VLOOKUP(M395,'Dados StatusInvest'!$A:$Z,26,0)</f>
        <v>3197.67</v>
      </c>
      <c r="O395" s="175">
        <f>VLOOKUP(M395,'Dados StatusInvest'!$A:$Z,18,0)/100</f>
        <v>0.3374</v>
      </c>
      <c r="P395" s="176" t="str">
        <f t="shared" si="5"/>
        <v>#N/A</v>
      </c>
      <c r="Q395" s="177">
        <f>IF(ISERROR(1/VLOOKUP(M395,Capa!A:AC,6,0)),0,1/VLOOKUP(M395,Capa!A:AC,6,0))</f>
        <v>0.03241491086</v>
      </c>
      <c r="R395" s="178">
        <f t="shared" si="6"/>
        <v>218.000218</v>
      </c>
      <c r="S395" s="179" t="str">
        <f t="shared" si="7"/>
        <v>#N/A</v>
      </c>
    </row>
    <row r="396">
      <c r="A396" s="180"/>
      <c r="B396" s="167" t="s">
        <v>412</v>
      </c>
      <c r="C396" s="168">
        <f>VLOOKUP(B396,'Dados StatusInvest'!$A:$Z,26,0)</f>
        <v>9621</v>
      </c>
      <c r="D396" s="169">
        <f>VLOOKUP(B396,'Dados StatusInvest'!$A:$Z,20,0)/100</f>
        <v>0.197</v>
      </c>
      <c r="E396" s="93" t="str">
        <f t="shared" si="1"/>
        <v>#N/A</v>
      </c>
      <c r="F396" s="170">
        <f>IF(ISERROR(1/VLOOKUP(B396,Capa!A:AC,13,0)),0,1/VLOOKUP(B396,Capa!A:AC,13,0))</f>
        <v>0.05467468562</v>
      </c>
      <c r="G396" s="171">
        <f t="shared" si="2"/>
        <v>149.000149</v>
      </c>
      <c r="H396" s="172" t="str">
        <f t="shared" si="3"/>
        <v>#N/A</v>
      </c>
      <c r="M396" s="167" t="s">
        <v>412</v>
      </c>
      <c r="N396" s="168">
        <f>VLOOKUP(M396,'Dados StatusInvest'!$A:$Z,26,0)</f>
        <v>9621</v>
      </c>
      <c r="O396" s="175">
        <f>VLOOKUP(M396,'Dados StatusInvest'!$A:$Z,18,0)/100</f>
        <v>0.3344</v>
      </c>
      <c r="P396" s="176" t="str">
        <f t="shared" si="5"/>
        <v>#N/A</v>
      </c>
      <c r="Q396" s="177">
        <f>IF(ISERROR(1/VLOOKUP(M396,Capa!A:AC,6,0)),0,1/VLOOKUP(M396,Capa!A:AC,6,0))</f>
        <v>0.005261219551</v>
      </c>
      <c r="R396" s="178">
        <f t="shared" si="6"/>
        <v>388.000388</v>
      </c>
      <c r="S396" s="179" t="str">
        <f t="shared" si="7"/>
        <v>#N/A</v>
      </c>
    </row>
    <row r="397">
      <c r="A397" s="180"/>
      <c r="B397" s="167" t="s">
        <v>531</v>
      </c>
      <c r="C397" s="168">
        <f>VLOOKUP(B397,'Dados StatusInvest'!$A:$Z,26,0)</f>
        <v>4248</v>
      </c>
      <c r="D397" s="169">
        <f>VLOOKUP(B397,'Dados StatusInvest'!$A:$Z,20,0)/100</f>
        <v>0.112</v>
      </c>
      <c r="E397" s="93" t="str">
        <f t="shared" si="1"/>
        <v>#N/A</v>
      </c>
      <c r="F397" s="170">
        <f>IF(ISERROR(1/VLOOKUP(B397,Capa!A:AC,13,0)),0,1/VLOOKUP(B397,Capa!A:AC,13,0))</f>
        <v>0.008769622029</v>
      </c>
      <c r="G397" s="171">
        <f t="shared" si="2"/>
        <v>306.000306</v>
      </c>
      <c r="H397" s="172" t="str">
        <f t="shared" si="3"/>
        <v>#N/A</v>
      </c>
      <c r="M397" s="167" t="s">
        <v>531</v>
      </c>
      <c r="N397" s="168">
        <f>VLOOKUP(M397,'Dados StatusInvest'!$A:$Z,26,0)</f>
        <v>4248</v>
      </c>
      <c r="O397" s="175">
        <f>VLOOKUP(M397,'Dados StatusInvest'!$A:$Z,18,0)/100</f>
        <v>0.1018</v>
      </c>
      <c r="P397" s="176" t="str">
        <f t="shared" si="5"/>
        <v>#N/A</v>
      </c>
      <c r="Q397" s="177">
        <f>IF(ISERROR(1/VLOOKUP(M397,Capa!A:AC,6,0)),0,1/VLOOKUP(M397,Capa!A:AC,6,0))</f>
        <v>0.007143367383</v>
      </c>
      <c r="R397" s="178">
        <f t="shared" si="6"/>
        <v>383.000383</v>
      </c>
      <c r="S397" s="179" t="str">
        <f t="shared" si="7"/>
        <v>#N/A</v>
      </c>
    </row>
    <row r="398">
      <c r="A398" s="180"/>
      <c r="B398" s="167" t="s">
        <v>497</v>
      </c>
      <c r="C398" s="168">
        <f>VLOOKUP(B398,'Dados StatusInvest'!$A:$Z,26,0)</f>
        <v>6522.5</v>
      </c>
      <c r="D398" s="169">
        <f>VLOOKUP(B398,'Dados StatusInvest'!$A:$Z,20,0)/100</f>
        <v>0.0368</v>
      </c>
      <c r="E398" s="93" t="str">
        <f t="shared" si="1"/>
        <v>#N/A</v>
      </c>
      <c r="F398" s="170">
        <f>IF(ISERROR(1/VLOOKUP(B398,Capa!A:AC,13,0)),0,1/VLOOKUP(B398,Capa!A:AC,13,0))</f>
        <v>0.05232862376</v>
      </c>
      <c r="G398" s="171">
        <f t="shared" si="2"/>
        <v>154.000154</v>
      </c>
      <c r="H398" s="172" t="str">
        <f t="shared" si="3"/>
        <v>#N/A</v>
      </c>
      <c r="M398" s="167" t="s">
        <v>497</v>
      </c>
      <c r="N398" s="168">
        <f>VLOOKUP(M398,'Dados StatusInvest'!$A:$Z,26,0)</f>
        <v>6522.5</v>
      </c>
      <c r="O398" s="175">
        <f>VLOOKUP(M398,'Dados StatusInvest'!$A:$Z,18,0)/100</f>
        <v>0.0742</v>
      </c>
      <c r="P398" s="176" t="str">
        <f t="shared" si="5"/>
        <v>#N/A</v>
      </c>
      <c r="Q398" s="177">
        <f>IF(ISERROR(1/VLOOKUP(M398,Capa!A:AC,6,0)),0,1/VLOOKUP(M398,Capa!A:AC,6,0))</f>
        <v>0.01099263493</v>
      </c>
      <c r="R398" s="178">
        <f t="shared" si="6"/>
        <v>359.000359</v>
      </c>
      <c r="S398" s="179" t="str">
        <f t="shared" si="7"/>
        <v>#N/A</v>
      </c>
    </row>
    <row r="399">
      <c r="A399" s="180"/>
      <c r="B399" s="167" t="s">
        <v>526</v>
      </c>
      <c r="C399" s="168">
        <f>VLOOKUP(B399,'Dados StatusInvest'!$A:$Z,26,0)</f>
        <v>1800</v>
      </c>
      <c r="D399" s="169">
        <f>VLOOKUP(B399,'Dados StatusInvest'!$A:$Z,20,0)/100</f>
        <v>0.7309</v>
      </c>
      <c r="E399" s="93" t="str">
        <f t="shared" si="1"/>
        <v>#N/A</v>
      </c>
      <c r="F399" s="170">
        <f>IF(ISERROR(1/VLOOKUP(B399,Capa!A:AC,13,0)),0,1/VLOOKUP(B399,Capa!A:AC,13,0))</f>
        <v>-0.06349206349</v>
      </c>
      <c r="G399" s="171">
        <f t="shared" si="2"/>
        <v>421.000421</v>
      </c>
      <c r="H399" s="172" t="str">
        <f t="shared" si="3"/>
        <v>#N/A</v>
      </c>
      <c r="M399" s="167" t="s">
        <v>526</v>
      </c>
      <c r="N399" s="168">
        <f>VLOOKUP(M399,'Dados StatusInvest'!$A:$Z,26,0)</f>
        <v>1800</v>
      </c>
      <c r="O399" s="175">
        <f>VLOOKUP(M399,'Dados StatusInvest'!$A:$Z,18,0)/100</f>
        <v>-1.2215</v>
      </c>
      <c r="P399" s="176" t="str">
        <f t="shared" si="5"/>
        <v>#N/A</v>
      </c>
      <c r="Q399" s="177">
        <f>IF(ISERROR(1/VLOOKUP(M399,Capa!A:AC,6,0)),0,1/VLOOKUP(M399,Capa!A:AC,6,0))</f>
        <v>0.01666666667</v>
      </c>
      <c r="R399" s="178">
        <f t="shared" si="6"/>
        <v>312.000312</v>
      </c>
      <c r="S399" s="179" t="str">
        <f t="shared" si="7"/>
        <v>#N/A</v>
      </c>
    </row>
    <row r="400">
      <c r="A400" s="180"/>
      <c r="B400" s="167" t="s">
        <v>508</v>
      </c>
      <c r="C400" s="168">
        <f>VLOOKUP(B400,'Dados StatusInvest'!$A:$Z,26,0)</f>
        <v>6473.71</v>
      </c>
      <c r="D400" s="169">
        <f>VLOOKUP(B400,'Dados StatusInvest'!$A:$Z,20,0)/100</f>
        <v>0.0856</v>
      </c>
      <c r="E400" s="93" t="str">
        <f t="shared" si="1"/>
        <v>#N/A</v>
      </c>
      <c r="F400" s="170">
        <f>IF(ISERROR(1/VLOOKUP(B400,Capa!A:AC,13,0)),0,1/VLOOKUP(B400,Capa!A:AC,13,0))</f>
        <v>0.09057971014</v>
      </c>
      <c r="G400" s="171">
        <f t="shared" si="2"/>
        <v>77.000077</v>
      </c>
      <c r="H400" s="172" t="str">
        <f t="shared" si="3"/>
        <v>#N/A</v>
      </c>
      <c r="M400" s="167" t="s">
        <v>508</v>
      </c>
      <c r="N400" s="168">
        <f>VLOOKUP(M400,'Dados StatusInvest'!$A:$Z,26,0)</f>
        <v>6473.71</v>
      </c>
      <c r="O400" s="175">
        <f>VLOOKUP(M400,'Dados StatusInvest'!$A:$Z,18,0)/100</f>
        <v>0.1506</v>
      </c>
      <c r="P400" s="176" t="str">
        <f t="shared" si="5"/>
        <v>#N/A</v>
      </c>
      <c r="Q400" s="177">
        <f>IF(ISERROR(1/VLOOKUP(M400,Capa!A:AC,6,0)),0,1/VLOOKUP(M400,Capa!A:AC,6,0))</f>
        <v>0.03756574005</v>
      </c>
      <c r="R400" s="178">
        <f t="shared" si="6"/>
        <v>180.00018</v>
      </c>
      <c r="S400" s="179" t="str">
        <f t="shared" si="7"/>
        <v>#N/A</v>
      </c>
    </row>
    <row r="401">
      <c r="A401" s="180"/>
      <c r="B401" s="167" t="s">
        <v>507</v>
      </c>
      <c r="C401" s="168">
        <f>VLOOKUP(B401,'Dados StatusInvest'!$A:$Z,26,0)</f>
        <v>5175</v>
      </c>
      <c r="D401" s="169">
        <f>VLOOKUP(B401,'Dados StatusInvest'!$A:$Z,20,0)/100</f>
        <v>-37.3167</v>
      </c>
      <c r="E401" s="93" t="str">
        <f t="shared" si="1"/>
        <v>#N/A</v>
      </c>
      <c r="F401" s="170">
        <f>IF(ISERROR(1/VLOOKUP(B401,Capa!A:AC,13,0)),0,1/VLOOKUP(B401,Capa!A:AC,13,0))</f>
        <v>0.02294630564</v>
      </c>
      <c r="G401" s="171">
        <f t="shared" si="2"/>
        <v>272.000272</v>
      </c>
      <c r="H401" s="172" t="str">
        <f t="shared" si="3"/>
        <v>#N/A</v>
      </c>
      <c r="M401" s="167" t="s">
        <v>507</v>
      </c>
      <c r="N401" s="168">
        <f>VLOOKUP(M401,'Dados StatusInvest'!$A:$Z,26,0)</f>
        <v>5175</v>
      </c>
      <c r="O401" s="175">
        <f>VLOOKUP(M401,'Dados StatusInvest'!$A:$Z,18,0)/100</f>
        <v>-3.2858</v>
      </c>
      <c r="P401" s="176" t="str">
        <f t="shared" si="5"/>
        <v>#N/A</v>
      </c>
      <c r="Q401" s="177">
        <f>IF(ISERROR(1/VLOOKUP(M401,Capa!A:AC,6,0)),0,1/VLOOKUP(M401,Capa!A:AC,6,0))</f>
        <v>0.01428571429</v>
      </c>
      <c r="R401" s="178">
        <f t="shared" si="6"/>
        <v>333.000333</v>
      </c>
      <c r="S401" s="179" t="str">
        <f t="shared" si="7"/>
        <v>#N/A</v>
      </c>
    </row>
    <row r="402">
      <c r="A402" s="180"/>
      <c r="B402" s="167" t="s">
        <v>516</v>
      </c>
      <c r="C402" s="168">
        <f>VLOOKUP(B402,'Dados StatusInvest'!$A:$Z,26,0)</f>
        <v>6588.5</v>
      </c>
      <c r="D402" s="169">
        <f>VLOOKUP(B402,'Dados StatusInvest'!$A:$Z,20,0)/100</f>
        <v>0</v>
      </c>
      <c r="E402" s="93" t="str">
        <f t="shared" si="1"/>
        <v>#N/A</v>
      </c>
      <c r="F402" s="170">
        <f>IF(ISERROR(1/VLOOKUP(B402,Capa!A:AC,13,0)),0,1/VLOOKUP(B402,Capa!A:AC,13,0))</f>
        <v>0.0007781677263</v>
      </c>
      <c r="G402" s="171">
        <f t="shared" si="2"/>
        <v>318.000318</v>
      </c>
      <c r="H402" s="172" t="str">
        <f t="shared" si="3"/>
        <v>#N/A</v>
      </c>
      <c r="M402" s="167" t="s">
        <v>516</v>
      </c>
      <c r="N402" s="168">
        <f>VLOOKUP(M402,'Dados StatusInvest'!$A:$Z,26,0)</f>
        <v>6588.5</v>
      </c>
      <c r="O402" s="175">
        <f>VLOOKUP(M402,'Dados StatusInvest'!$A:$Z,18,0)/100</f>
        <v>0.261</v>
      </c>
      <c r="P402" s="176" t="str">
        <f t="shared" si="5"/>
        <v>#N/A</v>
      </c>
      <c r="Q402" s="177">
        <f>IF(ISERROR(1/VLOOKUP(M402,Capa!A:AC,6,0)),0,1/VLOOKUP(M402,Capa!A:AC,6,0))</f>
        <v>0.01666666667</v>
      </c>
      <c r="R402" s="178">
        <f t="shared" si="6"/>
        <v>312.000312</v>
      </c>
      <c r="S402" s="179" t="str">
        <f t="shared" si="7"/>
        <v>#N/A</v>
      </c>
    </row>
    <row r="403">
      <c r="A403" s="180"/>
      <c r="B403" s="167" t="s">
        <v>501</v>
      </c>
      <c r="C403" s="168">
        <f>VLOOKUP(B403,'Dados StatusInvest'!$A:$Z,26,0)</f>
        <v>7137.18</v>
      </c>
      <c r="D403" s="169">
        <f>VLOOKUP(B403,'Dados StatusInvest'!$A:$Z,20,0)/100</f>
        <v>0</v>
      </c>
      <c r="E403" s="93" t="str">
        <f t="shared" si="1"/>
        <v>#N/A</v>
      </c>
      <c r="F403" s="170">
        <f>IF(ISERROR(1/VLOOKUP(B403,Capa!A:AC,13,0)),0,1/VLOOKUP(B403,Capa!A:AC,13,0))</f>
        <v>0.05540166205</v>
      </c>
      <c r="G403" s="171">
        <f t="shared" si="2"/>
        <v>143.000143</v>
      </c>
      <c r="H403" s="172" t="str">
        <f t="shared" si="3"/>
        <v>#N/A</v>
      </c>
      <c r="M403" s="167" t="s">
        <v>501</v>
      </c>
      <c r="N403" s="168">
        <f>VLOOKUP(M403,'Dados StatusInvest'!$A:$Z,26,0)</f>
        <v>7137.18</v>
      </c>
      <c r="O403" s="175">
        <f>VLOOKUP(M403,'Dados StatusInvest'!$A:$Z,18,0)/100</f>
        <v>0.1487</v>
      </c>
      <c r="P403" s="176" t="str">
        <f t="shared" si="5"/>
        <v>#N/A</v>
      </c>
      <c r="Q403" s="177">
        <f>IF(ISERROR(1/VLOOKUP(M403,Capa!A:AC,6,0)),0,1/VLOOKUP(M403,Capa!A:AC,6,0))</f>
        <v>0.02105263158</v>
      </c>
      <c r="R403" s="178">
        <f t="shared" si="6"/>
        <v>284.000284</v>
      </c>
      <c r="S403" s="179" t="str">
        <f t="shared" si="7"/>
        <v>#N/A</v>
      </c>
    </row>
    <row r="404">
      <c r="A404" s="180"/>
      <c r="B404" s="167" t="s">
        <v>530</v>
      </c>
      <c r="C404" s="168">
        <f>VLOOKUP(B404,'Dados StatusInvest'!$A:$Z,26,0)</f>
        <v>1840.83</v>
      </c>
      <c r="D404" s="169">
        <f>VLOOKUP(B404,'Dados StatusInvest'!$A:$Z,20,0)/100</f>
        <v>0.0204</v>
      </c>
      <c r="E404" s="93" t="str">
        <f t="shared" si="1"/>
        <v>#N/A</v>
      </c>
      <c r="F404" s="170">
        <f>IF(ISERROR(1/VLOOKUP(B404,Capa!A:AC,13,0)),0,1/VLOOKUP(B404,Capa!A:AC,13,0))</f>
        <v>0</v>
      </c>
      <c r="G404" s="171">
        <f t="shared" si="2"/>
        <v>329.000329</v>
      </c>
      <c r="H404" s="172" t="str">
        <f t="shared" si="3"/>
        <v>#N/A</v>
      </c>
      <c r="M404" s="167" t="s">
        <v>530</v>
      </c>
      <c r="N404" s="168">
        <f>VLOOKUP(M404,'Dados StatusInvest'!$A:$Z,26,0)</f>
        <v>1840.83</v>
      </c>
      <c r="O404" s="175">
        <f>VLOOKUP(M404,'Dados StatusInvest'!$A:$Z,18,0)/100</f>
        <v>0.0205</v>
      </c>
      <c r="P404" s="176" t="str">
        <f t="shared" si="5"/>
        <v>#N/A</v>
      </c>
      <c r="Q404" s="177">
        <f>IF(ISERROR(1/VLOOKUP(M404,Capa!A:AC,6,0)),0,1/VLOOKUP(M404,Capa!A:AC,6,0))</f>
        <v>0.09624639076</v>
      </c>
      <c r="R404" s="178">
        <f t="shared" si="6"/>
        <v>69.000069</v>
      </c>
      <c r="S404" s="179" t="str">
        <f t="shared" si="7"/>
        <v>#N/A</v>
      </c>
    </row>
    <row r="405">
      <c r="A405" s="180"/>
      <c r="B405" s="167" t="s">
        <v>434</v>
      </c>
      <c r="C405" s="168">
        <f>VLOOKUP(B405,'Dados StatusInvest'!$A:$Z,26,0)</f>
        <v>34785.31</v>
      </c>
      <c r="D405" s="169">
        <f>VLOOKUP(B405,'Dados StatusInvest'!$A:$Z,20,0)/100</f>
        <v>0</v>
      </c>
      <c r="E405" s="93" t="str">
        <f t="shared" si="1"/>
        <v>#N/A</v>
      </c>
      <c r="F405" s="170">
        <f>IF(ISERROR(1/VLOOKUP(B405,Capa!A:AC,13,0)),0,1/VLOOKUP(B405,Capa!A:AC,13,0))</f>
        <v>0.03746721619</v>
      </c>
      <c r="G405" s="171">
        <f t="shared" si="2"/>
        <v>217.000217</v>
      </c>
      <c r="H405" s="172" t="str">
        <f t="shared" si="3"/>
        <v>#N/A</v>
      </c>
      <c r="M405" s="167" t="s">
        <v>434</v>
      </c>
      <c r="N405" s="168">
        <f>VLOOKUP(M405,'Dados StatusInvest'!$A:$Z,26,0)</f>
        <v>34785.31</v>
      </c>
      <c r="O405" s="175">
        <f>VLOOKUP(M405,'Dados StatusInvest'!$A:$Z,18,0)/100</f>
        <v>0.2286</v>
      </c>
      <c r="P405" s="176" t="str">
        <f t="shared" si="5"/>
        <v>#N/A</v>
      </c>
      <c r="Q405" s="177">
        <f>IF(ISERROR(1/VLOOKUP(M405,Capa!A:AC,6,0)),0,1/VLOOKUP(M405,Capa!A:AC,6,0))</f>
        <v>0.007142857143</v>
      </c>
      <c r="R405" s="178">
        <f t="shared" si="6"/>
        <v>385.000385</v>
      </c>
      <c r="S405" s="179" t="str">
        <f t="shared" si="7"/>
        <v>#N/A</v>
      </c>
    </row>
    <row r="406">
      <c r="A406" s="180"/>
      <c r="B406" s="167" t="s">
        <v>600</v>
      </c>
      <c r="C406" s="168">
        <f>VLOOKUP(B406,'Dados StatusInvest'!$A:$Z,26,0)</f>
        <v>0</v>
      </c>
      <c r="D406" s="169">
        <f>VLOOKUP(B406,'Dados StatusInvest'!$A:$Z,20,0)/100</f>
        <v>0.1717</v>
      </c>
      <c r="E406" s="93" t="str">
        <f t="shared" si="1"/>
        <v>#N/A</v>
      </c>
      <c r="F406" s="170">
        <f>IF(ISERROR(1/VLOOKUP(B406,Capa!A:AC,13,0)),0,1/VLOOKUP(B406,Capa!A:AC,13,0))</f>
        <v>0</v>
      </c>
      <c r="G406" s="171">
        <f t="shared" si="2"/>
        <v>329.000329</v>
      </c>
      <c r="H406" s="172" t="str">
        <f t="shared" si="3"/>
        <v>#N/A</v>
      </c>
      <c r="M406" s="167" t="s">
        <v>600</v>
      </c>
      <c r="N406" s="168">
        <f>VLOOKUP(M406,'Dados StatusInvest'!$A:$Z,26,0)</f>
        <v>0</v>
      </c>
      <c r="O406" s="175">
        <f>VLOOKUP(M406,'Dados StatusInvest'!$A:$Z,18,0)/100</f>
        <v>0.2389</v>
      </c>
      <c r="P406" s="176" t="str">
        <f t="shared" si="5"/>
        <v>#N/A</v>
      </c>
      <c r="Q406" s="177">
        <f>IF(ISERROR(1/VLOOKUP(M406,Capa!A:AC,6,0)),0,1/VLOOKUP(M406,Capa!A:AC,6,0))</f>
        <v>0</v>
      </c>
      <c r="R406" s="178">
        <f t="shared" si="6"/>
        <v>399.000399</v>
      </c>
      <c r="S406" s="179" t="str">
        <f t="shared" si="7"/>
        <v>#N/A</v>
      </c>
    </row>
    <row r="407">
      <c r="A407" s="180"/>
      <c r="B407" s="167" t="s">
        <v>470</v>
      </c>
      <c r="C407" s="168">
        <f>VLOOKUP(B407,'Dados StatusInvest'!$A:$Z,26,0)</f>
        <v>24839.75</v>
      </c>
      <c r="D407" s="169">
        <f>VLOOKUP(B407,'Dados StatusInvest'!$A:$Z,20,0)/100</f>
        <v>0.1673</v>
      </c>
      <c r="E407" s="93" t="str">
        <f t="shared" si="1"/>
        <v>#N/A</v>
      </c>
      <c r="F407" s="170">
        <f>IF(ISERROR(1/VLOOKUP(B407,Capa!A:AC,13,0)),0,1/VLOOKUP(B407,Capa!A:AC,13,0))</f>
        <v>0.1236093943</v>
      </c>
      <c r="G407" s="171">
        <f t="shared" si="2"/>
        <v>54.000054</v>
      </c>
      <c r="H407" s="172" t="str">
        <f t="shared" si="3"/>
        <v>#N/A</v>
      </c>
      <c r="M407" s="167" t="s">
        <v>470</v>
      </c>
      <c r="N407" s="168">
        <f>VLOOKUP(M407,'Dados StatusInvest'!$A:$Z,26,0)</f>
        <v>24839.75</v>
      </c>
      <c r="O407" s="175">
        <f>VLOOKUP(M407,'Dados StatusInvest'!$A:$Z,18,0)/100</f>
        <v>0.1797</v>
      </c>
      <c r="P407" s="176" t="str">
        <f t="shared" si="5"/>
        <v>#N/A</v>
      </c>
      <c r="Q407" s="177">
        <f>IF(ISERROR(1/VLOOKUP(M407,Capa!A:AC,6,0)),0,1/VLOOKUP(M407,Capa!A:AC,6,0))</f>
        <v>0.02244668911</v>
      </c>
      <c r="R407" s="178">
        <f t="shared" si="6"/>
        <v>270.00027</v>
      </c>
      <c r="S407" s="179" t="str">
        <f t="shared" si="7"/>
        <v>#N/A</v>
      </c>
    </row>
    <row r="408">
      <c r="A408" s="180"/>
      <c r="B408" s="167" t="s">
        <v>409</v>
      </c>
      <c r="C408" s="168">
        <f>VLOOKUP(B408,'Dados StatusInvest'!$A:$Z,26,0)</f>
        <v>86357.38</v>
      </c>
      <c r="D408" s="169">
        <f>VLOOKUP(B408,'Dados StatusInvest'!$A:$Z,20,0)/100</f>
        <v>0.0803</v>
      </c>
      <c r="E408" s="93" t="str">
        <f t="shared" si="1"/>
        <v>#N/A</v>
      </c>
      <c r="F408" s="170">
        <f>IF(ISERROR(1/VLOOKUP(B408,Capa!A:AC,13,0)),0,1/VLOOKUP(B408,Capa!A:AC,13,0))</f>
        <v>0.1182033097</v>
      </c>
      <c r="G408" s="171">
        <f t="shared" si="2"/>
        <v>60.00006</v>
      </c>
      <c r="H408" s="172" t="str">
        <f t="shared" si="3"/>
        <v>#N/A</v>
      </c>
      <c r="M408" s="167" t="s">
        <v>409</v>
      </c>
      <c r="N408" s="168">
        <f>VLOOKUP(M408,'Dados StatusInvest'!$A:$Z,26,0)</f>
        <v>86357.38</v>
      </c>
      <c r="O408" s="175">
        <f>VLOOKUP(M408,'Dados StatusInvest'!$A:$Z,18,0)/100</f>
        <v>0.008</v>
      </c>
      <c r="P408" s="176" t="str">
        <f t="shared" si="5"/>
        <v>#N/A</v>
      </c>
      <c r="Q408" s="177">
        <f>IF(ISERROR(1/VLOOKUP(M408,Capa!A:AC,6,0)),0,1/VLOOKUP(M408,Capa!A:AC,6,0))</f>
        <v>0.2487562189</v>
      </c>
      <c r="R408" s="178">
        <f t="shared" si="6"/>
        <v>11.000011</v>
      </c>
      <c r="S408" s="179" t="str">
        <f t="shared" si="7"/>
        <v>#N/A</v>
      </c>
    </row>
    <row r="409">
      <c r="A409" s="180"/>
      <c r="B409" s="167" t="s">
        <v>444</v>
      </c>
      <c r="C409" s="168">
        <f>VLOOKUP(B409,'Dados StatusInvest'!$A:$Z,26,0)</f>
        <v>17269.8</v>
      </c>
      <c r="D409" s="169">
        <f>VLOOKUP(B409,'Dados StatusInvest'!$A:$Z,20,0)/100</f>
        <v>0.1307</v>
      </c>
      <c r="E409" s="93" t="str">
        <f t="shared" si="1"/>
        <v>#N/A</v>
      </c>
      <c r="F409" s="170">
        <f>IF(ISERROR(1/VLOOKUP(B409,Capa!A:AC,13,0)),0,1/VLOOKUP(B409,Capa!A:AC,13,0))</f>
        <v>0.06506180872</v>
      </c>
      <c r="G409" s="171">
        <f t="shared" si="2"/>
        <v>115.000115</v>
      </c>
      <c r="H409" s="172" t="str">
        <f t="shared" si="3"/>
        <v>#N/A</v>
      </c>
      <c r="M409" s="167" t="s">
        <v>444</v>
      </c>
      <c r="N409" s="168">
        <f>VLOOKUP(M409,'Dados StatusInvest'!$A:$Z,26,0)</f>
        <v>17269.8</v>
      </c>
      <c r="O409" s="175">
        <f>VLOOKUP(M409,'Dados StatusInvest'!$A:$Z,18,0)/100</f>
        <v>0.2778</v>
      </c>
      <c r="P409" s="176" t="str">
        <f t="shared" si="5"/>
        <v>#N/A</v>
      </c>
      <c r="Q409" s="177">
        <f>IF(ISERROR(1/VLOOKUP(M409,Capa!A:AC,6,0)),0,1/VLOOKUP(M409,Capa!A:AC,6,0))</f>
        <v>0.01470588235</v>
      </c>
      <c r="R409" s="178">
        <f t="shared" si="6"/>
        <v>329.000329</v>
      </c>
      <c r="S409" s="179" t="str">
        <f t="shared" si="7"/>
        <v>#N/A</v>
      </c>
    </row>
    <row r="410">
      <c r="A410" s="180"/>
      <c r="B410" s="167" t="s">
        <v>481</v>
      </c>
      <c r="C410" s="168">
        <f>VLOOKUP(B410,'Dados StatusInvest'!$A:$Z,26,0)</f>
        <v>15233</v>
      </c>
      <c r="D410" s="169">
        <f>VLOOKUP(B410,'Dados StatusInvest'!$A:$Z,20,0)/100</f>
        <v>0</v>
      </c>
      <c r="E410" s="93" t="str">
        <f t="shared" si="1"/>
        <v>#N/A</v>
      </c>
      <c r="F410" s="170">
        <f>IF(ISERROR(1/VLOOKUP(B410,Capa!A:AC,13,0)),0,1/VLOOKUP(B410,Capa!A:AC,13,0))</f>
        <v>0.03746721619</v>
      </c>
      <c r="G410" s="171">
        <f t="shared" si="2"/>
        <v>217.000217</v>
      </c>
      <c r="H410" s="172" t="str">
        <f t="shared" si="3"/>
        <v>#N/A</v>
      </c>
      <c r="M410" s="167" t="s">
        <v>481</v>
      </c>
      <c r="N410" s="168">
        <f>VLOOKUP(M410,'Dados StatusInvest'!$A:$Z,26,0)</f>
        <v>15233</v>
      </c>
      <c r="O410" s="175">
        <f>VLOOKUP(M410,'Dados StatusInvest'!$A:$Z,18,0)/100</f>
        <v>0.2286</v>
      </c>
      <c r="P410" s="176" t="str">
        <f t="shared" si="5"/>
        <v>#N/A</v>
      </c>
      <c r="Q410" s="177">
        <f>IF(ISERROR(1/VLOOKUP(M410,Capa!A:AC,6,0)),0,1/VLOOKUP(M410,Capa!A:AC,6,0))</f>
        <v>0.006993006993</v>
      </c>
      <c r="R410" s="178">
        <f t="shared" si="6"/>
        <v>386.000386</v>
      </c>
      <c r="S410" s="179" t="str">
        <f t="shared" si="7"/>
        <v>#N/A</v>
      </c>
    </row>
    <row r="411">
      <c r="A411" s="180"/>
      <c r="B411" s="167" t="s">
        <v>467</v>
      </c>
      <c r="C411" s="168">
        <f>VLOOKUP(B411,'Dados StatusInvest'!$A:$Z,26,0)</f>
        <v>22099</v>
      </c>
      <c r="D411" s="169">
        <f>VLOOKUP(B411,'Dados StatusInvest'!$A:$Z,20,0)/100</f>
        <v>0.2394</v>
      </c>
      <c r="E411" s="93" t="str">
        <f t="shared" si="1"/>
        <v>#N/A</v>
      </c>
      <c r="F411" s="170">
        <f>IF(ISERROR(1/VLOOKUP(B411,Capa!A:AC,13,0)),0,1/VLOOKUP(B411,Capa!A:AC,13,0))</f>
        <v>0.03861003861</v>
      </c>
      <c r="G411" s="171">
        <f t="shared" si="2"/>
        <v>211.000211</v>
      </c>
      <c r="H411" s="172" t="str">
        <f t="shared" si="3"/>
        <v>#N/A</v>
      </c>
      <c r="M411" s="167" t="s">
        <v>467</v>
      </c>
      <c r="N411" s="168">
        <f>VLOOKUP(M411,'Dados StatusInvest'!$A:$Z,26,0)</f>
        <v>22099</v>
      </c>
      <c r="O411" s="175">
        <f>VLOOKUP(M411,'Dados StatusInvest'!$A:$Z,18,0)/100</f>
        <v>0.3394</v>
      </c>
      <c r="P411" s="176" t="str">
        <f t="shared" si="5"/>
        <v>#N/A</v>
      </c>
      <c r="Q411" s="177">
        <f>IF(ISERROR(1/VLOOKUP(M411,Capa!A:AC,6,0)),0,1/VLOOKUP(M411,Capa!A:AC,6,0))</f>
        <v>0.007143367383</v>
      </c>
      <c r="R411" s="178">
        <f t="shared" si="6"/>
        <v>383.000383</v>
      </c>
      <c r="S411" s="179" t="str">
        <f t="shared" si="7"/>
        <v>#N/A</v>
      </c>
    </row>
    <row r="412">
      <c r="A412" s="180"/>
      <c r="B412" s="167" t="s">
        <v>504</v>
      </c>
      <c r="C412" s="168">
        <f>VLOOKUP(B412,'Dados StatusInvest'!$A:$Z,26,0)</f>
        <v>11990</v>
      </c>
      <c r="D412" s="169">
        <f>VLOOKUP(B412,'Dados StatusInvest'!$A:$Z,20,0)/100</f>
        <v>0.1482</v>
      </c>
      <c r="E412" s="93" t="str">
        <f t="shared" si="1"/>
        <v>#N/A</v>
      </c>
      <c r="F412" s="170">
        <f>IF(ISERROR(1/VLOOKUP(B412,Capa!A:AC,13,0)),0,1/VLOOKUP(B412,Capa!A:AC,13,0))</f>
        <v>0.0521648409</v>
      </c>
      <c r="G412" s="171">
        <f t="shared" si="2"/>
        <v>158.000158</v>
      </c>
      <c r="H412" s="172" t="str">
        <f t="shared" si="3"/>
        <v>#N/A</v>
      </c>
      <c r="M412" s="167" t="s">
        <v>504</v>
      </c>
      <c r="N412" s="168">
        <f>VLOOKUP(M412,'Dados StatusInvest'!$A:$Z,26,0)</f>
        <v>11990</v>
      </c>
      <c r="O412" s="175">
        <f>VLOOKUP(M412,'Dados StatusInvest'!$A:$Z,18,0)/100</f>
        <v>0.1648</v>
      </c>
      <c r="P412" s="176" t="str">
        <f t="shared" si="5"/>
        <v>#N/A</v>
      </c>
      <c r="Q412" s="177">
        <f>IF(ISERROR(1/VLOOKUP(M412,Capa!A:AC,6,0)),0,1/VLOOKUP(M412,Capa!A:AC,6,0))</f>
        <v>0.01492537313</v>
      </c>
      <c r="R412" s="178">
        <f t="shared" si="6"/>
        <v>328.000328</v>
      </c>
      <c r="S412" s="179" t="str">
        <f t="shared" si="7"/>
        <v>#N/A</v>
      </c>
    </row>
    <row r="413">
      <c r="A413" s="180"/>
      <c r="B413" s="167" t="s">
        <v>536</v>
      </c>
      <c r="C413" s="168">
        <f>VLOOKUP(B413,'Dados StatusInvest'!$A:$Z,26,0)</f>
        <v>906.67</v>
      </c>
      <c r="D413" s="169">
        <f>VLOOKUP(B413,'Dados StatusInvest'!$A:$Z,20,0)/100</f>
        <v>0.0204</v>
      </c>
      <c r="E413" s="93" t="str">
        <f t="shared" si="1"/>
        <v>#N/A</v>
      </c>
      <c r="F413" s="170">
        <f>IF(ISERROR(1/VLOOKUP(B413,Capa!A:AC,13,0)),0,1/VLOOKUP(B413,Capa!A:AC,13,0))</f>
        <v>0</v>
      </c>
      <c r="G413" s="171">
        <f t="shared" si="2"/>
        <v>329.000329</v>
      </c>
      <c r="H413" s="172" t="str">
        <f t="shared" si="3"/>
        <v>#N/A</v>
      </c>
      <c r="M413" s="167" t="s">
        <v>536</v>
      </c>
      <c r="N413" s="168">
        <f>VLOOKUP(M413,'Dados StatusInvest'!$A:$Z,26,0)</f>
        <v>906.67</v>
      </c>
      <c r="O413" s="175">
        <f>VLOOKUP(M413,'Dados StatusInvest'!$A:$Z,18,0)/100</f>
        <v>0.0205</v>
      </c>
      <c r="P413" s="176" t="str">
        <f t="shared" si="5"/>
        <v>#N/A</v>
      </c>
      <c r="Q413" s="177">
        <f>IF(ISERROR(1/VLOOKUP(M413,Capa!A:AC,6,0)),0,1/VLOOKUP(M413,Capa!A:AC,6,0))</f>
        <v>0.1298701299</v>
      </c>
      <c r="R413" s="178">
        <f t="shared" si="6"/>
        <v>42.000042</v>
      </c>
      <c r="S413" s="179" t="str">
        <f t="shared" si="7"/>
        <v>#N/A</v>
      </c>
    </row>
    <row r="414">
      <c r="A414" s="180"/>
      <c r="B414" s="167" t="s">
        <v>521</v>
      </c>
      <c r="C414" s="168">
        <f>VLOOKUP(B414,'Dados StatusInvest'!$A:$Z,26,0)</f>
        <v>5310.25</v>
      </c>
      <c r="D414" s="169">
        <f>VLOOKUP(B414,'Dados StatusInvest'!$A:$Z,20,0)/100</f>
        <v>-0.0008</v>
      </c>
      <c r="E414" s="93" t="str">
        <f t="shared" si="1"/>
        <v>#N/A</v>
      </c>
      <c r="F414" s="170">
        <f>IF(ISERROR(1/VLOOKUP(B414,Capa!A:AC,13,0)),0,1/VLOOKUP(B414,Capa!A:AC,13,0))</f>
        <v>0.3021148036</v>
      </c>
      <c r="G414" s="171">
        <f t="shared" si="2"/>
        <v>13.000013</v>
      </c>
      <c r="H414" s="172" t="str">
        <f t="shared" si="3"/>
        <v>#N/A</v>
      </c>
      <c r="M414" s="167" t="s">
        <v>521</v>
      </c>
      <c r="N414" s="168">
        <f>VLOOKUP(M414,'Dados StatusInvest'!$A:$Z,26,0)</f>
        <v>5310.25</v>
      </c>
      <c r="O414" s="175">
        <f>VLOOKUP(M414,'Dados StatusInvest'!$A:$Z,18,0)/100</f>
        <v>-0.0678</v>
      </c>
      <c r="P414" s="176" t="str">
        <f t="shared" si="5"/>
        <v>#N/A</v>
      </c>
      <c r="Q414" s="177">
        <f>IF(ISERROR(1/VLOOKUP(M414,Capa!A:AC,6,0)),0,1/VLOOKUP(M414,Capa!A:AC,6,0))</f>
        <v>0.007319572537</v>
      </c>
      <c r="R414" s="178">
        <f t="shared" si="6"/>
        <v>382.000382</v>
      </c>
      <c r="S414" s="179" t="str">
        <f t="shared" si="7"/>
        <v>#N/A</v>
      </c>
    </row>
    <row r="415">
      <c r="A415" s="180"/>
      <c r="B415" s="167" t="s">
        <v>463</v>
      </c>
      <c r="C415" s="168">
        <f>VLOOKUP(B415,'Dados StatusInvest'!$A:$Z,26,0)</f>
        <v>5934.33</v>
      </c>
      <c r="D415" s="169">
        <f>VLOOKUP(B415,'Dados StatusInvest'!$A:$Z,20,0)/100</f>
        <v>0.1528</v>
      </c>
      <c r="E415" s="93" t="str">
        <f t="shared" si="1"/>
        <v>#N/A</v>
      </c>
      <c r="F415" s="170">
        <f>IF(ISERROR(1/VLOOKUP(B415,Capa!A:AC,13,0)),0,1/VLOOKUP(B415,Capa!A:AC,13,0))</f>
        <v>0.05561735261</v>
      </c>
      <c r="G415" s="171">
        <f t="shared" si="2"/>
        <v>138.000138</v>
      </c>
      <c r="H415" s="172" t="str">
        <f t="shared" si="3"/>
        <v>#N/A</v>
      </c>
      <c r="M415" s="167" t="s">
        <v>463</v>
      </c>
      <c r="N415" s="168">
        <f>VLOOKUP(M415,'Dados StatusInvest'!$A:$Z,26,0)</f>
        <v>5934.33</v>
      </c>
      <c r="O415" s="175">
        <f>VLOOKUP(M415,'Dados StatusInvest'!$A:$Z,18,0)/100</f>
        <v>0.3304</v>
      </c>
      <c r="P415" s="176" t="str">
        <f t="shared" si="5"/>
        <v>#N/A</v>
      </c>
      <c r="Q415" s="177">
        <f>IF(ISERROR(1/VLOOKUP(M415,Capa!A:AC,6,0)),0,1/VLOOKUP(M415,Capa!A:AC,6,0))</f>
        <v>0.01818181818</v>
      </c>
      <c r="R415" s="178">
        <f t="shared" si="6"/>
        <v>305.000305</v>
      </c>
      <c r="S415" s="179" t="str">
        <f t="shared" si="7"/>
        <v>#N/A</v>
      </c>
    </row>
    <row r="416">
      <c r="A416" s="180"/>
      <c r="B416" s="167" t="s">
        <v>484</v>
      </c>
      <c r="C416" s="168">
        <f>VLOOKUP(B416,'Dados StatusInvest'!$A:$Z,26,0)</f>
        <v>16752.43</v>
      </c>
      <c r="D416" s="169">
        <f>VLOOKUP(B416,'Dados StatusInvest'!$A:$Z,20,0)/100</f>
        <v>-0.8482</v>
      </c>
      <c r="E416" s="93" t="str">
        <f t="shared" si="1"/>
        <v>#N/A</v>
      </c>
      <c r="F416" s="170">
        <f>IF(ISERROR(1/VLOOKUP(B416,Capa!A:AC,13,0)),0,1/VLOOKUP(B416,Capa!A:AC,13,0))</f>
        <v>-0.02704895862</v>
      </c>
      <c r="G416" s="171">
        <f t="shared" si="2"/>
        <v>417.000417</v>
      </c>
      <c r="H416" s="172" t="str">
        <f t="shared" si="3"/>
        <v>#N/A</v>
      </c>
      <c r="M416" s="167" t="s">
        <v>484</v>
      </c>
      <c r="N416" s="168">
        <f>VLOOKUP(M416,'Dados StatusInvest'!$A:$Z,26,0)</f>
        <v>16752.43</v>
      </c>
      <c r="O416" s="175">
        <f>VLOOKUP(M416,'Dados StatusInvest'!$A:$Z,18,0)/100</f>
        <v>-1.8596</v>
      </c>
      <c r="P416" s="176" t="str">
        <f t="shared" si="5"/>
        <v>#N/A</v>
      </c>
      <c r="Q416" s="177">
        <f>IF(ISERROR(1/VLOOKUP(M416,Capa!A:AC,6,0)),0,1/VLOOKUP(M416,Capa!A:AC,6,0))</f>
        <v>0.04450378282</v>
      </c>
      <c r="R416" s="178">
        <f t="shared" si="6"/>
        <v>159.000159</v>
      </c>
      <c r="S416" s="179" t="str">
        <f t="shared" si="7"/>
        <v>#N/A</v>
      </c>
    </row>
    <row r="417">
      <c r="A417" s="180"/>
      <c r="B417" s="167" t="s">
        <v>540</v>
      </c>
      <c r="C417" s="168">
        <f>VLOOKUP(B417,'Dados StatusInvest'!$A:$Z,26,0)</f>
        <v>1053.67</v>
      </c>
      <c r="D417" s="169">
        <f>VLOOKUP(B417,'Dados StatusInvest'!$A:$Z,20,0)/100</f>
        <v>0.0838</v>
      </c>
      <c r="E417" s="93" t="str">
        <f t="shared" si="1"/>
        <v>#N/A</v>
      </c>
      <c r="F417" s="170">
        <f>IF(ISERROR(1/VLOOKUP(B417,Capa!A:AC,13,0)),0,1/VLOOKUP(B417,Capa!A:AC,13,0))</f>
        <v>0.0003579725865</v>
      </c>
      <c r="G417" s="171">
        <f t="shared" si="2"/>
        <v>320.00032</v>
      </c>
      <c r="H417" s="172" t="str">
        <f t="shared" si="3"/>
        <v>#N/A</v>
      </c>
      <c r="M417" s="167" t="s">
        <v>540</v>
      </c>
      <c r="N417" s="168">
        <f>VLOOKUP(M417,'Dados StatusInvest'!$A:$Z,26,0)</f>
        <v>1053.67</v>
      </c>
      <c r="O417" s="175">
        <f>VLOOKUP(M417,'Dados StatusInvest'!$A:$Z,18,0)/100</f>
        <v>0.0208</v>
      </c>
      <c r="P417" s="176" t="str">
        <f t="shared" si="5"/>
        <v>#N/A</v>
      </c>
      <c r="Q417" s="177">
        <f>IF(ISERROR(1/VLOOKUP(M417,Capa!A:AC,6,0)),0,1/VLOOKUP(M417,Capa!A:AC,6,0))</f>
        <v>0.03389830508</v>
      </c>
      <c r="R417" s="178">
        <f t="shared" si="6"/>
        <v>208.000208</v>
      </c>
      <c r="S417" s="179" t="str">
        <f t="shared" si="7"/>
        <v>#N/A</v>
      </c>
    </row>
    <row r="418">
      <c r="A418" s="180"/>
      <c r="B418" s="167" t="s">
        <v>453</v>
      </c>
      <c r="C418" s="168">
        <f>VLOOKUP(B418,'Dados StatusInvest'!$A:$Z,26,0)</f>
        <v>10717</v>
      </c>
      <c r="D418" s="169">
        <f>VLOOKUP(B418,'Dados StatusInvest'!$A:$Z,20,0)/100</f>
        <v>0.0304</v>
      </c>
      <c r="E418" s="93" t="str">
        <f t="shared" si="1"/>
        <v>#N/A</v>
      </c>
      <c r="F418" s="170">
        <f>IF(ISERROR(1/VLOOKUP(B418,Capa!A:AC,13,0)),0,1/VLOOKUP(B418,Capa!A:AC,13,0))</f>
        <v>0.1915708812</v>
      </c>
      <c r="G418" s="171">
        <f t="shared" si="2"/>
        <v>26.000026</v>
      </c>
      <c r="H418" s="172" t="str">
        <f t="shared" si="3"/>
        <v>#N/A</v>
      </c>
      <c r="M418" s="167" t="s">
        <v>453</v>
      </c>
      <c r="N418" s="168">
        <f>VLOOKUP(M418,'Dados StatusInvest'!$A:$Z,26,0)</f>
        <v>10717</v>
      </c>
      <c r="O418" s="175">
        <f>VLOOKUP(M418,'Dados StatusInvest'!$A:$Z,18,0)/100</f>
        <v>0.0462</v>
      </c>
      <c r="P418" s="176" t="str">
        <f t="shared" si="5"/>
        <v>#N/A</v>
      </c>
      <c r="Q418" s="177">
        <f>IF(ISERROR(1/VLOOKUP(M418,Capa!A:AC,6,0)),0,1/VLOOKUP(M418,Capa!A:AC,6,0))</f>
        <v>0.01335113485</v>
      </c>
      <c r="R418" s="178">
        <f t="shared" si="6"/>
        <v>339.000339</v>
      </c>
      <c r="S418" s="179" t="str">
        <f t="shared" si="7"/>
        <v>#N/A</v>
      </c>
    </row>
    <row r="419">
      <c r="A419" s="180"/>
      <c r="B419" s="167" t="s">
        <v>475</v>
      </c>
      <c r="C419" s="168">
        <f>VLOOKUP(B419,'Dados StatusInvest'!$A:$Z,26,0)</f>
        <v>18089.09</v>
      </c>
      <c r="D419" s="169">
        <f>VLOOKUP(B419,'Dados StatusInvest'!$A:$Z,20,0)/100</f>
        <v>-0.8699</v>
      </c>
      <c r="E419" s="93" t="str">
        <f t="shared" si="1"/>
        <v>#N/A</v>
      </c>
      <c r="F419" s="170">
        <f>IF(ISERROR(1/VLOOKUP(B419,Capa!A:AC,13,0)),0,1/VLOOKUP(B419,Capa!A:AC,13,0))</f>
        <v>-0.004392708105</v>
      </c>
      <c r="G419" s="171">
        <f t="shared" si="2"/>
        <v>393.000393</v>
      </c>
      <c r="H419" s="172" t="str">
        <f t="shared" si="3"/>
        <v>#N/A</v>
      </c>
      <c r="M419" s="167" t="s">
        <v>475</v>
      </c>
      <c r="N419" s="168">
        <f>VLOOKUP(M419,'Dados StatusInvest'!$A:$Z,26,0)</f>
        <v>18089.09</v>
      </c>
      <c r="O419" s="175">
        <f>VLOOKUP(M419,'Dados StatusInvest'!$A:$Z,18,0)/100</f>
        <v>-0.2513</v>
      </c>
      <c r="P419" s="176" t="str">
        <f t="shared" si="5"/>
        <v>#N/A</v>
      </c>
      <c r="Q419" s="177">
        <f>IF(ISERROR(1/VLOOKUP(M419,Capa!A:AC,6,0)),0,1/VLOOKUP(M419,Capa!A:AC,6,0))</f>
        <v>0.03635041803</v>
      </c>
      <c r="R419" s="178">
        <f t="shared" si="6"/>
        <v>187.000187</v>
      </c>
      <c r="S419" s="179" t="str">
        <f t="shared" si="7"/>
        <v>#N/A</v>
      </c>
    </row>
    <row r="420">
      <c r="A420" s="180"/>
      <c r="B420" s="167" t="s">
        <v>541</v>
      </c>
      <c r="C420" s="181">
        <f>VLOOKUP(B420,'Dados StatusInvest'!$A:$Z,26,0)</f>
        <v>1801.2</v>
      </c>
      <c r="D420" s="169">
        <f>VLOOKUP(B420,'Dados StatusInvest'!$A:$Z,20,0)/100</f>
        <v>0.0838</v>
      </c>
      <c r="E420" s="93" t="str">
        <f t="shared" si="1"/>
        <v>#N/A</v>
      </c>
      <c r="F420" s="170">
        <f>IF(ISERROR(1/VLOOKUP(B420,Capa!A:AC,13,0)),0,1/VLOOKUP(B420,Capa!A:AC,13,0))</f>
        <v>0.0003579725865</v>
      </c>
      <c r="G420" s="171">
        <f t="shared" si="2"/>
        <v>320.00032</v>
      </c>
      <c r="H420" s="172" t="str">
        <f t="shared" si="3"/>
        <v>#N/A</v>
      </c>
      <c r="M420" s="167" t="s">
        <v>541</v>
      </c>
      <c r="N420" s="168">
        <f>VLOOKUP(M420,'Dados StatusInvest'!$A:$Z,26,0)</f>
        <v>1801.2</v>
      </c>
      <c r="O420" s="175">
        <f>VLOOKUP(M420,'Dados StatusInvest'!$A:$Z,18,0)/100</f>
        <v>0.0208</v>
      </c>
      <c r="P420" s="176" t="str">
        <f t="shared" si="5"/>
        <v>#N/A</v>
      </c>
      <c r="Q420" s="177">
        <f>IF(ISERROR(1/VLOOKUP(M420,Capa!A:AC,6,0)),0,1/VLOOKUP(M420,Capa!A:AC,6,0))</f>
        <v>0.02272727273</v>
      </c>
      <c r="R420" s="178">
        <f t="shared" si="6"/>
        <v>268.000268</v>
      </c>
      <c r="S420" s="179" t="str">
        <f t="shared" si="7"/>
        <v>#N/A</v>
      </c>
    </row>
    <row r="421">
      <c r="A421" s="180"/>
      <c r="B421" s="167" t="s">
        <v>489</v>
      </c>
      <c r="C421" s="181">
        <f>VLOOKUP(B421,'Dados StatusInvest'!$A:$Z,26,0)</f>
        <v>8363.75</v>
      </c>
      <c r="D421" s="169">
        <f>VLOOKUP(B421,'Dados StatusInvest'!$A:$Z,20,0)/100</f>
        <v>0.1528</v>
      </c>
      <c r="E421" s="93" t="str">
        <f t="shared" si="1"/>
        <v>#N/A</v>
      </c>
      <c r="F421" s="170">
        <f>IF(ISERROR(1/VLOOKUP(B421,Capa!A:AC,13,0)),0,1/VLOOKUP(B421,Capa!A:AC,13,0))</f>
        <v>0.05561735261</v>
      </c>
      <c r="G421" s="171">
        <f t="shared" si="2"/>
        <v>138.000138</v>
      </c>
      <c r="H421" s="172" t="str">
        <f t="shared" si="3"/>
        <v>#N/A</v>
      </c>
      <c r="M421" s="167" t="s">
        <v>489</v>
      </c>
      <c r="N421" s="168">
        <f>VLOOKUP(M421,'Dados StatusInvest'!$A:$Z,26,0)</f>
        <v>8363.75</v>
      </c>
      <c r="O421" s="175">
        <f>VLOOKUP(M421,'Dados StatusInvest'!$A:$Z,18,0)/100</f>
        <v>0.3304</v>
      </c>
      <c r="P421" s="176" t="str">
        <f t="shared" si="5"/>
        <v>#N/A</v>
      </c>
      <c r="Q421" s="177">
        <f>IF(ISERROR(1/VLOOKUP(M421,Capa!A:AC,6,0)),0,1/VLOOKUP(M421,Capa!A:AC,6,0))</f>
        <v>0.03620564808</v>
      </c>
      <c r="R421" s="178">
        <f t="shared" si="6"/>
        <v>188.000188</v>
      </c>
      <c r="S421" s="179" t="str">
        <f t="shared" si="7"/>
        <v>#N/A</v>
      </c>
    </row>
    <row r="422">
      <c r="A422" s="180"/>
      <c r="B422" s="167" t="s">
        <v>525</v>
      </c>
      <c r="C422" s="181">
        <f>VLOOKUP(B422,'Dados StatusInvest'!$A:$Z,26,0)</f>
        <v>4965.67</v>
      </c>
      <c r="D422" s="169">
        <f>VLOOKUP(B422,'Dados StatusInvest'!$A:$Z,20,0)/100</f>
        <v>0.1518</v>
      </c>
      <c r="E422" s="93" t="str">
        <f t="shared" si="1"/>
        <v>#N/A</v>
      </c>
      <c r="F422" s="170">
        <f>IF(ISERROR(1/VLOOKUP(B422,Capa!A:AC,13,0)),0,1/VLOOKUP(B422,Capa!A:AC,13,0))</f>
        <v>0.02663115846</v>
      </c>
      <c r="G422" s="171">
        <f t="shared" si="2"/>
        <v>261.000261</v>
      </c>
      <c r="H422" s="172" t="str">
        <f t="shared" si="3"/>
        <v>#N/A</v>
      </c>
      <c r="M422" s="167" t="s">
        <v>525</v>
      </c>
      <c r="N422" s="168">
        <f>VLOOKUP(M422,'Dados StatusInvest'!$A:$Z,26,0)</f>
        <v>4965.67</v>
      </c>
      <c r="O422" s="175">
        <f>VLOOKUP(M422,'Dados StatusInvest'!$A:$Z,18,0)/100</f>
        <v>0.1812</v>
      </c>
      <c r="P422" s="176" t="str">
        <f t="shared" si="5"/>
        <v>#N/A</v>
      </c>
      <c r="Q422" s="177">
        <f>IF(ISERROR(1/VLOOKUP(M422,Capa!A:AC,6,0)),0,1/VLOOKUP(M422,Capa!A:AC,6,0))</f>
        <v>0.01538461538</v>
      </c>
      <c r="R422" s="178">
        <f t="shared" si="6"/>
        <v>325.000325</v>
      </c>
      <c r="S422" s="179" t="str">
        <f t="shared" si="7"/>
        <v>#N/A</v>
      </c>
    </row>
    <row r="423">
      <c r="A423" s="143"/>
      <c r="B423" s="167" t="s">
        <v>529</v>
      </c>
      <c r="C423" s="181">
        <f>VLOOKUP(B423,'Dados StatusInvest'!$A:$Z,26,0)</f>
        <v>4500.3</v>
      </c>
      <c r="D423" s="169">
        <f>VLOOKUP(B423,'Dados StatusInvest'!$A:$Z,20,0)/100</f>
        <v>-0.3769</v>
      </c>
      <c r="E423" s="93" t="str">
        <f t="shared" si="1"/>
        <v>#N/A</v>
      </c>
      <c r="F423" s="170">
        <f>IF(ISERROR(1/VLOOKUP(B423,Capa!A:AC,13,0)),0,1/VLOOKUP(B423,Capa!A:AC,13,0))</f>
        <v>0.05175983437</v>
      </c>
      <c r="G423" s="171">
        <f t="shared" si="2"/>
        <v>161.000161</v>
      </c>
      <c r="H423" s="172" t="str">
        <f t="shared" si="3"/>
        <v>#N/A</v>
      </c>
      <c r="M423" s="167" t="s">
        <v>529</v>
      </c>
      <c r="N423" s="168">
        <f>VLOOKUP(M423,'Dados StatusInvest'!$A:$Z,26,0)</f>
        <v>4500.3</v>
      </c>
      <c r="O423" s="175">
        <f>VLOOKUP(M423,'Dados StatusInvest'!$A:$Z,18,0)/100</f>
        <v>-0.0291</v>
      </c>
      <c r="P423" s="176" t="str">
        <f t="shared" si="5"/>
        <v>#N/A</v>
      </c>
      <c r="Q423" s="177">
        <f>IF(ISERROR(1/VLOOKUP(M423,Capa!A:AC,6,0)),0,1/VLOOKUP(M423,Capa!A:AC,6,0))</f>
        <v>0.009259259259</v>
      </c>
      <c r="R423" s="178">
        <f t="shared" si="6"/>
        <v>369.000369</v>
      </c>
      <c r="S423" s="179" t="str">
        <f t="shared" si="7"/>
        <v>#N/A</v>
      </c>
    </row>
    <row r="424">
      <c r="A424" s="143"/>
      <c r="B424" s="167" t="s">
        <v>1685</v>
      </c>
      <c r="C424" s="181" t="str">
        <f>VLOOKUP(B424,'Dados StatusInvest'!$A:$Z,26,0)</f>
        <v>#N/A</v>
      </c>
      <c r="D424" s="169" t="str">
        <f>VLOOKUP(B424,'Dados StatusInvest'!$A:$Z,20,0)/100</f>
        <v>#N/A</v>
      </c>
      <c r="E424" s="93" t="str">
        <f t="shared" si="1"/>
        <v>#N/A</v>
      </c>
      <c r="F424" s="170">
        <f>IF(ISERROR(1/VLOOKUP(B424,Capa!A:AC,13,0)),0,1/VLOOKUP(B424,Capa!A:AC,13,0))</f>
        <v>0</v>
      </c>
      <c r="G424" s="171">
        <f t="shared" si="2"/>
        <v>329.000329</v>
      </c>
      <c r="H424" s="172" t="str">
        <f t="shared" si="3"/>
        <v>#N/A</v>
      </c>
      <c r="M424" s="167" t="s">
        <v>1685</v>
      </c>
      <c r="N424" s="168" t="str">
        <f>VLOOKUP(M424,'Dados StatusInvest'!$A:$Z,26,0)</f>
        <v>#N/A</v>
      </c>
      <c r="O424" s="175" t="str">
        <f>VLOOKUP(M424,'Dados StatusInvest'!$A:$Z,18,0)/100</f>
        <v>#N/A</v>
      </c>
      <c r="P424" s="176" t="str">
        <f t="shared" si="5"/>
        <v>#N/A</v>
      </c>
      <c r="Q424" s="177">
        <f>IF(ISERROR(1/VLOOKUP(M424,Capa!A:AC,6,0)),0,1/VLOOKUP(M424,Capa!A:AC,6,0))</f>
        <v>0</v>
      </c>
      <c r="R424" s="178">
        <f t="shared" si="6"/>
        <v>399.000399</v>
      </c>
      <c r="S424" s="179" t="str">
        <f t="shared" si="7"/>
        <v>#N/A</v>
      </c>
    </row>
    <row r="425">
      <c r="A425" s="143"/>
      <c r="B425" s="167" t="s">
        <v>424</v>
      </c>
      <c r="C425" s="181">
        <f>VLOOKUP(B425,'Dados StatusInvest'!$A:$Z,26,0)</f>
        <v>43283.58</v>
      </c>
      <c r="D425" s="169">
        <f>VLOOKUP(B425,'Dados StatusInvest'!$A:$Z,20,0)/100</f>
        <v>-0.2965</v>
      </c>
      <c r="E425" s="93" t="str">
        <f t="shared" si="1"/>
        <v>#N/A</v>
      </c>
      <c r="F425" s="170">
        <f>IF(ISERROR(1/VLOOKUP(B425,Capa!A:AC,13,0)),0,1/VLOOKUP(B425,Capa!A:AC,13,0))</f>
        <v>0.03805175038</v>
      </c>
      <c r="G425" s="171">
        <f t="shared" si="2"/>
        <v>214.000214</v>
      </c>
      <c r="H425" s="172" t="str">
        <f t="shared" si="3"/>
        <v>#N/A</v>
      </c>
      <c r="M425" s="167" t="s">
        <v>424</v>
      </c>
      <c r="N425" s="168">
        <f>VLOOKUP(M425,'Dados StatusInvest'!$A:$Z,26,0)</f>
        <v>43283.58</v>
      </c>
      <c r="O425" s="175">
        <f>VLOOKUP(M425,'Dados StatusInvest'!$A:$Z,18,0)/100</f>
        <v>-0.1448</v>
      </c>
      <c r="P425" s="176" t="str">
        <f t="shared" si="5"/>
        <v>#N/A</v>
      </c>
      <c r="Q425" s="177">
        <f>IF(ISERROR(1/VLOOKUP(M425,Capa!A:AC,6,0)),0,1/VLOOKUP(M425,Capa!A:AC,6,0))</f>
        <v>0.1890359168</v>
      </c>
      <c r="R425" s="178">
        <f t="shared" si="6"/>
        <v>20.00002</v>
      </c>
      <c r="S425" s="179" t="str">
        <f t="shared" si="7"/>
        <v>#N/A</v>
      </c>
    </row>
    <row r="426">
      <c r="A426" s="143"/>
      <c r="B426" s="167" t="s">
        <v>338</v>
      </c>
      <c r="C426" s="181">
        <f>VLOOKUP(B426,'Dados StatusInvest'!$A:$Z,26,0)</f>
        <v>1188136.58</v>
      </c>
      <c r="D426" s="169">
        <f>VLOOKUP(B426,'Dados StatusInvest'!$A:$Z,20,0)/100</f>
        <v>0.1432</v>
      </c>
      <c r="E426" s="93" t="str">
        <f t="shared" si="1"/>
        <v>#N/A</v>
      </c>
      <c r="F426" s="170">
        <f>IF(ISERROR(1/VLOOKUP(B426,Capa!A:AC,13,0)),0,1/VLOOKUP(B426,Capa!A:AC,13,0))</f>
        <v>0.08196721311</v>
      </c>
      <c r="G426" s="171">
        <f t="shared" si="2"/>
        <v>92.000092</v>
      </c>
      <c r="H426" s="172" t="str">
        <f t="shared" si="3"/>
        <v>#N/A</v>
      </c>
      <c r="M426" s="167" t="s">
        <v>338</v>
      </c>
      <c r="N426" s="168">
        <f>VLOOKUP(M426,'Dados StatusInvest'!$A:$Z,26,0)</f>
        <v>1188136.58</v>
      </c>
      <c r="O426" s="175">
        <f>VLOOKUP(M426,'Dados StatusInvest'!$A:$Z,18,0)/100</f>
        <v>0.1551</v>
      </c>
      <c r="P426" s="176" t="str">
        <f t="shared" si="5"/>
        <v>#N/A</v>
      </c>
      <c r="Q426" s="177">
        <f>IF(ISERROR(1/VLOOKUP(M426,Capa!A:AC,6,0)),0,1/VLOOKUP(M426,Capa!A:AC,6,0))</f>
        <v>0.03571428571</v>
      </c>
      <c r="R426" s="178">
        <f t="shared" si="6"/>
        <v>190.00019</v>
      </c>
      <c r="S426" s="179" t="str">
        <f t="shared" si="7"/>
        <v>#N/A</v>
      </c>
    </row>
    <row r="427">
      <c r="A427" s="143"/>
      <c r="B427" s="167" t="s">
        <v>1686</v>
      </c>
      <c r="C427" s="181" t="str">
        <f>VLOOKUP(B427,'Dados StatusInvest'!$A:$Z,26,0)</f>
        <v>#N/A</v>
      </c>
      <c r="D427" s="169" t="str">
        <f>VLOOKUP(B427,'Dados StatusInvest'!$A:$Z,20,0)/100</f>
        <v>#N/A</v>
      </c>
      <c r="E427" s="93" t="str">
        <f t="shared" si="1"/>
        <v>#N/A</v>
      </c>
      <c r="F427" s="170">
        <f>IF(ISERROR(1/VLOOKUP(B427,Capa!A:AC,13,0)),0,1/VLOOKUP(B427,Capa!A:AC,13,0))</f>
        <v>0</v>
      </c>
      <c r="G427" s="171">
        <f t="shared" si="2"/>
        <v>329.000329</v>
      </c>
      <c r="H427" s="172" t="str">
        <f t="shared" si="3"/>
        <v>#N/A</v>
      </c>
      <c r="M427" s="167" t="s">
        <v>1686</v>
      </c>
      <c r="N427" s="168" t="str">
        <f>VLOOKUP(M427,'Dados StatusInvest'!$A:$Z,26,0)</f>
        <v>#N/A</v>
      </c>
      <c r="O427" s="175" t="str">
        <f>VLOOKUP(M427,'Dados StatusInvest'!$A:$Z,18,0)/100</f>
        <v>#N/A</v>
      </c>
      <c r="P427" s="176" t="str">
        <f t="shared" si="5"/>
        <v>#N/A</v>
      </c>
      <c r="Q427" s="177">
        <f>IF(ISERROR(1/VLOOKUP(M427,Capa!A:AC,6,0)),0,1/VLOOKUP(M427,Capa!A:AC,6,0))</f>
        <v>0</v>
      </c>
      <c r="R427" s="178">
        <f t="shared" si="6"/>
        <v>399.000399</v>
      </c>
      <c r="S427" s="179" t="str">
        <f t="shared" si="7"/>
        <v>#N/A</v>
      </c>
    </row>
    <row r="428">
      <c r="A428" s="143"/>
      <c r="B428" s="167" t="s">
        <v>590</v>
      </c>
      <c r="C428" s="181">
        <f>VLOOKUP(B428,'Dados StatusInvest'!$A:$Z,26,0)</f>
        <v>0</v>
      </c>
      <c r="D428" s="169">
        <f>VLOOKUP(B428,'Dados StatusInvest'!$A:$Z,20,0)/100</f>
        <v>0.0636</v>
      </c>
      <c r="E428" s="93" t="str">
        <f t="shared" si="1"/>
        <v>#N/A</v>
      </c>
      <c r="F428" s="170">
        <f>IF(ISERROR(1/VLOOKUP(B428,Capa!A:AC,13,0)),0,1/VLOOKUP(B428,Capa!A:AC,13,0))</f>
        <v>0</v>
      </c>
      <c r="G428" s="171">
        <f t="shared" si="2"/>
        <v>329.000329</v>
      </c>
      <c r="H428" s="172" t="str">
        <f t="shared" si="3"/>
        <v>#N/A</v>
      </c>
      <c r="M428" s="167" t="s">
        <v>590</v>
      </c>
      <c r="N428" s="168">
        <f>VLOOKUP(M428,'Dados StatusInvest'!$A:$Z,26,0)</f>
        <v>0</v>
      </c>
      <c r="O428" s="175">
        <f>VLOOKUP(M428,'Dados StatusInvest'!$A:$Z,18,0)/100</f>
        <v>0.0838</v>
      </c>
      <c r="P428" s="176" t="str">
        <f t="shared" si="5"/>
        <v>#N/A</v>
      </c>
      <c r="Q428" s="177">
        <f>IF(ISERROR(1/VLOOKUP(M428,Capa!A:AC,6,0)),0,1/VLOOKUP(M428,Capa!A:AC,6,0))</f>
        <v>0</v>
      </c>
      <c r="R428" s="178">
        <f t="shared" si="6"/>
        <v>399.000399</v>
      </c>
      <c r="S428" s="179" t="str">
        <f t="shared" si="7"/>
        <v>#N/A</v>
      </c>
    </row>
    <row r="429">
      <c r="A429" s="143"/>
      <c r="B429" s="167" t="s">
        <v>533</v>
      </c>
      <c r="C429" s="181">
        <f>VLOOKUP(B429,'Dados StatusInvest'!$A:$Z,26,0)</f>
        <v>7047</v>
      </c>
      <c r="D429" s="169">
        <f>VLOOKUP(B429,'Dados StatusInvest'!$A:$Z,20,0)/100</f>
        <v>0.127</v>
      </c>
      <c r="E429" s="93" t="str">
        <f t="shared" si="1"/>
        <v>#N/A</v>
      </c>
      <c r="F429" s="170">
        <f>IF(ISERROR(1/VLOOKUP(B429,Capa!A:AC,13,0)),0,1/VLOOKUP(B429,Capa!A:AC,13,0))</f>
        <v>0.05561735261</v>
      </c>
      <c r="G429" s="171">
        <f t="shared" si="2"/>
        <v>138.000138</v>
      </c>
      <c r="H429" s="172" t="str">
        <f t="shared" si="3"/>
        <v>#N/A</v>
      </c>
      <c r="M429" s="167" t="s">
        <v>533</v>
      </c>
      <c r="N429" s="168">
        <f>VLOOKUP(M429,'Dados StatusInvest'!$A:$Z,26,0)</f>
        <v>7047</v>
      </c>
      <c r="O429" s="175">
        <f>VLOOKUP(M429,'Dados StatusInvest'!$A:$Z,18,0)/100</f>
        <v>0.1872</v>
      </c>
      <c r="P429" s="176" t="str">
        <f t="shared" si="5"/>
        <v>#N/A</v>
      </c>
      <c r="Q429" s="177">
        <f>IF(ISERROR(1/VLOOKUP(M429,Capa!A:AC,6,0)),0,1/VLOOKUP(M429,Capa!A:AC,6,0))</f>
        <v>0.01538461538</v>
      </c>
      <c r="R429" s="178">
        <f t="shared" si="6"/>
        <v>325.000325</v>
      </c>
      <c r="S429" s="179" t="str">
        <f t="shared" si="7"/>
        <v>#N/A</v>
      </c>
    </row>
    <row r="430">
      <c r="A430" s="143"/>
      <c r="B430" s="167" t="s">
        <v>527</v>
      </c>
      <c r="C430" s="181">
        <f>VLOOKUP(B430,'Dados StatusInvest'!$A:$Z,26,0)</f>
        <v>4604</v>
      </c>
      <c r="D430" s="169">
        <f>VLOOKUP(B430,'Dados StatusInvest'!$A:$Z,20,0)/100</f>
        <v>0.0838</v>
      </c>
      <c r="E430" s="93" t="str">
        <f t="shared" si="1"/>
        <v>#N/A</v>
      </c>
      <c r="F430" s="170">
        <f>IF(ISERROR(1/VLOOKUP(B430,Capa!A:AC,13,0)),0,1/VLOOKUP(B430,Capa!A:AC,13,0))</f>
        <v>0.0003579725865</v>
      </c>
      <c r="G430" s="171">
        <f t="shared" si="2"/>
        <v>320.00032</v>
      </c>
      <c r="H430" s="172" t="str">
        <f t="shared" si="3"/>
        <v>#N/A</v>
      </c>
      <c r="M430" s="167" t="s">
        <v>527</v>
      </c>
      <c r="N430" s="168">
        <f>VLOOKUP(M430,'Dados StatusInvest'!$A:$Z,26,0)</f>
        <v>4604</v>
      </c>
      <c r="O430" s="175">
        <f>VLOOKUP(M430,'Dados StatusInvest'!$A:$Z,18,0)/100</f>
        <v>0.0208</v>
      </c>
      <c r="P430" s="176" t="str">
        <f t="shared" si="5"/>
        <v>#N/A</v>
      </c>
      <c r="Q430" s="177">
        <f>IF(ISERROR(1/VLOOKUP(M430,Capa!A:AC,6,0)),0,1/VLOOKUP(M430,Capa!A:AC,6,0))</f>
        <v>0.07824726135</v>
      </c>
      <c r="R430" s="178">
        <f t="shared" si="6"/>
        <v>91.000091</v>
      </c>
      <c r="S430" s="179" t="str">
        <f t="shared" si="7"/>
        <v>#N/A</v>
      </c>
    </row>
    <row r="431">
      <c r="A431" s="143"/>
      <c r="B431" s="167" t="s">
        <v>534</v>
      </c>
      <c r="C431" s="181">
        <f>VLOOKUP(B431,'Dados StatusInvest'!$A:$Z,26,0)</f>
        <v>4020</v>
      </c>
      <c r="D431" s="169">
        <f>VLOOKUP(B431,'Dados StatusInvest'!$A:$Z,20,0)/100</f>
        <v>0.0307</v>
      </c>
      <c r="E431" s="93" t="str">
        <f t="shared" si="1"/>
        <v>#N/A</v>
      </c>
      <c r="F431" s="170">
        <f>IF(ISERROR(1/VLOOKUP(B431,Capa!A:AC,13,0)),0,1/VLOOKUP(B431,Capa!A:AC,13,0))</f>
        <v>0.1751313485</v>
      </c>
      <c r="G431" s="171">
        <f t="shared" si="2"/>
        <v>33.000033</v>
      </c>
      <c r="H431" s="172" t="str">
        <f t="shared" si="3"/>
        <v>#N/A</v>
      </c>
      <c r="M431" s="167" t="s">
        <v>534</v>
      </c>
      <c r="N431" s="168">
        <f>VLOOKUP(M431,'Dados StatusInvest'!$A:$Z,26,0)</f>
        <v>4020</v>
      </c>
      <c r="O431" s="175">
        <f>VLOOKUP(M431,'Dados StatusInvest'!$A:$Z,18,0)/100</f>
        <v>0.0762</v>
      </c>
      <c r="P431" s="176" t="str">
        <f t="shared" si="5"/>
        <v>#N/A</v>
      </c>
      <c r="Q431" s="177">
        <f>IF(ISERROR(1/VLOOKUP(M431,Capa!A:AC,6,0)),0,1/VLOOKUP(M431,Capa!A:AC,6,0))</f>
        <v>0.01700680272</v>
      </c>
      <c r="R431" s="178">
        <f t="shared" si="6"/>
        <v>310.00031</v>
      </c>
      <c r="S431" s="179" t="str">
        <f t="shared" si="7"/>
        <v>#N/A</v>
      </c>
    </row>
    <row r="432">
      <c r="A432" s="143"/>
      <c r="B432" s="167" t="s">
        <v>528</v>
      </c>
      <c r="C432" s="181">
        <f>VLOOKUP(B432,'Dados StatusInvest'!$A:$Z,26,0)</f>
        <v>4543</v>
      </c>
      <c r="D432" s="169">
        <f>VLOOKUP(B432,'Dados StatusInvest'!$A:$Z,20,0)/100</f>
        <v>0.1518</v>
      </c>
      <c r="E432" s="93" t="str">
        <f t="shared" si="1"/>
        <v>#N/A</v>
      </c>
      <c r="F432" s="170">
        <f>IF(ISERROR(1/VLOOKUP(B432,Capa!A:AC,13,0)),0,1/VLOOKUP(B432,Capa!A:AC,13,0))</f>
        <v>0.02663115846</v>
      </c>
      <c r="G432" s="171">
        <f t="shared" si="2"/>
        <v>261.000261</v>
      </c>
      <c r="H432" s="172" t="str">
        <f t="shared" si="3"/>
        <v>#N/A</v>
      </c>
      <c r="M432" s="167" t="s">
        <v>528</v>
      </c>
      <c r="N432" s="168">
        <f>VLOOKUP(M432,'Dados StatusInvest'!$A:$Z,26,0)</f>
        <v>4543</v>
      </c>
      <c r="O432" s="175">
        <f>VLOOKUP(M432,'Dados StatusInvest'!$A:$Z,18,0)/100</f>
        <v>0.1812</v>
      </c>
      <c r="P432" s="176" t="str">
        <f t="shared" si="5"/>
        <v>#N/A</v>
      </c>
      <c r="Q432" s="177">
        <f>IF(ISERROR(1/VLOOKUP(M432,Capa!A:AC,6,0)),0,1/VLOOKUP(M432,Capa!A:AC,6,0))</f>
        <v>0.02</v>
      </c>
      <c r="R432" s="178">
        <f t="shared" si="6"/>
        <v>294.000294</v>
      </c>
      <c r="S432" s="179" t="str">
        <f t="shared" si="7"/>
        <v>#N/A</v>
      </c>
    </row>
    <row r="433">
      <c r="A433" s="143"/>
      <c r="B433" s="167" t="s">
        <v>584</v>
      </c>
      <c r="C433" s="181">
        <f>VLOOKUP(B433,'Dados StatusInvest'!$A:$Z,26,0)</f>
        <v>0</v>
      </c>
      <c r="D433" s="169">
        <f>VLOOKUP(B433,'Dados StatusInvest'!$A:$Z,20,0)/100</f>
        <v>0.0838</v>
      </c>
      <c r="E433" s="93" t="str">
        <f t="shared" si="1"/>
        <v>#N/A</v>
      </c>
      <c r="F433" s="170">
        <f>IF(ISERROR(1/VLOOKUP(B433,Capa!A:AC,13,0)),0,1/VLOOKUP(B433,Capa!A:AC,13,0))</f>
        <v>0</v>
      </c>
      <c r="G433" s="171">
        <f t="shared" si="2"/>
        <v>329.000329</v>
      </c>
      <c r="H433" s="172" t="str">
        <f t="shared" si="3"/>
        <v>#N/A</v>
      </c>
      <c r="M433" s="167" t="s">
        <v>584</v>
      </c>
      <c r="N433" s="168">
        <f>VLOOKUP(M433,'Dados StatusInvest'!$A:$Z,26,0)</f>
        <v>0</v>
      </c>
      <c r="O433" s="175">
        <f>VLOOKUP(M433,'Dados StatusInvest'!$A:$Z,18,0)/100</f>
        <v>0.0208</v>
      </c>
      <c r="P433" s="176" t="str">
        <f t="shared" si="5"/>
        <v>#N/A</v>
      </c>
      <c r="Q433" s="177">
        <f>IF(ISERROR(1/VLOOKUP(M433,Capa!A:AC,6,0)),0,1/VLOOKUP(M433,Capa!A:AC,6,0))</f>
        <v>0</v>
      </c>
      <c r="R433" s="178">
        <f t="shared" si="6"/>
        <v>399.000399</v>
      </c>
      <c r="S433" s="179" t="str">
        <f t="shared" si="7"/>
        <v>#N/A</v>
      </c>
    </row>
    <row r="434">
      <c r="A434" s="143"/>
      <c r="B434" s="167" t="s">
        <v>513</v>
      </c>
      <c r="C434" s="181">
        <f>VLOOKUP(B434,'Dados StatusInvest'!$A:$Z,26,0)</f>
        <v>7000</v>
      </c>
      <c r="D434" s="169">
        <f>VLOOKUP(B434,'Dados StatusInvest'!$A:$Z,20,0)/100</f>
        <v>0.1518</v>
      </c>
      <c r="E434" s="93" t="str">
        <f t="shared" si="1"/>
        <v>#N/A</v>
      </c>
      <c r="F434" s="170">
        <f>IF(ISERROR(1/VLOOKUP(B434,Capa!A:AC,13,0)),0,1/VLOOKUP(B434,Capa!A:AC,13,0))</f>
        <v>0.02663115846</v>
      </c>
      <c r="G434" s="171">
        <f t="shared" si="2"/>
        <v>261.000261</v>
      </c>
      <c r="H434" s="172" t="str">
        <f t="shared" si="3"/>
        <v>#N/A</v>
      </c>
      <c r="M434" s="167" t="s">
        <v>513</v>
      </c>
      <c r="N434" s="168">
        <f>VLOOKUP(M434,'Dados StatusInvest'!$A:$Z,26,0)</f>
        <v>7000</v>
      </c>
      <c r="O434" s="175">
        <f>VLOOKUP(M434,'Dados StatusInvest'!$A:$Z,18,0)/100</f>
        <v>0.1812</v>
      </c>
      <c r="P434" s="176" t="str">
        <f t="shared" si="5"/>
        <v>#N/A</v>
      </c>
      <c r="Q434" s="177">
        <f>IF(ISERROR(1/VLOOKUP(M434,Capa!A:AC,6,0)),0,1/VLOOKUP(M434,Capa!A:AC,6,0))</f>
        <v>0.02380952381</v>
      </c>
      <c r="R434" s="178">
        <f t="shared" si="6"/>
        <v>260.00026</v>
      </c>
      <c r="S434" s="179" t="str">
        <f t="shared" si="7"/>
        <v>#N/A</v>
      </c>
    </row>
    <row r="435">
      <c r="A435" s="143"/>
      <c r="B435" s="167" t="s">
        <v>608</v>
      </c>
      <c r="C435" s="181">
        <f>VLOOKUP(B435,'Dados StatusInvest'!$A:$Z,26,0)</f>
        <v>0</v>
      </c>
      <c r="D435" s="169">
        <f>VLOOKUP(B435,'Dados StatusInvest'!$A:$Z,20,0)/100</f>
        <v>0.1079</v>
      </c>
      <c r="E435" s="93" t="str">
        <f t="shared" si="1"/>
        <v>#N/A</v>
      </c>
      <c r="F435" s="170">
        <f>IF(ISERROR(1/VLOOKUP(B435,Capa!A:AC,13,0)),0,1/VLOOKUP(B435,Capa!A:AC,13,0))</f>
        <v>0</v>
      </c>
      <c r="G435" s="171">
        <f t="shared" si="2"/>
        <v>329.000329</v>
      </c>
      <c r="H435" s="172" t="str">
        <f t="shared" si="3"/>
        <v>#N/A</v>
      </c>
      <c r="M435" s="167" t="s">
        <v>608</v>
      </c>
      <c r="N435" s="168">
        <f>VLOOKUP(M435,'Dados StatusInvest'!$A:$Z,26,0)</f>
        <v>0</v>
      </c>
      <c r="O435" s="175">
        <f>VLOOKUP(M435,'Dados StatusInvest'!$A:$Z,18,0)/100</f>
        <v>0.3318</v>
      </c>
      <c r="P435" s="176" t="str">
        <f t="shared" si="5"/>
        <v>#N/A</v>
      </c>
      <c r="Q435" s="177">
        <f>IF(ISERROR(1/VLOOKUP(M435,Capa!A:AC,6,0)),0,1/VLOOKUP(M435,Capa!A:AC,6,0))</f>
        <v>0</v>
      </c>
      <c r="R435" s="178">
        <f t="shared" si="6"/>
        <v>399.000399</v>
      </c>
      <c r="S435" s="179" t="str">
        <f t="shared" si="7"/>
        <v>#N/A</v>
      </c>
    </row>
    <row r="436">
      <c r="A436" s="143"/>
      <c r="B436" s="167" t="s">
        <v>579</v>
      </c>
      <c r="C436" s="181">
        <f>VLOOKUP(B436,'Dados StatusInvest'!$A:$Z,26,0)</f>
        <v>0</v>
      </c>
      <c r="D436" s="169">
        <f>VLOOKUP(B436,'Dados StatusInvest'!$A:$Z,20,0)/100</f>
        <v>0</v>
      </c>
      <c r="E436" s="93" t="str">
        <f t="shared" si="1"/>
        <v>#N/A</v>
      </c>
      <c r="F436" s="170">
        <f>IF(ISERROR(1/VLOOKUP(B436,Capa!A:AC,13,0)),0,1/VLOOKUP(B436,Capa!A:AC,13,0))</f>
        <v>0</v>
      </c>
      <c r="G436" s="171">
        <f t="shared" si="2"/>
        <v>329.000329</v>
      </c>
      <c r="H436" s="172" t="str">
        <f t="shared" si="3"/>
        <v>#N/A</v>
      </c>
      <c r="M436" s="167" t="s">
        <v>579</v>
      </c>
      <c r="N436" s="168">
        <f>VLOOKUP(M436,'Dados StatusInvest'!$A:$Z,26,0)</f>
        <v>0</v>
      </c>
      <c r="O436" s="175">
        <f>VLOOKUP(M436,'Dados StatusInvest'!$A:$Z,18,0)/100</f>
        <v>0.1069</v>
      </c>
      <c r="P436" s="176" t="str">
        <f t="shared" si="5"/>
        <v>#N/A</v>
      </c>
      <c r="Q436" s="177">
        <f>IF(ISERROR(1/VLOOKUP(M436,Capa!A:AC,6,0)),0,1/VLOOKUP(M436,Capa!A:AC,6,0))</f>
        <v>0</v>
      </c>
      <c r="R436" s="178">
        <f t="shared" si="6"/>
        <v>399.000399</v>
      </c>
      <c r="S436" s="179" t="str">
        <f t="shared" si="7"/>
        <v>#N/A</v>
      </c>
    </row>
    <row r="437">
      <c r="A437" s="143"/>
      <c r="B437" s="167" t="s">
        <v>496</v>
      </c>
      <c r="C437" s="181">
        <f>VLOOKUP(B437,'Dados StatusInvest'!$A:$Z,26,0)</f>
        <v>15051</v>
      </c>
      <c r="D437" s="169">
        <f>VLOOKUP(B437,'Dados StatusInvest'!$A:$Z,20,0)/100</f>
        <v>0</v>
      </c>
      <c r="E437" s="93" t="str">
        <f t="shared" si="1"/>
        <v>#N/A</v>
      </c>
      <c r="F437" s="170">
        <f>IF(ISERROR(1/VLOOKUP(B437,Capa!A:AC,13,0)),0,1/VLOOKUP(B437,Capa!A:AC,13,0))</f>
        <v>0.07936507937</v>
      </c>
      <c r="G437" s="171">
        <f t="shared" si="2"/>
        <v>97.000097</v>
      </c>
      <c r="H437" s="172" t="str">
        <f t="shared" si="3"/>
        <v>#N/A</v>
      </c>
      <c r="M437" s="167" t="s">
        <v>496</v>
      </c>
      <c r="N437" s="168">
        <f>VLOOKUP(M437,'Dados StatusInvest'!$A:$Z,26,0)</f>
        <v>15051</v>
      </c>
      <c r="O437" s="175">
        <f>VLOOKUP(M437,'Dados StatusInvest'!$A:$Z,18,0)/100</f>
        <v>0.0209</v>
      </c>
      <c r="P437" s="176" t="str">
        <f t="shared" si="5"/>
        <v>#N/A</v>
      </c>
      <c r="Q437" s="177">
        <f>IF(ISERROR(1/VLOOKUP(M437,Capa!A:AC,6,0)),0,1/VLOOKUP(M437,Capa!A:AC,6,0))</f>
        <v>0.02222716159</v>
      </c>
      <c r="R437" s="178">
        <f t="shared" si="6"/>
        <v>271.000271</v>
      </c>
      <c r="S437" s="179" t="str">
        <f t="shared" si="7"/>
        <v>#N/A</v>
      </c>
    </row>
    <row r="438">
      <c r="A438" s="143"/>
      <c r="B438" s="167" t="s">
        <v>545</v>
      </c>
      <c r="C438" s="181">
        <f>VLOOKUP(B438,'Dados StatusInvest'!$A:$Z,26,0)</f>
        <v>0</v>
      </c>
      <c r="D438" s="169">
        <f>VLOOKUP(B438,'Dados StatusInvest'!$A:$Z,20,0)/100</f>
        <v>-0.0707</v>
      </c>
      <c r="E438" s="93" t="str">
        <f t="shared" si="1"/>
        <v>#N/A</v>
      </c>
      <c r="F438" s="170">
        <f>IF(ISERROR(1/VLOOKUP(B438,Capa!A:AC,13,0)),0,1/VLOOKUP(B438,Capa!A:AC,13,0))</f>
        <v>-0.02547770701</v>
      </c>
      <c r="G438" s="171">
        <f t="shared" si="2"/>
        <v>413.000413</v>
      </c>
      <c r="H438" s="172" t="str">
        <f t="shared" si="3"/>
        <v>#N/A</v>
      </c>
      <c r="M438" s="167" t="s">
        <v>545</v>
      </c>
      <c r="N438" s="168">
        <f>VLOOKUP(M438,'Dados StatusInvest'!$A:$Z,26,0)</f>
        <v>0</v>
      </c>
      <c r="O438" s="175">
        <f>VLOOKUP(M438,'Dados StatusInvest'!$A:$Z,18,0)/100</f>
        <v>-0.0463</v>
      </c>
      <c r="P438" s="176" t="str">
        <f t="shared" si="5"/>
        <v>#N/A</v>
      </c>
      <c r="Q438" s="177">
        <f>IF(ISERROR(1/VLOOKUP(M438,Capa!A:AC,6,0)),0,1/VLOOKUP(M438,Capa!A:AC,6,0))</f>
        <v>0.01874414246</v>
      </c>
      <c r="R438" s="178">
        <f t="shared" si="6"/>
        <v>298.000298</v>
      </c>
      <c r="S438" s="179" t="str">
        <f t="shared" si="7"/>
        <v>#N/A</v>
      </c>
    </row>
    <row r="439">
      <c r="A439" s="143"/>
      <c r="B439" s="167" t="s">
        <v>588</v>
      </c>
      <c r="C439" s="181">
        <f>VLOOKUP(B439,'Dados StatusInvest'!$A:$Z,26,0)</f>
        <v>0</v>
      </c>
      <c r="D439" s="169">
        <f>VLOOKUP(B439,'Dados StatusInvest'!$A:$Z,20,0)/100</f>
        <v>0.1382</v>
      </c>
      <c r="E439" s="93" t="str">
        <f t="shared" si="1"/>
        <v>#N/A</v>
      </c>
      <c r="F439" s="170">
        <f>IF(ISERROR(1/VLOOKUP(B439,Capa!A:AC,13,0)),0,1/VLOOKUP(B439,Capa!A:AC,13,0))</f>
        <v>0</v>
      </c>
      <c r="G439" s="171">
        <f t="shared" si="2"/>
        <v>329.000329</v>
      </c>
      <c r="H439" s="172" t="str">
        <f t="shared" si="3"/>
        <v>#N/A</v>
      </c>
      <c r="M439" s="167" t="s">
        <v>588</v>
      </c>
      <c r="N439" s="168">
        <f>VLOOKUP(M439,'Dados StatusInvest'!$A:$Z,26,0)</f>
        <v>0</v>
      </c>
      <c r="O439" s="175">
        <f>VLOOKUP(M439,'Dados StatusInvest'!$A:$Z,18,0)/100</f>
        <v>0.4309</v>
      </c>
      <c r="P439" s="176" t="str">
        <f t="shared" si="5"/>
        <v>#N/A</v>
      </c>
      <c r="Q439" s="177">
        <f>IF(ISERROR(1/VLOOKUP(M439,Capa!A:AC,6,0)),0,1/VLOOKUP(M439,Capa!A:AC,6,0))</f>
        <v>0</v>
      </c>
      <c r="R439" s="178">
        <f t="shared" si="6"/>
        <v>399.000399</v>
      </c>
      <c r="S439" s="179" t="str">
        <f t="shared" si="7"/>
        <v>#N/A</v>
      </c>
    </row>
    <row r="440">
      <c r="A440" s="143"/>
      <c r="B440" s="167" t="s">
        <v>486</v>
      </c>
      <c r="C440" s="181">
        <f>VLOOKUP(B440,'Dados StatusInvest'!$A:$Z,26,0)</f>
        <v>14800</v>
      </c>
      <c r="D440" s="169">
        <f>VLOOKUP(B440,'Dados StatusInvest'!$A:$Z,20,0)/100</f>
        <v>0.026</v>
      </c>
      <c r="E440" s="93" t="str">
        <f t="shared" si="1"/>
        <v>#N/A</v>
      </c>
      <c r="F440" s="170">
        <f>IF(ISERROR(1/VLOOKUP(B440,Capa!A:AC,13,0)),0,1/VLOOKUP(B440,Capa!A:AC,13,0))</f>
        <v>0</v>
      </c>
      <c r="G440" s="171">
        <f t="shared" si="2"/>
        <v>329.000329</v>
      </c>
      <c r="H440" s="172" t="str">
        <f t="shared" si="3"/>
        <v>#N/A</v>
      </c>
      <c r="M440" s="167" t="s">
        <v>486</v>
      </c>
      <c r="N440" s="168">
        <f>VLOOKUP(M440,'Dados StatusInvest'!$A:$Z,26,0)</f>
        <v>14800</v>
      </c>
      <c r="O440" s="175">
        <f>VLOOKUP(M440,'Dados StatusInvest'!$A:$Z,18,0)/100</f>
        <v>-0.0262</v>
      </c>
      <c r="P440" s="176" t="str">
        <f t="shared" si="5"/>
        <v>#N/A</v>
      </c>
      <c r="Q440" s="177">
        <f>IF(ISERROR(1/VLOOKUP(M440,Capa!A:AC,6,0)),0,1/VLOOKUP(M440,Capa!A:AC,6,0))</f>
        <v>0.01030927835</v>
      </c>
      <c r="R440" s="178">
        <f t="shared" si="6"/>
        <v>361.000361</v>
      </c>
      <c r="S440" s="179" t="str">
        <f t="shared" si="7"/>
        <v>#N/A</v>
      </c>
    </row>
    <row r="441">
      <c r="A441" s="143"/>
      <c r="B441" s="167" t="s">
        <v>546</v>
      </c>
      <c r="C441" s="181">
        <f>VLOOKUP(B441,'Dados StatusInvest'!$A:$Z,26,0)</f>
        <v>0</v>
      </c>
      <c r="D441" s="169">
        <f>VLOOKUP(B441,'Dados StatusInvest'!$A:$Z,20,0)/100</f>
        <v>-0.0347</v>
      </c>
      <c r="E441" s="93" t="str">
        <f t="shared" si="1"/>
        <v>#N/A</v>
      </c>
      <c r="F441" s="170">
        <f>IF(ISERROR(1/VLOOKUP(B441,Capa!A:AC,13,0)),0,1/VLOOKUP(B441,Capa!A:AC,13,0))</f>
        <v>0.1034126163</v>
      </c>
      <c r="G441" s="171">
        <f t="shared" si="2"/>
        <v>70.00007</v>
      </c>
      <c r="H441" s="172" t="str">
        <f t="shared" si="3"/>
        <v>#N/A</v>
      </c>
      <c r="M441" s="167" t="s">
        <v>546</v>
      </c>
      <c r="N441" s="168">
        <f>VLOOKUP(M441,'Dados StatusInvest'!$A:$Z,26,0)</f>
        <v>0</v>
      </c>
      <c r="O441" s="175">
        <f>VLOOKUP(M441,'Dados StatusInvest'!$A:$Z,18,0)/100</f>
        <v>-0.0372</v>
      </c>
      <c r="P441" s="176" t="str">
        <f t="shared" si="5"/>
        <v>#N/A</v>
      </c>
      <c r="Q441" s="177">
        <f>IF(ISERROR(1/VLOOKUP(M441,Capa!A:AC,6,0)),0,1/VLOOKUP(M441,Capa!A:AC,6,0))</f>
        <v>0.02083767452</v>
      </c>
      <c r="R441" s="178">
        <f t="shared" si="6"/>
        <v>285.000285</v>
      </c>
      <c r="S441" s="179" t="str">
        <f t="shared" si="7"/>
        <v>#N/A</v>
      </c>
    </row>
    <row r="442">
      <c r="A442" s="143"/>
      <c r="B442" s="167" t="s">
        <v>549</v>
      </c>
      <c r="C442" s="181">
        <f>VLOOKUP(B442,'Dados StatusInvest'!$A:$Z,26,0)</f>
        <v>0</v>
      </c>
      <c r="D442" s="169">
        <f>VLOOKUP(B442,'Dados StatusInvest'!$A:$Z,20,0)/100</f>
        <v>0.0636</v>
      </c>
      <c r="E442" s="93" t="str">
        <f t="shared" si="1"/>
        <v>#N/A</v>
      </c>
      <c r="F442" s="170">
        <f>IF(ISERROR(1/VLOOKUP(B442,Capa!A:AC,13,0)),0,1/VLOOKUP(B442,Capa!A:AC,13,0))</f>
        <v>0.04664179104</v>
      </c>
      <c r="G442" s="171">
        <f t="shared" si="2"/>
        <v>181.000181</v>
      </c>
      <c r="H442" s="172" t="str">
        <f t="shared" si="3"/>
        <v>#N/A</v>
      </c>
      <c r="M442" s="167" t="s">
        <v>549</v>
      </c>
      <c r="N442" s="168">
        <f>VLOOKUP(M442,'Dados StatusInvest'!$A:$Z,26,0)</f>
        <v>0</v>
      </c>
      <c r="O442" s="175">
        <f>VLOOKUP(M442,'Dados StatusInvest'!$A:$Z,18,0)/100</f>
        <v>0.0838</v>
      </c>
      <c r="P442" s="176" t="str">
        <f t="shared" si="5"/>
        <v>#N/A</v>
      </c>
      <c r="Q442" s="177">
        <f>IF(ISERROR(1/VLOOKUP(M442,Capa!A:AC,6,0)),0,1/VLOOKUP(M442,Capa!A:AC,6,0))</f>
        <v>0.02</v>
      </c>
      <c r="R442" s="178">
        <f t="shared" si="6"/>
        <v>294.000294</v>
      </c>
      <c r="S442" s="179" t="str">
        <f t="shared" si="7"/>
        <v>#N/A</v>
      </c>
    </row>
    <row r="443">
      <c r="A443" s="143"/>
      <c r="B443" s="167" t="s">
        <v>440</v>
      </c>
      <c r="C443" s="181">
        <f>VLOOKUP(B443,'Dados StatusInvest'!$A:$Z,26,0)</f>
        <v>42600</v>
      </c>
      <c r="D443" s="169">
        <f>VLOOKUP(B443,'Dados StatusInvest'!$A:$Z,20,0)/100</f>
        <v>0.7388</v>
      </c>
      <c r="E443" s="93" t="str">
        <f t="shared" si="1"/>
        <v>#N/A</v>
      </c>
      <c r="F443" s="170">
        <f>IF(ISERROR(1/VLOOKUP(B443,Capa!A:AC,13,0)),0,1/VLOOKUP(B443,Capa!A:AC,13,0))</f>
        <v>-0.0001144321875</v>
      </c>
      <c r="G443" s="171">
        <f t="shared" si="2"/>
        <v>384.000384</v>
      </c>
      <c r="H443" s="172" t="str">
        <f t="shared" si="3"/>
        <v>#N/A</v>
      </c>
      <c r="M443" s="167" t="s">
        <v>440</v>
      </c>
      <c r="N443" s="168">
        <f>VLOOKUP(M443,'Dados StatusInvest'!$A:$Z,26,0)</f>
        <v>42600</v>
      </c>
      <c r="O443" s="175">
        <f>VLOOKUP(M443,'Dados StatusInvest'!$A:$Z,18,0)/100</f>
        <v>-0.3124</v>
      </c>
      <c r="P443" s="176" t="str">
        <f t="shared" si="5"/>
        <v>#N/A</v>
      </c>
      <c r="Q443" s="177">
        <f>IF(ISERROR(1/VLOOKUP(M443,Capa!A:AC,6,0)),0,1/VLOOKUP(M443,Capa!A:AC,6,0))</f>
        <v>0.005463883729</v>
      </c>
      <c r="R443" s="178">
        <f t="shared" si="6"/>
        <v>387.000387</v>
      </c>
      <c r="S443" s="179" t="str">
        <f t="shared" si="7"/>
        <v>#N/A</v>
      </c>
    </row>
    <row r="444">
      <c r="A444" s="143"/>
      <c r="B444" s="143"/>
      <c r="C444" s="182"/>
      <c r="D444" s="147"/>
      <c r="E444" s="147"/>
      <c r="F444" s="183"/>
      <c r="G444" s="171"/>
      <c r="H444" s="171"/>
      <c r="M444" s="143"/>
      <c r="N444" s="147"/>
      <c r="O444" s="147"/>
      <c r="P444" s="147"/>
      <c r="Q444" s="147"/>
      <c r="R444" s="148"/>
      <c r="S444" s="148"/>
    </row>
    <row r="445">
      <c r="A445" s="143"/>
      <c r="B445" s="143"/>
      <c r="C445" s="182"/>
      <c r="D445" s="147"/>
      <c r="E445" s="147"/>
      <c r="F445" s="183"/>
      <c r="G445" s="171"/>
      <c r="H445" s="171"/>
      <c r="M445" s="143"/>
      <c r="N445" s="147"/>
      <c r="O445" s="147"/>
      <c r="P445" s="147"/>
      <c r="Q445" s="147"/>
      <c r="R445" s="148"/>
      <c r="S445" s="148"/>
    </row>
    <row r="446">
      <c r="A446" s="143"/>
      <c r="B446" s="143"/>
      <c r="C446" s="182"/>
      <c r="D446" s="147"/>
      <c r="E446" s="147"/>
      <c r="F446" s="183"/>
      <c r="G446" s="171"/>
      <c r="H446" s="171"/>
      <c r="M446" s="143"/>
      <c r="N446" s="147"/>
      <c r="O446" s="147"/>
      <c r="P446" s="147"/>
      <c r="Q446" s="147"/>
      <c r="R446" s="148"/>
      <c r="S446" s="148"/>
    </row>
    <row r="447">
      <c r="A447" s="143"/>
      <c r="B447" s="143"/>
      <c r="C447" s="182"/>
      <c r="D447" s="147"/>
      <c r="E447" s="147"/>
      <c r="F447" s="183"/>
      <c r="G447" s="171"/>
      <c r="H447" s="171"/>
      <c r="M447" s="143"/>
      <c r="N447" s="147"/>
      <c r="O447" s="147"/>
      <c r="P447" s="147"/>
      <c r="Q447" s="147"/>
      <c r="R447" s="148"/>
      <c r="S447" s="148"/>
    </row>
    <row r="448">
      <c r="A448" s="143"/>
      <c r="B448" s="143"/>
      <c r="C448" s="182"/>
      <c r="D448" s="147"/>
      <c r="E448" s="147"/>
      <c r="F448" s="183"/>
      <c r="G448" s="171"/>
      <c r="H448" s="171"/>
      <c r="M448" s="143"/>
      <c r="N448" s="147"/>
      <c r="O448" s="147"/>
      <c r="P448" s="147"/>
      <c r="Q448" s="147"/>
      <c r="R448" s="148"/>
      <c r="S448" s="148"/>
    </row>
    <row r="449">
      <c r="A449" s="143"/>
      <c r="B449" s="143"/>
      <c r="C449" s="182"/>
      <c r="D449" s="147"/>
      <c r="E449" s="147"/>
      <c r="F449" s="183"/>
      <c r="G449" s="171"/>
      <c r="H449" s="171"/>
      <c r="M449" s="143"/>
      <c r="N449" s="147"/>
      <c r="O449" s="147"/>
      <c r="P449" s="147"/>
      <c r="Q449" s="147"/>
      <c r="R449" s="148"/>
      <c r="S449" s="148"/>
    </row>
    <row r="450">
      <c r="A450" s="143"/>
      <c r="B450" s="143"/>
      <c r="C450" s="182"/>
      <c r="D450" s="147"/>
      <c r="E450" s="147"/>
      <c r="F450" s="183"/>
      <c r="G450" s="171"/>
      <c r="H450" s="171"/>
      <c r="M450" s="143"/>
      <c r="N450" s="147"/>
      <c r="O450" s="147"/>
      <c r="P450" s="147"/>
      <c r="Q450" s="147"/>
      <c r="R450" s="148"/>
      <c r="S450" s="148"/>
    </row>
    <row r="451">
      <c r="A451" s="143"/>
      <c r="B451" s="143"/>
      <c r="C451" s="182"/>
      <c r="D451" s="147"/>
      <c r="E451" s="147"/>
      <c r="F451" s="183"/>
      <c r="G451" s="171"/>
      <c r="H451" s="171"/>
      <c r="M451" s="143"/>
      <c r="N451" s="147"/>
      <c r="O451" s="147"/>
      <c r="P451" s="147"/>
      <c r="Q451" s="147"/>
      <c r="R451" s="148"/>
      <c r="S451" s="148"/>
    </row>
    <row r="452">
      <c r="A452" s="143"/>
      <c r="B452" s="143"/>
      <c r="C452" s="182"/>
      <c r="D452" s="147"/>
      <c r="E452" s="147"/>
      <c r="F452" s="183"/>
      <c r="G452" s="171"/>
      <c r="H452" s="171"/>
      <c r="M452" s="143"/>
      <c r="N452" s="147"/>
      <c r="O452" s="147"/>
      <c r="P452" s="147"/>
      <c r="Q452" s="147"/>
      <c r="R452" s="148"/>
      <c r="S452" s="148"/>
    </row>
    <row r="453">
      <c r="A453" s="143"/>
      <c r="B453" s="143"/>
      <c r="C453" s="182"/>
      <c r="D453" s="147"/>
      <c r="E453" s="147"/>
      <c r="F453" s="183"/>
      <c r="G453" s="171"/>
      <c r="H453" s="171"/>
      <c r="M453" s="143"/>
      <c r="N453" s="147"/>
      <c r="O453" s="147"/>
      <c r="P453" s="147"/>
      <c r="Q453" s="147"/>
      <c r="R453" s="148"/>
      <c r="S453" s="148"/>
    </row>
    <row r="454">
      <c r="A454" s="143"/>
      <c r="B454" s="143"/>
      <c r="C454" s="182"/>
      <c r="D454" s="147"/>
      <c r="E454" s="147"/>
      <c r="F454" s="183"/>
      <c r="G454" s="171"/>
      <c r="H454" s="171"/>
      <c r="M454" s="143"/>
      <c r="N454" s="147"/>
      <c r="O454" s="147"/>
      <c r="P454" s="147"/>
      <c r="Q454" s="147"/>
      <c r="R454" s="148"/>
      <c r="S454" s="148"/>
    </row>
    <row r="455">
      <c r="A455" s="143"/>
      <c r="B455" s="143"/>
      <c r="C455" s="182"/>
      <c r="D455" s="147"/>
      <c r="E455" s="147"/>
      <c r="F455" s="183"/>
      <c r="G455" s="171"/>
      <c r="H455" s="171"/>
      <c r="M455" s="143"/>
      <c r="N455" s="147"/>
      <c r="O455" s="147"/>
      <c r="P455" s="147"/>
      <c r="Q455" s="147"/>
      <c r="R455" s="148"/>
      <c r="S455" s="148"/>
    </row>
    <row r="456">
      <c r="A456" s="143"/>
      <c r="B456" s="143"/>
      <c r="C456" s="182"/>
      <c r="D456" s="147"/>
      <c r="E456" s="147"/>
      <c r="F456" s="183"/>
      <c r="G456" s="171"/>
      <c r="H456" s="171"/>
      <c r="M456" s="143"/>
      <c r="N456" s="147"/>
      <c r="O456" s="147"/>
      <c r="P456" s="147"/>
      <c r="Q456" s="147"/>
      <c r="R456" s="148"/>
      <c r="S456" s="148"/>
    </row>
    <row r="457">
      <c r="A457" s="143"/>
      <c r="B457" s="143"/>
      <c r="C457" s="182"/>
      <c r="D457" s="147"/>
      <c r="E457" s="147"/>
      <c r="F457" s="183"/>
      <c r="G457" s="171"/>
      <c r="H457" s="171"/>
      <c r="M457" s="143"/>
      <c r="N457" s="147"/>
      <c r="O457" s="147"/>
      <c r="P457" s="147"/>
      <c r="Q457" s="147"/>
      <c r="R457" s="148"/>
      <c r="S457" s="148"/>
    </row>
    <row r="458">
      <c r="A458" s="143"/>
      <c r="B458" s="143"/>
      <c r="C458" s="182"/>
      <c r="D458" s="147"/>
      <c r="E458" s="147"/>
      <c r="F458" s="183"/>
      <c r="G458" s="171"/>
      <c r="H458" s="171"/>
      <c r="M458" s="143"/>
      <c r="N458" s="147"/>
      <c r="O458" s="147"/>
      <c r="P458" s="147"/>
      <c r="Q458" s="147"/>
      <c r="R458" s="148"/>
      <c r="S458" s="148"/>
    </row>
    <row r="459">
      <c r="A459" s="143"/>
      <c r="B459" s="143"/>
      <c r="C459" s="182"/>
      <c r="D459" s="147"/>
      <c r="E459" s="147"/>
      <c r="F459" s="183"/>
      <c r="G459" s="171"/>
      <c r="H459" s="171"/>
      <c r="M459" s="143"/>
      <c r="N459" s="147"/>
      <c r="O459" s="147"/>
      <c r="P459" s="147"/>
      <c r="Q459" s="147"/>
      <c r="R459" s="148"/>
      <c r="S459" s="148"/>
    </row>
    <row r="460">
      <c r="A460" s="143"/>
      <c r="B460" s="143"/>
      <c r="C460" s="182"/>
      <c r="D460" s="147"/>
      <c r="E460" s="147"/>
      <c r="F460" s="183"/>
      <c r="G460" s="171"/>
      <c r="H460" s="171"/>
      <c r="M460" s="143"/>
      <c r="N460" s="147"/>
      <c r="O460" s="147"/>
      <c r="P460" s="147"/>
      <c r="Q460" s="147"/>
      <c r="R460" s="148"/>
      <c r="S460" s="148"/>
    </row>
    <row r="461">
      <c r="A461" s="143"/>
      <c r="B461" s="143"/>
      <c r="C461" s="182"/>
      <c r="D461" s="147"/>
      <c r="E461" s="147"/>
      <c r="F461" s="183"/>
      <c r="G461" s="171"/>
      <c r="H461" s="171"/>
      <c r="M461" s="143"/>
      <c r="N461" s="147"/>
      <c r="O461" s="147"/>
      <c r="P461" s="147"/>
      <c r="Q461" s="147"/>
      <c r="R461" s="148"/>
      <c r="S461" s="148"/>
    </row>
    <row r="462">
      <c r="A462" s="143"/>
      <c r="B462" s="143"/>
      <c r="C462" s="182"/>
      <c r="D462" s="147"/>
      <c r="E462" s="147"/>
      <c r="F462" s="183"/>
      <c r="G462" s="171"/>
      <c r="H462" s="171"/>
      <c r="M462" s="143"/>
      <c r="N462" s="147"/>
      <c r="O462" s="147"/>
      <c r="P462" s="147"/>
      <c r="Q462" s="147"/>
      <c r="R462" s="148"/>
      <c r="S462" s="148"/>
    </row>
    <row r="463">
      <c r="A463" s="143"/>
      <c r="B463" s="143"/>
      <c r="C463" s="182"/>
      <c r="D463" s="147"/>
      <c r="E463" s="147"/>
      <c r="F463" s="183"/>
      <c r="G463" s="171"/>
      <c r="H463" s="171"/>
      <c r="M463" s="143"/>
      <c r="N463" s="147"/>
      <c r="O463" s="147"/>
      <c r="P463" s="147"/>
      <c r="Q463" s="147"/>
      <c r="R463" s="148"/>
      <c r="S463" s="148"/>
    </row>
    <row r="464">
      <c r="A464" s="143"/>
      <c r="B464" s="143"/>
      <c r="C464" s="182"/>
      <c r="D464" s="147"/>
      <c r="E464" s="147"/>
      <c r="F464" s="183"/>
      <c r="G464" s="171"/>
      <c r="H464" s="171"/>
      <c r="M464" s="143"/>
      <c r="N464" s="147"/>
      <c r="O464" s="147"/>
      <c r="P464" s="147"/>
      <c r="Q464" s="147"/>
      <c r="R464" s="148"/>
      <c r="S464" s="148"/>
    </row>
    <row r="465">
      <c r="A465" s="143"/>
      <c r="B465" s="143"/>
      <c r="C465" s="182"/>
      <c r="D465" s="147"/>
      <c r="E465" s="147"/>
      <c r="F465" s="183"/>
      <c r="G465" s="171"/>
      <c r="H465" s="171"/>
      <c r="M465" s="143"/>
      <c r="N465" s="147"/>
      <c r="O465" s="147"/>
      <c r="P465" s="147"/>
      <c r="Q465" s="147"/>
      <c r="R465" s="148"/>
      <c r="S465" s="148"/>
    </row>
    <row r="466">
      <c r="A466" s="143"/>
      <c r="B466" s="143"/>
      <c r="C466" s="182"/>
      <c r="D466" s="147"/>
      <c r="E466" s="147"/>
      <c r="F466" s="183"/>
      <c r="G466" s="171"/>
      <c r="H466" s="171"/>
      <c r="M466" s="143"/>
      <c r="N466" s="147"/>
      <c r="O466" s="147"/>
      <c r="P466" s="147"/>
      <c r="Q466" s="147"/>
      <c r="R466" s="148"/>
      <c r="S466" s="148"/>
    </row>
    <row r="467">
      <c r="A467" s="143"/>
      <c r="B467" s="143"/>
      <c r="C467" s="182"/>
      <c r="D467" s="147"/>
      <c r="E467" s="147"/>
      <c r="F467" s="183"/>
      <c r="G467" s="171"/>
      <c r="H467" s="171"/>
      <c r="M467" s="143"/>
      <c r="N467" s="147"/>
      <c r="O467" s="147"/>
      <c r="P467" s="147"/>
      <c r="Q467" s="147"/>
      <c r="R467" s="148"/>
      <c r="S467" s="148"/>
    </row>
    <row r="468">
      <c r="A468" s="143"/>
      <c r="B468" s="143"/>
      <c r="C468" s="182"/>
      <c r="D468" s="147"/>
      <c r="E468" s="147"/>
      <c r="F468" s="183"/>
      <c r="G468" s="171"/>
      <c r="H468" s="171"/>
      <c r="M468" s="143"/>
      <c r="N468" s="147"/>
      <c r="O468" s="147"/>
      <c r="P468" s="147"/>
      <c r="Q468" s="147"/>
      <c r="R468" s="148"/>
      <c r="S468" s="148"/>
    </row>
    <row r="469">
      <c r="A469" s="143"/>
      <c r="B469" s="143"/>
      <c r="C469" s="182"/>
      <c r="D469" s="147"/>
      <c r="E469" s="147"/>
      <c r="F469" s="183"/>
      <c r="G469" s="171"/>
      <c r="H469" s="171"/>
      <c r="M469" s="143"/>
      <c r="N469" s="147"/>
      <c r="O469" s="147"/>
      <c r="P469" s="147"/>
      <c r="Q469" s="147"/>
      <c r="R469" s="148"/>
      <c r="S469" s="148"/>
    </row>
    <row r="470">
      <c r="A470" s="143"/>
      <c r="B470" s="143"/>
      <c r="C470" s="182"/>
      <c r="D470" s="147"/>
      <c r="E470" s="147"/>
      <c r="F470" s="183"/>
      <c r="G470" s="171"/>
      <c r="H470" s="171"/>
      <c r="M470" s="143"/>
      <c r="N470" s="147"/>
      <c r="O470" s="147"/>
      <c r="P470" s="147"/>
      <c r="Q470" s="147"/>
      <c r="R470" s="148"/>
      <c r="S470" s="148"/>
    </row>
    <row r="471">
      <c r="A471" s="143"/>
      <c r="B471" s="143"/>
      <c r="C471" s="182"/>
      <c r="D471" s="147"/>
      <c r="E471" s="147"/>
      <c r="F471" s="183"/>
      <c r="G471" s="171"/>
      <c r="H471" s="171"/>
      <c r="M471" s="143"/>
      <c r="N471" s="147"/>
      <c r="O471" s="147"/>
      <c r="P471" s="147"/>
      <c r="Q471" s="147"/>
      <c r="R471" s="148"/>
      <c r="S471" s="148"/>
    </row>
    <row r="472">
      <c r="A472" s="143"/>
      <c r="B472" s="143"/>
      <c r="C472" s="182"/>
      <c r="D472" s="147"/>
      <c r="E472" s="147"/>
      <c r="F472" s="183"/>
      <c r="G472" s="171"/>
      <c r="H472" s="171"/>
      <c r="M472" s="143"/>
      <c r="N472" s="147"/>
      <c r="O472" s="147"/>
      <c r="P472" s="147"/>
      <c r="Q472" s="147"/>
      <c r="R472" s="148"/>
      <c r="S472" s="148"/>
    </row>
    <row r="473">
      <c r="A473" s="143"/>
      <c r="B473" s="143"/>
      <c r="C473" s="182"/>
      <c r="D473" s="147"/>
      <c r="E473" s="147"/>
      <c r="F473" s="183"/>
      <c r="G473" s="171"/>
      <c r="H473" s="171"/>
      <c r="M473" s="143"/>
      <c r="N473" s="147"/>
      <c r="O473" s="147"/>
      <c r="P473" s="147"/>
      <c r="Q473" s="147"/>
      <c r="R473" s="148"/>
      <c r="S473" s="148"/>
    </row>
    <row r="474">
      <c r="A474" s="143"/>
      <c r="B474" s="143"/>
      <c r="C474" s="182"/>
      <c r="D474" s="147"/>
      <c r="E474" s="147"/>
      <c r="F474" s="183"/>
      <c r="G474" s="171"/>
      <c r="H474" s="171"/>
      <c r="M474" s="143"/>
      <c r="N474" s="147"/>
      <c r="O474" s="147"/>
      <c r="P474" s="147"/>
      <c r="Q474" s="147"/>
      <c r="R474" s="148"/>
      <c r="S474" s="148"/>
    </row>
    <row r="475">
      <c r="A475" s="143"/>
      <c r="B475" s="143"/>
      <c r="C475" s="182"/>
      <c r="D475" s="147"/>
      <c r="E475" s="147"/>
      <c r="F475" s="183"/>
      <c r="G475" s="171"/>
      <c r="H475" s="171"/>
      <c r="M475" s="143"/>
      <c r="N475" s="147"/>
      <c r="O475" s="147"/>
      <c r="P475" s="147"/>
      <c r="Q475" s="147"/>
      <c r="R475" s="148"/>
      <c r="S475" s="148"/>
    </row>
    <row r="476">
      <c r="A476" s="143"/>
      <c r="B476" s="143"/>
      <c r="C476" s="182"/>
      <c r="D476" s="147"/>
      <c r="E476" s="147"/>
      <c r="F476" s="183"/>
      <c r="G476" s="171"/>
      <c r="H476" s="171"/>
      <c r="M476" s="143"/>
      <c r="N476" s="147"/>
      <c r="O476" s="147"/>
      <c r="P476" s="147"/>
      <c r="Q476" s="147"/>
      <c r="R476" s="148"/>
      <c r="S476" s="148"/>
    </row>
    <row r="477">
      <c r="A477" s="143"/>
      <c r="B477" s="143"/>
      <c r="C477" s="182"/>
      <c r="D477" s="147"/>
      <c r="E477" s="147"/>
      <c r="F477" s="183"/>
      <c r="G477" s="171"/>
      <c r="H477" s="171"/>
      <c r="M477" s="143"/>
      <c r="N477" s="147"/>
      <c r="O477" s="147"/>
      <c r="P477" s="147"/>
      <c r="Q477" s="147"/>
      <c r="R477" s="148"/>
      <c r="S477" s="148"/>
    </row>
    <row r="478">
      <c r="A478" s="143"/>
      <c r="B478" s="143"/>
      <c r="C478" s="182"/>
      <c r="D478" s="147"/>
      <c r="E478" s="147"/>
      <c r="F478" s="183"/>
      <c r="G478" s="171"/>
      <c r="H478" s="171"/>
      <c r="M478" s="143"/>
      <c r="N478" s="147"/>
      <c r="O478" s="147"/>
      <c r="P478" s="147"/>
      <c r="Q478" s="147"/>
      <c r="R478" s="148"/>
      <c r="S478" s="148"/>
    </row>
    <row r="479">
      <c r="A479" s="143"/>
      <c r="B479" s="143"/>
      <c r="C479" s="182"/>
      <c r="D479" s="147"/>
      <c r="E479" s="147"/>
      <c r="F479" s="183"/>
      <c r="G479" s="171"/>
      <c r="H479" s="171"/>
      <c r="M479" s="143"/>
      <c r="N479" s="147"/>
      <c r="O479" s="147"/>
      <c r="P479" s="147"/>
      <c r="Q479" s="147"/>
      <c r="R479" s="148"/>
      <c r="S479" s="148"/>
    </row>
    <row r="480">
      <c r="A480" s="143"/>
      <c r="B480" s="143"/>
      <c r="C480" s="182"/>
      <c r="D480" s="147"/>
      <c r="E480" s="147"/>
      <c r="F480" s="183"/>
      <c r="G480" s="171"/>
      <c r="H480" s="171"/>
      <c r="M480" s="143"/>
      <c r="N480" s="147"/>
      <c r="O480" s="147"/>
      <c r="P480" s="147"/>
      <c r="Q480" s="147"/>
      <c r="R480" s="148"/>
      <c r="S480" s="148"/>
    </row>
    <row r="481">
      <c r="A481" s="143"/>
      <c r="B481" s="143"/>
      <c r="C481" s="182"/>
      <c r="D481" s="147"/>
      <c r="E481" s="147"/>
      <c r="F481" s="183"/>
      <c r="G481" s="171"/>
      <c r="H481" s="171"/>
      <c r="M481" s="143"/>
      <c r="N481" s="147"/>
      <c r="O481" s="147"/>
      <c r="P481" s="147"/>
      <c r="Q481" s="147"/>
      <c r="R481" s="148"/>
      <c r="S481" s="148"/>
    </row>
    <row r="482">
      <c r="A482" s="143"/>
      <c r="B482" s="143"/>
      <c r="C482" s="182"/>
      <c r="D482" s="147"/>
      <c r="E482" s="147"/>
      <c r="F482" s="183"/>
      <c r="G482" s="171"/>
      <c r="H482" s="171"/>
      <c r="M482" s="143"/>
      <c r="N482" s="147"/>
      <c r="O482" s="147"/>
      <c r="P482" s="147"/>
      <c r="Q482" s="147"/>
      <c r="R482" s="148"/>
      <c r="S482" s="148"/>
    </row>
    <row r="483">
      <c r="A483" s="143"/>
      <c r="B483" s="143"/>
      <c r="C483" s="182"/>
      <c r="D483" s="147"/>
      <c r="E483" s="147"/>
      <c r="F483" s="183"/>
      <c r="G483" s="171"/>
      <c r="H483" s="171"/>
      <c r="M483" s="143"/>
      <c r="N483" s="147"/>
      <c r="O483" s="147"/>
      <c r="P483" s="147"/>
      <c r="Q483" s="147"/>
      <c r="R483" s="148"/>
      <c r="S483" s="148"/>
    </row>
    <row r="484">
      <c r="A484" s="143"/>
      <c r="B484" s="143"/>
      <c r="C484" s="182"/>
      <c r="D484" s="147"/>
      <c r="E484" s="147"/>
      <c r="F484" s="183"/>
      <c r="G484" s="171"/>
      <c r="H484" s="171"/>
      <c r="M484" s="143"/>
      <c r="N484" s="147"/>
      <c r="O484" s="147"/>
      <c r="P484" s="147"/>
      <c r="Q484" s="147"/>
      <c r="R484" s="148"/>
      <c r="S484" s="148"/>
    </row>
    <row r="485">
      <c r="A485" s="143"/>
      <c r="B485" s="143"/>
      <c r="C485" s="182"/>
      <c r="D485" s="147"/>
      <c r="E485" s="147"/>
      <c r="F485" s="183"/>
      <c r="G485" s="171"/>
      <c r="H485" s="171"/>
      <c r="M485" s="143"/>
      <c r="N485" s="147"/>
      <c r="O485" s="147"/>
      <c r="P485" s="147"/>
      <c r="Q485" s="147"/>
      <c r="R485" s="148"/>
      <c r="S485" s="148"/>
    </row>
    <row r="486">
      <c r="A486" s="143"/>
      <c r="B486" s="143"/>
      <c r="C486" s="182"/>
      <c r="D486" s="147"/>
      <c r="E486" s="147"/>
      <c r="F486" s="183"/>
      <c r="G486" s="171"/>
      <c r="H486" s="171"/>
      <c r="M486" s="143"/>
      <c r="N486" s="147"/>
      <c r="O486" s="147"/>
      <c r="P486" s="147"/>
      <c r="Q486" s="147"/>
      <c r="R486" s="148"/>
      <c r="S486" s="148"/>
    </row>
    <row r="487">
      <c r="A487" s="143"/>
      <c r="B487" s="143"/>
      <c r="C487" s="182"/>
      <c r="D487" s="147"/>
      <c r="E487" s="147"/>
      <c r="F487" s="183"/>
      <c r="G487" s="171"/>
      <c r="H487" s="171"/>
      <c r="M487" s="143"/>
      <c r="N487" s="147"/>
      <c r="O487" s="147"/>
      <c r="P487" s="147"/>
      <c r="Q487" s="147"/>
      <c r="R487" s="148"/>
      <c r="S487" s="148"/>
    </row>
    <row r="488">
      <c r="A488" s="143"/>
      <c r="B488" s="143"/>
      <c r="C488" s="182"/>
      <c r="D488" s="147"/>
      <c r="E488" s="147"/>
      <c r="F488" s="183"/>
      <c r="G488" s="171"/>
      <c r="H488" s="171"/>
      <c r="M488" s="143"/>
      <c r="N488" s="147"/>
      <c r="O488" s="147"/>
      <c r="P488" s="147"/>
      <c r="Q488" s="147"/>
      <c r="R488" s="148"/>
      <c r="S488" s="148"/>
    </row>
    <row r="489">
      <c r="A489" s="143"/>
      <c r="B489" s="143"/>
      <c r="C489" s="182"/>
      <c r="D489" s="147"/>
      <c r="E489" s="147"/>
      <c r="F489" s="183"/>
      <c r="G489" s="171"/>
      <c r="H489" s="171"/>
      <c r="M489" s="143"/>
      <c r="N489" s="147"/>
      <c r="O489" s="147"/>
      <c r="P489" s="147"/>
      <c r="Q489" s="147"/>
      <c r="R489" s="148"/>
      <c r="S489" s="148"/>
    </row>
    <row r="490">
      <c r="A490" s="143"/>
      <c r="B490" s="143"/>
      <c r="C490" s="182"/>
      <c r="D490" s="147"/>
      <c r="E490" s="147"/>
      <c r="F490" s="183"/>
      <c r="G490" s="171"/>
      <c r="H490" s="171"/>
      <c r="M490" s="143"/>
      <c r="N490" s="147"/>
      <c r="O490" s="147"/>
      <c r="P490" s="147"/>
      <c r="Q490" s="147"/>
      <c r="R490" s="148"/>
      <c r="S490" s="148"/>
    </row>
    <row r="491">
      <c r="A491" s="143"/>
      <c r="B491" s="143"/>
      <c r="C491" s="182"/>
      <c r="D491" s="147"/>
      <c r="E491" s="147"/>
      <c r="F491" s="183"/>
      <c r="G491" s="171"/>
      <c r="H491" s="171"/>
      <c r="M491" s="143"/>
      <c r="N491" s="147"/>
      <c r="O491" s="147"/>
      <c r="P491" s="147"/>
      <c r="Q491" s="147"/>
      <c r="R491" s="148"/>
      <c r="S491" s="148"/>
    </row>
    <row r="492">
      <c r="A492" s="143"/>
      <c r="B492" s="143"/>
      <c r="C492" s="182"/>
      <c r="D492" s="147"/>
      <c r="E492" s="147"/>
      <c r="F492" s="183"/>
      <c r="G492" s="171"/>
      <c r="H492" s="171"/>
      <c r="M492" s="143"/>
      <c r="N492" s="147"/>
      <c r="O492" s="147"/>
      <c r="P492" s="147"/>
      <c r="Q492" s="147"/>
      <c r="R492" s="148"/>
      <c r="S492" s="148"/>
    </row>
    <row r="493">
      <c r="A493" s="143"/>
      <c r="B493" s="143"/>
      <c r="C493" s="182"/>
      <c r="D493" s="147"/>
      <c r="E493" s="147"/>
      <c r="F493" s="183"/>
      <c r="G493" s="171"/>
      <c r="H493" s="171"/>
      <c r="M493" s="143"/>
      <c r="N493" s="147"/>
      <c r="O493" s="147"/>
      <c r="P493" s="147"/>
      <c r="Q493" s="147"/>
      <c r="R493" s="148"/>
      <c r="S493" s="148"/>
    </row>
    <row r="494">
      <c r="A494" s="143"/>
      <c r="B494" s="143"/>
      <c r="C494" s="182"/>
      <c r="D494" s="147"/>
      <c r="E494" s="147"/>
      <c r="F494" s="183"/>
      <c r="G494" s="171"/>
      <c r="H494" s="171"/>
      <c r="M494" s="143"/>
      <c r="N494" s="147"/>
      <c r="O494" s="147"/>
      <c r="P494" s="147"/>
      <c r="Q494" s="147"/>
      <c r="R494" s="148"/>
      <c r="S494" s="148"/>
    </row>
    <row r="495">
      <c r="A495" s="143"/>
      <c r="B495" s="143"/>
      <c r="C495" s="182"/>
      <c r="D495" s="147"/>
      <c r="E495" s="147"/>
      <c r="F495" s="183"/>
      <c r="G495" s="171"/>
      <c r="H495" s="171"/>
      <c r="M495" s="143"/>
      <c r="N495" s="147"/>
      <c r="O495" s="147"/>
      <c r="P495" s="147"/>
      <c r="Q495" s="147"/>
      <c r="R495" s="148"/>
      <c r="S495" s="148"/>
    </row>
    <row r="496">
      <c r="A496" s="143"/>
      <c r="B496" s="143"/>
      <c r="C496" s="182"/>
      <c r="D496" s="147"/>
      <c r="E496" s="147"/>
      <c r="F496" s="183"/>
      <c r="G496" s="171"/>
      <c r="H496" s="171"/>
      <c r="M496" s="143"/>
      <c r="N496" s="147"/>
      <c r="O496" s="147"/>
      <c r="P496" s="147"/>
      <c r="Q496" s="147"/>
      <c r="R496" s="148"/>
      <c r="S496" s="148"/>
    </row>
    <row r="497">
      <c r="A497" s="143"/>
      <c r="B497" s="143"/>
      <c r="C497" s="182"/>
      <c r="D497" s="147"/>
      <c r="E497" s="147"/>
      <c r="F497" s="183"/>
      <c r="G497" s="171"/>
      <c r="H497" s="171"/>
      <c r="M497" s="143"/>
      <c r="N497" s="147"/>
      <c r="O497" s="147"/>
      <c r="P497" s="147"/>
      <c r="Q497" s="147"/>
      <c r="R497" s="148"/>
      <c r="S497" s="148"/>
    </row>
    <row r="498">
      <c r="A498" s="143"/>
      <c r="B498" s="143"/>
      <c r="C498" s="182"/>
      <c r="D498" s="147"/>
      <c r="E498" s="147"/>
      <c r="F498" s="183"/>
      <c r="G498" s="171"/>
      <c r="H498" s="171"/>
      <c r="M498" s="143"/>
      <c r="N498" s="147"/>
      <c r="O498" s="147"/>
      <c r="P498" s="147"/>
      <c r="Q498" s="147"/>
      <c r="R498" s="148"/>
      <c r="S498" s="148"/>
    </row>
    <row r="499">
      <c r="A499" s="143"/>
      <c r="B499" s="143"/>
      <c r="C499" s="182"/>
      <c r="D499" s="147"/>
      <c r="E499" s="147"/>
      <c r="F499" s="183"/>
      <c r="G499" s="171"/>
      <c r="H499" s="171"/>
      <c r="M499" s="143"/>
      <c r="N499" s="147"/>
      <c r="O499" s="147"/>
      <c r="P499" s="147"/>
      <c r="Q499" s="147"/>
      <c r="R499" s="148"/>
      <c r="S499" s="148"/>
    </row>
    <row r="500">
      <c r="A500" s="143"/>
      <c r="B500" s="143"/>
      <c r="C500" s="182"/>
      <c r="D500" s="147"/>
      <c r="E500" s="147"/>
      <c r="F500" s="183"/>
      <c r="G500" s="171"/>
      <c r="H500" s="171"/>
      <c r="M500" s="143"/>
      <c r="N500" s="147"/>
      <c r="O500" s="147"/>
      <c r="P500" s="147"/>
      <c r="Q500" s="147"/>
      <c r="R500" s="148"/>
      <c r="S500" s="148"/>
    </row>
    <row r="501">
      <c r="A501" s="143"/>
      <c r="B501" s="143"/>
      <c r="C501" s="182"/>
      <c r="D501" s="147"/>
      <c r="E501" s="147"/>
      <c r="F501" s="183"/>
      <c r="G501" s="171"/>
      <c r="H501" s="171"/>
      <c r="M501" s="143"/>
      <c r="N501" s="147"/>
      <c r="O501" s="147"/>
      <c r="P501" s="147"/>
      <c r="Q501" s="147"/>
      <c r="R501" s="148"/>
      <c r="S501" s="148"/>
    </row>
    <row r="502">
      <c r="A502" s="143"/>
      <c r="B502" s="143"/>
      <c r="C502" s="182"/>
      <c r="D502" s="147"/>
      <c r="E502" s="147"/>
      <c r="F502" s="183"/>
      <c r="G502" s="171"/>
      <c r="H502" s="171"/>
      <c r="M502" s="143"/>
      <c r="N502" s="147"/>
      <c r="O502" s="147"/>
      <c r="P502" s="147"/>
      <c r="Q502" s="147"/>
      <c r="R502" s="148"/>
      <c r="S502" s="148"/>
    </row>
    <row r="503">
      <c r="A503" s="143"/>
      <c r="B503" s="143"/>
      <c r="C503" s="182"/>
      <c r="D503" s="147"/>
      <c r="E503" s="147"/>
      <c r="F503" s="183"/>
      <c r="G503" s="171"/>
      <c r="H503" s="171"/>
      <c r="M503" s="143"/>
      <c r="N503" s="147"/>
      <c r="O503" s="147"/>
      <c r="P503" s="147"/>
      <c r="Q503" s="147"/>
      <c r="R503" s="148"/>
      <c r="S503" s="148"/>
    </row>
    <row r="504">
      <c r="A504" s="143"/>
      <c r="B504" s="143"/>
      <c r="C504" s="182"/>
      <c r="D504" s="147"/>
      <c r="E504" s="147"/>
      <c r="F504" s="183"/>
      <c r="G504" s="171"/>
      <c r="H504" s="171"/>
      <c r="M504" s="143"/>
      <c r="N504" s="147"/>
      <c r="O504" s="147"/>
      <c r="P504" s="147"/>
      <c r="Q504" s="147"/>
      <c r="R504" s="148"/>
      <c r="S504" s="148"/>
    </row>
    <row r="505">
      <c r="A505" s="143"/>
      <c r="B505" s="143"/>
      <c r="C505" s="182"/>
      <c r="D505" s="147"/>
      <c r="E505" s="147"/>
      <c r="F505" s="183"/>
      <c r="G505" s="171"/>
      <c r="H505" s="171"/>
      <c r="M505" s="143"/>
      <c r="N505" s="147"/>
      <c r="O505" s="147"/>
      <c r="P505" s="147"/>
      <c r="Q505" s="147"/>
      <c r="R505" s="148"/>
      <c r="S505" s="148"/>
    </row>
    <row r="506">
      <c r="A506" s="143"/>
      <c r="B506" s="143"/>
      <c r="C506" s="182"/>
      <c r="D506" s="147"/>
      <c r="E506" s="147"/>
      <c r="F506" s="183"/>
      <c r="G506" s="171"/>
      <c r="H506" s="171"/>
      <c r="M506" s="143"/>
      <c r="N506" s="147"/>
      <c r="O506" s="147"/>
      <c r="P506" s="147"/>
      <c r="Q506" s="147"/>
      <c r="R506" s="148"/>
      <c r="S506" s="148"/>
    </row>
    <row r="507">
      <c r="A507" s="143"/>
      <c r="B507" s="143"/>
      <c r="C507" s="182"/>
      <c r="D507" s="147"/>
      <c r="E507" s="147"/>
      <c r="F507" s="183"/>
      <c r="G507" s="171"/>
      <c r="H507" s="171"/>
      <c r="M507" s="143"/>
      <c r="N507" s="147"/>
      <c r="O507" s="147"/>
      <c r="P507" s="147"/>
      <c r="Q507" s="147"/>
      <c r="R507" s="148"/>
      <c r="S507" s="148"/>
    </row>
    <row r="508">
      <c r="A508" s="143"/>
      <c r="B508" s="143"/>
      <c r="C508" s="182"/>
      <c r="D508" s="147"/>
      <c r="E508" s="147"/>
      <c r="F508" s="183"/>
      <c r="G508" s="171"/>
      <c r="H508" s="171"/>
      <c r="M508" s="143"/>
      <c r="N508" s="147"/>
      <c r="O508" s="147"/>
      <c r="P508" s="147"/>
      <c r="Q508" s="147"/>
      <c r="R508" s="148"/>
      <c r="S508" s="148"/>
    </row>
    <row r="509">
      <c r="A509" s="143"/>
      <c r="B509" s="143"/>
      <c r="C509" s="182"/>
      <c r="D509" s="147"/>
      <c r="E509" s="147"/>
      <c r="F509" s="183"/>
      <c r="G509" s="171"/>
      <c r="H509" s="171"/>
      <c r="M509" s="143"/>
      <c r="N509" s="147"/>
      <c r="O509" s="147"/>
      <c r="P509" s="147"/>
      <c r="Q509" s="147"/>
      <c r="R509" s="148"/>
      <c r="S509" s="148"/>
    </row>
    <row r="510">
      <c r="A510" s="143"/>
      <c r="B510" s="143"/>
      <c r="C510" s="182"/>
      <c r="D510" s="147"/>
      <c r="E510" s="147"/>
      <c r="F510" s="183"/>
      <c r="G510" s="171"/>
      <c r="H510" s="171"/>
      <c r="M510" s="143"/>
      <c r="N510" s="147"/>
      <c r="O510" s="147"/>
      <c r="P510" s="147"/>
      <c r="Q510" s="147"/>
      <c r="R510" s="148"/>
      <c r="S510" s="148"/>
    </row>
    <row r="511">
      <c r="A511" s="143"/>
      <c r="B511" s="143"/>
      <c r="C511" s="182"/>
      <c r="D511" s="147"/>
      <c r="E511" s="147"/>
      <c r="F511" s="183"/>
      <c r="G511" s="171"/>
      <c r="H511" s="171"/>
      <c r="M511" s="143"/>
      <c r="N511" s="147"/>
      <c r="O511" s="147"/>
      <c r="P511" s="147"/>
      <c r="Q511" s="147"/>
      <c r="R511" s="148"/>
      <c r="S511" s="148"/>
    </row>
    <row r="512">
      <c r="A512" s="143"/>
      <c r="B512" s="143"/>
      <c r="C512" s="182"/>
      <c r="D512" s="147"/>
      <c r="E512" s="147"/>
      <c r="F512" s="183"/>
      <c r="G512" s="171"/>
      <c r="H512" s="171"/>
      <c r="M512" s="143"/>
      <c r="N512" s="147"/>
      <c r="O512" s="147"/>
      <c r="P512" s="147"/>
      <c r="Q512" s="147"/>
      <c r="R512" s="148"/>
      <c r="S512" s="148"/>
    </row>
    <row r="513">
      <c r="A513" s="143"/>
      <c r="B513" s="143"/>
      <c r="C513" s="182"/>
      <c r="D513" s="147"/>
      <c r="E513" s="147"/>
      <c r="F513" s="183"/>
      <c r="G513" s="171"/>
      <c r="H513" s="171"/>
      <c r="M513" s="143"/>
      <c r="N513" s="147"/>
      <c r="O513" s="147"/>
      <c r="P513" s="147"/>
      <c r="Q513" s="147"/>
      <c r="R513" s="148"/>
      <c r="S513" s="148"/>
    </row>
    <row r="514">
      <c r="A514" s="143"/>
      <c r="B514" s="143"/>
      <c r="C514" s="182"/>
      <c r="D514" s="147"/>
      <c r="E514" s="147"/>
      <c r="F514" s="183"/>
      <c r="G514" s="171"/>
      <c r="H514" s="171"/>
      <c r="M514" s="143"/>
      <c r="N514" s="147"/>
      <c r="O514" s="147"/>
      <c r="P514" s="147"/>
      <c r="Q514" s="147"/>
      <c r="R514" s="148"/>
      <c r="S514" s="148"/>
    </row>
    <row r="515">
      <c r="A515" s="143"/>
      <c r="B515" s="143"/>
      <c r="C515" s="182"/>
      <c r="D515" s="147"/>
      <c r="E515" s="147"/>
      <c r="F515" s="183"/>
      <c r="G515" s="171"/>
      <c r="H515" s="171"/>
      <c r="M515" s="143"/>
      <c r="N515" s="147"/>
      <c r="O515" s="147"/>
      <c r="P515" s="147"/>
      <c r="Q515" s="147"/>
      <c r="R515" s="148"/>
      <c r="S515" s="148"/>
    </row>
    <row r="516">
      <c r="A516" s="143"/>
      <c r="B516" s="143"/>
      <c r="C516" s="182"/>
      <c r="D516" s="147"/>
      <c r="E516" s="147"/>
      <c r="F516" s="183"/>
      <c r="G516" s="171"/>
      <c r="H516" s="171"/>
      <c r="M516" s="143"/>
      <c r="N516" s="147"/>
      <c r="O516" s="147"/>
      <c r="P516" s="147"/>
      <c r="Q516" s="147"/>
      <c r="R516" s="148"/>
      <c r="S516" s="148"/>
    </row>
    <row r="517">
      <c r="A517" s="143"/>
      <c r="B517" s="143"/>
      <c r="C517" s="182"/>
      <c r="D517" s="147"/>
      <c r="E517" s="147"/>
      <c r="F517" s="183"/>
      <c r="G517" s="171"/>
      <c r="H517" s="171"/>
      <c r="M517" s="143"/>
      <c r="N517" s="147"/>
      <c r="O517" s="147"/>
      <c r="P517" s="147"/>
      <c r="Q517" s="147"/>
      <c r="R517" s="148"/>
      <c r="S517" s="148"/>
    </row>
    <row r="518">
      <c r="A518" s="143"/>
      <c r="B518" s="143"/>
      <c r="C518" s="182"/>
      <c r="D518" s="147"/>
      <c r="E518" s="147"/>
      <c r="F518" s="183"/>
      <c r="G518" s="171"/>
      <c r="H518" s="171"/>
      <c r="M518" s="143"/>
      <c r="N518" s="147"/>
      <c r="O518" s="147"/>
      <c r="P518" s="147"/>
      <c r="Q518" s="147"/>
      <c r="R518" s="148"/>
      <c r="S518" s="148"/>
    </row>
    <row r="519">
      <c r="A519" s="143"/>
      <c r="B519" s="143"/>
      <c r="C519" s="182"/>
      <c r="D519" s="147"/>
      <c r="E519" s="147"/>
      <c r="F519" s="183"/>
      <c r="G519" s="171"/>
      <c r="H519" s="171"/>
      <c r="M519" s="143"/>
      <c r="N519" s="147"/>
      <c r="O519" s="147"/>
      <c r="P519" s="147"/>
      <c r="Q519" s="147"/>
      <c r="R519" s="148"/>
      <c r="S519" s="148"/>
    </row>
    <row r="520">
      <c r="A520" s="143"/>
      <c r="B520" s="143"/>
      <c r="C520" s="182"/>
      <c r="D520" s="147"/>
      <c r="E520" s="147"/>
      <c r="F520" s="183"/>
      <c r="G520" s="171"/>
      <c r="H520" s="171"/>
      <c r="M520" s="143"/>
      <c r="N520" s="147"/>
      <c r="O520" s="147"/>
      <c r="P520" s="147"/>
      <c r="Q520" s="147"/>
      <c r="R520" s="148"/>
      <c r="S520" s="148"/>
    </row>
    <row r="521">
      <c r="A521" s="143"/>
      <c r="B521" s="143"/>
      <c r="C521" s="182"/>
      <c r="D521" s="147"/>
      <c r="E521" s="147"/>
      <c r="F521" s="183"/>
      <c r="G521" s="171"/>
      <c r="H521" s="171"/>
      <c r="M521" s="143"/>
      <c r="N521" s="147"/>
      <c r="O521" s="147"/>
      <c r="P521" s="147"/>
      <c r="Q521" s="147"/>
      <c r="R521" s="148"/>
      <c r="S521" s="148"/>
    </row>
    <row r="522">
      <c r="A522" s="143"/>
      <c r="B522" s="143"/>
      <c r="C522" s="182"/>
      <c r="D522" s="147"/>
      <c r="E522" s="147"/>
      <c r="F522" s="183"/>
      <c r="G522" s="171"/>
      <c r="H522" s="171"/>
      <c r="M522" s="143"/>
      <c r="N522" s="147"/>
      <c r="O522" s="147"/>
      <c r="P522" s="147"/>
      <c r="Q522" s="147"/>
      <c r="R522" s="148"/>
      <c r="S522" s="148"/>
    </row>
    <row r="523">
      <c r="A523" s="143"/>
      <c r="B523" s="143"/>
      <c r="C523" s="182"/>
      <c r="D523" s="147"/>
      <c r="E523" s="147"/>
      <c r="F523" s="183"/>
      <c r="G523" s="171"/>
      <c r="H523" s="171"/>
      <c r="M523" s="143"/>
      <c r="N523" s="147"/>
      <c r="O523" s="147"/>
      <c r="P523" s="147"/>
      <c r="Q523" s="147"/>
      <c r="R523" s="148"/>
      <c r="S523" s="148"/>
    </row>
    <row r="524">
      <c r="A524" s="143"/>
      <c r="B524" s="143"/>
      <c r="C524" s="182"/>
      <c r="D524" s="147"/>
      <c r="E524" s="147"/>
      <c r="F524" s="183"/>
      <c r="G524" s="171"/>
      <c r="H524" s="171"/>
      <c r="M524" s="143"/>
      <c r="N524" s="147"/>
      <c r="O524" s="147"/>
      <c r="P524" s="147"/>
      <c r="Q524" s="147"/>
      <c r="R524" s="148"/>
      <c r="S524" s="148"/>
    </row>
    <row r="525">
      <c r="A525" s="143"/>
      <c r="B525" s="143"/>
      <c r="C525" s="182"/>
      <c r="D525" s="147"/>
      <c r="E525" s="147"/>
      <c r="F525" s="183"/>
      <c r="G525" s="171"/>
      <c r="H525" s="171"/>
      <c r="M525" s="143"/>
      <c r="N525" s="147"/>
      <c r="O525" s="147"/>
      <c r="P525" s="147"/>
      <c r="Q525" s="147"/>
      <c r="R525" s="148"/>
      <c r="S525" s="148"/>
    </row>
    <row r="526">
      <c r="A526" s="143"/>
      <c r="B526" s="143"/>
      <c r="C526" s="182"/>
      <c r="D526" s="147"/>
      <c r="E526" s="147"/>
      <c r="F526" s="183"/>
      <c r="G526" s="171"/>
      <c r="H526" s="171"/>
      <c r="M526" s="143"/>
      <c r="N526" s="147"/>
      <c r="O526" s="147"/>
      <c r="P526" s="147"/>
      <c r="Q526" s="147"/>
      <c r="R526" s="148"/>
      <c r="S526" s="148"/>
    </row>
    <row r="527">
      <c r="A527" s="143"/>
      <c r="B527" s="143"/>
      <c r="C527" s="182"/>
      <c r="D527" s="147"/>
      <c r="E527" s="147"/>
      <c r="F527" s="183"/>
      <c r="G527" s="171"/>
      <c r="H527" s="171"/>
      <c r="M527" s="143"/>
      <c r="N527" s="147"/>
      <c r="O527" s="147"/>
      <c r="P527" s="147"/>
      <c r="Q527" s="147"/>
      <c r="R527" s="148"/>
      <c r="S527" s="148"/>
    </row>
    <row r="528">
      <c r="A528" s="143"/>
      <c r="B528" s="143"/>
      <c r="C528" s="182"/>
      <c r="D528" s="147"/>
      <c r="E528" s="147"/>
      <c r="F528" s="183"/>
      <c r="G528" s="171"/>
      <c r="H528" s="171"/>
      <c r="M528" s="143"/>
      <c r="N528" s="147"/>
      <c r="O528" s="147"/>
      <c r="P528" s="147"/>
      <c r="Q528" s="147"/>
      <c r="R528" s="148"/>
      <c r="S528" s="148"/>
    </row>
    <row r="529">
      <c r="A529" s="143"/>
      <c r="B529" s="143"/>
      <c r="C529" s="182"/>
      <c r="D529" s="147"/>
      <c r="E529" s="147"/>
      <c r="F529" s="183"/>
      <c r="G529" s="171"/>
      <c r="H529" s="171"/>
      <c r="M529" s="143"/>
      <c r="N529" s="147"/>
      <c r="O529" s="147"/>
      <c r="P529" s="147"/>
      <c r="Q529" s="147"/>
      <c r="R529" s="148"/>
      <c r="S529" s="148"/>
    </row>
    <row r="530">
      <c r="A530" s="143"/>
      <c r="B530" s="143"/>
      <c r="C530" s="182"/>
      <c r="D530" s="147"/>
      <c r="E530" s="147"/>
      <c r="F530" s="183"/>
      <c r="G530" s="171"/>
      <c r="H530" s="171"/>
      <c r="M530" s="143"/>
      <c r="N530" s="147"/>
      <c r="O530" s="147"/>
      <c r="P530" s="147"/>
      <c r="Q530" s="147"/>
      <c r="R530" s="148"/>
      <c r="S530" s="148"/>
    </row>
    <row r="531">
      <c r="A531" s="143"/>
      <c r="B531" s="143"/>
      <c r="C531" s="182"/>
      <c r="D531" s="147"/>
      <c r="E531" s="147"/>
      <c r="F531" s="183"/>
      <c r="G531" s="171"/>
      <c r="H531" s="171"/>
      <c r="M531" s="143"/>
      <c r="N531" s="147"/>
      <c r="O531" s="147"/>
      <c r="P531" s="147"/>
      <c r="Q531" s="147"/>
      <c r="R531" s="148"/>
      <c r="S531" s="148"/>
    </row>
    <row r="532">
      <c r="A532" s="143"/>
      <c r="B532" s="143"/>
      <c r="C532" s="182"/>
      <c r="D532" s="147"/>
      <c r="E532" s="147"/>
      <c r="F532" s="183"/>
      <c r="G532" s="171"/>
      <c r="H532" s="171"/>
      <c r="M532" s="143"/>
      <c r="N532" s="147"/>
      <c r="O532" s="147"/>
      <c r="P532" s="147"/>
      <c r="Q532" s="147"/>
      <c r="R532" s="148"/>
      <c r="S532" s="148"/>
    </row>
    <row r="533">
      <c r="A533" s="143"/>
      <c r="B533" s="143"/>
      <c r="C533" s="182"/>
      <c r="D533" s="147"/>
      <c r="E533" s="147"/>
      <c r="F533" s="183"/>
      <c r="G533" s="171"/>
      <c r="H533" s="171"/>
      <c r="M533" s="143"/>
      <c r="N533" s="147"/>
      <c r="O533" s="147"/>
      <c r="P533" s="147"/>
      <c r="Q533" s="147"/>
      <c r="R533" s="148"/>
      <c r="S533" s="148"/>
    </row>
    <row r="534">
      <c r="A534" s="143"/>
      <c r="B534" s="143"/>
      <c r="C534" s="182"/>
      <c r="D534" s="147"/>
      <c r="E534" s="147"/>
      <c r="F534" s="183"/>
      <c r="G534" s="171"/>
      <c r="H534" s="171"/>
      <c r="M534" s="143"/>
      <c r="N534" s="147"/>
      <c r="O534" s="147"/>
      <c r="P534" s="147"/>
      <c r="Q534" s="147"/>
      <c r="R534" s="148"/>
      <c r="S534" s="148"/>
    </row>
    <row r="535">
      <c r="A535" s="143"/>
      <c r="B535" s="143"/>
      <c r="C535" s="182"/>
      <c r="D535" s="147"/>
      <c r="E535" s="147"/>
      <c r="F535" s="183"/>
      <c r="G535" s="171"/>
      <c r="H535" s="171"/>
      <c r="M535" s="143"/>
      <c r="N535" s="147"/>
      <c r="O535" s="147"/>
      <c r="P535" s="147"/>
      <c r="Q535" s="147"/>
      <c r="R535" s="148"/>
      <c r="S535" s="148"/>
    </row>
    <row r="536">
      <c r="A536" s="143"/>
      <c r="B536" s="143"/>
      <c r="C536" s="182"/>
      <c r="D536" s="147"/>
      <c r="E536" s="147"/>
      <c r="F536" s="183"/>
      <c r="G536" s="171"/>
      <c r="H536" s="171"/>
      <c r="M536" s="143"/>
      <c r="N536" s="147"/>
      <c r="O536" s="147"/>
      <c r="P536" s="147"/>
      <c r="Q536" s="147"/>
      <c r="R536" s="148"/>
      <c r="S536" s="148"/>
    </row>
    <row r="537">
      <c r="A537" s="143"/>
      <c r="B537" s="143"/>
      <c r="C537" s="182"/>
      <c r="D537" s="147"/>
      <c r="E537" s="147"/>
      <c r="F537" s="183"/>
      <c r="G537" s="171"/>
      <c r="H537" s="171"/>
      <c r="M537" s="143"/>
      <c r="N537" s="147"/>
      <c r="O537" s="147"/>
      <c r="P537" s="147"/>
      <c r="Q537" s="147"/>
      <c r="R537" s="148"/>
      <c r="S537" s="148"/>
    </row>
    <row r="538">
      <c r="A538" s="143"/>
      <c r="B538" s="143"/>
      <c r="C538" s="182"/>
      <c r="D538" s="147"/>
      <c r="E538" s="147"/>
      <c r="F538" s="183"/>
      <c r="G538" s="171"/>
      <c r="H538" s="171"/>
      <c r="M538" s="143"/>
      <c r="N538" s="147"/>
      <c r="O538" s="147"/>
      <c r="P538" s="147"/>
      <c r="Q538" s="147"/>
      <c r="R538" s="148"/>
      <c r="S538" s="148"/>
    </row>
    <row r="539">
      <c r="A539" s="143"/>
      <c r="B539" s="143"/>
      <c r="C539" s="182"/>
      <c r="D539" s="147"/>
      <c r="E539" s="147"/>
      <c r="F539" s="183"/>
      <c r="G539" s="171"/>
      <c r="H539" s="171"/>
      <c r="M539" s="143"/>
      <c r="N539" s="147"/>
      <c r="O539" s="147"/>
      <c r="P539" s="147"/>
      <c r="Q539" s="147"/>
      <c r="R539" s="148"/>
      <c r="S539" s="148"/>
    </row>
    <row r="540">
      <c r="A540" s="143"/>
      <c r="B540" s="143"/>
      <c r="C540" s="182"/>
      <c r="D540" s="147"/>
      <c r="E540" s="147"/>
      <c r="F540" s="183"/>
      <c r="G540" s="171"/>
      <c r="H540" s="171"/>
      <c r="M540" s="143"/>
      <c r="N540" s="147"/>
      <c r="O540" s="147"/>
      <c r="P540" s="147"/>
      <c r="Q540" s="147"/>
      <c r="R540" s="148"/>
      <c r="S540" s="148"/>
    </row>
    <row r="541">
      <c r="A541" s="143"/>
      <c r="B541" s="143"/>
      <c r="C541" s="182"/>
      <c r="D541" s="147"/>
      <c r="E541" s="147"/>
      <c r="F541" s="183"/>
      <c r="G541" s="171"/>
      <c r="H541" s="171"/>
      <c r="M541" s="143"/>
      <c r="N541" s="147"/>
      <c r="O541" s="147"/>
      <c r="P541" s="147"/>
      <c r="Q541" s="147"/>
      <c r="R541" s="148"/>
      <c r="S541" s="148"/>
    </row>
    <row r="542">
      <c r="A542" s="143"/>
      <c r="B542" s="143"/>
      <c r="C542" s="182"/>
      <c r="D542" s="147"/>
      <c r="E542" s="147"/>
      <c r="F542" s="183"/>
      <c r="G542" s="171"/>
      <c r="H542" s="171"/>
      <c r="M542" s="143"/>
      <c r="N542" s="147"/>
      <c r="O542" s="147"/>
      <c r="P542" s="147"/>
      <c r="Q542" s="147"/>
      <c r="R542" s="148"/>
      <c r="S542" s="148"/>
    </row>
    <row r="543">
      <c r="A543" s="143"/>
      <c r="B543" s="143"/>
      <c r="C543" s="182"/>
      <c r="D543" s="147"/>
      <c r="E543" s="147"/>
      <c r="F543" s="183"/>
      <c r="G543" s="171"/>
      <c r="H543" s="171"/>
      <c r="M543" s="143"/>
      <c r="N543" s="147"/>
      <c r="O543" s="147"/>
      <c r="P543" s="147"/>
      <c r="Q543" s="147"/>
      <c r="R543" s="148"/>
      <c r="S543" s="148"/>
    </row>
    <row r="544">
      <c r="A544" s="143"/>
      <c r="B544" s="143"/>
      <c r="C544" s="182"/>
      <c r="D544" s="147"/>
      <c r="E544" s="147"/>
      <c r="F544" s="183"/>
      <c r="G544" s="171"/>
      <c r="H544" s="171"/>
      <c r="M544" s="143"/>
      <c r="N544" s="147"/>
      <c r="O544" s="147"/>
      <c r="P544" s="147"/>
      <c r="Q544" s="147"/>
      <c r="R544" s="148"/>
      <c r="S544" s="148"/>
    </row>
    <row r="545">
      <c r="A545" s="143"/>
      <c r="B545" s="143"/>
      <c r="C545" s="182"/>
      <c r="D545" s="147"/>
      <c r="E545" s="147"/>
      <c r="F545" s="183"/>
      <c r="G545" s="171"/>
      <c r="H545" s="171"/>
      <c r="M545" s="143"/>
      <c r="N545" s="147"/>
      <c r="O545" s="147"/>
      <c r="P545" s="147"/>
      <c r="Q545" s="147"/>
      <c r="R545" s="148"/>
      <c r="S545" s="148"/>
    </row>
    <row r="546">
      <c r="A546" s="143"/>
      <c r="B546" s="143"/>
      <c r="C546" s="182"/>
      <c r="D546" s="147"/>
      <c r="E546" s="147"/>
      <c r="F546" s="183"/>
      <c r="G546" s="171"/>
      <c r="H546" s="171"/>
      <c r="M546" s="143"/>
      <c r="N546" s="147"/>
      <c r="O546" s="147"/>
      <c r="P546" s="147"/>
      <c r="Q546" s="147"/>
      <c r="R546" s="148"/>
      <c r="S546" s="148"/>
    </row>
    <row r="547">
      <c r="A547" s="143"/>
      <c r="B547" s="143"/>
      <c r="C547" s="182"/>
      <c r="D547" s="147"/>
      <c r="E547" s="147"/>
      <c r="F547" s="183"/>
      <c r="G547" s="171"/>
      <c r="H547" s="171"/>
      <c r="M547" s="143"/>
      <c r="N547" s="147"/>
      <c r="O547" s="147"/>
      <c r="P547" s="147"/>
      <c r="Q547" s="147"/>
      <c r="R547" s="148"/>
      <c r="S547" s="148"/>
    </row>
    <row r="548">
      <c r="A548" s="143"/>
      <c r="B548" s="143"/>
      <c r="C548" s="182"/>
      <c r="D548" s="147"/>
      <c r="E548" s="147"/>
      <c r="F548" s="183"/>
      <c r="G548" s="171"/>
      <c r="H548" s="171"/>
      <c r="M548" s="143"/>
      <c r="N548" s="147"/>
      <c r="O548" s="147"/>
      <c r="P548" s="147"/>
      <c r="Q548" s="147"/>
      <c r="R548" s="148"/>
      <c r="S548" s="148"/>
    </row>
    <row r="549">
      <c r="A549" s="143"/>
      <c r="B549" s="143"/>
      <c r="C549" s="182"/>
      <c r="D549" s="147"/>
      <c r="E549" s="147"/>
      <c r="F549" s="183"/>
      <c r="G549" s="171"/>
      <c r="H549" s="171"/>
      <c r="M549" s="143"/>
      <c r="N549" s="147"/>
      <c r="O549" s="147"/>
      <c r="P549" s="147"/>
      <c r="Q549" s="147"/>
      <c r="R549" s="148"/>
      <c r="S549" s="148"/>
    </row>
    <row r="550">
      <c r="A550" s="143"/>
      <c r="B550" s="143"/>
      <c r="C550" s="182"/>
      <c r="D550" s="147"/>
      <c r="E550" s="147"/>
      <c r="F550" s="183"/>
      <c r="G550" s="171"/>
      <c r="H550" s="171"/>
      <c r="M550" s="143"/>
      <c r="N550" s="147"/>
      <c r="O550" s="147"/>
      <c r="P550" s="147"/>
      <c r="Q550" s="147"/>
      <c r="R550" s="148"/>
      <c r="S550" s="148"/>
    </row>
    <row r="551">
      <c r="A551" s="143"/>
      <c r="B551" s="143"/>
      <c r="C551" s="182"/>
      <c r="D551" s="147"/>
      <c r="E551" s="147"/>
      <c r="F551" s="183"/>
      <c r="G551" s="171"/>
      <c r="H551" s="171"/>
      <c r="M551" s="143"/>
      <c r="N551" s="147"/>
      <c r="O551" s="147"/>
      <c r="P551" s="147"/>
      <c r="Q551" s="147"/>
      <c r="R551" s="148"/>
      <c r="S551" s="148"/>
    </row>
    <row r="552">
      <c r="A552" s="143"/>
      <c r="B552" s="143"/>
      <c r="C552" s="182"/>
      <c r="D552" s="147"/>
      <c r="E552" s="147"/>
      <c r="F552" s="183"/>
      <c r="G552" s="171"/>
      <c r="H552" s="171"/>
      <c r="M552" s="143"/>
      <c r="N552" s="147"/>
      <c r="O552" s="147"/>
      <c r="P552" s="147"/>
      <c r="Q552" s="147"/>
      <c r="R552" s="148"/>
      <c r="S552" s="148"/>
    </row>
    <row r="553">
      <c r="A553" s="143"/>
      <c r="B553" s="143"/>
      <c r="C553" s="182"/>
      <c r="D553" s="147"/>
      <c r="E553" s="147"/>
      <c r="F553" s="183"/>
      <c r="G553" s="171"/>
      <c r="H553" s="171"/>
      <c r="M553" s="143"/>
      <c r="N553" s="147"/>
      <c r="O553" s="147"/>
      <c r="P553" s="147"/>
      <c r="Q553" s="147"/>
      <c r="R553" s="148"/>
      <c r="S553" s="148"/>
    </row>
    <row r="554">
      <c r="A554" s="143"/>
      <c r="B554" s="143"/>
      <c r="C554" s="182"/>
      <c r="D554" s="147"/>
      <c r="E554" s="147"/>
      <c r="F554" s="183"/>
      <c r="G554" s="171"/>
      <c r="H554" s="171"/>
      <c r="M554" s="143"/>
      <c r="N554" s="147"/>
      <c r="O554" s="147"/>
      <c r="P554" s="147"/>
      <c r="Q554" s="147"/>
      <c r="R554" s="148"/>
      <c r="S554" s="148"/>
    </row>
    <row r="555">
      <c r="A555" s="143"/>
      <c r="B555" s="143"/>
      <c r="C555" s="182"/>
      <c r="D555" s="147"/>
      <c r="E555" s="147"/>
      <c r="F555" s="183"/>
      <c r="G555" s="171"/>
      <c r="H555" s="171"/>
      <c r="M555" s="143"/>
      <c r="N555" s="147"/>
      <c r="O555" s="147"/>
      <c r="P555" s="147"/>
      <c r="Q555" s="147"/>
      <c r="R555" s="148"/>
      <c r="S555" s="148"/>
    </row>
    <row r="556">
      <c r="A556" s="143"/>
      <c r="B556" s="143"/>
      <c r="C556" s="182"/>
      <c r="D556" s="147"/>
      <c r="E556" s="147"/>
      <c r="F556" s="183"/>
      <c r="G556" s="171"/>
      <c r="H556" s="171"/>
      <c r="M556" s="143"/>
      <c r="N556" s="147"/>
      <c r="O556" s="147"/>
      <c r="P556" s="147"/>
      <c r="Q556" s="147"/>
      <c r="R556" s="148"/>
      <c r="S556" s="148"/>
    </row>
    <row r="557">
      <c r="A557" s="143"/>
      <c r="B557" s="143"/>
      <c r="C557" s="182"/>
      <c r="D557" s="147"/>
      <c r="E557" s="147"/>
      <c r="F557" s="183"/>
      <c r="G557" s="171"/>
      <c r="H557" s="171"/>
      <c r="M557" s="143"/>
      <c r="N557" s="147"/>
      <c r="O557" s="147"/>
      <c r="P557" s="147"/>
      <c r="Q557" s="147"/>
      <c r="R557" s="148"/>
      <c r="S557" s="148"/>
    </row>
    <row r="558">
      <c r="A558" s="143"/>
      <c r="B558" s="143"/>
      <c r="C558" s="182"/>
      <c r="D558" s="147"/>
      <c r="E558" s="147"/>
      <c r="F558" s="183"/>
      <c r="G558" s="171"/>
      <c r="H558" s="171"/>
      <c r="M558" s="143"/>
      <c r="N558" s="147"/>
      <c r="O558" s="147"/>
      <c r="P558" s="147"/>
      <c r="Q558" s="147"/>
      <c r="R558" s="148"/>
      <c r="S558" s="148"/>
    </row>
    <row r="559">
      <c r="A559" s="143"/>
      <c r="B559" s="143"/>
      <c r="C559" s="182"/>
      <c r="D559" s="147"/>
      <c r="E559" s="147"/>
      <c r="F559" s="183"/>
      <c r="G559" s="171"/>
      <c r="H559" s="171"/>
      <c r="M559" s="143"/>
      <c r="N559" s="147"/>
      <c r="O559" s="147"/>
      <c r="P559" s="147"/>
      <c r="Q559" s="147"/>
      <c r="R559" s="148"/>
      <c r="S559" s="148"/>
    </row>
    <row r="560">
      <c r="A560" s="143"/>
      <c r="B560" s="143"/>
      <c r="C560" s="182"/>
      <c r="D560" s="147"/>
      <c r="E560" s="147"/>
      <c r="F560" s="183"/>
      <c r="G560" s="171"/>
      <c r="H560" s="171"/>
      <c r="M560" s="143"/>
      <c r="N560" s="147"/>
      <c r="O560" s="147"/>
      <c r="P560" s="147"/>
      <c r="Q560" s="147"/>
      <c r="R560" s="148"/>
      <c r="S560" s="148"/>
    </row>
    <row r="561">
      <c r="A561" s="143"/>
      <c r="B561" s="143"/>
      <c r="C561" s="182"/>
      <c r="D561" s="147"/>
      <c r="E561" s="147"/>
      <c r="F561" s="183"/>
      <c r="G561" s="171"/>
      <c r="H561" s="171"/>
      <c r="M561" s="143"/>
      <c r="N561" s="147"/>
      <c r="O561" s="147"/>
      <c r="P561" s="147"/>
      <c r="Q561" s="147"/>
      <c r="R561" s="148"/>
      <c r="S561" s="148"/>
    </row>
    <row r="562">
      <c r="A562" s="143"/>
      <c r="B562" s="143"/>
      <c r="C562" s="182"/>
      <c r="D562" s="147"/>
      <c r="E562" s="147"/>
      <c r="F562" s="183"/>
      <c r="G562" s="171"/>
      <c r="H562" s="171"/>
      <c r="M562" s="143"/>
      <c r="N562" s="147"/>
      <c r="O562" s="147"/>
      <c r="P562" s="147"/>
      <c r="Q562" s="147"/>
      <c r="R562" s="148"/>
      <c r="S562" s="148"/>
    </row>
    <row r="563">
      <c r="A563" s="143"/>
      <c r="B563" s="143"/>
      <c r="C563" s="182"/>
      <c r="D563" s="147"/>
      <c r="E563" s="147"/>
      <c r="F563" s="183"/>
      <c r="G563" s="171"/>
      <c r="H563" s="171"/>
      <c r="M563" s="143"/>
      <c r="N563" s="147"/>
      <c r="O563" s="147"/>
      <c r="P563" s="147"/>
      <c r="Q563" s="147"/>
      <c r="R563" s="148"/>
      <c r="S563" s="148"/>
    </row>
    <row r="564">
      <c r="A564" s="143"/>
      <c r="B564" s="143"/>
      <c r="C564" s="182"/>
      <c r="D564" s="147"/>
      <c r="E564" s="147"/>
      <c r="F564" s="183"/>
      <c r="G564" s="171"/>
      <c r="H564" s="171"/>
      <c r="M564" s="143"/>
      <c r="N564" s="147"/>
      <c r="O564" s="147"/>
      <c r="P564" s="147"/>
      <c r="Q564" s="147"/>
      <c r="R564" s="148"/>
      <c r="S564" s="148"/>
    </row>
    <row r="565">
      <c r="A565" s="143"/>
      <c r="B565" s="143"/>
      <c r="C565" s="182"/>
      <c r="D565" s="147"/>
      <c r="E565" s="147"/>
      <c r="F565" s="183"/>
      <c r="G565" s="171"/>
      <c r="H565" s="171"/>
      <c r="M565" s="143"/>
      <c r="N565" s="147"/>
      <c r="O565" s="147"/>
      <c r="P565" s="147"/>
      <c r="Q565" s="147"/>
      <c r="R565" s="148"/>
      <c r="S565" s="148"/>
    </row>
    <row r="566">
      <c r="A566" s="143"/>
      <c r="B566" s="143"/>
      <c r="C566" s="182"/>
      <c r="D566" s="147"/>
      <c r="E566" s="147"/>
      <c r="F566" s="183"/>
      <c r="G566" s="171"/>
      <c r="H566" s="171"/>
      <c r="M566" s="143"/>
      <c r="N566" s="147"/>
      <c r="O566" s="147"/>
      <c r="P566" s="147"/>
      <c r="Q566" s="147"/>
      <c r="R566" s="148"/>
      <c r="S566" s="148"/>
    </row>
    <row r="567">
      <c r="A567" s="143"/>
      <c r="B567" s="143"/>
      <c r="C567" s="182"/>
      <c r="D567" s="147"/>
      <c r="E567" s="147"/>
      <c r="F567" s="183"/>
      <c r="G567" s="171"/>
      <c r="H567" s="171"/>
      <c r="M567" s="143"/>
      <c r="N567" s="147"/>
      <c r="O567" s="147"/>
      <c r="P567" s="147"/>
      <c r="Q567" s="147"/>
      <c r="R567" s="148"/>
      <c r="S567" s="148"/>
    </row>
    <row r="568">
      <c r="A568" s="143"/>
      <c r="B568" s="143"/>
      <c r="C568" s="182"/>
      <c r="D568" s="147"/>
      <c r="E568" s="147"/>
      <c r="F568" s="183"/>
      <c r="G568" s="171"/>
      <c r="H568" s="171"/>
      <c r="M568" s="143"/>
      <c r="N568" s="147"/>
      <c r="O568" s="147"/>
      <c r="P568" s="147"/>
      <c r="Q568" s="147"/>
      <c r="R568" s="148"/>
      <c r="S568" s="148"/>
    </row>
    <row r="569">
      <c r="A569" s="143"/>
      <c r="B569" s="143"/>
      <c r="C569" s="182"/>
      <c r="D569" s="147"/>
      <c r="E569" s="147"/>
      <c r="F569" s="183"/>
      <c r="G569" s="171"/>
      <c r="H569" s="171"/>
      <c r="M569" s="143"/>
      <c r="N569" s="147"/>
      <c r="O569" s="147"/>
      <c r="P569" s="147"/>
      <c r="Q569" s="147"/>
      <c r="R569" s="148"/>
      <c r="S569" s="148"/>
    </row>
    <row r="570">
      <c r="A570" s="143"/>
      <c r="B570" s="143"/>
      <c r="C570" s="182"/>
      <c r="D570" s="147"/>
      <c r="E570" s="147"/>
      <c r="F570" s="183"/>
      <c r="G570" s="171"/>
      <c r="H570" s="171"/>
      <c r="M570" s="143"/>
      <c r="N570" s="147"/>
      <c r="O570" s="147"/>
      <c r="P570" s="147"/>
      <c r="Q570" s="147"/>
      <c r="R570" s="148"/>
      <c r="S570" s="148"/>
    </row>
    <row r="571">
      <c r="A571" s="143"/>
      <c r="B571" s="143"/>
      <c r="C571" s="182"/>
      <c r="D571" s="147"/>
      <c r="E571" s="147"/>
      <c r="F571" s="183"/>
      <c r="G571" s="171"/>
      <c r="H571" s="171"/>
      <c r="M571" s="143"/>
      <c r="N571" s="147"/>
      <c r="O571" s="147"/>
      <c r="P571" s="147"/>
      <c r="Q571" s="147"/>
      <c r="R571" s="148"/>
      <c r="S571" s="148"/>
    </row>
    <row r="572">
      <c r="A572" s="143"/>
      <c r="B572" s="143"/>
      <c r="C572" s="182"/>
      <c r="D572" s="147"/>
      <c r="E572" s="147"/>
      <c r="F572" s="183"/>
      <c r="G572" s="171"/>
      <c r="H572" s="171"/>
      <c r="M572" s="143"/>
      <c r="N572" s="147"/>
      <c r="O572" s="147"/>
      <c r="P572" s="147"/>
      <c r="Q572" s="147"/>
      <c r="R572" s="148"/>
      <c r="S572" s="148"/>
    </row>
    <row r="573">
      <c r="A573" s="143"/>
      <c r="B573" s="143"/>
      <c r="C573" s="182"/>
      <c r="D573" s="147"/>
      <c r="E573" s="147"/>
      <c r="F573" s="183"/>
      <c r="G573" s="171"/>
      <c r="H573" s="171"/>
      <c r="M573" s="143"/>
      <c r="N573" s="147"/>
      <c r="O573" s="147"/>
      <c r="P573" s="147"/>
      <c r="Q573" s="147"/>
      <c r="R573" s="148"/>
      <c r="S573" s="148"/>
    </row>
    <row r="574">
      <c r="A574" s="143"/>
      <c r="B574" s="143"/>
      <c r="C574" s="182"/>
      <c r="D574" s="147"/>
      <c r="E574" s="147"/>
      <c r="F574" s="183"/>
      <c r="G574" s="171"/>
      <c r="H574" s="171"/>
      <c r="M574" s="143"/>
      <c r="N574" s="147"/>
      <c r="O574" s="147"/>
      <c r="P574" s="147"/>
      <c r="Q574" s="147"/>
      <c r="R574" s="148"/>
      <c r="S574" s="148"/>
    </row>
    <row r="575">
      <c r="A575" s="143"/>
      <c r="B575" s="143"/>
      <c r="C575" s="182"/>
      <c r="D575" s="147"/>
      <c r="E575" s="147"/>
      <c r="F575" s="183"/>
      <c r="G575" s="171"/>
      <c r="H575" s="171"/>
      <c r="M575" s="143"/>
      <c r="N575" s="147"/>
      <c r="O575" s="147"/>
      <c r="P575" s="147"/>
      <c r="Q575" s="147"/>
      <c r="R575" s="148"/>
      <c r="S575" s="148"/>
    </row>
    <row r="576">
      <c r="A576" s="143"/>
      <c r="B576" s="143"/>
      <c r="C576" s="182"/>
      <c r="D576" s="147"/>
      <c r="E576" s="147"/>
      <c r="F576" s="183"/>
      <c r="G576" s="171"/>
      <c r="H576" s="171"/>
      <c r="M576" s="143"/>
      <c r="N576" s="147"/>
      <c r="O576" s="147"/>
      <c r="P576" s="147"/>
      <c r="Q576" s="147"/>
      <c r="R576" s="148"/>
      <c r="S576" s="148"/>
    </row>
    <row r="577">
      <c r="A577" s="143"/>
      <c r="B577" s="143"/>
      <c r="C577" s="182"/>
      <c r="D577" s="147"/>
      <c r="E577" s="147"/>
      <c r="F577" s="183"/>
      <c r="G577" s="171"/>
      <c r="H577" s="171"/>
      <c r="M577" s="143"/>
      <c r="N577" s="147"/>
      <c r="O577" s="147"/>
      <c r="P577" s="147"/>
      <c r="Q577" s="147"/>
      <c r="R577" s="148"/>
      <c r="S577" s="148"/>
    </row>
    <row r="578">
      <c r="A578" s="143"/>
      <c r="B578" s="143"/>
      <c r="C578" s="182"/>
      <c r="D578" s="147"/>
      <c r="E578" s="147"/>
      <c r="F578" s="183"/>
      <c r="G578" s="171"/>
      <c r="H578" s="171"/>
      <c r="M578" s="143"/>
      <c r="N578" s="147"/>
      <c r="O578" s="147"/>
      <c r="P578" s="147"/>
      <c r="Q578" s="147"/>
      <c r="R578" s="148"/>
      <c r="S578" s="148"/>
    </row>
    <row r="579">
      <c r="A579" s="143"/>
      <c r="B579" s="143"/>
      <c r="C579" s="182"/>
      <c r="D579" s="147"/>
      <c r="E579" s="147"/>
      <c r="F579" s="183"/>
      <c r="G579" s="171"/>
      <c r="H579" s="171"/>
      <c r="M579" s="143"/>
      <c r="N579" s="147"/>
      <c r="O579" s="147"/>
      <c r="P579" s="147"/>
      <c r="Q579" s="147"/>
      <c r="R579" s="148"/>
      <c r="S579" s="148"/>
    </row>
    <row r="580">
      <c r="A580" s="143"/>
      <c r="B580" s="143"/>
      <c r="C580" s="182"/>
      <c r="D580" s="147"/>
      <c r="E580" s="147"/>
      <c r="F580" s="183"/>
      <c r="G580" s="171"/>
      <c r="H580" s="171"/>
      <c r="M580" s="143"/>
      <c r="N580" s="147"/>
      <c r="O580" s="147"/>
      <c r="P580" s="147"/>
      <c r="Q580" s="147"/>
      <c r="R580" s="148"/>
      <c r="S580" s="148"/>
    </row>
    <row r="581">
      <c r="A581" s="143"/>
      <c r="B581" s="143"/>
      <c r="C581" s="182"/>
      <c r="D581" s="147"/>
      <c r="E581" s="147"/>
      <c r="F581" s="183"/>
      <c r="G581" s="171"/>
      <c r="H581" s="171"/>
      <c r="M581" s="143"/>
      <c r="N581" s="147"/>
      <c r="O581" s="147"/>
      <c r="P581" s="147"/>
      <c r="Q581" s="147"/>
      <c r="R581" s="148"/>
      <c r="S581" s="148"/>
    </row>
    <row r="582">
      <c r="A582" s="143"/>
      <c r="B582" s="143"/>
      <c r="C582" s="182"/>
      <c r="D582" s="147"/>
      <c r="E582" s="147"/>
      <c r="F582" s="183"/>
      <c r="G582" s="171"/>
      <c r="H582" s="171"/>
      <c r="M582" s="143"/>
      <c r="N582" s="147"/>
      <c r="O582" s="147"/>
      <c r="P582" s="147"/>
      <c r="Q582" s="147"/>
      <c r="R582" s="148"/>
      <c r="S582" s="148"/>
    </row>
    <row r="583">
      <c r="A583" s="143"/>
      <c r="B583" s="143"/>
      <c r="C583" s="182"/>
      <c r="D583" s="147"/>
      <c r="E583" s="147"/>
      <c r="F583" s="183"/>
      <c r="G583" s="171"/>
      <c r="H583" s="171"/>
      <c r="M583" s="143"/>
      <c r="N583" s="147"/>
      <c r="O583" s="147"/>
      <c r="P583" s="147"/>
      <c r="Q583" s="147"/>
      <c r="R583" s="148"/>
      <c r="S583" s="148"/>
    </row>
    <row r="584">
      <c r="A584" s="143"/>
      <c r="B584" s="143"/>
      <c r="C584" s="182"/>
      <c r="D584" s="147"/>
      <c r="E584" s="147"/>
      <c r="F584" s="183"/>
      <c r="G584" s="171"/>
      <c r="H584" s="171"/>
      <c r="M584" s="143"/>
      <c r="N584" s="147"/>
      <c r="O584" s="147"/>
      <c r="P584" s="147"/>
      <c r="Q584" s="147"/>
      <c r="R584" s="148"/>
      <c r="S584" s="148"/>
    </row>
    <row r="585">
      <c r="A585" s="143"/>
      <c r="B585" s="143"/>
      <c r="C585" s="182"/>
      <c r="D585" s="147"/>
      <c r="E585" s="147"/>
      <c r="F585" s="183"/>
      <c r="G585" s="171"/>
      <c r="H585" s="171"/>
      <c r="M585" s="143"/>
      <c r="N585" s="147"/>
      <c r="O585" s="147"/>
      <c r="P585" s="147"/>
      <c r="Q585" s="147"/>
      <c r="R585" s="148"/>
      <c r="S585" s="148"/>
    </row>
    <row r="586">
      <c r="A586" s="143"/>
      <c r="B586" s="143"/>
      <c r="C586" s="182"/>
      <c r="D586" s="147"/>
      <c r="E586" s="147"/>
      <c r="F586" s="183"/>
      <c r="G586" s="171"/>
      <c r="H586" s="171"/>
      <c r="M586" s="143"/>
      <c r="N586" s="147"/>
      <c r="O586" s="147"/>
      <c r="P586" s="147"/>
      <c r="Q586" s="147"/>
      <c r="R586" s="148"/>
      <c r="S586" s="148"/>
    </row>
    <row r="587">
      <c r="A587" s="143"/>
      <c r="B587" s="143"/>
      <c r="C587" s="182"/>
      <c r="D587" s="147"/>
      <c r="E587" s="147"/>
      <c r="F587" s="183"/>
      <c r="G587" s="171"/>
      <c r="H587" s="171"/>
      <c r="M587" s="143"/>
      <c r="N587" s="147"/>
      <c r="O587" s="147"/>
      <c r="P587" s="147"/>
      <c r="Q587" s="147"/>
      <c r="R587" s="148"/>
      <c r="S587" s="148"/>
    </row>
    <row r="588">
      <c r="A588" s="143"/>
      <c r="B588" s="143"/>
      <c r="C588" s="182"/>
      <c r="D588" s="147"/>
      <c r="E588" s="147"/>
      <c r="F588" s="183"/>
      <c r="G588" s="171"/>
      <c r="H588" s="171"/>
      <c r="M588" s="143"/>
      <c r="N588" s="147"/>
      <c r="O588" s="147"/>
      <c r="P588" s="147"/>
      <c r="Q588" s="147"/>
      <c r="R588" s="148"/>
      <c r="S588" s="148"/>
    </row>
    <row r="589">
      <c r="A589" s="143"/>
      <c r="B589" s="143"/>
      <c r="C589" s="182"/>
      <c r="D589" s="147"/>
      <c r="E589" s="147"/>
      <c r="F589" s="183"/>
      <c r="G589" s="171"/>
      <c r="H589" s="171"/>
      <c r="M589" s="143"/>
      <c r="N589" s="147"/>
      <c r="O589" s="147"/>
      <c r="P589" s="147"/>
      <c r="Q589" s="147"/>
      <c r="R589" s="148"/>
      <c r="S589" s="148"/>
    </row>
    <row r="590">
      <c r="A590" s="143"/>
      <c r="B590" s="143"/>
      <c r="C590" s="182"/>
      <c r="D590" s="147"/>
      <c r="E590" s="147"/>
      <c r="F590" s="183"/>
      <c r="G590" s="171"/>
      <c r="H590" s="171"/>
      <c r="M590" s="143"/>
      <c r="N590" s="147"/>
      <c r="O590" s="147"/>
      <c r="P590" s="147"/>
      <c r="Q590" s="147"/>
      <c r="R590" s="148"/>
      <c r="S590" s="148"/>
    </row>
    <row r="591">
      <c r="A591" s="143"/>
      <c r="B591" s="143"/>
      <c r="C591" s="182"/>
      <c r="D591" s="147"/>
      <c r="E591" s="147"/>
      <c r="F591" s="183"/>
      <c r="G591" s="171"/>
      <c r="H591" s="171"/>
      <c r="M591" s="143"/>
      <c r="N591" s="147"/>
      <c r="O591" s="147"/>
      <c r="P591" s="147"/>
      <c r="Q591" s="147"/>
      <c r="R591" s="148"/>
      <c r="S591" s="148"/>
    </row>
    <row r="592">
      <c r="A592" s="143"/>
      <c r="B592" s="143"/>
      <c r="C592" s="182"/>
      <c r="D592" s="147"/>
      <c r="E592" s="147"/>
      <c r="F592" s="183"/>
      <c r="G592" s="171"/>
      <c r="H592" s="171"/>
      <c r="M592" s="143"/>
      <c r="N592" s="147"/>
      <c r="O592" s="147"/>
      <c r="P592" s="147"/>
      <c r="Q592" s="147"/>
      <c r="R592" s="148"/>
      <c r="S592" s="148"/>
    </row>
    <row r="593">
      <c r="A593" s="143"/>
      <c r="B593" s="143"/>
      <c r="C593" s="182"/>
      <c r="D593" s="147"/>
      <c r="E593" s="147"/>
      <c r="F593" s="183"/>
      <c r="G593" s="171"/>
      <c r="H593" s="171"/>
      <c r="M593" s="143"/>
      <c r="N593" s="147"/>
      <c r="O593" s="147"/>
      <c r="P593" s="147"/>
      <c r="Q593" s="147"/>
      <c r="R593" s="148"/>
      <c r="S593" s="148"/>
    </row>
    <row r="594">
      <c r="A594" s="143"/>
      <c r="B594" s="143"/>
      <c r="C594" s="182"/>
      <c r="D594" s="147"/>
      <c r="E594" s="147"/>
      <c r="F594" s="183"/>
      <c r="G594" s="171"/>
      <c r="H594" s="171"/>
      <c r="M594" s="143"/>
      <c r="N594" s="147"/>
      <c r="O594" s="147"/>
      <c r="P594" s="147"/>
      <c r="Q594" s="147"/>
      <c r="R594" s="148"/>
      <c r="S594" s="148"/>
    </row>
    <row r="595">
      <c r="A595" s="143"/>
      <c r="B595" s="143"/>
      <c r="C595" s="182"/>
      <c r="D595" s="147"/>
      <c r="E595" s="147"/>
      <c r="F595" s="183"/>
      <c r="G595" s="171"/>
      <c r="H595" s="171"/>
      <c r="M595" s="143"/>
      <c r="N595" s="147"/>
      <c r="O595" s="147"/>
      <c r="P595" s="147"/>
      <c r="Q595" s="147"/>
      <c r="R595" s="148"/>
      <c r="S595" s="148"/>
    </row>
    <row r="596">
      <c r="A596" s="143"/>
      <c r="B596" s="143"/>
      <c r="C596" s="182"/>
      <c r="D596" s="147"/>
      <c r="E596" s="147"/>
      <c r="F596" s="183"/>
      <c r="G596" s="171"/>
      <c r="H596" s="171"/>
      <c r="M596" s="143"/>
      <c r="N596" s="147"/>
      <c r="O596" s="147"/>
      <c r="P596" s="147"/>
      <c r="Q596" s="147"/>
      <c r="R596" s="148"/>
      <c r="S596" s="148"/>
    </row>
    <row r="597">
      <c r="A597" s="143"/>
      <c r="B597" s="143"/>
      <c r="C597" s="182"/>
      <c r="D597" s="147"/>
      <c r="E597" s="147"/>
      <c r="F597" s="183"/>
      <c r="G597" s="171"/>
      <c r="H597" s="171"/>
      <c r="M597" s="143"/>
      <c r="N597" s="147"/>
      <c r="O597" s="147"/>
      <c r="P597" s="147"/>
      <c r="Q597" s="147"/>
      <c r="R597" s="148"/>
      <c r="S597" s="148"/>
    </row>
    <row r="598">
      <c r="A598" s="143"/>
      <c r="B598" s="143"/>
      <c r="C598" s="182"/>
      <c r="D598" s="147"/>
      <c r="E598" s="147"/>
      <c r="F598" s="183"/>
      <c r="G598" s="171"/>
      <c r="H598" s="171"/>
      <c r="M598" s="143"/>
      <c r="N598" s="147"/>
      <c r="O598" s="147"/>
      <c r="P598" s="147"/>
      <c r="Q598" s="147"/>
      <c r="R598" s="148"/>
      <c r="S598" s="148"/>
    </row>
    <row r="599">
      <c r="A599" s="143"/>
      <c r="B599" s="143"/>
      <c r="C599" s="182"/>
      <c r="D599" s="147"/>
      <c r="E599" s="147"/>
      <c r="F599" s="183"/>
      <c r="G599" s="171"/>
      <c r="H599" s="171"/>
      <c r="M599" s="143"/>
      <c r="N599" s="147"/>
      <c r="O599" s="147"/>
      <c r="P599" s="147"/>
      <c r="Q599" s="147"/>
      <c r="R599" s="148"/>
      <c r="S599" s="148"/>
    </row>
    <row r="600">
      <c r="A600" s="143"/>
      <c r="B600" s="143"/>
      <c r="C600" s="182"/>
      <c r="D600" s="147"/>
      <c r="E600" s="147"/>
      <c r="F600" s="183"/>
      <c r="G600" s="171"/>
      <c r="H600" s="171"/>
      <c r="M600" s="143"/>
      <c r="N600" s="147"/>
      <c r="O600" s="147"/>
      <c r="P600" s="147"/>
      <c r="Q600" s="147"/>
      <c r="R600" s="148"/>
      <c r="S600" s="148"/>
    </row>
    <row r="601">
      <c r="A601" s="143"/>
      <c r="B601" s="143"/>
      <c r="C601" s="182"/>
      <c r="D601" s="147"/>
      <c r="E601" s="147"/>
      <c r="F601" s="183"/>
      <c r="G601" s="171"/>
      <c r="H601" s="171"/>
      <c r="M601" s="143"/>
      <c r="N601" s="147"/>
      <c r="O601" s="147"/>
      <c r="P601" s="147"/>
      <c r="Q601" s="147"/>
      <c r="R601" s="148"/>
      <c r="S601" s="148"/>
    </row>
    <row r="602">
      <c r="A602" s="143"/>
      <c r="B602" s="143"/>
      <c r="C602" s="182"/>
      <c r="D602" s="147"/>
      <c r="E602" s="147"/>
      <c r="F602" s="183"/>
      <c r="G602" s="171"/>
      <c r="H602" s="171"/>
      <c r="M602" s="143"/>
      <c r="N602" s="147"/>
      <c r="O602" s="147"/>
      <c r="P602" s="147"/>
      <c r="Q602" s="147"/>
      <c r="R602" s="148"/>
      <c r="S602" s="148"/>
    </row>
    <row r="603">
      <c r="A603" s="143"/>
      <c r="B603" s="143"/>
      <c r="C603" s="182"/>
      <c r="D603" s="147"/>
      <c r="E603" s="147"/>
      <c r="F603" s="183"/>
      <c r="G603" s="171"/>
      <c r="H603" s="171"/>
      <c r="M603" s="143"/>
      <c r="N603" s="147"/>
      <c r="O603" s="147"/>
      <c r="P603" s="147"/>
      <c r="Q603" s="147"/>
      <c r="R603" s="148"/>
      <c r="S603" s="148"/>
    </row>
    <row r="604">
      <c r="A604" s="143"/>
      <c r="B604" s="143"/>
      <c r="C604" s="182"/>
      <c r="D604" s="147"/>
      <c r="E604" s="147"/>
      <c r="F604" s="183"/>
      <c r="G604" s="171"/>
      <c r="H604" s="171"/>
      <c r="M604" s="143"/>
      <c r="N604" s="147"/>
      <c r="O604" s="147"/>
      <c r="P604" s="147"/>
      <c r="Q604" s="147"/>
      <c r="R604" s="148"/>
      <c r="S604" s="148"/>
    </row>
    <row r="605">
      <c r="A605" s="143"/>
      <c r="B605" s="143"/>
      <c r="C605" s="182"/>
      <c r="D605" s="147"/>
      <c r="E605" s="147"/>
      <c r="F605" s="183"/>
      <c r="G605" s="171"/>
      <c r="H605" s="171"/>
      <c r="M605" s="143"/>
      <c r="N605" s="147"/>
      <c r="O605" s="147"/>
      <c r="P605" s="147"/>
      <c r="Q605" s="147"/>
      <c r="R605" s="148"/>
      <c r="S605" s="148"/>
    </row>
    <row r="606">
      <c r="A606" s="143"/>
      <c r="B606" s="143"/>
      <c r="C606" s="182"/>
      <c r="D606" s="147"/>
      <c r="E606" s="147"/>
      <c r="F606" s="183"/>
      <c r="G606" s="171"/>
      <c r="H606" s="171"/>
      <c r="M606" s="143"/>
      <c r="N606" s="147"/>
      <c r="O606" s="147"/>
      <c r="P606" s="147"/>
      <c r="Q606" s="147"/>
      <c r="R606" s="148"/>
      <c r="S606" s="148"/>
    </row>
    <row r="607">
      <c r="A607" s="143"/>
      <c r="B607" s="143"/>
      <c r="C607" s="182"/>
      <c r="D607" s="147"/>
      <c r="E607" s="147"/>
      <c r="F607" s="183"/>
      <c r="G607" s="171"/>
      <c r="H607" s="171"/>
      <c r="M607" s="143"/>
      <c r="N607" s="147"/>
      <c r="O607" s="147"/>
      <c r="P607" s="147"/>
      <c r="Q607" s="147"/>
      <c r="R607" s="148"/>
      <c r="S607" s="148"/>
    </row>
    <row r="608">
      <c r="A608" s="143"/>
      <c r="B608" s="143"/>
      <c r="C608" s="182"/>
      <c r="D608" s="147"/>
      <c r="E608" s="147"/>
      <c r="F608" s="183"/>
      <c r="G608" s="171"/>
      <c r="H608" s="171"/>
      <c r="M608" s="143"/>
      <c r="N608" s="147"/>
      <c r="O608" s="147"/>
      <c r="P608" s="147"/>
      <c r="Q608" s="147"/>
      <c r="R608" s="148"/>
      <c r="S608" s="148"/>
    </row>
    <row r="609">
      <c r="A609" s="143"/>
      <c r="B609" s="143"/>
      <c r="C609" s="182"/>
      <c r="D609" s="147"/>
      <c r="E609" s="147"/>
      <c r="F609" s="183"/>
      <c r="G609" s="171"/>
      <c r="H609" s="171"/>
      <c r="M609" s="143"/>
      <c r="N609" s="147"/>
      <c r="O609" s="147"/>
      <c r="P609" s="147"/>
      <c r="Q609" s="147"/>
      <c r="R609" s="148"/>
      <c r="S609" s="148"/>
    </row>
    <row r="610">
      <c r="A610" s="143"/>
      <c r="B610" s="143"/>
      <c r="C610" s="182"/>
      <c r="D610" s="147"/>
      <c r="E610" s="147"/>
      <c r="F610" s="183"/>
      <c r="G610" s="171"/>
      <c r="H610" s="171"/>
      <c r="M610" s="143"/>
      <c r="N610" s="147"/>
      <c r="O610" s="147"/>
      <c r="P610" s="147"/>
      <c r="Q610" s="147"/>
      <c r="R610" s="148"/>
      <c r="S610" s="148"/>
    </row>
    <row r="611">
      <c r="A611" s="143"/>
      <c r="B611" s="143"/>
      <c r="C611" s="182"/>
      <c r="D611" s="147"/>
      <c r="E611" s="147"/>
      <c r="F611" s="183"/>
      <c r="G611" s="171"/>
      <c r="H611" s="171"/>
      <c r="M611" s="143"/>
      <c r="N611" s="147"/>
      <c r="O611" s="147"/>
      <c r="P611" s="147"/>
      <c r="Q611" s="147"/>
      <c r="R611" s="148"/>
      <c r="S611" s="148"/>
    </row>
    <row r="612">
      <c r="A612" s="143"/>
      <c r="B612" s="143"/>
      <c r="C612" s="182"/>
      <c r="D612" s="147"/>
      <c r="E612" s="147"/>
      <c r="F612" s="183"/>
      <c r="G612" s="171"/>
      <c r="H612" s="171"/>
      <c r="M612" s="143"/>
      <c r="N612" s="147"/>
      <c r="O612" s="147"/>
      <c r="P612" s="147"/>
      <c r="Q612" s="147"/>
      <c r="R612" s="148"/>
      <c r="S612" s="148"/>
    </row>
    <row r="613">
      <c r="A613" s="143"/>
      <c r="B613" s="143"/>
      <c r="C613" s="182"/>
      <c r="D613" s="147"/>
      <c r="E613" s="147"/>
      <c r="F613" s="183"/>
      <c r="G613" s="171"/>
      <c r="H613" s="171"/>
      <c r="M613" s="143"/>
      <c r="N613" s="147"/>
      <c r="O613" s="147"/>
      <c r="P613" s="147"/>
      <c r="Q613" s="147"/>
      <c r="R613" s="148"/>
      <c r="S613" s="148"/>
    </row>
    <row r="614">
      <c r="A614" s="143"/>
      <c r="B614" s="143"/>
      <c r="C614" s="182"/>
      <c r="D614" s="147"/>
      <c r="E614" s="147"/>
      <c r="F614" s="183"/>
      <c r="G614" s="171"/>
      <c r="H614" s="171"/>
      <c r="M614" s="143"/>
      <c r="N614" s="147"/>
      <c r="O614" s="147"/>
      <c r="P614" s="147"/>
      <c r="Q614" s="147"/>
      <c r="R614" s="148"/>
      <c r="S614" s="148"/>
    </row>
    <row r="615">
      <c r="A615" s="143"/>
      <c r="B615" s="143"/>
      <c r="C615" s="182"/>
      <c r="D615" s="147"/>
      <c r="E615" s="147"/>
      <c r="F615" s="183"/>
      <c r="G615" s="171"/>
      <c r="H615" s="171"/>
      <c r="M615" s="143"/>
      <c r="N615" s="147"/>
      <c r="O615" s="147"/>
      <c r="P615" s="147"/>
      <c r="Q615" s="147"/>
      <c r="R615" s="148"/>
      <c r="S615" s="148"/>
    </row>
    <row r="616">
      <c r="A616" s="143"/>
      <c r="B616" s="143"/>
      <c r="C616" s="182"/>
      <c r="D616" s="147"/>
      <c r="E616" s="147"/>
      <c r="F616" s="183"/>
      <c r="G616" s="171"/>
      <c r="H616" s="171"/>
      <c r="M616" s="143"/>
      <c r="N616" s="147"/>
      <c r="O616" s="147"/>
      <c r="P616" s="147"/>
      <c r="Q616" s="147"/>
      <c r="R616" s="148"/>
      <c r="S616" s="148"/>
    </row>
    <row r="617">
      <c r="A617" s="143"/>
      <c r="B617" s="143"/>
      <c r="C617" s="182"/>
      <c r="D617" s="147"/>
      <c r="E617" s="147"/>
      <c r="F617" s="183"/>
      <c r="G617" s="171"/>
      <c r="H617" s="171"/>
      <c r="M617" s="143"/>
      <c r="N617" s="147"/>
      <c r="O617" s="147"/>
      <c r="P617" s="147"/>
      <c r="Q617" s="147"/>
      <c r="R617" s="148"/>
      <c r="S617" s="148"/>
    </row>
    <row r="618">
      <c r="A618" s="143"/>
      <c r="B618" s="143"/>
      <c r="C618" s="182"/>
      <c r="D618" s="147"/>
      <c r="E618" s="147"/>
      <c r="F618" s="183"/>
      <c r="G618" s="171"/>
      <c r="H618" s="171"/>
      <c r="M618" s="143"/>
      <c r="N618" s="147"/>
      <c r="O618" s="147"/>
      <c r="P618" s="147"/>
      <c r="Q618" s="147"/>
      <c r="R618" s="148"/>
      <c r="S618" s="148"/>
    </row>
    <row r="619">
      <c r="A619" s="143"/>
      <c r="B619" s="143"/>
      <c r="C619" s="182"/>
      <c r="D619" s="147"/>
      <c r="E619" s="147"/>
      <c r="F619" s="183"/>
      <c r="G619" s="171"/>
      <c r="H619" s="171"/>
      <c r="M619" s="143"/>
      <c r="N619" s="147"/>
      <c r="O619" s="147"/>
      <c r="P619" s="147"/>
      <c r="Q619" s="147"/>
      <c r="R619" s="148"/>
      <c r="S619" s="148"/>
    </row>
    <row r="620">
      <c r="A620" s="143"/>
      <c r="B620" s="143"/>
      <c r="C620" s="182"/>
      <c r="D620" s="147"/>
      <c r="E620" s="147"/>
      <c r="F620" s="183"/>
      <c r="G620" s="171"/>
      <c r="H620" s="171"/>
      <c r="M620" s="143"/>
      <c r="N620" s="147"/>
      <c r="O620" s="147"/>
      <c r="P620" s="147"/>
      <c r="Q620" s="147"/>
      <c r="R620" s="148"/>
      <c r="S620" s="148"/>
    </row>
    <row r="621">
      <c r="A621" s="143"/>
      <c r="B621" s="143"/>
      <c r="C621" s="182"/>
      <c r="D621" s="147"/>
      <c r="E621" s="147"/>
      <c r="F621" s="183"/>
      <c r="G621" s="171"/>
      <c r="H621" s="171"/>
      <c r="M621" s="143"/>
      <c r="N621" s="147"/>
      <c r="O621" s="147"/>
      <c r="P621" s="147"/>
      <c r="Q621" s="147"/>
      <c r="R621" s="148"/>
      <c r="S621" s="148"/>
    </row>
    <row r="622">
      <c r="A622" s="143"/>
      <c r="B622" s="143"/>
      <c r="C622" s="182"/>
      <c r="D622" s="147"/>
      <c r="E622" s="147"/>
      <c r="F622" s="183"/>
      <c r="G622" s="171"/>
      <c r="H622" s="171"/>
      <c r="M622" s="143"/>
      <c r="N622" s="147"/>
      <c r="O622" s="147"/>
      <c r="P622" s="147"/>
      <c r="Q622" s="147"/>
      <c r="R622" s="148"/>
      <c r="S622" s="148"/>
    </row>
    <row r="623">
      <c r="A623" s="143"/>
      <c r="B623" s="143"/>
      <c r="C623" s="182"/>
      <c r="D623" s="147"/>
      <c r="E623" s="147"/>
      <c r="F623" s="183"/>
      <c r="G623" s="171"/>
      <c r="H623" s="171"/>
      <c r="M623" s="143"/>
      <c r="N623" s="147"/>
      <c r="O623" s="147"/>
      <c r="P623" s="147"/>
      <c r="Q623" s="147"/>
      <c r="R623" s="148"/>
      <c r="S623" s="148"/>
    </row>
    <row r="624">
      <c r="A624" s="143"/>
      <c r="B624" s="143"/>
      <c r="C624" s="182"/>
      <c r="D624" s="147"/>
      <c r="E624" s="147"/>
      <c r="F624" s="183"/>
      <c r="G624" s="171"/>
      <c r="H624" s="171"/>
      <c r="M624" s="143"/>
      <c r="N624" s="147"/>
      <c r="O624" s="147"/>
      <c r="P624" s="147"/>
      <c r="Q624" s="147"/>
      <c r="R624" s="148"/>
      <c r="S624" s="148"/>
    </row>
    <row r="625">
      <c r="A625" s="143"/>
      <c r="B625" s="143"/>
      <c r="C625" s="182"/>
      <c r="D625" s="147"/>
      <c r="E625" s="147"/>
      <c r="F625" s="183"/>
      <c r="G625" s="171"/>
      <c r="H625" s="171"/>
      <c r="M625" s="143"/>
      <c r="N625" s="147"/>
      <c r="O625" s="147"/>
      <c r="P625" s="147"/>
      <c r="Q625" s="147"/>
      <c r="R625" s="148"/>
      <c r="S625" s="148"/>
    </row>
    <row r="626">
      <c r="A626" s="143"/>
      <c r="B626" s="143"/>
      <c r="C626" s="182"/>
      <c r="D626" s="147"/>
      <c r="E626" s="147"/>
      <c r="F626" s="183"/>
      <c r="G626" s="171"/>
      <c r="H626" s="171"/>
      <c r="M626" s="143"/>
      <c r="N626" s="147"/>
      <c r="O626" s="147"/>
      <c r="P626" s="147"/>
      <c r="Q626" s="147"/>
      <c r="R626" s="148"/>
      <c r="S626" s="148"/>
    </row>
    <row r="627">
      <c r="A627" s="143"/>
      <c r="B627" s="143"/>
      <c r="C627" s="182"/>
      <c r="D627" s="147"/>
      <c r="E627" s="147"/>
      <c r="F627" s="183"/>
      <c r="G627" s="171"/>
      <c r="H627" s="171"/>
      <c r="M627" s="143"/>
      <c r="N627" s="147"/>
      <c r="O627" s="147"/>
      <c r="P627" s="147"/>
      <c r="Q627" s="147"/>
      <c r="R627" s="148"/>
      <c r="S627" s="148"/>
    </row>
    <row r="628">
      <c r="A628" s="143"/>
      <c r="B628" s="143"/>
      <c r="C628" s="182"/>
      <c r="D628" s="147"/>
      <c r="E628" s="147"/>
      <c r="F628" s="183"/>
      <c r="G628" s="171"/>
      <c r="H628" s="171"/>
      <c r="M628" s="143"/>
      <c r="N628" s="147"/>
      <c r="O628" s="147"/>
      <c r="P628" s="147"/>
      <c r="Q628" s="147"/>
      <c r="R628" s="148"/>
      <c r="S628" s="148"/>
    </row>
    <row r="629">
      <c r="A629" s="143"/>
      <c r="B629" s="143"/>
      <c r="C629" s="182"/>
      <c r="D629" s="147"/>
      <c r="E629" s="147"/>
      <c r="F629" s="183"/>
      <c r="G629" s="171"/>
      <c r="H629" s="171"/>
      <c r="M629" s="143"/>
      <c r="N629" s="147"/>
      <c r="O629" s="147"/>
      <c r="P629" s="147"/>
      <c r="Q629" s="147"/>
      <c r="R629" s="148"/>
      <c r="S629" s="148"/>
    </row>
    <row r="630">
      <c r="A630" s="143"/>
      <c r="B630" s="143"/>
      <c r="C630" s="182"/>
      <c r="D630" s="147"/>
      <c r="E630" s="147"/>
      <c r="F630" s="183"/>
      <c r="G630" s="171"/>
      <c r="H630" s="171"/>
      <c r="M630" s="143"/>
      <c r="N630" s="147"/>
      <c r="O630" s="147"/>
      <c r="P630" s="147"/>
      <c r="Q630" s="147"/>
      <c r="R630" s="148"/>
      <c r="S630" s="148"/>
    </row>
    <row r="631">
      <c r="A631" s="143"/>
      <c r="B631" s="143"/>
      <c r="C631" s="182"/>
      <c r="D631" s="147"/>
      <c r="E631" s="147"/>
      <c r="F631" s="183"/>
      <c r="G631" s="171"/>
      <c r="H631" s="171"/>
      <c r="M631" s="143"/>
      <c r="N631" s="147"/>
      <c r="O631" s="147"/>
      <c r="P631" s="147"/>
      <c r="Q631" s="147"/>
      <c r="R631" s="148"/>
      <c r="S631" s="148"/>
    </row>
    <row r="632">
      <c r="A632" s="143"/>
      <c r="B632" s="143"/>
      <c r="C632" s="182"/>
      <c r="D632" s="147"/>
      <c r="E632" s="147"/>
      <c r="F632" s="183"/>
      <c r="G632" s="171"/>
      <c r="H632" s="171"/>
      <c r="M632" s="143"/>
      <c r="N632" s="147"/>
      <c r="O632" s="147"/>
      <c r="P632" s="147"/>
      <c r="Q632" s="147"/>
      <c r="R632" s="148"/>
      <c r="S632" s="148"/>
    </row>
    <row r="633">
      <c r="A633" s="143"/>
      <c r="B633" s="143"/>
      <c r="C633" s="182"/>
      <c r="D633" s="147"/>
      <c r="E633" s="147"/>
      <c r="F633" s="183"/>
      <c r="G633" s="171"/>
      <c r="H633" s="171"/>
      <c r="M633" s="143"/>
      <c r="N633" s="147"/>
      <c r="O633" s="147"/>
      <c r="P633" s="147"/>
      <c r="Q633" s="147"/>
      <c r="R633" s="148"/>
      <c r="S633" s="148"/>
    </row>
    <row r="634">
      <c r="A634" s="143"/>
      <c r="B634" s="143"/>
      <c r="C634" s="182"/>
      <c r="D634" s="147"/>
      <c r="E634" s="147"/>
      <c r="F634" s="183"/>
      <c r="G634" s="171"/>
      <c r="H634" s="171"/>
      <c r="M634" s="143"/>
      <c r="N634" s="147"/>
      <c r="O634" s="147"/>
      <c r="P634" s="147"/>
      <c r="Q634" s="147"/>
      <c r="R634" s="148"/>
      <c r="S634" s="148"/>
    </row>
    <row r="635">
      <c r="A635" s="143"/>
      <c r="B635" s="143"/>
      <c r="C635" s="182"/>
      <c r="D635" s="147"/>
      <c r="E635" s="147"/>
      <c r="F635" s="183"/>
      <c r="G635" s="171"/>
      <c r="H635" s="171"/>
      <c r="M635" s="143"/>
      <c r="N635" s="147"/>
      <c r="O635" s="147"/>
      <c r="P635" s="147"/>
      <c r="Q635" s="147"/>
      <c r="R635" s="148"/>
      <c r="S635" s="148"/>
    </row>
    <row r="636">
      <c r="A636" s="143"/>
      <c r="B636" s="143"/>
      <c r="C636" s="182"/>
      <c r="D636" s="147"/>
      <c r="E636" s="147"/>
      <c r="F636" s="183"/>
      <c r="G636" s="171"/>
      <c r="H636" s="171"/>
      <c r="M636" s="143"/>
      <c r="N636" s="147"/>
      <c r="O636" s="147"/>
      <c r="P636" s="147"/>
      <c r="Q636" s="147"/>
      <c r="R636" s="148"/>
      <c r="S636" s="148"/>
    </row>
    <row r="637">
      <c r="A637" s="143"/>
      <c r="B637" s="143"/>
      <c r="C637" s="182"/>
      <c r="D637" s="147"/>
      <c r="E637" s="147"/>
      <c r="F637" s="183"/>
      <c r="G637" s="171"/>
      <c r="H637" s="171"/>
      <c r="M637" s="143"/>
      <c r="N637" s="147"/>
      <c r="O637" s="147"/>
      <c r="P637" s="147"/>
      <c r="Q637" s="147"/>
      <c r="R637" s="148"/>
      <c r="S637" s="148"/>
    </row>
    <row r="638">
      <c r="A638" s="143"/>
      <c r="B638" s="143"/>
      <c r="C638" s="182"/>
      <c r="D638" s="147"/>
      <c r="E638" s="147"/>
      <c r="F638" s="183"/>
      <c r="G638" s="171"/>
      <c r="H638" s="171"/>
      <c r="M638" s="143"/>
      <c r="N638" s="147"/>
      <c r="O638" s="147"/>
      <c r="P638" s="147"/>
      <c r="Q638" s="147"/>
      <c r="R638" s="148"/>
      <c r="S638" s="148"/>
    </row>
    <row r="639">
      <c r="A639" s="143"/>
      <c r="B639" s="143"/>
      <c r="C639" s="182"/>
      <c r="D639" s="147"/>
      <c r="E639" s="147"/>
      <c r="F639" s="183"/>
      <c r="G639" s="171"/>
      <c r="H639" s="171"/>
      <c r="M639" s="143"/>
      <c r="N639" s="147"/>
      <c r="O639" s="147"/>
      <c r="P639" s="147"/>
      <c r="Q639" s="147"/>
      <c r="R639" s="148"/>
      <c r="S639" s="148"/>
    </row>
    <row r="640">
      <c r="A640" s="143"/>
      <c r="B640" s="143"/>
      <c r="C640" s="182"/>
      <c r="D640" s="147"/>
      <c r="E640" s="147"/>
      <c r="F640" s="183"/>
      <c r="G640" s="171"/>
      <c r="H640" s="171"/>
      <c r="M640" s="143"/>
      <c r="N640" s="147"/>
      <c r="O640" s="147"/>
      <c r="P640" s="147"/>
      <c r="Q640" s="147"/>
      <c r="R640" s="148"/>
      <c r="S640" s="148"/>
    </row>
    <row r="641">
      <c r="A641" s="143"/>
      <c r="B641" s="143"/>
      <c r="C641" s="182"/>
      <c r="D641" s="147"/>
      <c r="E641" s="147"/>
      <c r="F641" s="183"/>
      <c r="G641" s="171"/>
      <c r="H641" s="171"/>
      <c r="M641" s="143"/>
      <c r="N641" s="147"/>
      <c r="O641" s="147"/>
      <c r="P641" s="147"/>
      <c r="Q641" s="147"/>
      <c r="R641" s="148"/>
      <c r="S641" s="148"/>
    </row>
    <row r="642">
      <c r="A642" s="143"/>
      <c r="B642" s="143"/>
      <c r="C642" s="182"/>
      <c r="D642" s="147"/>
      <c r="E642" s="147"/>
      <c r="F642" s="183"/>
      <c r="G642" s="171"/>
      <c r="H642" s="171"/>
      <c r="M642" s="143"/>
      <c r="N642" s="147"/>
      <c r="O642" s="147"/>
      <c r="P642" s="147"/>
      <c r="Q642" s="147"/>
      <c r="R642" s="148"/>
      <c r="S642" s="148"/>
    </row>
    <row r="643">
      <c r="A643" s="143"/>
      <c r="B643" s="143"/>
      <c r="C643" s="182"/>
      <c r="D643" s="147"/>
      <c r="E643" s="147"/>
      <c r="F643" s="183"/>
      <c r="G643" s="171"/>
      <c r="H643" s="171"/>
      <c r="M643" s="143"/>
      <c r="N643" s="147"/>
      <c r="O643" s="147"/>
      <c r="P643" s="147"/>
      <c r="Q643" s="147"/>
      <c r="R643" s="148"/>
      <c r="S643" s="148"/>
    </row>
    <row r="644">
      <c r="A644" s="143"/>
      <c r="B644" s="143"/>
      <c r="C644" s="182"/>
      <c r="D644" s="147"/>
      <c r="E644" s="147"/>
      <c r="F644" s="183"/>
      <c r="G644" s="171"/>
      <c r="H644" s="171"/>
      <c r="M644" s="143"/>
      <c r="N644" s="147"/>
      <c r="O644" s="147"/>
      <c r="P644" s="147"/>
      <c r="Q644" s="147"/>
      <c r="R644" s="148"/>
      <c r="S644" s="148"/>
    </row>
    <row r="645">
      <c r="A645" s="143"/>
      <c r="B645" s="143"/>
      <c r="C645" s="182"/>
      <c r="D645" s="147"/>
      <c r="E645" s="147"/>
      <c r="F645" s="183"/>
      <c r="G645" s="171"/>
      <c r="H645" s="171"/>
      <c r="M645" s="143"/>
      <c r="N645" s="147"/>
      <c r="O645" s="147"/>
      <c r="P645" s="147"/>
      <c r="Q645" s="147"/>
      <c r="R645" s="148"/>
      <c r="S645" s="148"/>
    </row>
    <row r="646">
      <c r="A646" s="143"/>
      <c r="B646" s="143"/>
      <c r="C646" s="182"/>
      <c r="D646" s="147"/>
      <c r="E646" s="147"/>
      <c r="F646" s="183"/>
      <c r="G646" s="171"/>
      <c r="H646" s="171"/>
      <c r="M646" s="143"/>
      <c r="N646" s="147"/>
      <c r="O646" s="147"/>
      <c r="P646" s="147"/>
      <c r="Q646" s="147"/>
      <c r="R646" s="148"/>
      <c r="S646" s="148"/>
    </row>
    <row r="647">
      <c r="A647" s="143"/>
      <c r="B647" s="143"/>
      <c r="C647" s="182"/>
      <c r="D647" s="147"/>
      <c r="E647" s="147"/>
      <c r="F647" s="183"/>
      <c r="G647" s="171"/>
      <c r="H647" s="171"/>
      <c r="M647" s="143"/>
      <c r="N647" s="147"/>
      <c r="O647" s="147"/>
      <c r="P647" s="147"/>
      <c r="Q647" s="147"/>
      <c r="R647" s="148"/>
      <c r="S647" s="148"/>
    </row>
    <row r="648">
      <c r="A648" s="143"/>
      <c r="B648" s="143"/>
      <c r="C648" s="182"/>
      <c r="D648" s="147"/>
      <c r="E648" s="147"/>
      <c r="F648" s="183"/>
      <c r="G648" s="171"/>
      <c r="H648" s="171"/>
      <c r="M648" s="143"/>
      <c r="N648" s="147"/>
      <c r="O648" s="147"/>
      <c r="P648" s="147"/>
      <c r="Q648" s="147"/>
      <c r="R648" s="148"/>
      <c r="S648" s="148"/>
    </row>
    <row r="649">
      <c r="A649" s="143"/>
      <c r="B649" s="143"/>
      <c r="C649" s="182"/>
      <c r="D649" s="147"/>
      <c r="E649" s="147"/>
      <c r="F649" s="183"/>
      <c r="G649" s="171"/>
      <c r="H649" s="171"/>
      <c r="M649" s="143"/>
      <c r="N649" s="147"/>
      <c r="O649" s="147"/>
      <c r="P649" s="147"/>
      <c r="Q649" s="147"/>
      <c r="R649" s="148"/>
      <c r="S649" s="148"/>
    </row>
    <row r="650">
      <c r="A650" s="143"/>
      <c r="B650" s="143"/>
      <c r="C650" s="182"/>
      <c r="D650" s="147"/>
      <c r="E650" s="147"/>
      <c r="F650" s="183"/>
      <c r="G650" s="171"/>
      <c r="H650" s="171"/>
      <c r="M650" s="143"/>
      <c r="N650" s="147"/>
      <c r="O650" s="147"/>
      <c r="P650" s="147"/>
      <c r="Q650" s="147"/>
      <c r="R650" s="148"/>
      <c r="S650" s="148"/>
    </row>
    <row r="651">
      <c r="A651" s="143"/>
      <c r="B651" s="143"/>
      <c r="C651" s="182"/>
      <c r="D651" s="147"/>
      <c r="E651" s="147"/>
      <c r="F651" s="183"/>
      <c r="G651" s="171"/>
      <c r="H651" s="171"/>
      <c r="M651" s="143"/>
      <c r="N651" s="147"/>
      <c r="O651" s="147"/>
      <c r="P651" s="147"/>
      <c r="Q651" s="147"/>
      <c r="R651" s="148"/>
      <c r="S651" s="148"/>
    </row>
    <row r="652">
      <c r="A652" s="143"/>
      <c r="B652" s="143"/>
      <c r="C652" s="182"/>
      <c r="D652" s="147"/>
      <c r="E652" s="147"/>
      <c r="F652" s="183"/>
      <c r="G652" s="171"/>
      <c r="H652" s="171"/>
      <c r="M652" s="143"/>
      <c r="N652" s="147"/>
      <c r="O652" s="147"/>
      <c r="P652" s="147"/>
      <c r="Q652" s="147"/>
      <c r="R652" s="148"/>
      <c r="S652" s="148"/>
    </row>
    <row r="653">
      <c r="A653" s="143"/>
      <c r="B653" s="143"/>
      <c r="C653" s="182"/>
      <c r="D653" s="147"/>
      <c r="E653" s="147"/>
      <c r="F653" s="183"/>
      <c r="G653" s="171"/>
      <c r="H653" s="171"/>
      <c r="M653" s="143"/>
      <c r="N653" s="147"/>
      <c r="O653" s="147"/>
      <c r="P653" s="147"/>
      <c r="Q653" s="147"/>
      <c r="R653" s="148"/>
      <c r="S653" s="148"/>
    </row>
    <row r="654">
      <c r="A654" s="143"/>
      <c r="B654" s="143"/>
      <c r="C654" s="182"/>
      <c r="D654" s="147"/>
      <c r="E654" s="147"/>
      <c r="F654" s="183"/>
      <c r="G654" s="171"/>
      <c r="H654" s="171"/>
      <c r="M654" s="143"/>
      <c r="N654" s="147"/>
      <c r="O654" s="147"/>
      <c r="P654" s="147"/>
      <c r="Q654" s="147"/>
      <c r="R654" s="148"/>
      <c r="S654" s="148"/>
    </row>
    <row r="655">
      <c r="A655" s="143"/>
      <c r="B655" s="143"/>
      <c r="C655" s="182"/>
      <c r="D655" s="147"/>
      <c r="E655" s="147"/>
      <c r="F655" s="183"/>
      <c r="G655" s="171"/>
      <c r="H655" s="171"/>
      <c r="M655" s="143"/>
      <c r="N655" s="147"/>
      <c r="O655" s="147"/>
      <c r="P655" s="147"/>
      <c r="Q655" s="147"/>
      <c r="R655" s="148"/>
      <c r="S655" s="148"/>
    </row>
    <row r="656">
      <c r="A656" s="143"/>
      <c r="B656" s="143"/>
      <c r="C656" s="182"/>
      <c r="D656" s="147"/>
      <c r="E656" s="147"/>
      <c r="F656" s="183"/>
      <c r="G656" s="171"/>
      <c r="H656" s="171"/>
      <c r="M656" s="143"/>
      <c r="N656" s="147"/>
      <c r="O656" s="147"/>
      <c r="P656" s="147"/>
      <c r="Q656" s="147"/>
      <c r="R656" s="148"/>
      <c r="S656" s="148"/>
    </row>
    <row r="657">
      <c r="A657" s="143"/>
      <c r="B657" s="143"/>
      <c r="C657" s="182"/>
      <c r="D657" s="147"/>
      <c r="E657" s="147"/>
      <c r="F657" s="183"/>
      <c r="G657" s="171"/>
      <c r="H657" s="171"/>
      <c r="M657" s="143"/>
      <c r="N657" s="147"/>
      <c r="O657" s="147"/>
      <c r="P657" s="147"/>
      <c r="Q657" s="147"/>
      <c r="R657" s="148"/>
      <c r="S657" s="148"/>
    </row>
    <row r="658">
      <c r="A658" s="143"/>
      <c r="B658" s="143"/>
      <c r="C658" s="182"/>
      <c r="D658" s="147"/>
      <c r="E658" s="147"/>
      <c r="F658" s="183"/>
      <c r="G658" s="171"/>
      <c r="H658" s="171"/>
      <c r="M658" s="143"/>
      <c r="N658" s="147"/>
      <c r="O658" s="147"/>
      <c r="P658" s="147"/>
      <c r="Q658" s="147"/>
      <c r="R658" s="148"/>
      <c r="S658" s="148"/>
    </row>
    <row r="659">
      <c r="A659" s="143"/>
      <c r="B659" s="143"/>
      <c r="C659" s="182"/>
      <c r="D659" s="147"/>
      <c r="E659" s="147"/>
      <c r="F659" s="183"/>
      <c r="G659" s="171"/>
      <c r="H659" s="171"/>
      <c r="M659" s="143"/>
      <c r="N659" s="147"/>
      <c r="O659" s="147"/>
      <c r="P659" s="147"/>
      <c r="Q659" s="147"/>
      <c r="R659" s="148"/>
      <c r="S659" s="148"/>
    </row>
    <row r="660">
      <c r="A660" s="143"/>
      <c r="B660" s="143"/>
      <c r="C660" s="182"/>
      <c r="D660" s="147"/>
      <c r="E660" s="147"/>
      <c r="F660" s="183"/>
      <c r="G660" s="171"/>
      <c r="H660" s="171"/>
      <c r="M660" s="143"/>
      <c r="N660" s="147"/>
      <c r="O660" s="147"/>
      <c r="P660" s="147"/>
      <c r="Q660" s="147"/>
      <c r="R660" s="148"/>
      <c r="S660" s="148"/>
    </row>
    <row r="661">
      <c r="A661" s="143"/>
      <c r="B661" s="143"/>
      <c r="C661" s="182"/>
      <c r="D661" s="147"/>
      <c r="E661" s="147"/>
      <c r="F661" s="183"/>
      <c r="G661" s="171"/>
      <c r="H661" s="171"/>
      <c r="M661" s="143"/>
      <c r="N661" s="147"/>
      <c r="O661" s="147"/>
      <c r="P661" s="147"/>
      <c r="Q661" s="147"/>
      <c r="R661" s="148"/>
      <c r="S661" s="148"/>
    </row>
    <row r="662">
      <c r="A662" s="143"/>
      <c r="B662" s="143"/>
      <c r="C662" s="182"/>
      <c r="D662" s="147"/>
      <c r="E662" s="147"/>
      <c r="F662" s="183"/>
      <c r="G662" s="171"/>
      <c r="H662" s="171"/>
      <c r="M662" s="143"/>
      <c r="N662" s="147"/>
      <c r="O662" s="147"/>
      <c r="P662" s="147"/>
      <c r="Q662" s="147"/>
      <c r="R662" s="148"/>
      <c r="S662" s="148"/>
    </row>
    <row r="663">
      <c r="A663" s="143"/>
      <c r="B663" s="143"/>
      <c r="C663" s="182"/>
      <c r="D663" s="147"/>
      <c r="E663" s="147"/>
      <c r="F663" s="183"/>
      <c r="G663" s="171"/>
      <c r="H663" s="171"/>
      <c r="M663" s="143"/>
      <c r="N663" s="147"/>
      <c r="O663" s="147"/>
      <c r="P663" s="147"/>
      <c r="Q663" s="147"/>
      <c r="R663" s="148"/>
      <c r="S663" s="148"/>
    </row>
    <row r="664">
      <c r="A664" s="143"/>
      <c r="B664" s="143"/>
      <c r="C664" s="182"/>
      <c r="D664" s="147"/>
      <c r="E664" s="147"/>
      <c r="F664" s="183"/>
      <c r="G664" s="171"/>
      <c r="H664" s="171"/>
      <c r="M664" s="143"/>
      <c r="N664" s="147"/>
      <c r="O664" s="147"/>
      <c r="P664" s="147"/>
      <c r="Q664" s="147"/>
      <c r="R664" s="148"/>
      <c r="S664" s="148"/>
    </row>
    <row r="665">
      <c r="A665" s="143"/>
      <c r="B665" s="143"/>
      <c r="C665" s="182"/>
      <c r="D665" s="147"/>
      <c r="E665" s="147"/>
      <c r="F665" s="183"/>
      <c r="G665" s="171"/>
      <c r="H665" s="171"/>
      <c r="M665" s="143"/>
      <c r="N665" s="147"/>
      <c r="O665" s="147"/>
      <c r="P665" s="147"/>
      <c r="Q665" s="147"/>
      <c r="R665" s="148"/>
      <c r="S665" s="148"/>
    </row>
    <row r="666">
      <c r="A666" s="143"/>
      <c r="B666" s="143"/>
      <c r="C666" s="182"/>
      <c r="D666" s="147"/>
      <c r="E666" s="147"/>
      <c r="F666" s="183"/>
      <c r="G666" s="171"/>
      <c r="H666" s="171"/>
      <c r="M666" s="143"/>
      <c r="N666" s="147"/>
      <c r="O666" s="147"/>
      <c r="P666" s="147"/>
      <c r="Q666" s="147"/>
      <c r="R666" s="148"/>
      <c r="S666" s="148"/>
    </row>
    <row r="667">
      <c r="A667" s="143"/>
      <c r="B667" s="143"/>
      <c r="C667" s="182"/>
      <c r="D667" s="147"/>
      <c r="E667" s="147"/>
      <c r="F667" s="183"/>
      <c r="G667" s="171"/>
      <c r="H667" s="171"/>
      <c r="M667" s="143"/>
      <c r="N667" s="147"/>
      <c r="O667" s="147"/>
      <c r="P667" s="147"/>
      <c r="Q667" s="147"/>
      <c r="R667" s="148"/>
      <c r="S667" s="148"/>
    </row>
    <row r="668">
      <c r="A668" s="143"/>
      <c r="B668" s="143"/>
      <c r="C668" s="182"/>
      <c r="D668" s="147"/>
      <c r="E668" s="147"/>
      <c r="F668" s="183"/>
      <c r="G668" s="171"/>
      <c r="H668" s="171"/>
      <c r="M668" s="143"/>
      <c r="N668" s="147"/>
      <c r="O668" s="147"/>
      <c r="P668" s="147"/>
      <c r="Q668" s="147"/>
      <c r="R668" s="148"/>
      <c r="S668" s="148"/>
    </row>
    <row r="669">
      <c r="A669" s="143"/>
      <c r="B669" s="143"/>
      <c r="C669" s="182"/>
      <c r="D669" s="147"/>
      <c r="E669" s="147"/>
      <c r="F669" s="183"/>
      <c r="G669" s="171"/>
      <c r="H669" s="171"/>
      <c r="M669" s="143"/>
      <c r="N669" s="147"/>
      <c r="O669" s="147"/>
      <c r="P669" s="147"/>
      <c r="Q669" s="147"/>
      <c r="R669" s="148"/>
      <c r="S669" s="148"/>
    </row>
    <row r="670">
      <c r="A670" s="143"/>
      <c r="B670" s="143"/>
      <c r="C670" s="182"/>
      <c r="D670" s="147"/>
      <c r="E670" s="147"/>
      <c r="F670" s="183"/>
      <c r="G670" s="171"/>
      <c r="H670" s="171"/>
      <c r="M670" s="143"/>
      <c r="N670" s="147"/>
      <c r="O670" s="147"/>
      <c r="P670" s="147"/>
      <c r="Q670" s="147"/>
      <c r="R670" s="148"/>
      <c r="S670" s="148"/>
    </row>
    <row r="671">
      <c r="A671" s="143"/>
      <c r="B671" s="143"/>
      <c r="C671" s="182"/>
      <c r="D671" s="147"/>
      <c r="E671" s="147"/>
      <c r="F671" s="183"/>
      <c r="G671" s="171"/>
      <c r="H671" s="171"/>
      <c r="M671" s="143"/>
      <c r="N671" s="147"/>
      <c r="O671" s="147"/>
      <c r="P671" s="147"/>
      <c r="Q671" s="147"/>
      <c r="R671" s="148"/>
      <c r="S671" s="148"/>
    </row>
    <row r="672">
      <c r="A672" s="143"/>
      <c r="B672" s="143"/>
      <c r="C672" s="182"/>
      <c r="D672" s="147"/>
      <c r="E672" s="147"/>
      <c r="F672" s="183"/>
      <c r="G672" s="171"/>
      <c r="H672" s="171"/>
      <c r="M672" s="143"/>
      <c r="N672" s="147"/>
      <c r="O672" s="147"/>
      <c r="P672" s="147"/>
      <c r="Q672" s="147"/>
      <c r="R672" s="148"/>
      <c r="S672" s="148"/>
    </row>
    <row r="673">
      <c r="A673" s="143"/>
      <c r="B673" s="143"/>
      <c r="C673" s="182"/>
      <c r="D673" s="147"/>
      <c r="E673" s="147"/>
      <c r="F673" s="183"/>
      <c r="G673" s="171"/>
      <c r="H673" s="171"/>
      <c r="M673" s="143"/>
      <c r="N673" s="147"/>
      <c r="O673" s="147"/>
      <c r="P673" s="147"/>
      <c r="Q673" s="147"/>
      <c r="R673" s="148"/>
      <c r="S673" s="148"/>
    </row>
    <row r="674">
      <c r="A674" s="143"/>
      <c r="B674" s="143"/>
      <c r="C674" s="182"/>
      <c r="D674" s="147"/>
      <c r="E674" s="147"/>
      <c r="F674" s="183"/>
      <c r="G674" s="171"/>
      <c r="H674" s="171"/>
      <c r="M674" s="143"/>
      <c r="N674" s="147"/>
      <c r="O674" s="147"/>
      <c r="P674" s="147"/>
      <c r="Q674" s="147"/>
      <c r="R674" s="148"/>
      <c r="S674" s="148"/>
    </row>
    <row r="675">
      <c r="A675" s="143"/>
      <c r="B675" s="143"/>
      <c r="C675" s="182"/>
      <c r="D675" s="147"/>
      <c r="E675" s="147"/>
      <c r="F675" s="183"/>
      <c r="G675" s="171"/>
      <c r="H675" s="171"/>
      <c r="M675" s="143"/>
      <c r="N675" s="147"/>
      <c r="O675" s="147"/>
      <c r="P675" s="147"/>
      <c r="Q675" s="147"/>
      <c r="R675" s="148"/>
      <c r="S675" s="148"/>
    </row>
    <row r="676">
      <c r="A676" s="143"/>
      <c r="B676" s="143"/>
      <c r="C676" s="182"/>
      <c r="D676" s="147"/>
      <c r="E676" s="147"/>
      <c r="F676" s="183"/>
      <c r="G676" s="171"/>
      <c r="H676" s="171"/>
      <c r="M676" s="143"/>
      <c r="N676" s="147"/>
      <c r="O676" s="147"/>
      <c r="P676" s="147"/>
      <c r="Q676" s="147"/>
      <c r="R676" s="148"/>
      <c r="S676" s="148"/>
    </row>
    <row r="677">
      <c r="A677" s="143"/>
      <c r="B677" s="143"/>
      <c r="C677" s="182"/>
      <c r="D677" s="147"/>
      <c r="E677" s="147"/>
      <c r="F677" s="183"/>
      <c r="G677" s="171"/>
      <c r="H677" s="171"/>
      <c r="M677" s="143"/>
      <c r="N677" s="147"/>
      <c r="O677" s="147"/>
      <c r="P677" s="147"/>
      <c r="Q677" s="147"/>
      <c r="R677" s="148"/>
      <c r="S677" s="148"/>
    </row>
    <row r="678">
      <c r="A678" s="143"/>
      <c r="B678" s="143"/>
      <c r="C678" s="182"/>
      <c r="D678" s="147"/>
      <c r="E678" s="147"/>
      <c r="F678" s="183"/>
      <c r="G678" s="171"/>
      <c r="H678" s="171"/>
      <c r="M678" s="143"/>
      <c r="N678" s="147"/>
      <c r="O678" s="147"/>
      <c r="P678" s="147"/>
      <c r="Q678" s="147"/>
      <c r="R678" s="148"/>
      <c r="S678" s="148"/>
    </row>
    <row r="679">
      <c r="A679" s="143"/>
      <c r="B679" s="143"/>
      <c r="C679" s="182"/>
      <c r="D679" s="147"/>
      <c r="E679" s="147"/>
      <c r="F679" s="183"/>
      <c r="G679" s="171"/>
      <c r="H679" s="171"/>
      <c r="M679" s="143"/>
      <c r="N679" s="147"/>
      <c r="O679" s="147"/>
      <c r="P679" s="147"/>
      <c r="Q679" s="147"/>
      <c r="R679" s="148"/>
      <c r="S679" s="148"/>
    </row>
    <row r="680">
      <c r="A680" s="143"/>
      <c r="B680" s="143"/>
      <c r="C680" s="182"/>
      <c r="D680" s="147"/>
      <c r="E680" s="147"/>
      <c r="F680" s="183"/>
      <c r="G680" s="171"/>
      <c r="H680" s="171"/>
      <c r="M680" s="143"/>
      <c r="N680" s="147"/>
      <c r="O680" s="147"/>
      <c r="P680" s="147"/>
      <c r="Q680" s="147"/>
      <c r="R680" s="148"/>
      <c r="S680" s="148"/>
    </row>
    <row r="681">
      <c r="A681" s="143"/>
      <c r="B681" s="143"/>
      <c r="C681" s="182"/>
      <c r="D681" s="147"/>
      <c r="E681" s="147"/>
      <c r="F681" s="183"/>
      <c r="G681" s="171"/>
      <c r="H681" s="171"/>
      <c r="M681" s="143"/>
      <c r="N681" s="147"/>
      <c r="O681" s="147"/>
      <c r="P681" s="147"/>
      <c r="Q681" s="147"/>
      <c r="R681" s="148"/>
      <c r="S681" s="148"/>
    </row>
    <row r="682">
      <c r="A682" s="143"/>
      <c r="B682" s="143"/>
      <c r="C682" s="182"/>
      <c r="D682" s="147"/>
      <c r="E682" s="147"/>
      <c r="F682" s="183"/>
      <c r="G682" s="171"/>
      <c r="H682" s="171"/>
      <c r="M682" s="143"/>
      <c r="N682" s="147"/>
      <c r="O682" s="147"/>
      <c r="P682" s="147"/>
      <c r="Q682" s="147"/>
      <c r="R682" s="148"/>
      <c r="S682" s="148"/>
    </row>
    <row r="683">
      <c r="A683" s="143"/>
      <c r="B683" s="143"/>
      <c r="C683" s="182"/>
      <c r="D683" s="147"/>
      <c r="E683" s="147"/>
      <c r="F683" s="183"/>
      <c r="G683" s="171"/>
      <c r="H683" s="171"/>
      <c r="M683" s="143"/>
      <c r="N683" s="147"/>
      <c r="O683" s="147"/>
      <c r="P683" s="147"/>
      <c r="Q683" s="147"/>
      <c r="R683" s="148"/>
      <c r="S683" s="148"/>
    </row>
    <row r="684">
      <c r="A684" s="143"/>
      <c r="B684" s="143"/>
      <c r="C684" s="182"/>
      <c r="D684" s="147"/>
      <c r="E684" s="147"/>
      <c r="F684" s="183"/>
      <c r="G684" s="171"/>
      <c r="H684" s="171"/>
      <c r="M684" s="143"/>
      <c r="N684" s="147"/>
      <c r="O684" s="147"/>
      <c r="P684" s="147"/>
      <c r="Q684" s="147"/>
      <c r="R684" s="148"/>
      <c r="S684" s="148"/>
    </row>
    <row r="685">
      <c r="A685" s="143"/>
      <c r="B685" s="143"/>
      <c r="C685" s="182"/>
      <c r="D685" s="147"/>
      <c r="E685" s="147"/>
      <c r="F685" s="183"/>
      <c r="G685" s="171"/>
      <c r="H685" s="171"/>
      <c r="M685" s="143"/>
      <c r="N685" s="147"/>
      <c r="O685" s="147"/>
      <c r="P685" s="147"/>
      <c r="Q685" s="147"/>
      <c r="R685" s="148"/>
      <c r="S685" s="148"/>
    </row>
    <row r="686">
      <c r="A686" s="143"/>
      <c r="B686" s="143"/>
      <c r="C686" s="182"/>
      <c r="D686" s="147"/>
      <c r="E686" s="147"/>
      <c r="F686" s="183"/>
      <c r="G686" s="171"/>
      <c r="H686" s="171"/>
      <c r="M686" s="143"/>
      <c r="N686" s="147"/>
      <c r="O686" s="147"/>
      <c r="P686" s="147"/>
      <c r="Q686" s="147"/>
      <c r="R686" s="148"/>
      <c r="S686" s="148"/>
    </row>
    <row r="687">
      <c r="A687" s="143"/>
      <c r="B687" s="143"/>
      <c r="C687" s="182"/>
      <c r="D687" s="147"/>
      <c r="E687" s="147"/>
      <c r="F687" s="183"/>
      <c r="G687" s="171"/>
      <c r="H687" s="171"/>
      <c r="M687" s="143"/>
      <c r="N687" s="147"/>
      <c r="O687" s="147"/>
      <c r="P687" s="147"/>
      <c r="Q687" s="147"/>
      <c r="R687" s="148"/>
      <c r="S687" s="148"/>
    </row>
    <row r="688">
      <c r="A688" s="143"/>
      <c r="B688" s="143"/>
      <c r="C688" s="182"/>
      <c r="D688" s="147"/>
      <c r="E688" s="147"/>
      <c r="F688" s="183"/>
      <c r="G688" s="171"/>
      <c r="H688" s="171"/>
      <c r="M688" s="143"/>
      <c r="N688" s="147"/>
      <c r="O688" s="147"/>
      <c r="P688" s="147"/>
      <c r="Q688" s="147"/>
      <c r="R688" s="148"/>
      <c r="S688" s="148"/>
    </row>
    <row r="689">
      <c r="A689" s="143"/>
      <c r="B689" s="143"/>
      <c r="C689" s="182"/>
      <c r="D689" s="147"/>
      <c r="E689" s="147"/>
      <c r="F689" s="183"/>
      <c r="G689" s="171"/>
      <c r="H689" s="171"/>
      <c r="M689" s="143"/>
      <c r="N689" s="147"/>
      <c r="O689" s="147"/>
      <c r="P689" s="147"/>
      <c r="Q689" s="147"/>
      <c r="R689" s="148"/>
      <c r="S689" s="148"/>
    </row>
    <row r="690">
      <c r="A690" s="143"/>
      <c r="B690" s="143"/>
      <c r="C690" s="182"/>
      <c r="D690" s="147"/>
      <c r="E690" s="147"/>
      <c r="F690" s="183"/>
      <c r="G690" s="171"/>
      <c r="H690" s="171"/>
      <c r="M690" s="143"/>
      <c r="N690" s="147"/>
      <c r="O690" s="147"/>
      <c r="P690" s="147"/>
      <c r="Q690" s="147"/>
      <c r="R690" s="148"/>
      <c r="S690" s="148"/>
    </row>
    <row r="691">
      <c r="A691" s="143"/>
      <c r="B691" s="143"/>
      <c r="C691" s="182"/>
      <c r="D691" s="147"/>
      <c r="E691" s="147"/>
      <c r="F691" s="183"/>
      <c r="G691" s="171"/>
      <c r="H691" s="171"/>
      <c r="M691" s="143"/>
      <c r="N691" s="147"/>
      <c r="O691" s="147"/>
      <c r="P691" s="147"/>
      <c r="Q691" s="147"/>
      <c r="R691" s="148"/>
      <c r="S691" s="148"/>
    </row>
    <row r="692">
      <c r="A692" s="143"/>
      <c r="B692" s="143"/>
      <c r="C692" s="182"/>
      <c r="D692" s="147"/>
      <c r="E692" s="147"/>
      <c r="F692" s="183"/>
      <c r="G692" s="171"/>
      <c r="H692" s="171"/>
      <c r="M692" s="143"/>
      <c r="N692" s="147"/>
      <c r="O692" s="147"/>
      <c r="P692" s="147"/>
      <c r="Q692" s="147"/>
      <c r="R692" s="148"/>
      <c r="S692" s="148"/>
    </row>
    <row r="693">
      <c r="A693" s="143"/>
      <c r="B693" s="143"/>
      <c r="C693" s="182"/>
      <c r="D693" s="147"/>
      <c r="E693" s="147"/>
      <c r="F693" s="183"/>
      <c r="G693" s="171"/>
      <c r="H693" s="171"/>
      <c r="M693" s="143"/>
      <c r="N693" s="147"/>
      <c r="O693" s="147"/>
      <c r="P693" s="147"/>
      <c r="Q693" s="147"/>
      <c r="R693" s="148"/>
      <c r="S693" s="148"/>
    </row>
    <row r="694">
      <c r="A694" s="143"/>
      <c r="B694" s="143"/>
      <c r="C694" s="182"/>
      <c r="D694" s="147"/>
      <c r="E694" s="147"/>
      <c r="F694" s="183"/>
      <c r="G694" s="171"/>
      <c r="H694" s="171"/>
      <c r="M694" s="143"/>
      <c r="N694" s="147"/>
      <c r="O694" s="147"/>
      <c r="P694" s="147"/>
      <c r="Q694" s="147"/>
      <c r="R694" s="148"/>
      <c r="S694" s="148"/>
    </row>
    <row r="695">
      <c r="A695" s="143"/>
      <c r="B695" s="143"/>
      <c r="C695" s="182"/>
      <c r="D695" s="147"/>
      <c r="E695" s="147"/>
      <c r="F695" s="183"/>
      <c r="G695" s="171"/>
      <c r="H695" s="171"/>
      <c r="M695" s="143"/>
      <c r="N695" s="147"/>
      <c r="O695" s="147"/>
      <c r="P695" s="147"/>
      <c r="Q695" s="147"/>
      <c r="R695" s="148"/>
      <c r="S695" s="148"/>
    </row>
    <row r="696">
      <c r="A696" s="143"/>
      <c r="B696" s="143"/>
      <c r="C696" s="182"/>
      <c r="D696" s="147"/>
      <c r="E696" s="147"/>
      <c r="F696" s="183"/>
      <c r="G696" s="171"/>
      <c r="H696" s="171"/>
      <c r="M696" s="143"/>
      <c r="N696" s="147"/>
      <c r="O696" s="147"/>
      <c r="P696" s="147"/>
      <c r="Q696" s="147"/>
      <c r="R696" s="148"/>
      <c r="S696" s="148"/>
    </row>
    <row r="697">
      <c r="A697" s="143"/>
      <c r="B697" s="143"/>
      <c r="C697" s="182"/>
      <c r="D697" s="147"/>
      <c r="E697" s="147"/>
      <c r="F697" s="183"/>
      <c r="G697" s="171"/>
      <c r="H697" s="171"/>
      <c r="M697" s="143"/>
      <c r="N697" s="147"/>
      <c r="O697" s="147"/>
      <c r="P697" s="147"/>
      <c r="Q697" s="147"/>
      <c r="R697" s="148"/>
      <c r="S697" s="148"/>
    </row>
    <row r="698">
      <c r="A698" s="143"/>
      <c r="B698" s="143"/>
      <c r="C698" s="182"/>
      <c r="D698" s="147"/>
      <c r="E698" s="147"/>
      <c r="F698" s="183"/>
      <c r="G698" s="171"/>
      <c r="H698" s="171"/>
      <c r="M698" s="143"/>
      <c r="N698" s="147"/>
      <c r="O698" s="147"/>
      <c r="P698" s="147"/>
      <c r="Q698" s="147"/>
      <c r="R698" s="148"/>
      <c r="S698" s="148"/>
    </row>
    <row r="699">
      <c r="A699" s="143"/>
      <c r="B699" s="143"/>
      <c r="C699" s="182"/>
      <c r="D699" s="147"/>
      <c r="E699" s="147"/>
      <c r="F699" s="183"/>
      <c r="G699" s="171"/>
      <c r="H699" s="171"/>
      <c r="M699" s="143"/>
      <c r="N699" s="147"/>
      <c r="O699" s="147"/>
      <c r="P699" s="147"/>
      <c r="Q699" s="147"/>
      <c r="R699" s="148"/>
      <c r="S699" s="148"/>
    </row>
    <row r="700">
      <c r="A700" s="143"/>
      <c r="B700" s="143"/>
      <c r="C700" s="182"/>
      <c r="D700" s="147"/>
      <c r="E700" s="147"/>
      <c r="F700" s="183"/>
      <c r="G700" s="171"/>
      <c r="H700" s="171"/>
      <c r="M700" s="143"/>
      <c r="N700" s="147"/>
      <c r="O700" s="147"/>
      <c r="P700" s="147"/>
      <c r="Q700" s="147"/>
      <c r="R700" s="148"/>
      <c r="S700" s="148"/>
    </row>
    <row r="701">
      <c r="A701" s="143"/>
      <c r="B701" s="143"/>
      <c r="C701" s="182"/>
      <c r="D701" s="147"/>
      <c r="E701" s="147"/>
      <c r="F701" s="183"/>
      <c r="G701" s="171"/>
      <c r="H701" s="171"/>
      <c r="M701" s="143"/>
      <c r="N701" s="147"/>
      <c r="O701" s="147"/>
      <c r="P701" s="147"/>
      <c r="Q701" s="147"/>
      <c r="R701" s="148"/>
      <c r="S701" s="148"/>
    </row>
    <row r="702">
      <c r="A702" s="143"/>
      <c r="B702" s="143"/>
      <c r="C702" s="182"/>
      <c r="D702" s="147"/>
      <c r="E702" s="147"/>
      <c r="F702" s="183"/>
      <c r="G702" s="171"/>
      <c r="H702" s="171"/>
      <c r="M702" s="143"/>
      <c r="N702" s="147"/>
      <c r="O702" s="147"/>
      <c r="P702" s="147"/>
      <c r="Q702" s="147"/>
      <c r="R702" s="148"/>
      <c r="S702" s="148"/>
    </row>
    <row r="703">
      <c r="A703" s="143"/>
      <c r="B703" s="143"/>
      <c r="C703" s="182"/>
      <c r="D703" s="147"/>
      <c r="E703" s="147"/>
      <c r="F703" s="183"/>
      <c r="G703" s="171"/>
      <c r="H703" s="171"/>
      <c r="M703" s="143"/>
      <c r="N703" s="147"/>
      <c r="O703" s="147"/>
      <c r="P703" s="147"/>
      <c r="Q703" s="147"/>
      <c r="R703" s="148"/>
      <c r="S703" s="148"/>
    </row>
    <row r="704">
      <c r="A704" s="143"/>
      <c r="B704" s="143"/>
      <c r="C704" s="182"/>
      <c r="D704" s="147"/>
      <c r="E704" s="147"/>
      <c r="F704" s="183"/>
      <c r="G704" s="171"/>
      <c r="H704" s="171"/>
      <c r="M704" s="143"/>
      <c r="N704" s="147"/>
      <c r="O704" s="147"/>
      <c r="P704" s="147"/>
      <c r="Q704" s="147"/>
      <c r="R704" s="148"/>
      <c r="S704" s="148"/>
    </row>
    <row r="705">
      <c r="A705" s="143"/>
      <c r="B705" s="143"/>
      <c r="C705" s="182"/>
      <c r="D705" s="147"/>
      <c r="E705" s="147"/>
      <c r="F705" s="183"/>
      <c r="G705" s="171"/>
      <c r="H705" s="171"/>
      <c r="M705" s="143"/>
      <c r="N705" s="147"/>
      <c r="O705" s="147"/>
      <c r="P705" s="147"/>
      <c r="Q705" s="147"/>
      <c r="R705" s="148"/>
      <c r="S705" s="148"/>
    </row>
    <row r="706">
      <c r="A706" s="143"/>
      <c r="B706" s="143"/>
      <c r="C706" s="182"/>
      <c r="D706" s="147"/>
      <c r="E706" s="147"/>
      <c r="F706" s="183"/>
      <c r="G706" s="171"/>
      <c r="H706" s="171"/>
      <c r="M706" s="143"/>
      <c r="N706" s="147"/>
      <c r="O706" s="147"/>
      <c r="P706" s="147"/>
      <c r="Q706" s="147"/>
      <c r="R706" s="148"/>
      <c r="S706" s="148"/>
    </row>
    <row r="707">
      <c r="A707" s="143"/>
      <c r="B707" s="143"/>
      <c r="C707" s="182"/>
      <c r="D707" s="147"/>
      <c r="E707" s="147"/>
      <c r="F707" s="183"/>
      <c r="G707" s="171"/>
      <c r="H707" s="171"/>
      <c r="M707" s="143"/>
      <c r="N707" s="147"/>
      <c r="O707" s="147"/>
      <c r="P707" s="147"/>
      <c r="Q707" s="147"/>
      <c r="R707" s="148"/>
      <c r="S707" s="148"/>
    </row>
    <row r="708">
      <c r="A708" s="143"/>
      <c r="B708" s="143"/>
      <c r="C708" s="182"/>
      <c r="D708" s="147"/>
      <c r="E708" s="147"/>
      <c r="F708" s="183"/>
      <c r="G708" s="171"/>
      <c r="H708" s="171"/>
      <c r="M708" s="143"/>
      <c r="N708" s="147"/>
      <c r="O708" s="147"/>
      <c r="P708" s="147"/>
      <c r="Q708" s="147"/>
      <c r="R708" s="148"/>
      <c r="S708" s="148"/>
    </row>
    <row r="709">
      <c r="A709" s="143"/>
      <c r="B709" s="143"/>
      <c r="C709" s="182"/>
      <c r="D709" s="147"/>
      <c r="E709" s="147"/>
      <c r="F709" s="183"/>
      <c r="G709" s="171"/>
      <c r="H709" s="171"/>
      <c r="M709" s="143"/>
      <c r="N709" s="147"/>
      <c r="O709" s="147"/>
      <c r="P709" s="147"/>
      <c r="Q709" s="147"/>
      <c r="R709" s="148"/>
      <c r="S709" s="148"/>
    </row>
    <row r="710">
      <c r="A710" s="143"/>
      <c r="B710" s="143"/>
      <c r="C710" s="182"/>
      <c r="D710" s="147"/>
      <c r="E710" s="147"/>
      <c r="F710" s="183"/>
      <c r="G710" s="171"/>
      <c r="H710" s="171"/>
      <c r="M710" s="143"/>
      <c r="N710" s="147"/>
      <c r="O710" s="147"/>
      <c r="P710" s="147"/>
      <c r="Q710" s="147"/>
      <c r="R710" s="148"/>
      <c r="S710" s="148"/>
    </row>
    <row r="711">
      <c r="A711" s="143"/>
      <c r="B711" s="143"/>
      <c r="C711" s="182"/>
      <c r="D711" s="147"/>
      <c r="E711" s="147"/>
      <c r="F711" s="183"/>
      <c r="G711" s="171"/>
      <c r="H711" s="171"/>
      <c r="M711" s="143"/>
      <c r="N711" s="147"/>
      <c r="O711" s="147"/>
      <c r="P711" s="147"/>
      <c r="Q711" s="147"/>
      <c r="R711" s="148"/>
      <c r="S711" s="148"/>
    </row>
    <row r="712">
      <c r="A712" s="143"/>
      <c r="B712" s="143"/>
      <c r="C712" s="182"/>
      <c r="D712" s="147"/>
      <c r="E712" s="147"/>
      <c r="F712" s="183"/>
      <c r="G712" s="171"/>
      <c r="H712" s="171"/>
      <c r="M712" s="143"/>
      <c r="N712" s="147"/>
      <c r="O712" s="147"/>
      <c r="P712" s="147"/>
      <c r="Q712" s="147"/>
      <c r="R712" s="148"/>
      <c r="S712" s="148"/>
    </row>
    <row r="713">
      <c r="A713" s="143"/>
      <c r="B713" s="143"/>
      <c r="C713" s="182"/>
      <c r="D713" s="147"/>
      <c r="E713" s="147"/>
      <c r="F713" s="183"/>
      <c r="G713" s="171"/>
      <c r="H713" s="171"/>
      <c r="M713" s="143"/>
      <c r="N713" s="147"/>
      <c r="O713" s="147"/>
      <c r="P713" s="147"/>
      <c r="Q713" s="147"/>
      <c r="R713" s="148"/>
      <c r="S713" s="148"/>
    </row>
    <row r="714">
      <c r="A714" s="143"/>
      <c r="B714" s="143"/>
      <c r="C714" s="182"/>
      <c r="D714" s="147"/>
      <c r="E714" s="147"/>
      <c r="F714" s="183"/>
      <c r="G714" s="171"/>
      <c r="H714" s="171"/>
      <c r="M714" s="143"/>
      <c r="N714" s="147"/>
      <c r="O714" s="147"/>
      <c r="P714" s="147"/>
      <c r="Q714" s="147"/>
      <c r="R714" s="148"/>
      <c r="S714" s="148"/>
    </row>
    <row r="715">
      <c r="A715" s="143"/>
      <c r="B715" s="143"/>
      <c r="C715" s="182"/>
      <c r="D715" s="147"/>
      <c r="E715" s="147"/>
      <c r="F715" s="183"/>
      <c r="G715" s="171"/>
      <c r="H715" s="171"/>
      <c r="M715" s="143"/>
      <c r="N715" s="147"/>
      <c r="O715" s="147"/>
      <c r="P715" s="147"/>
      <c r="Q715" s="147"/>
      <c r="R715" s="148"/>
      <c r="S715" s="148"/>
    </row>
    <row r="716">
      <c r="A716" s="143"/>
      <c r="B716" s="143"/>
      <c r="C716" s="182"/>
      <c r="D716" s="147"/>
      <c r="E716" s="147"/>
      <c r="F716" s="183"/>
      <c r="G716" s="171"/>
      <c r="H716" s="171"/>
      <c r="M716" s="143"/>
      <c r="N716" s="147"/>
      <c r="O716" s="147"/>
      <c r="P716" s="147"/>
      <c r="Q716" s="147"/>
      <c r="R716" s="148"/>
      <c r="S716" s="148"/>
    </row>
    <row r="717">
      <c r="A717" s="143"/>
      <c r="B717" s="143"/>
      <c r="C717" s="182"/>
      <c r="D717" s="147"/>
      <c r="E717" s="147"/>
      <c r="F717" s="183"/>
      <c r="G717" s="171"/>
      <c r="H717" s="171"/>
      <c r="M717" s="143"/>
      <c r="N717" s="147"/>
      <c r="O717" s="147"/>
      <c r="P717" s="147"/>
      <c r="Q717" s="147"/>
      <c r="R717" s="148"/>
      <c r="S717" s="148"/>
    </row>
    <row r="718">
      <c r="A718" s="143"/>
      <c r="B718" s="143"/>
      <c r="C718" s="182"/>
      <c r="D718" s="147"/>
      <c r="E718" s="147"/>
      <c r="F718" s="183"/>
      <c r="G718" s="171"/>
      <c r="H718" s="171"/>
      <c r="M718" s="143"/>
      <c r="N718" s="147"/>
      <c r="O718" s="147"/>
      <c r="P718" s="147"/>
      <c r="Q718" s="147"/>
      <c r="R718" s="148"/>
      <c r="S718" s="148"/>
    </row>
    <row r="719">
      <c r="A719" s="143"/>
      <c r="B719" s="143"/>
      <c r="C719" s="182"/>
      <c r="D719" s="147"/>
      <c r="E719" s="147"/>
      <c r="F719" s="183"/>
      <c r="G719" s="171"/>
      <c r="H719" s="171"/>
      <c r="M719" s="143"/>
      <c r="N719" s="147"/>
      <c r="O719" s="147"/>
      <c r="P719" s="147"/>
      <c r="Q719" s="147"/>
      <c r="R719" s="148"/>
      <c r="S719" s="148"/>
    </row>
    <row r="720">
      <c r="A720" s="143"/>
      <c r="B720" s="143"/>
      <c r="C720" s="182"/>
      <c r="D720" s="147"/>
      <c r="E720" s="147"/>
      <c r="F720" s="183"/>
      <c r="G720" s="171"/>
      <c r="H720" s="171"/>
      <c r="M720" s="143"/>
      <c r="N720" s="147"/>
      <c r="O720" s="147"/>
      <c r="P720" s="147"/>
      <c r="Q720" s="147"/>
      <c r="R720" s="148"/>
      <c r="S720" s="148"/>
    </row>
    <row r="721">
      <c r="A721" s="143"/>
      <c r="B721" s="143"/>
      <c r="C721" s="182"/>
      <c r="D721" s="147"/>
      <c r="E721" s="147"/>
      <c r="F721" s="183"/>
      <c r="G721" s="171"/>
      <c r="H721" s="171"/>
      <c r="M721" s="143"/>
      <c r="N721" s="147"/>
      <c r="O721" s="147"/>
      <c r="P721" s="147"/>
      <c r="Q721" s="147"/>
      <c r="R721" s="148"/>
      <c r="S721" s="148"/>
    </row>
    <row r="722">
      <c r="A722" s="143"/>
      <c r="B722" s="143"/>
      <c r="C722" s="182"/>
      <c r="D722" s="147"/>
      <c r="E722" s="147"/>
      <c r="F722" s="183"/>
      <c r="G722" s="171"/>
      <c r="H722" s="171"/>
      <c r="M722" s="143"/>
      <c r="N722" s="147"/>
      <c r="O722" s="147"/>
      <c r="P722" s="147"/>
      <c r="Q722" s="147"/>
      <c r="R722" s="148"/>
      <c r="S722" s="148"/>
    </row>
    <row r="723">
      <c r="A723" s="143"/>
      <c r="B723" s="143"/>
      <c r="C723" s="182"/>
      <c r="D723" s="147"/>
      <c r="E723" s="147"/>
      <c r="F723" s="183"/>
      <c r="G723" s="171"/>
      <c r="H723" s="171"/>
      <c r="M723" s="143"/>
      <c r="N723" s="147"/>
      <c r="O723" s="147"/>
      <c r="P723" s="147"/>
      <c r="Q723" s="147"/>
      <c r="R723" s="148"/>
      <c r="S723" s="148"/>
    </row>
    <row r="724">
      <c r="A724" s="143"/>
      <c r="B724" s="143"/>
      <c r="C724" s="182"/>
      <c r="D724" s="147"/>
      <c r="E724" s="147"/>
      <c r="F724" s="183"/>
      <c r="G724" s="171"/>
      <c r="H724" s="171"/>
      <c r="M724" s="143"/>
      <c r="N724" s="147"/>
      <c r="O724" s="147"/>
      <c r="P724" s="147"/>
      <c r="Q724" s="147"/>
      <c r="R724" s="148"/>
      <c r="S724" s="148"/>
    </row>
    <row r="725">
      <c r="A725" s="143"/>
      <c r="B725" s="143"/>
      <c r="C725" s="182"/>
      <c r="D725" s="147"/>
      <c r="E725" s="147"/>
      <c r="F725" s="183"/>
      <c r="G725" s="171"/>
      <c r="H725" s="171"/>
      <c r="M725" s="143"/>
      <c r="N725" s="147"/>
      <c r="O725" s="147"/>
      <c r="P725" s="147"/>
      <c r="Q725" s="147"/>
      <c r="R725" s="148"/>
      <c r="S725" s="148"/>
    </row>
    <row r="726">
      <c r="A726" s="143"/>
      <c r="B726" s="143"/>
      <c r="C726" s="182"/>
      <c r="D726" s="147"/>
      <c r="E726" s="147"/>
      <c r="F726" s="183"/>
      <c r="G726" s="171"/>
      <c r="H726" s="171"/>
      <c r="M726" s="143"/>
      <c r="N726" s="147"/>
      <c r="O726" s="147"/>
      <c r="P726" s="147"/>
      <c r="Q726" s="147"/>
      <c r="R726" s="148"/>
      <c r="S726" s="148"/>
    </row>
    <row r="727">
      <c r="A727" s="143"/>
      <c r="B727" s="143"/>
      <c r="C727" s="182"/>
      <c r="D727" s="147"/>
      <c r="E727" s="147"/>
      <c r="F727" s="183"/>
      <c r="G727" s="171"/>
      <c r="H727" s="171"/>
      <c r="M727" s="143"/>
      <c r="N727" s="147"/>
      <c r="O727" s="147"/>
      <c r="P727" s="147"/>
      <c r="Q727" s="147"/>
      <c r="R727" s="148"/>
      <c r="S727" s="148"/>
    </row>
    <row r="728">
      <c r="A728" s="143"/>
      <c r="B728" s="143"/>
      <c r="C728" s="182"/>
      <c r="D728" s="147"/>
      <c r="E728" s="147"/>
      <c r="F728" s="183"/>
      <c r="G728" s="171"/>
      <c r="H728" s="171"/>
      <c r="M728" s="143"/>
      <c r="N728" s="147"/>
      <c r="O728" s="147"/>
      <c r="P728" s="147"/>
      <c r="Q728" s="147"/>
      <c r="R728" s="148"/>
      <c r="S728" s="148"/>
    </row>
    <row r="729">
      <c r="A729" s="143"/>
      <c r="B729" s="143"/>
      <c r="C729" s="182"/>
      <c r="D729" s="147"/>
      <c r="E729" s="147"/>
      <c r="F729" s="183"/>
      <c r="G729" s="171"/>
      <c r="H729" s="171"/>
      <c r="M729" s="143"/>
      <c r="N729" s="147"/>
      <c r="O729" s="147"/>
      <c r="P729" s="147"/>
      <c r="Q729" s="147"/>
      <c r="R729" s="148"/>
      <c r="S729" s="148"/>
    </row>
    <row r="730">
      <c r="A730" s="143"/>
      <c r="B730" s="143"/>
      <c r="C730" s="182"/>
      <c r="D730" s="147"/>
      <c r="E730" s="147"/>
      <c r="F730" s="183"/>
      <c r="G730" s="171"/>
      <c r="H730" s="171"/>
      <c r="M730" s="143"/>
      <c r="N730" s="147"/>
      <c r="O730" s="147"/>
      <c r="P730" s="147"/>
      <c r="Q730" s="147"/>
      <c r="R730" s="148"/>
      <c r="S730" s="148"/>
    </row>
    <row r="731">
      <c r="A731" s="143"/>
      <c r="B731" s="143"/>
      <c r="C731" s="182"/>
      <c r="D731" s="147"/>
      <c r="E731" s="147"/>
      <c r="F731" s="183"/>
      <c r="G731" s="171"/>
      <c r="H731" s="171"/>
      <c r="M731" s="143"/>
      <c r="N731" s="147"/>
      <c r="O731" s="147"/>
      <c r="P731" s="147"/>
      <c r="Q731" s="147"/>
      <c r="R731" s="148"/>
      <c r="S731" s="148"/>
    </row>
    <row r="732">
      <c r="A732" s="143"/>
      <c r="B732" s="143"/>
      <c r="C732" s="182"/>
      <c r="D732" s="147"/>
      <c r="E732" s="147"/>
      <c r="F732" s="183"/>
      <c r="G732" s="171"/>
      <c r="H732" s="171"/>
      <c r="M732" s="143"/>
      <c r="N732" s="147"/>
      <c r="O732" s="147"/>
      <c r="P732" s="147"/>
      <c r="Q732" s="147"/>
      <c r="R732" s="148"/>
      <c r="S732" s="148"/>
    </row>
    <row r="733">
      <c r="A733" s="143"/>
      <c r="B733" s="143"/>
      <c r="C733" s="182"/>
      <c r="D733" s="147"/>
      <c r="E733" s="147"/>
      <c r="F733" s="183"/>
      <c r="G733" s="171"/>
      <c r="H733" s="171"/>
      <c r="M733" s="143"/>
      <c r="N733" s="147"/>
      <c r="O733" s="147"/>
      <c r="P733" s="147"/>
      <c r="Q733" s="147"/>
      <c r="R733" s="148"/>
      <c r="S733" s="148"/>
    </row>
    <row r="734">
      <c r="A734" s="143"/>
      <c r="B734" s="143"/>
      <c r="C734" s="182"/>
      <c r="D734" s="147"/>
      <c r="E734" s="147"/>
      <c r="F734" s="183"/>
      <c r="G734" s="171"/>
      <c r="H734" s="171"/>
      <c r="M734" s="143"/>
      <c r="N734" s="147"/>
      <c r="O734" s="147"/>
      <c r="P734" s="147"/>
      <c r="Q734" s="147"/>
      <c r="R734" s="148"/>
      <c r="S734" s="148"/>
    </row>
    <row r="735">
      <c r="A735" s="143"/>
      <c r="B735" s="143"/>
      <c r="C735" s="182"/>
      <c r="D735" s="147"/>
      <c r="E735" s="147"/>
      <c r="F735" s="183"/>
      <c r="G735" s="171"/>
      <c r="H735" s="171"/>
      <c r="M735" s="143"/>
      <c r="N735" s="147"/>
      <c r="O735" s="147"/>
      <c r="P735" s="147"/>
      <c r="Q735" s="147"/>
      <c r="R735" s="148"/>
      <c r="S735" s="148"/>
    </row>
    <row r="736">
      <c r="A736" s="143"/>
      <c r="B736" s="143"/>
      <c r="C736" s="182"/>
      <c r="D736" s="147"/>
      <c r="E736" s="147"/>
      <c r="F736" s="183"/>
      <c r="G736" s="171"/>
      <c r="H736" s="171"/>
      <c r="M736" s="143"/>
      <c r="N736" s="147"/>
      <c r="O736" s="147"/>
      <c r="P736" s="147"/>
      <c r="Q736" s="147"/>
      <c r="R736" s="148"/>
      <c r="S736" s="148"/>
    </row>
    <row r="737">
      <c r="A737" s="143"/>
      <c r="B737" s="143"/>
      <c r="C737" s="182"/>
      <c r="D737" s="147"/>
      <c r="E737" s="147"/>
      <c r="F737" s="183"/>
      <c r="G737" s="171"/>
      <c r="H737" s="171"/>
      <c r="M737" s="143"/>
      <c r="N737" s="147"/>
      <c r="O737" s="147"/>
      <c r="P737" s="147"/>
      <c r="Q737" s="147"/>
      <c r="R737" s="148"/>
      <c r="S737" s="148"/>
    </row>
    <row r="738">
      <c r="A738" s="143"/>
      <c r="B738" s="143"/>
      <c r="C738" s="182"/>
      <c r="D738" s="147"/>
      <c r="E738" s="147"/>
      <c r="F738" s="183"/>
      <c r="G738" s="171"/>
      <c r="H738" s="171"/>
      <c r="M738" s="143"/>
      <c r="N738" s="147"/>
      <c r="O738" s="147"/>
      <c r="P738" s="147"/>
      <c r="Q738" s="147"/>
      <c r="R738" s="148"/>
      <c r="S738" s="148"/>
    </row>
    <row r="739">
      <c r="A739" s="143"/>
      <c r="B739" s="143"/>
      <c r="C739" s="182"/>
      <c r="D739" s="147"/>
      <c r="E739" s="147"/>
      <c r="F739" s="183"/>
      <c r="G739" s="171"/>
      <c r="H739" s="171"/>
      <c r="M739" s="143"/>
      <c r="N739" s="147"/>
      <c r="O739" s="147"/>
      <c r="P739" s="147"/>
      <c r="Q739" s="147"/>
      <c r="R739" s="148"/>
      <c r="S739" s="148"/>
    </row>
    <row r="740">
      <c r="A740" s="143"/>
      <c r="B740" s="143"/>
      <c r="C740" s="182"/>
      <c r="D740" s="147"/>
      <c r="E740" s="147"/>
      <c r="F740" s="183"/>
      <c r="G740" s="171"/>
      <c r="H740" s="171"/>
      <c r="M740" s="143"/>
      <c r="N740" s="147"/>
      <c r="O740" s="147"/>
      <c r="P740" s="147"/>
      <c r="Q740" s="147"/>
      <c r="R740" s="148"/>
      <c r="S740" s="148"/>
    </row>
    <row r="741">
      <c r="A741" s="143"/>
      <c r="B741" s="143"/>
      <c r="C741" s="182"/>
      <c r="D741" s="147"/>
      <c r="E741" s="147"/>
      <c r="F741" s="183"/>
      <c r="G741" s="171"/>
      <c r="H741" s="171"/>
      <c r="M741" s="143"/>
      <c r="N741" s="147"/>
      <c r="O741" s="147"/>
      <c r="P741" s="147"/>
      <c r="Q741" s="147"/>
      <c r="R741" s="148"/>
      <c r="S741" s="148"/>
    </row>
    <row r="742">
      <c r="A742" s="143"/>
      <c r="B742" s="143"/>
      <c r="C742" s="182"/>
      <c r="D742" s="147"/>
      <c r="E742" s="147"/>
      <c r="F742" s="183"/>
      <c r="G742" s="171"/>
      <c r="H742" s="171"/>
      <c r="M742" s="143"/>
      <c r="N742" s="147"/>
      <c r="O742" s="147"/>
      <c r="P742" s="147"/>
      <c r="Q742" s="147"/>
      <c r="R742" s="148"/>
      <c r="S742" s="148"/>
    </row>
    <row r="743">
      <c r="A743" s="143"/>
      <c r="B743" s="143"/>
      <c r="C743" s="182"/>
      <c r="D743" s="147"/>
      <c r="E743" s="147"/>
      <c r="F743" s="183"/>
      <c r="G743" s="171"/>
      <c r="H743" s="171"/>
      <c r="M743" s="143"/>
      <c r="N743" s="147"/>
      <c r="O743" s="147"/>
      <c r="P743" s="147"/>
      <c r="Q743" s="147"/>
      <c r="R743" s="148"/>
      <c r="S743" s="148"/>
    </row>
    <row r="744">
      <c r="A744" s="143"/>
      <c r="B744" s="143"/>
      <c r="C744" s="182"/>
      <c r="D744" s="147"/>
      <c r="E744" s="147"/>
      <c r="F744" s="183"/>
      <c r="G744" s="171"/>
      <c r="H744" s="171"/>
      <c r="M744" s="143"/>
      <c r="N744" s="147"/>
      <c r="O744" s="147"/>
      <c r="P744" s="147"/>
      <c r="Q744" s="147"/>
      <c r="R744" s="148"/>
      <c r="S744" s="148"/>
    </row>
    <row r="745">
      <c r="A745" s="143"/>
      <c r="B745" s="143"/>
      <c r="C745" s="182"/>
      <c r="D745" s="147"/>
      <c r="E745" s="147"/>
      <c r="F745" s="183"/>
      <c r="G745" s="171"/>
      <c r="H745" s="171"/>
      <c r="M745" s="143"/>
      <c r="N745" s="147"/>
      <c r="O745" s="147"/>
      <c r="P745" s="147"/>
      <c r="Q745" s="147"/>
      <c r="R745" s="148"/>
      <c r="S745" s="148"/>
    </row>
    <row r="746">
      <c r="A746" s="143"/>
      <c r="B746" s="143"/>
      <c r="C746" s="182"/>
      <c r="D746" s="147"/>
      <c r="E746" s="147"/>
      <c r="F746" s="183"/>
      <c r="G746" s="171"/>
      <c r="H746" s="171"/>
      <c r="M746" s="143"/>
      <c r="N746" s="147"/>
      <c r="O746" s="147"/>
      <c r="P746" s="147"/>
      <c r="Q746" s="147"/>
      <c r="R746" s="148"/>
      <c r="S746" s="148"/>
    </row>
    <row r="747">
      <c r="A747" s="143"/>
      <c r="B747" s="143"/>
      <c r="C747" s="182"/>
      <c r="D747" s="147"/>
      <c r="E747" s="147"/>
      <c r="F747" s="183"/>
      <c r="G747" s="171"/>
      <c r="H747" s="171"/>
      <c r="M747" s="143"/>
      <c r="N747" s="147"/>
      <c r="O747" s="147"/>
      <c r="P747" s="147"/>
      <c r="Q747" s="147"/>
      <c r="R747" s="148"/>
      <c r="S747" s="148"/>
    </row>
    <row r="748">
      <c r="A748" s="143"/>
      <c r="B748" s="143"/>
      <c r="C748" s="182"/>
      <c r="D748" s="147"/>
      <c r="E748" s="147"/>
      <c r="F748" s="183"/>
      <c r="G748" s="171"/>
      <c r="H748" s="171"/>
      <c r="M748" s="143"/>
      <c r="N748" s="147"/>
      <c r="O748" s="147"/>
      <c r="P748" s="147"/>
      <c r="Q748" s="147"/>
      <c r="R748" s="148"/>
      <c r="S748" s="148"/>
    </row>
    <row r="749">
      <c r="A749" s="143"/>
      <c r="B749" s="143"/>
      <c r="C749" s="182"/>
      <c r="D749" s="147"/>
      <c r="E749" s="147"/>
      <c r="F749" s="183"/>
      <c r="G749" s="171"/>
      <c r="H749" s="171"/>
      <c r="M749" s="143"/>
      <c r="N749" s="147"/>
      <c r="O749" s="147"/>
      <c r="P749" s="147"/>
      <c r="Q749" s="147"/>
      <c r="R749" s="148"/>
      <c r="S749" s="148"/>
    </row>
    <row r="750">
      <c r="A750" s="143"/>
      <c r="B750" s="143"/>
      <c r="C750" s="182"/>
      <c r="D750" s="147"/>
      <c r="E750" s="147"/>
      <c r="F750" s="183"/>
      <c r="G750" s="171"/>
      <c r="H750" s="171"/>
      <c r="M750" s="143"/>
      <c r="N750" s="147"/>
      <c r="O750" s="147"/>
      <c r="P750" s="147"/>
      <c r="Q750" s="147"/>
      <c r="R750" s="148"/>
      <c r="S750" s="148"/>
    </row>
    <row r="751">
      <c r="A751" s="143"/>
      <c r="B751" s="143"/>
      <c r="C751" s="182"/>
      <c r="D751" s="147"/>
      <c r="E751" s="147"/>
      <c r="F751" s="183"/>
      <c r="G751" s="171"/>
      <c r="H751" s="171"/>
      <c r="M751" s="143"/>
      <c r="N751" s="147"/>
      <c r="O751" s="147"/>
      <c r="P751" s="147"/>
      <c r="Q751" s="147"/>
      <c r="R751" s="148"/>
      <c r="S751" s="148"/>
    </row>
    <row r="752">
      <c r="A752" s="143"/>
      <c r="B752" s="143"/>
      <c r="C752" s="182"/>
      <c r="D752" s="147"/>
      <c r="E752" s="147"/>
      <c r="F752" s="183"/>
      <c r="G752" s="171"/>
      <c r="H752" s="171"/>
      <c r="M752" s="143"/>
      <c r="N752" s="147"/>
      <c r="O752" s="147"/>
      <c r="P752" s="147"/>
      <c r="Q752" s="147"/>
      <c r="R752" s="148"/>
      <c r="S752" s="148"/>
    </row>
    <row r="753">
      <c r="A753" s="143"/>
      <c r="B753" s="143"/>
      <c r="C753" s="182"/>
      <c r="D753" s="147"/>
      <c r="E753" s="147"/>
      <c r="F753" s="183"/>
      <c r="G753" s="171"/>
      <c r="H753" s="171"/>
      <c r="M753" s="143"/>
      <c r="N753" s="147"/>
      <c r="O753" s="147"/>
      <c r="P753" s="147"/>
      <c r="Q753" s="147"/>
      <c r="R753" s="148"/>
      <c r="S753" s="148"/>
    </row>
    <row r="754">
      <c r="A754" s="143"/>
      <c r="B754" s="143"/>
      <c r="C754" s="182"/>
      <c r="D754" s="147"/>
      <c r="E754" s="147"/>
      <c r="F754" s="183"/>
      <c r="G754" s="171"/>
      <c r="H754" s="171"/>
      <c r="M754" s="143"/>
      <c r="N754" s="147"/>
      <c r="O754" s="147"/>
      <c r="P754" s="147"/>
      <c r="Q754" s="147"/>
      <c r="R754" s="148"/>
      <c r="S754" s="148"/>
    </row>
    <row r="755">
      <c r="A755" s="143"/>
      <c r="B755" s="143"/>
      <c r="C755" s="182"/>
      <c r="D755" s="147"/>
      <c r="E755" s="147"/>
      <c r="F755" s="183"/>
      <c r="G755" s="171"/>
      <c r="H755" s="171"/>
      <c r="M755" s="143"/>
      <c r="N755" s="147"/>
      <c r="O755" s="147"/>
      <c r="P755" s="147"/>
      <c r="Q755" s="147"/>
      <c r="R755" s="148"/>
      <c r="S755" s="148"/>
    </row>
    <row r="756">
      <c r="A756" s="143"/>
      <c r="B756" s="143"/>
      <c r="C756" s="182"/>
      <c r="D756" s="147"/>
      <c r="E756" s="147"/>
      <c r="F756" s="183"/>
      <c r="G756" s="171"/>
      <c r="H756" s="171"/>
      <c r="M756" s="143"/>
      <c r="N756" s="147"/>
      <c r="O756" s="147"/>
      <c r="P756" s="147"/>
      <c r="Q756" s="147"/>
      <c r="R756" s="148"/>
      <c r="S756" s="148"/>
    </row>
    <row r="757">
      <c r="A757" s="143"/>
      <c r="B757" s="143"/>
      <c r="C757" s="182"/>
      <c r="D757" s="147"/>
      <c r="E757" s="147"/>
      <c r="F757" s="183"/>
      <c r="G757" s="171"/>
      <c r="H757" s="171"/>
      <c r="M757" s="143"/>
      <c r="N757" s="147"/>
      <c r="O757" s="147"/>
      <c r="P757" s="147"/>
      <c r="Q757" s="147"/>
      <c r="R757" s="148"/>
      <c r="S757" s="148"/>
    </row>
    <row r="758">
      <c r="A758" s="143"/>
      <c r="B758" s="143"/>
      <c r="C758" s="182"/>
      <c r="D758" s="147"/>
      <c r="E758" s="147"/>
      <c r="F758" s="183"/>
      <c r="G758" s="171"/>
      <c r="H758" s="171"/>
      <c r="M758" s="143"/>
      <c r="N758" s="147"/>
      <c r="O758" s="147"/>
      <c r="P758" s="147"/>
      <c r="Q758" s="147"/>
      <c r="R758" s="148"/>
      <c r="S758" s="148"/>
    </row>
    <row r="759">
      <c r="A759" s="143"/>
      <c r="B759" s="143"/>
      <c r="C759" s="182"/>
      <c r="D759" s="147"/>
      <c r="E759" s="147"/>
      <c r="F759" s="183"/>
      <c r="G759" s="171"/>
      <c r="H759" s="171"/>
      <c r="M759" s="143"/>
      <c r="N759" s="147"/>
      <c r="O759" s="147"/>
      <c r="P759" s="147"/>
      <c r="Q759" s="147"/>
      <c r="R759" s="148"/>
      <c r="S759" s="148"/>
    </row>
    <row r="760">
      <c r="A760" s="143"/>
      <c r="B760" s="143"/>
      <c r="C760" s="182"/>
      <c r="D760" s="147"/>
      <c r="E760" s="147"/>
      <c r="F760" s="183"/>
      <c r="G760" s="171"/>
      <c r="H760" s="171"/>
      <c r="M760" s="143"/>
      <c r="N760" s="147"/>
      <c r="O760" s="147"/>
      <c r="P760" s="147"/>
      <c r="Q760" s="147"/>
      <c r="R760" s="148"/>
      <c r="S760" s="148"/>
    </row>
    <row r="761">
      <c r="A761" s="143"/>
      <c r="B761" s="143"/>
      <c r="C761" s="182"/>
      <c r="D761" s="147"/>
      <c r="E761" s="147"/>
      <c r="F761" s="183"/>
      <c r="G761" s="171"/>
      <c r="H761" s="171"/>
      <c r="M761" s="143"/>
      <c r="N761" s="147"/>
      <c r="O761" s="147"/>
      <c r="P761" s="147"/>
      <c r="Q761" s="147"/>
      <c r="R761" s="148"/>
      <c r="S761" s="148"/>
    </row>
    <row r="762">
      <c r="A762" s="143"/>
      <c r="B762" s="143"/>
      <c r="C762" s="182"/>
      <c r="D762" s="147"/>
      <c r="E762" s="147"/>
      <c r="F762" s="183"/>
      <c r="G762" s="171"/>
      <c r="H762" s="171"/>
      <c r="M762" s="143"/>
      <c r="N762" s="147"/>
      <c r="O762" s="147"/>
      <c r="P762" s="147"/>
      <c r="Q762" s="147"/>
      <c r="R762" s="148"/>
      <c r="S762" s="148"/>
    </row>
    <row r="763">
      <c r="A763" s="143"/>
      <c r="B763" s="143"/>
      <c r="C763" s="182"/>
      <c r="D763" s="147"/>
      <c r="E763" s="147"/>
      <c r="F763" s="183"/>
      <c r="G763" s="171"/>
      <c r="H763" s="171"/>
      <c r="M763" s="143"/>
      <c r="N763" s="147"/>
      <c r="O763" s="147"/>
      <c r="P763" s="147"/>
      <c r="Q763" s="147"/>
      <c r="R763" s="148"/>
      <c r="S763" s="148"/>
    </row>
    <row r="764">
      <c r="A764" s="143"/>
      <c r="B764" s="143"/>
      <c r="C764" s="182"/>
      <c r="D764" s="147"/>
      <c r="E764" s="147"/>
      <c r="F764" s="183"/>
      <c r="G764" s="171"/>
      <c r="H764" s="171"/>
      <c r="M764" s="143"/>
      <c r="N764" s="147"/>
      <c r="O764" s="147"/>
      <c r="P764" s="147"/>
      <c r="Q764" s="147"/>
      <c r="R764" s="148"/>
      <c r="S764" s="148"/>
    </row>
    <row r="765">
      <c r="A765" s="143"/>
      <c r="B765" s="143"/>
      <c r="C765" s="182"/>
      <c r="D765" s="147"/>
      <c r="E765" s="147"/>
      <c r="F765" s="183"/>
      <c r="G765" s="171"/>
      <c r="H765" s="171"/>
      <c r="M765" s="143"/>
      <c r="N765" s="147"/>
      <c r="O765" s="147"/>
      <c r="P765" s="147"/>
      <c r="Q765" s="147"/>
      <c r="R765" s="148"/>
      <c r="S765" s="148"/>
    </row>
    <row r="766">
      <c r="A766" s="143"/>
      <c r="B766" s="143"/>
      <c r="C766" s="182"/>
      <c r="D766" s="147"/>
      <c r="E766" s="147"/>
      <c r="F766" s="183"/>
      <c r="G766" s="171"/>
      <c r="H766" s="171"/>
      <c r="M766" s="143"/>
      <c r="N766" s="147"/>
      <c r="O766" s="147"/>
      <c r="P766" s="147"/>
      <c r="Q766" s="147"/>
      <c r="R766" s="148"/>
      <c r="S766" s="148"/>
    </row>
    <row r="767">
      <c r="A767" s="143"/>
      <c r="B767" s="143"/>
      <c r="C767" s="182"/>
      <c r="D767" s="147"/>
      <c r="E767" s="147"/>
      <c r="F767" s="183"/>
      <c r="G767" s="171"/>
      <c r="H767" s="171"/>
      <c r="M767" s="143"/>
      <c r="N767" s="147"/>
      <c r="O767" s="147"/>
      <c r="P767" s="147"/>
      <c r="Q767" s="147"/>
      <c r="R767" s="148"/>
      <c r="S767" s="148"/>
    </row>
    <row r="768">
      <c r="A768" s="143"/>
      <c r="B768" s="143"/>
      <c r="C768" s="182"/>
      <c r="D768" s="147"/>
      <c r="E768" s="147"/>
      <c r="F768" s="183"/>
      <c r="G768" s="171"/>
      <c r="H768" s="171"/>
      <c r="M768" s="143"/>
      <c r="N768" s="147"/>
      <c r="O768" s="147"/>
      <c r="P768" s="147"/>
      <c r="Q768" s="147"/>
      <c r="R768" s="148"/>
      <c r="S768" s="148"/>
    </row>
    <row r="769">
      <c r="A769" s="143"/>
      <c r="B769" s="143"/>
      <c r="C769" s="182"/>
      <c r="D769" s="147"/>
      <c r="E769" s="147"/>
      <c r="F769" s="183"/>
      <c r="G769" s="171"/>
      <c r="H769" s="171"/>
      <c r="M769" s="143"/>
      <c r="N769" s="147"/>
      <c r="O769" s="147"/>
      <c r="P769" s="147"/>
      <c r="Q769" s="147"/>
      <c r="R769" s="148"/>
      <c r="S769" s="148"/>
    </row>
    <row r="770">
      <c r="A770" s="143"/>
      <c r="B770" s="143"/>
      <c r="C770" s="182"/>
      <c r="D770" s="147"/>
      <c r="E770" s="147"/>
      <c r="F770" s="183"/>
      <c r="G770" s="171"/>
      <c r="H770" s="171"/>
      <c r="M770" s="143"/>
      <c r="N770" s="147"/>
      <c r="O770" s="147"/>
      <c r="P770" s="147"/>
      <c r="Q770" s="147"/>
      <c r="R770" s="148"/>
      <c r="S770" s="148"/>
    </row>
    <row r="771">
      <c r="A771" s="143"/>
      <c r="B771" s="143"/>
      <c r="C771" s="182"/>
      <c r="D771" s="147"/>
      <c r="E771" s="147"/>
      <c r="F771" s="183"/>
      <c r="G771" s="171"/>
      <c r="H771" s="171"/>
      <c r="M771" s="143"/>
      <c r="N771" s="147"/>
      <c r="O771" s="147"/>
      <c r="P771" s="147"/>
      <c r="Q771" s="147"/>
      <c r="R771" s="148"/>
      <c r="S771" s="148"/>
    </row>
    <row r="772">
      <c r="A772" s="143"/>
      <c r="B772" s="143"/>
      <c r="C772" s="182"/>
      <c r="D772" s="147"/>
      <c r="E772" s="147"/>
      <c r="F772" s="183"/>
      <c r="G772" s="171"/>
      <c r="H772" s="171"/>
      <c r="M772" s="143"/>
      <c r="N772" s="147"/>
      <c r="O772" s="147"/>
      <c r="P772" s="147"/>
      <c r="Q772" s="147"/>
      <c r="R772" s="148"/>
      <c r="S772" s="148"/>
    </row>
    <row r="773">
      <c r="A773" s="143"/>
      <c r="B773" s="143"/>
      <c r="C773" s="182"/>
      <c r="D773" s="147"/>
      <c r="E773" s="147"/>
      <c r="F773" s="183"/>
      <c r="G773" s="171"/>
      <c r="H773" s="171"/>
      <c r="M773" s="143"/>
      <c r="N773" s="147"/>
      <c r="O773" s="147"/>
      <c r="P773" s="147"/>
      <c r="Q773" s="147"/>
      <c r="R773" s="148"/>
      <c r="S773" s="148"/>
    </row>
    <row r="774">
      <c r="A774" s="143"/>
      <c r="B774" s="143"/>
      <c r="C774" s="182"/>
      <c r="D774" s="147"/>
      <c r="E774" s="147"/>
      <c r="F774" s="183"/>
      <c r="G774" s="171"/>
      <c r="H774" s="171"/>
      <c r="M774" s="143"/>
      <c r="N774" s="147"/>
      <c r="O774" s="147"/>
      <c r="P774" s="147"/>
      <c r="Q774" s="147"/>
      <c r="R774" s="148"/>
      <c r="S774" s="148"/>
    </row>
    <row r="775">
      <c r="A775" s="143"/>
      <c r="B775" s="143"/>
      <c r="C775" s="182"/>
      <c r="D775" s="147"/>
      <c r="E775" s="147"/>
      <c r="F775" s="183"/>
      <c r="G775" s="171"/>
      <c r="H775" s="171"/>
      <c r="M775" s="143"/>
      <c r="N775" s="147"/>
      <c r="O775" s="147"/>
      <c r="P775" s="147"/>
      <c r="Q775" s="147"/>
      <c r="R775" s="148"/>
      <c r="S775" s="148"/>
    </row>
    <row r="776">
      <c r="A776" s="143"/>
      <c r="B776" s="143"/>
      <c r="C776" s="182"/>
      <c r="D776" s="147"/>
      <c r="E776" s="147"/>
      <c r="F776" s="183"/>
      <c r="G776" s="171"/>
      <c r="H776" s="171"/>
      <c r="M776" s="143"/>
      <c r="N776" s="147"/>
      <c r="O776" s="147"/>
      <c r="P776" s="147"/>
      <c r="Q776" s="147"/>
      <c r="R776" s="148"/>
      <c r="S776" s="148"/>
    </row>
    <row r="777">
      <c r="A777" s="143"/>
      <c r="B777" s="143"/>
      <c r="C777" s="182"/>
      <c r="D777" s="147"/>
      <c r="E777" s="147"/>
      <c r="F777" s="183"/>
      <c r="G777" s="171"/>
      <c r="H777" s="171"/>
      <c r="M777" s="143"/>
      <c r="N777" s="147"/>
      <c r="O777" s="147"/>
      <c r="P777" s="147"/>
      <c r="Q777" s="147"/>
      <c r="R777" s="148"/>
      <c r="S777" s="148"/>
    </row>
    <row r="778">
      <c r="A778" s="143"/>
      <c r="B778" s="143"/>
      <c r="C778" s="182"/>
      <c r="D778" s="147"/>
      <c r="E778" s="147"/>
      <c r="F778" s="183"/>
      <c r="G778" s="171"/>
      <c r="H778" s="171"/>
      <c r="M778" s="143"/>
      <c r="N778" s="147"/>
      <c r="O778" s="147"/>
      <c r="P778" s="147"/>
      <c r="Q778" s="147"/>
      <c r="R778" s="148"/>
      <c r="S778" s="148"/>
    </row>
    <row r="779">
      <c r="A779" s="143"/>
      <c r="B779" s="143"/>
      <c r="C779" s="182"/>
      <c r="D779" s="147"/>
      <c r="E779" s="147"/>
      <c r="F779" s="183"/>
      <c r="G779" s="171"/>
      <c r="H779" s="171"/>
      <c r="M779" s="143"/>
      <c r="N779" s="147"/>
      <c r="O779" s="147"/>
      <c r="P779" s="147"/>
      <c r="Q779" s="147"/>
      <c r="R779" s="148"/>
      <c r="S779" s="148"/>
    </row>
    <row r="780">
      <c r="A780" s="143"/>
      <c r="B780" s="143"/>
      <c r="C780" s="182"/>
      <c r="D780" s="147"/>
      <c r="E780" s="147"/>
      <c r="F780" s="183"/>
      <c r="G780" s="171"/>
      <c r="H780" s="171"/>
      <c r="M780" s="143"/>
      <c r="N780" s="147"/>
      <c r="O780" s="147"/>
      <c r="P780" s="147"/>
      <c r="Q780" s="147"/>
      <c r="R780" s="148"/>
      <c r="S780" s="148"/>
    </row>
    <row r="781">
      <c r="A781" s="143"/>
      <c r="B781" s="143"/>
      <c r="C781" s="182"/>
      <c r="D781" s="147"/>
      <c r="E781" s="147"/>
      <c r="F781" s="183"/>
      <c r="G781" s="171"/>
      <c r="H781" s="171"/>
      <c r="M781" s="143"/>
      <c r="N781" s="147"/>
      <c r="O781" s="147"/>
      <c r="P781" s="147"/>
      <c r="Q781" s="147"/>
      <c r="R781" s="148"/>
      <c r="S781" s="148"/>
    </row>
    <row r="782">
      <c r="A782" s="143"/>
      <c r="B782" s="143"/>
      <c r="C782" s="182"/>
      <c r="D782" s="147"/>
      <c r="E782" s="147"/>
      <c r="F782" s="183"/>
      <c r="G782" s="171"/>
      <c r="H782" s="171"/>
      <c r="M782" s="143"/>
      <c r="N782" s="147"/>
      <c r="O782" s="147"/>
      <c r="P782" s="147"/>
      <c r="Q782" s="147"/>
      <c r="R782" s="148"/>
      <c r="S782" s="148"/>
    </row>
    <row r="783">
      <c r="A783" s="143"/>
      <c r="B783" s="143"/>
      <c r="C783" s="182"/>
      <c r="D783" s="147"/>
      <c r="E783" s="147"/>
      <c r="F783" s="183"/>
      <c r="G783" s="171"/>
      <c r="H783" s="171"/>
      <c r="M783" s="143"/>
      <c r="N783" s="147"/>
      <c r="O783" s="147"/>
      <c r="P783" s="147"/>
      <c r="Q783" s="147"/>
      <c r="R783" s="148"/>
      <c r="S783" s="148"/>
    </row>
    <row r="784">
      <c r="A784" s="143"/>
      <c r="B784" s="143"/>
      <c r="C784" s="182"/>
      <c r="D784" s="147"/>
      <c r="E784" s="147"/>
      <c r="F784" s="183"/>
      <c r="G784" s="171"/>
      <c r="H784" s="171"/>
      <c r="M784" s="143"/>
      <c r="N784" s="147"/>
      <c r="O784" s="147"/>
      <c r="P784" s="147"/>
      <c r="Q784" s="147"/>
      <c r="R784" s="148"/>
      <c r="S784" s="148"/>
    </row>
    <row r="785">
      <c r="A785" s="143"/>
      <c r="B785" s="143"/>
      <c r="C785" s="182"/>
      <c r="D785" s="147"/>
      <c r="E785" s="147"/>
      <c r="F785" s="183"/>
      <c r="G785" s="171"/>
      <c r="H785" s="171"/>
      <c r="M785" s="143"/>
      <c r="N785" s="147"/>
      <c r="O785" s="147"/>
      <c r="P785" s="147"/>
      <c r="Q785" s="147"/>
      <c r="R785" s="148"/>
      <c r="S785" s="148"/>
    </row>
    <row r="786">
      <c r="A786" s="143"/>
      <c r="B786" s="143"/>
      <c r="C786" s="182"/>
      <c r="D786" s="147"/>
      <c r="E786" s="147"/>
      <c r="F786" s="183"/>
      <c r="G786" s="171"/>
      <c r="H786" s="171"/>
      <c r="M786" s="143"/>
      <c r="N786" s="147"/>
      <c r="O786" s="147"/>
      <c r="P786" s="147"/>
      <c r="Q786" s="147"/>
      <c r="R786" s="148"/>
      <c r="S786" s="148"/>
    </row>
    <row r="787">
      <c r="A787" s="143"/>
      <c r="B787" s="143"/>
      <c r="C787" s="182"/>
      <c r="D787" s="147"/>
      <c r="E787" s="147"/>
      <c r="F787" s="183"/>
      <c r="G787" s="171"/>
      <c r="H787" s="171"/>
      <c r="M787" s="143"/>
      <c r="N787" s="147"/>
      <c r="O787" s="147"/>
      <c r="P787" s="147"/>
      <c r="Q787" s="147"/>
      <c r="R787" s="148"/>
      <c r="S787" s="148"/>
    </row>
    <row r="788">
      <c r="A788" s="143"/>
      <c r="B788" s="143"/>
      <c r="C788" s="182"/>
      <c r="D788" s="147"/>
      <c r="E788" s="147"/>
      <c r="F788" s="183"/>
      <c r="G788" s="171"/>
      <c r="H788" s="171"/>
      <c r="M788" s="143"/>
      <c r="N788" s="147"/>
      <c r="O788" s="147"/>
      <c r="P788" s="147"/>
      <c r="Q788" s="147"/>
      <c r="R788" s="148"/>
      <c r="S788" s="148"/>
    </row>
    <row r="789">
      <c r="A789" s="143"/>
      <c r="B789" s="143"/>
      <c r="C789" s="182"/>
      <c r="D789" s="147"/>
      <c r="E789" s="147"/>
      <c r="F789" s="183"/>
      <c r="G789" s="171"/>
      <c r="H789" s="171"/>
      <c r="M789" s="143"/>
      <c r="N789" s="147"/>
      <c r="O789" s="147"/>
      <c r="P789" s="147"/>
      <c r="Q789" s="147"/>
      <c r="R789" s="148"/>
      <c r="S789" s="148"/>
    </row>
    <row r="790">
      <c r="A790" s="143"/>
      <c r="B790" s="143"/>
      <c r="C790" s="182"/>
      <c r="D790" s="147"/>
      <c r="E790" s="147"/>
      <c r="F790" s="183"/>
      <c r="G790" s="171"/>
      <c r="H790" s="171"/>
      <c r="M790" s="143"/>
      <c r="N790" s="147"/>
      <c r="O790" s="147"/>
      <c r="P790" s="147"/>
      <c r="Q790" s="147"/>
      <c r="R790" s="148"/>
      <c r="S790" s="148"/>
    </row>
    <row r="791">
      <c r="A791" s="143"/>
      <c r="B791" s="143"/>
      <c r="C791" s="182"/>
      <c r="D791" s="147"/>
      <c r="E791" s="147"/>
      <c r="F791" s="183"/>
      <c r="G791" s="171"/>
      <c r="H791" s="171"/>
      <c r="M791" s="143"/>
      <c r="N791" s="147"/>
      <c r="O791" s="147"/>
      <c r="P791" s="147"/>
      <c r="Q791" s="147"/>
      <c r="R791" s="148"/>
      <c r="S791" s="148"/>
    </row>
    <row r="792">
      <c r="A792" s="143"/>
      <c r="B792" s="143"/>
      <c r="C792" s="182"/>
      <c r="D792" s="147"/>
      <c r="E792" s="147"/>
      <c r="F792" s="183"/>
      <c r="G792" s="171"/>
      <c r="H792" s="171"/>
      <c r="M792" s="143"/>
      <c r="N792" s="147"/>
      <c r="O792" s="147"/>
      <c r="P792" s="147"/>
      <c r="Q792" s="147"/>
      <c r="R792" s="148"/>
      <c r="S792" s="148"/>
    </row>
    <row r="793">
      <c r="A793" s="143"/>
      <c r="B793" s="143"/>
      <c r="C793" s="182"/>
      <c r="D793" s="147"/>
      <c r="E793" s="147"/>
      <c r="F793" s="183"/>
      <c r="G793" s="171"/>
      <c r="H793" s="171"/>
      <c r="M793" s="143"/>
      <c r="N793" s="147"/>
      <c r="O793" s="147"/>
      <c r="P793" s="147"/>
      <c r="Q793" s="147"/>
      <c r="R793" s="148"/>
      <c r="S793" s="148"/>
    </row>
    <row r="794">
      <c r="A794" s="143"/>
      <c r="B794" s="143"/>
      <c r="C794" s="182"/>
      <c r="D794" s="147"/>
      <c r="E794" s="147"/>
      <c r="F794" s="183"/>
      <c r="G794" s="171"/>
      <c r="H794" s="171"/>
      <c r="M794" s="143"/>
      <c r="N794" s="147"/>
      <c r="O794" s="147"/>
      <c r="P794" s="147"/>
      <c r="Q794" s="147"/>
      <c r="R794" s="148"/>
      <c r="S794" s="148"/>
    </row>
    <row r="795">
      <c r="A795" s="143"/>
      <c r="B795" s="143"/>
      <c r="C795" s="182"/>
      <c r="D795" s="147"/>
      <c r="E795" s="147"/>
      <c r="F795" s="183"/>
      <c r="G795" s="171"/>
      <c r="H795" s="171"/>
      <c r="M795" s="143"/>
      <c r="N795" s="147"/>
      <c r="O795" s="147"/>
      <c r="P795" s="147"/>
      <c r="Q795" s="147"/>
      <c r="R795" s="148"/>
      <c r="S795" s="148"/>
    </row>
    <row r="796">
      <c r="A796" s="143"/>
      <c r="B796" s="143"/>
      <c r="C796" s="182"/>
      <c r="D796" s="147"/>
      <c r="E796" s="147"/>
      <c r="F796" s="183"/>
      <c r="G796" s="171"/>
      <c r="H796" s="171"/>
      <c r="M796" s="143"/>
      <c r="N796" s="147"/>
      <c r="O796" s="147"/>
      <c r="P796" s="147"/>
      <c r="Q796" s="147"/>
      <c r="R796" s="148"/>
      <c r="S796" s="148"/>
    </row>
    <row r="797">
      <c r="A797" s="143"/>
      <c r="B797" s="143"/>
      <c r="C797" s="182"/>
      <c r="D797" s="147"/>
      <c r="E797" s="147"/>
      <c r="F797" s="183"/>
      <c r="G797" s="171"/>
      <c r="H797" s="171"/>
      <c r="M797" s="143"/>
      <c r="N797" s="147"/>
      <c r="O797" s="147"/>
      <c r="P797" s="147"/>
      <c r="Q797" s="147"/>
      <c r="R797" s="148"/>
      <c r="S797" s="148"/>
    </row>
    <row r="798">
      <c r="A798" s="143"/>
      <c r="B798" s="143"/>
      <c r="C798" s="182"/>
      <c r="D798" s="147"/>
      <c r="E798" s="147"/>
      <c r="F798" s="183"/>
      <c r="G798" s="171"/>
      <c r="H798" s="171"/>
      <c r="M798" s="143"/>
      <c r="N798" s="147"/>
      <c r="O798" s="147"/>
      <c r="P798" s="147"/>
      <c r="Q798" s="147"/>
      <c r="R798" s="148"/>
      <c r="S798" s="148"/>
    </row>
    <row r="799">
      <c r="A799" s="143"/>
      <c r="B799" s="143"/>
      <c r="C799" s="182"/>
      <c r="D799" s="147"/>
      <c r="E799" s="147"/>
      <c r="F799" s="183"/>
      <c r="G799" s="171"/>
      <c r="H799" s="171"/>
      <c r="M799" s="143"/>
      <c r="N799" s="147"/>
      <c r="O799" s="147"/>
      <c r="P799" s="147"/>
      <c r="Q799" s="147"/>
      <c r="R799" s="148"/>
      <c r="S799" s="148"/>
    </row>
    <row r="800">
      <c r="A800" s="143"/>
      <c r="B800" s="143"/>
      <c r="C800" s="182"/>
      <c r="D800" s="147"/>
      <c r="E800" s="147"/>
      <c r="F800" s="183"/>
      <c r="G800" s="171"/>
      <c r="H800" s="171"/>
      <c r="M800" s="143"/>
      <c r="N800" s="147"/>
      <c r="O800" s="147"/>
      <c r="P800" s="147"/>
      <c r="Q800" s="147"/>
      <c r="R800" s="148"/>
      <c r="S800" s="148"/>
    </row>
    <row r="801">
      <c r="A801" s="143"/>
      <c r="B801" s="143"/>
      <c r="C801" s="182"/>
      <c r="D801" s="147"/>
      <c r="E801" s="147"/>
      <c r="F801" s="183"/>
      <c r="G801" s="171"/>
      <c r="H801" s="171"/>
      <c r="M801" s="143"/>
      <c r="N801" s="147"/>
      <c r="O801" s="147"/>
      <c r="P801" s="147"/>
      <c r="Q801" s="147"/>
      <c r="R801" s="148"/>
      <c r="S801" s="148"/>
    </row>
    <row r="802">
      <c r="A802" s="143"/>
      <c r="B802" s="143"/>
      <c r="C802" s="182"/>
      <c r="D802" s="147"/>
      <c r="E802" s="147"/>
      <c r="F802" s="183"/>
      <c r="G802" s="171"/>
      <c r="H802" s="171"/>
      <c r="M802" s="143"/>
      <c r="N802" s="147"/>
      <c r="O802" s="147"/>
      <c r="P802" s="147"/>
      <c r="Q802" s="147"/>
      <c r="R802" s="148"/>
      <c r="S802" s="148"/>
    </row>
    <row r="803">
      <c r="A803" s="143"/>
      <c r="B803" s="143"/>
      <c r="C803" s="182"/>
      <c r="D803" s="147"/>
      <c r="E803" s="147"/>
      <c r="F803" s="183"/>
      <c r="G803" s="171"/>
      <c r="H803" s="171"/>
      <c r="M803" s="143"/>
      <c r="N803" s="147"/>
      <c r="O803" s="147"/>
      <c r="P803" s="147"/>
      <c r="Q803" s="147"/>
      <c r="R803" s="148"/>
      <c r="S803" s="148"/>
    </row>
    <row r="804">
      <c r="A804" s="143"/>
      <c r="B804" s="143"/>
      <c r="C804" s="182"/>
      <c r="D804" s="147"/>
      <c r="E804" s="147"/>
      <c r="F804" s="183"/>
      <c r="G804" s="171"/>
      <c r="H804" s="171"/>
      <c r="M804" s="143"/>
      <c r="N804" s="147"/>
      <c r="O804" s="147"/>
      <c r="P804" s="147"/>
      <c r="Q804" s="147"/>
      <c r="R804" s="148"/>
      <c r="S804" s="148"/>
    </row>
    <row r="805">
      <c r="A805" s="143"/>
      <c r="B805" s="143"/>
      <c r="C805" s="182"/>
      <c r="D805" s="147"/>
      <c r="E805" s="147"/>
      <c r="F805" s="183"/>
      <c r="G805" s="171"/>
      <c r="H805" s="171"/>
      <c r="M805" s="143"/>
      <c r="N805" s="147"/>
      <c r="O805" s="147"/>
      <c r="P805" s="147"/>
      <c r="Q805" s="147"/>
      <c r="R805" s="148"/>
      <c r="S805" s="148"/>
    </row>
    <row r="806">
      <c r="A806" s="143"/>
      <c r="B806" s="143"/>
      <c r="C806" s="182"/>
      <c r="D806" s="147"/>
      <c r="E806" s="147"/>
      <c r="F806" s="183"/>
      <c r="G806" s="171"/>
      <c r="H806" s="171"/>
      <c r="M806" s="143"/>
      <c r="N806" s="147"/>
      <c r="O806" s="147"/>
      <c r="P806" s="147"/>
      <c r="Q806" s="147"/>
      <c r="R806" s="148"/>
      <c r="S806" s="148"/>
    </row>
    <row r="807">
      <c r="A807" s="143"/>
      <c r="B807" s="143"/>
      <c r="C807" s="182"/>
      <c r="D807" s="147"/>
      <c r="E807" s="147"/>
      <c r="F807" s="183"/>
      <c r="G807" s="171"/>
      <c r="H807" s="171"/>
      <c r="M807" s="143"/>
      <c r="N807" s="147"/>
      <c r="O807" s="147"/>
      <c r="P807" s="147"/>
      <c r="Q807" s="147"/>
      <c r="R807" s="148"/>
      <c r="S807" s="148"/>
    </row>
    <row r="808">
      <c r="A808" s="143"/>
      <c r="B808" s="143"/>
      <c r="C808" s="182"/>
      <c r="D808" s="147"/>
      <c r="E808" s="147"/>
      <c r="F808" s="183"/>
      <c r="G808" s="171"/>
      <c r="H808" s="171"/>
      <c r="M808" s="143"/>
      <c r="N808" s="147"/>
      <c r="O808" s="147"/>
      <c r="P808" s="147"/>
      <c r="Q808" s="147"/>
      <c r="R808" s="148"/>
      <c r="S808" s="148"/>
    </row>
    <row r="809">
      <c r="A809" s="143"/>
      <c r="B809" s="143"/>
      <c r="C809" s="182"/>
      <c r="D809" s="147"/>
      <c r="E809" s="147"/>
      <c r="F809" s="183"/>
      <c r="G809" s="171"/>
      <c r="H809" s="171"/>
      <c r="M809" s="143"/>
      <c r="N809" s="147"/>
      <c r="O809" s="147"/>
      <c r="P809" s="147"/>
      <c r="Q809" s="147"/>
      <c r="R809" s="148"/>
      <c r="S809" s="148"/>
    </row>
    <row r="810">
      <c r="A810" s="143"/>
      <c r="B810" s="143"/>
      <c r="C810" s="182"/>
      <c r="D810" s="147"/>
      <c r="E810" s="147"/>
      <c r="F810" s="183"/>
      <c r="G810" s="171"/>
      <c r="H810" s="171"/>
      <c r="M810" s="143"/>
      <c r="N810" s="147"/>
      <c r="O810" s="147"/>
      <c r="P810" s="147"/>
      <c r="Q810" s="147"/>
      <c r="R810" s="148"/>
      <c r="S810" s="148"/>
    </row>
    <row r="811">
      <c r="A811" s="143"/>
      <c r="B811" s="143"/>
      <c r="C811" s="182"/>
      <c r="D811" s="147"/>
      <c r="E811" s="147"/>
      <c r="F811" s="183"/>
      <c r="G811" s="171"/>
      <c r="H811" s="171"/>
      <c r="M811" s="143"/>
      <c r="N811" s="147"/>
      <c r="O811" s="147"/>
      <c r="P811" s="147"/>
      <c r="Q811" s="147"/>
      <c r="R811" s="148"/>
      <c r="S811" s="148"/>
    </row>
    <row r="812">
      <c r="A812" s="143"/>
      <c r="B812" s="143"/>
      <c r="C812" s="182"/>
      <c r="D812" s="147"/>
      <c r="E812" s="147"/>
      <c r="F812" s="183"/>
      <c r="G812" s="171"/>
      <c r="H812" s="171"/>
      <c r="M812" s="143"/>
      <c r="N812" s="147"/>
      <c r="O812" s="147"/>
      <c r="P812" s="147"/>
      <c r="Q812" s="147"/>
      <c r="R812" s="148"/>
      <c r="S812" s="148"/>
    </row>
    <row r="813">
      <c r="A813" s="143"/>
      <c r="B813" s="143"/>
      <c r="C813" s="182"/>
      <c r="D813" s="147"/>
      <c r="E813" s="147"/>
      <c r="F813" s="183"/>
      <c r="G813" s="171"/>
      <c r="H813" s="171"/>
      <c r="M813" s="143"/>
      <c r="N813" s="147"/>
      <c r="O813" s="147"/>
      <c r="P813" s="147"/>
      <c r="Q813" s="147"/>
      <c r="R813" s="148"/>
      <c r="S813" s="148"/>
    </row>
    <row r="814">
      <c r="A814" s="143"/>
      <c r="B814" s="143"/>
      <c r="C814" s="182"/>
      <c r="D814" s="147"/>
      <c r="E814" s="147"/>
      <c r="F814" s="183"/>
      <c r="G814" s="171"/>
      <c r="H814" s="171"/>
      <c r="M814" s="143"/>
      <c r="N814" s="147"/>
      <c r="O814" s="147"/>
      <c r="P814" s="147"/>
      <c r="Q814" s="147"/>
      <c r="R814" s="148"/>
      <c r="S814" s="148"/>
    </row>
    <row r="815">
      <c r="A815" s="143"/>
      <c r="B815" s="143"/>
      <c r="C815" s="182"/>
      <c r="D815" s="147"/>
      <c r="E815" s="147"/>
      <c r="F815" s="183"/>
      <c r="G815" s="171"/>
      <c r="H815" s="171"/>
      <c r="M815" s="143"/>
      <c r="N815" s="147"/>
      <c r="O815" s="147"/>
      <c r="P815" s="147"/>
      <c r="Q815" s="147"/>
      <c r="R815" s="148"/>
      <c r="S815" s="148"/>
    </row>
    <row r="816">
      <c r="A816" s="143"/>
      <c r="B816" s="143"/>
      <c r="C816" s="182"/>
      <c r="D816" s="147"/>
      <c r="E816" s="147"/>
      <c r="F816" s="183"/>
      <c r="G816" s="171"/>
      <c r="H816" s="171"/>
      <c r="M816" s="143"/>
      <c r="N816" s="147"/>
      <c r="O816" s="147"/>
      <c r="P816" s="147"/>
      <c r="Q816" s="147"/>
      <c r="R816" s="148"/>
      <c r="S816" s="148"/>
    </row>
    <row r="817">
      <c r="A817" s="143"/>
      <c r="B817" s="143"/>
      <c r="C817" s="182"/>
      <c r="D817" s="147"/>
      <c r="E817" s="147"/>
      <c r="F817" s="183"/>
      <c r="G817" s="171"/>
      <c r="H817" s="171"/>
      <c r="M817" s="143"/>
      <c r="N817" s="147"/>
      <c r="O817" s="147"/>
      <c r="P817" s="147"/>
      <c r="Q817" s="147"/>
      <c r="R817" s="148"/>
      <c r="S817" s="148"/>
    </row>
    <row r="818">
      <c r="A818" s="143"/>
      <c r="B818" s="143"/>
      <c r="C818" s="182"/>
      <c r="D818" s="147"/>
      <c r="E818" s="147"/>
      <c r="F818" s="183"/>
      <c r="G818" s="171"/>
      <c r="H818" s="171"/>
      <c r="M818" s="143"/>
      <c r="N818" s="147"/>
      <c r="O818" s="147"/>
      <c r="P818" s="147"/>
      <c r="Q818" s="147"/>
      <c r="R818" s="148"/>
      <c r="S818" s="148"/>
    </row>
    <row r="819">
      <c r="A819" s="143"/>
      <c r="B819" s="143"/>
      <c r="C819" s="182"/>
      <c r="D819" s="147"/>
      <c r="E819" s="147"/>
      <c r="F819" s="183"/>
      <c r="G819" s="171"/>
      <c r="H819" s="171"/>
      <c r="M819" s="143"/>
      <c r="N819" s="147"/>
      <c r="O819" s="147"/>
      <c r="P819" s="147"/>
      <c r="Q819" s="147"/>
      <c r="R819" s="148"/>
      <c r="S819" s="148"/>
    </row>
    <row r="820">
      <c r="A820" s="143"/>
      <c r="B820" s="143"/>
      <c r="C820" s="182"/>
      <c r="D820" s="147"/>
      <c r="E820" s="147"/>
      <c r="F820" s="183"/>
      <c r="G820" s="171"/>
      <c r="H820" s="171"/>
      <c r="M820" s="143"/>
      <c r="N820" s="147"/>
      <c r="O820" s="147"/>
      <c r="P820" s="147"/>
      <c r="Q820" s="147"/>
      <c r="R820" s="148"/>
      <c r="S820" s="148"/>
    </row>
    <row r="821">
      <c r="A821" s="143"/>
      <c r="B821" s="143"/>
      <c r="C821" s="182"/>
      <c r="D821" s="147"/>
      <c r="E821" s="147"/>
      <c r="F821" s="183"/>
      <c r="G821" s="171"/>
      <c r="H821" s="171"/>
      <c r="M821" s="143"/>
      <c r="N821" s="147"/>
      <c r="O821" s="147"/>
      <c r="P821" s="147"/>
      <c r="Q821" s="147"/>
      <c r="R821" s="148"/>
      <c r="S821" s="148"/>
    </row>
    <row r="822">
      <c r="A822" s="143"/>
      <c r="B822" s="143"/>
      <c r="C822" s="182"/>
      <c r="D822" s="147"/>
      <c r="E822" s="147"/>
      <c r="F822" s="183"/>
      <c r="G822" s="171"/>
      <c r="H822" s="171"/>
      <c r="M822" s="143"/>
      <c r="N822" s="147"/>
      <c r="O822" s="147"/>
      <c r="P822" s="147"/>
      <c r="Q822" s="147"/>
      <c r="R822" s="148"/>
      <c r="S822" s="148"/>
    </row>
    <row r="823">
      <c r="A823" s="143"/>
      <c r="B823" s="143"/>
      <c r="C823" s="182"/>
      <c r="D823" s="147"/>
      <c r="E823" s="147"/>
      <c r="F823" s="183"/>
      <c r="G823" s="171"/>
      <c r="H823" s="171"/>
      <c r="M823" s="143"/>
      <c r="N823" s="147"/>
      <c r="O823" s="147"/>
      <c r="P823" s="147"/>
      <c r="Q823" s="147"/>
      <c r="R823" s="148"/>
      <c r="S823" s="148"/>
    </row>
    <row r="824">
      <c r="A824" s="143"/>
      <c r="B824" s="143"/>
      <c r="C824" s="182"/>
      <c r="D824" s="147"/>
      <c r="E824" s="147"/>
      <c r="F824" s="183"/>
      <c r="G824" s="171"/>
      <c r="H824" s="171"/>
      <c r="M824" s="143"/>
      <c r="N824" s="147"/>
      <c r="O824" s="147"/>
      <c r="P824" s="147"/>
      <c r="Q824" s="147"/>
      <c r="R824" s="148"/>
      <c r="S824" s="148"/>
    </row>
    <row r="825">
      <c r="A825" s="143"/>
      <c r="B825" s="143"/>
      <c r="C825" s="182"/>
      <c r="D825" s="147"/>
      <c r="E825" s="147"/>
      <c r="F825" s="183"/>
      <c r="G825" s="171"/>
      <c r="H825" s="171"/>
      <c r="M825" s="143"/>
      <c r="N825" s="147"/>
      <c r="O825" s="147"/>
      <c r="P825" s="147"/>
      <c r="Q825" s="147"/>
      <c r="R825" s="148"/>
      <c r="S825" s="148"/>
    </row>
    <row r="826">
      <c r="A826" s="143"/>
      <c r="B826" s="143"/>
      <c r="C826" s="182"/>
      <c r="D826" s="147"/>
      <c r="E826" s="147"/>
      <c r="F826" s="183"/>
      <c r="G826" s="171"/>
      <c r="H826" s="171"/>
      <c r="M826" s="143"/>
      <c r="N826" s="147"/>
      <c r="O826" s="147"/>
      <c r="P826" s="147"/>
      <c r="Q826" s="147"/>
      <c r="R826" s="148"/>
      <c r="S826" s="148"/>
    </row>
    <row r="827">
      <c r="A827" s="143"/>
      <c r="B827" s="143"/>
      <c r="C827" s="182"/>
      <c r="D827" s="147"/>
      <c r="E827" s="147"/>
      <c r="F827" s="183"/>
      <c r="G827" s="171"/>
      <c r="H827" s="171"/>
      <c r="M827" s="143"/>
      <c r="N827" s="147"/>
      <c r="O827" s="147"/>
      <c r="P827" s="147"/>
      <c r="Q827" s="147"/>
      <c r="R827" s="148"/>
      <c r="S827" s="148"/>
    </row>
    <row r="828">
      <c r="A828" s="143"/>
      <c r="B828" s="143"/>
      <c r="C828" s="182"/>
      <c r="D828" s="147"/>
      <c r="E828" s="147"/>
      <c r="F828" s="183"/>
      <c r="G828" s="171"/>
      <c r="H828" s="171"/>
      <c r="M828" s="143"/>
      <c r="N828" s="147"/>
      <c r="O828" s="147"/>
      <c r="P828" s="147"/>
      <c r="Q828" s="147"/>
      <c r="R828" s="148"/>
      <c r="S828" s="148"/>
    </row>
    <row r="829">
      <c r="A829" s="143"/>
      <c r="B829" s="143"/>
      <c r="C829" s="182"/>
      <c r="D829" s="147"/>
      <c r="E829" s="147"/>
      <c r="F829" s="183"/>
      <c r="G829" s="171"/>
      <c r="H829" s="171"/>
      <c r="M829" s="143"/>
      <c r="N829" s="147"/>
      <c r="O829" s="147"/>
      <c r="P829" s="147"/>
      <c r="Q829" s="147"/>
      <c r="R829" s="148"/>
      <c r="S829" s="148"/>
    </row>
    <row r="830">
      <c r="A830" s="143"/>
      <c r="B830" s="143"/>
      <c r="C830" s="182"/>
      <c r="D830" s="147"/>
      <c r="E830" s="147"/>
      <c r="F830" s="183"/>
      <c r="G830" s="171"/>
      <c r="H830" s="171"/>
      <c r="M830" s="143"/>
      <c r="N830" s="147"/>
      <c r="O830" s="147"/>
      <c r="P830" s="147"/>
      <c r="Q830" s="147"/>
      <c r="R830" s="148"/>
      <c r="S830" s="148"/>
    </row>
    <row r="831">
      <c r="A831" s="143"/>
      <c r="B831" s="143"/>
      <c r="C831" s="182"/>
      <c r="D831" s="147"/>
      <c r="E831" s="147"/>
      <c r="F831" s="183"/>
      <c r="G831" s="171"/>
      <c r="H831" s="171"/>
      <c r="M831" s="143"/>
      <c r="N831" s="147"/>
      <c r="O831" s="147"/>
      <c r="P831" s="147"/>
      <c r="Q831" s="147"/>
      <c r="R831" s="148"/>
      <c r="S831" s="148"/>
    </row>
    <row r="832">
      <c r="A832" s="143"/>
      <c r="B832" s="143"/>
      <c r="C832" s="182"/>
      <c r="D832" s="147"/>
      <c r="E832" s="147"/>
      <c r="F832" s="183"/>
      <c r="G832" s="171"/>
      <c r="H832" s="171"/>
      <c r="M832" s="143"/>
      <c r="N832" s="147"/>
      <c r="O832" s="147"/>
      <c r="P832" s="147"/>
      <c r="Q832" s="147"/>
      <c r="R832" s="148"/>
      <c r="S832" s="148"/>
    </row>
    <row r="833">
      <c r="A833" s="143"/>
      <c r="B833" s="143"/>
      <c r="C833" s="182"/>
      <c r="D833" s="147"/>
      <c r="E833" s="147"/>
      <c r="F833" s="183"/>
      <c r="G833" s="171"/>
      <c r="H833" s="171"/>
      <c r="M833" s="143"/>
      <c r="N833" s="147"/>
      <c r="O833" s="147"/>
      <c r="P833" s="147"/>
      <c r="Q833" s="147"/>
      <c r="R833" s="148"/>
      <c r="S833" s="148"/>
    </row>
    <row r="834">
      <c r="A834" s="143"/>
      <c r="B834" s="143"/>
      <c r="C834" s="182"/>
      <c r="D834" s="147"/>
      <c r="E834" s="147"/>
      <c r="F834" s="183"/>
      <c r="G834" s="171"/>
      <c r="H834" s="171"/>
      <c r="M834" s="143"/>
      <c r="N834" s="147"/>
      <c r="O834" s="147"/>
      <c r="P834" s="147"/>
      <c r="Q834" s="147"/>
      <c r="R834" s="148"/>
      <c r="S834" s="148"/>
    </row>
    <row r="835">
      <c r="A835" s="143"/>
      <c r="B835" s="143"/>
      <c r="C835" s="182"/>
      <c r="D835" s="147"/>
      <c r="E835" s="147"/>
      <c r="F835" s="183"/>
      <c r="G835" s="171"/>
      <c r="H835" s="171"/>
      <c r="M835" s="143"/>
      <c r="N835" s="147"/>
      <c r="O835" s="147"/>
      <c r="P835" s="147"/>
      <c r="Q835" s="147"/>
      <c r="R835" s="148"/>
      <c r="S835" s="148"/>
    </row>
    <row r="836">
      <c r="A836" s="143"/>
      <c r="B836" s="143"/>
      <c r="C836" s="182"/>
      <c r="D836" s="147"/>
      <c r="E836" s="147"/>
      <c r="F836" s="183"/>
      <c r="G836" s="171"/>
      <c r="H836" s="171"/>
      <c r="M836" s="143"/>
      <c r="N836" s="147"/>
      <c r="O836" s="147"/>
      <c r="P836" s="147"/>
      <c r="Q836" s="147"/>
      <c r="R836" s="148"/>
      <c r="S836" s="148"/>
    </row>
    <row r="837">
      <c r="A837" s="143"/>
      <c r="B837" s="143"/>
      <c r="C837" s="182"/>
      <c r="D837" s="147"/>
      <c r="E837" s="147"/>
      <c r="F837" s="183"/>
      <c r="G837" s="171"/>
      <c r="H837" s="171"/>
      <c r="M837" s="143"/>
      <c r="N837" s="147"/>
      <c r="O837" s="147"/>
      <c r="P837" s="147"/>
      <c r="Q837" s="147"/>
      <c r="R837" s="148"/>
      <c r="S837" s="148"/>
    </row>
    <row r="838">
      <c r="A838" s="143"/>
      <c r="B838" s="143"/>
      <c r="C838" s="182"/>
      <c r="D838" s="147"/>
      <c r="E838" s="147"/>
      <c r="F838" s="183"/>
      <c r="G838" s="171"/>
      <c r="H838" s="171"/>
      <c r="M838" s="143"/>
      <c r="N838" s="147"/>
      <c r="O838" s="147"/>
      <c r="P838" s="147"/>
      <c r="Q838" s="147"/>
      <c r="R838" s="148"/>
      <c r="S838" s="148"/>
    </row>
    <row r="839">
      <c r="A839" s="143"/>
      <c r="B839" s="143"/>
      <c r="C839" s="182"/>
      <c r="D839" s="147"/>
      <c r="E839" s="147"/>
      <c r="F839" s="183"/>
      <c r="G839" s="171"/>
      <c r="H839" s="171"/>
      <c r="M839" s="143"/>
      <c r="N839" s="147"/>
      <c r="O839" s="147"/>
      <c r="P839" s="147"/>
      <c r="Q839" s="147"/>
      <c r="R839" s="148"/>
      <c r="S839" s="148"/>
    </row>
    <row r="840">
      <c r="A840" s="143"/>
      <c r="B840" s="143"/>
      <c r="C840" s="182"/>
      <c r="D840" s="147"/>
      <c r="E840" s="147"/>
      <c r="F840" s="183"/>
      <c r="G840" s="171"/>
      <c r="H840" s="171"/>
      <c r="M840" s="143"/>
      <c r="N840" s="147"/>
      <c r="O840" s="147"/>
      <c r="P840" s="147"/>
      <c r="Q840" s="147"/>
      <c r="R840" s="148"/>
      <c r="S840" s="148"/>
    </row>
    <row r="841">
      <c r="A841" s="143"/>
      <c r="B841" s="143"/>
      <c r="C841" s="182"/>
      <c r="D841" s="147"/>
      <c r="E841" s="147"/>
      <c r="F841" s="183"/>
      <c r="G841" s="171"/>
      <c r="H841" s="171"/>
      <c r="M841" s="143"/>
      <c r="N841" s="147"/>
      <c r="O841" s="147"/>
      <c r="P841" s="147"/>
      <c r="Q841" s="147"/>
      <c r="R841" s="148"/>
      <c r="S841" s="148"/>
    </row>
    <row r="842">
      <c r="A842" s="143"/>
      <c r="B842" s="143"/>
      <c r="C842" s="182"/>
      <c r="D842" s="147"/>
      <c r="E842" s="147"/>
      <c r="F842" s="183"/>
      <c r="G842" s="171"/>
      <c r="H842" s="171"/>
      <c r="M842" s="143"/>
      <c r="N842" s="147"/>
      <c r="O842" s="147"/>
      <c r="P842" s="147"/>
      <c r="Q842" s="147"/>
      <c r="R842" s="148"/>
      <c r="S842" s="148"/>
    </row>
    <row r="843">
      <c r="A843" s="143"/>
      <c r="B843" s="143"/>
      <c r="C843" s="182"/>
      <c r="D843" s="147"/>
      <c r="E843" s="147"/>
      <c r="F843" s="183"/>
      <c r="G843" s="171"/>
      <c r="H843" s="171"/>
      <c r="M843" s="143"/>
      <c r="N843" s="147"/>
      <c r="O843" s="147"/>
      <c r="P843" s="147"/>
      <c r="Q843" s="147"/>
      <c r="R843" s="148"/>
      <c r="S843" s="148"/>
    </row>
    <row r="844">
      <c r="A844" s="143"/>
      <c r="B844" s="143"/>
      <c r="C844" s="182"/>
      <c r="D844" s="147"/>
      <c r="E844" s="147"/>
      <c r="F844" s="183"/>
      <c r="G844" s="171"/>
      <c r="H844" s="171"/>
      <c r="M844" s="143"/>
      <c r="N844" s="147"/>
      <c r="O844" s="147"/>
      <c r="P844" s="147"/>
      <c r="Q844" s="147"/>
      <c r="R844" s="148"/>
      <c r="S844" s="148"/>
    </row>
    <row r="845">
      <c r="A845" s="143"/>
      <c r="B845" s="143"/>
      <c r="C845" s="182"/>
      <c r="D845" s="147"/>
      <c r="E845" s="147"/>
      <c r="F845" s="183"/>
      <c r="G845" s="171"/>
      <c r="H845" s="171"/>
      <c r="M845" s="143"/>
      <c r="N845" s="147"/>
      <c r="O845" s="147"/>
      <c r="P845" s="147"/>
      <c r="Q845" s="147"/>
      <c r="R845" s="148"/>
      <c r="S845" s="148"/>
    </row>
    <row r="846">
      <c r="A846" s="143"/>
      <c r="B846" s="143"/>
      <c r="C846" s="182"/>
      <c r="D846" s="147"/>
      <c r="E846" s="147"/>
      <c r="F846" s="183"/>
      <c r="G846" s="171"/>
      <c r="H846" s="171"/>
      <c r="M846" s="143"/>
      <c r="N846" s="147"/>
      <c r="O846" s="147"/>
      <c r="P846" s="147"/>
      <c r="Q846" s="147"/>
      <c r="R846" s="148"/>
      <c r="S846" s="148"/>
    </row>
    <row r="847">
      <c r="A847" s="143"/>
      <c r="B847" s="143"/>
      <c r="C847" s="182"/>
      <c r="D847" s="147"/>
      <c r="E847" s="147"/>
      <c r="F847" s="183"/>
      <c r="G847" s="171"/>
      <c r="H847" s="171"/>
      <c r="M847" s="143"/>
      <c r="N847" s="147"/>
      <c r="O847" s="147"/>
      <c r="P847" s="147"/>
      <c r="Q847" s="147"/>
      <c r="R847" s="148"/>
      <c r="S847" s="148"/>
    </row>
    <row r="848">
      <c r="A848" s="143"/>
      <c r="B848" s="143"/>
      <c r="C848" s="182"/>
      <c r="D848" s="147"/>
      <c r="E848" s="147"/>
      <c r="F848" s="183"/>
      <c r="G848" s="171"/>
      <c r="H848" s="171"/>
      <c r="M848" s="143"/>
      <c r="N848" s="147"/>
      <c r="O848" s="147"/>
      <c r="P848" s="147"/>
      <c r="Q848" s="147"/>
      <c r="R848" s="148"/>
      <c r="S848" s="148"/>
    </row>
    <row r="849">
      <c r="A849" s="143"/>
      <c r="B849" s="143"/>
      <c r="C849" s="182"/>
      <c r="D849" s="147"/>
      <c r="E849" s="147"/>
      <c r="F849" s="183"/>
      <c r="G849" s="171"/>
      <c r="H849" s="171"/>
      <c r="M849" s="143"/>
      <c r="N849" s="147"/>
      <c r="O849" s="147"/>
      <c r="P849" s="147"/>
      <c r="Q849" s="147"/>
      <c r="R849" s="148"/>
      <c r="S849" s="148"/>
    </row>
    <row r="850">
      <c r="A850" s="143"/>
      <c r="B850" s="143"/>
      <c r="C850" s="182"/>
      <c r="D850" s="147"/>
      <c r="E850" s="147"/>
      <c r="F850" s="183"/>
      <c r="G850" s="171"/>
      <c r="H850" s="171"/>
      <c r="M850" s="143"/>
      <c r="N850" s="147"/>
      <c r="O850" s="147"/>
      <c r="P850" s="147"/>
      <c r="Q850" s="147"/>
      <c r="R850" s="148"/>
      <c r="S850" s="148"/>
    </row>
    <row r="851">
      <c r="A851" s="143"/>
      <c r="B851" s="143"/>
      <c r="C851" s="182"/>
      <c r="D851" s="147"/>
      <c r="E851" s="147"/>
      <c r="F851" s="183"/>
      <c r="G851" s="171"/>
      <c r="H851" s="171"/>
      <c r="M851" s="143"/>
      <c r="N851" s="147"/>
      <c r="O851" s="147"/>
      <c r="P851" s="147"/>
      <c r="Q851" s="147"/>
      <c r="R851" s="148"/>
      <c r="S851" s="148"/>
    </row>
    <row r="852">
      <c r="A852" s="143"/>
      <c r="B852" s="143"/>
      <c r="C852" s="182"/>
      <c r="D852" s="147"/>
      <c r="E852" s="147"/>
      <c r="F852" s="183"/>
      <c r="G852" s="171"/>
      <c r="H852" s="171"/>
      <c r="M852" s="143"/>
      <c r="N852" s="147"/>
      <c r="O852" s="147"/>
      <c r="P852" s="147"/>
      <c r="Q852" s="147"/>
      <c r="R852" s="148"/>
      <c r="S852" s="148"/>
    </row>
    <row r="853">
      <c r="A853" s="143"/>
      <c r="B853" s="143"/>
      <c r="C853" s="182"/>
      <c r="D853" s="147"/>
      <c r="E853" s="147"/>
      <c r="F853" s="183"/>
      <c r="G853" s="171"/>
      <c r="H853" s="171"/>
      <c r="M853" s="143"/>
      <c r="N853" s="147"/>
      <c r="O853" s="147"/>
      <c r="P853" s="147"/>
      <c r="Q853" s="147"/>
      <c r="R853" s="148"/>
      <c r="S853" s="148"/>
    </row>
    <row r="854">
      <c r="A854" s="143"/>
      <c r="B854" s="143"/>
      <c r="C854" s="182"/>
      <c r="D854" s="147"/>
      <c r="E854" s="147"/>
      <c r="F854" s="183"/>
      <c r="G854" s="171"/>
      <c r="H854" s="171"/>
      <c r="M854" s="143"/>
      <c r="N854" s="147"/>
      <c r="O854" s="147"/>
      <c r="P854" s="147"/>
      <c r="Q854" s="147"/>
      <c r="R854" s="148"/>
      <c r="S854" s="148"/>
    </row>
    <row r="855">
      <c r="A855" s="143"/>
      <c r="B855" s="143"/>
      <c r="C855" s="182"/>
      <c r="D855" s="147"/>
      <c r="E855" s="147"/>
      <c r="F855" s="183"/>
      <c r="G855" s="171"/>
      <c r="H855" s="171"/>
      <c r="M855" s="143"/>
      <c r="N855" s="147"/>
      <c r="O855" s="147"/>
      <c r="P855" s="147"/>
      <c r="Q855" s="147"/>
      <c r="R855" s="148"/>
      <c r="S855" s="148"/>
    </row>
    <row r="856">
      <c r="A856" s="143"/>
      <c r="B856" s="143"/>
      <c r="C856" s="182"/>
      <c r="D856" s="147"/>
      <c r="E856" s="147"/>
      <c r="F856" s="183"/>
      <c r="G856" s="171"/>
      <c r="H856" s="171"/>
      <c r="M856" s="143"/>
      <c r="N856" s="147"/>
      <c r="O856" s="147"/>
      <c r="P856" s="147"/>
      <c r="Q856" s="147"/>
      <c r="R856" s="148"/>
      <c r="S856" s="148"/>
    </row>
    <row r="857">
      <c r="A857" s="143"/>
      <c r="B857" s="143"/>
      <c r="C857" s="182"/>
      <c r="D857" s="147"/>
      <c r="E857" s="147"/>
      <c r="F857" s="183"/>
      <c r="G857" s="171"/>
      <c r="H857" s="171"/>
      <c r="M857" s="143"/>
      <c r="N857" s="147"/>
      <c r="O857" s="147"/>
      <c r="P857" s="147"/>
      <c r="Q857" s="147"/>
      <c r="R857" s="148"/>
      <c r="S857" s="148"/>
    </row>
    <row r="858">
      <c r="A858" s="143"/>
      <c r="B858" s="143"/>
      <c r="C858" s="182"/>
      <c r="D858" s="147"/>
      <c r="E858" s="147"/>
      <c r="F858" s="183"/>
      <c r="G858" s="171"/>
      <c r="H858" s="171"/>
      <c r="M858" s="143"/>
      <c r="N858" s="147"/>
      <c r="O858" s="147"/>
      <c r="P858" s="147"/>
      <c r="Q858" s="147"/>
      <c r="R858" s="148"/>
      <c r="S858" s="148"/>
    </row>
    <row r="859">
      <c r="A859" s="143"/>
      <c r="B859" s="143"/>
      <c r="C859" s="182"/>
      <c r="D859" s="147"/>
      <c r="E859" s="147"/>
      <c r="F859" s="183"/>
      <c r="G859" s="171"/>
      <c r="H859" s="171"/>
      <c r="M859" s="143"/>
      <c r="N859" s="147"/>
      <c r="O859" s="147"/>
      <c r="P859" s="147"/>
      <c r="Q859" s="147"/>
      <c r="R859" s="148"/>
      <c r="S859" s="148"/>
    </row>
    <row r="860">
      <c r="A860" s="143"/>
      <c r="B860" s="143"/>
      <c r="C860" s="182"/>
      <c r="D860" s="147"/>
      <c r="E860" s="147"/>
      <c r="F860" s="183"/>
      <c r="G860" s="171"/>
      <c r="H860" s="171"/>
      <c r="M860" s="143"/>
      <c r="N860" s="147"/>
      <c r="O860" s="147"/>
      <c r="P860" s="147"/>
      <c r="Q860" s="147"/>
      <c r="R860" s="148"/>
      <c r="S860" s="148"/>
    </row>
    <row r="861">
      <c r="A861" s="143"/>
      <c r="B861" s="143"/>
      <c r="C861" s="182"/>
      <c r="D861" s="147"/>
      <c r="E861" s="147"/>
      <c r="F861" s="183"/>
      <c r="G861" s="171"/>
      <c r="H861" s="171"/>
      <c r="M861" s="143"/>
      <c r="N861" s="147"/>
      <c r="O861" s="147"/>
      <c r="P861" s="147"/>
      <c r="Q861" s="147"/>
      <c r="R861" s="148"/>
      <c r="S861" s="148"/>
    </row>
    <row r="862">
      <c r="A862" s="143"/>
      <c r="B862" s="143"/>
      <c r="C862" s="182"/>
      <c r="D862" s="147"/>
      <c r="E862" s="147"/>
      <c r="F862" s="183"/>
      <c r="G862" s="171"/>
      <c r="H862" s="171"/>
      <c r="M862" s="143"/>
      <c r="N862" s="147"/>
      <c r="O862" s="147"/>
      <c r="P862" s="147"/>
      <c r="Q862" s="147"/>
      <c r="R862" s="148"/>
      <c r="S862" s="148"/>
    </row>
    <row r="863">
      <c r="A863" s="143"/>
      <c r="B863" s="143"/>
      <c r="C863" s="182"/>
      <c r="D863" s="147"/>
      <c r="E863" s="147"/>
      <c r="F863" s="183"/>
      <c r="G863" s="171"/>
      <c r="H863" s="171"/>
      <c r="M863" s="143"/>
      <c r="N863" s="147"/>
      <c r="O863" s="147"/>
      <c r="P863" s="147"/>
      <c r="Q863" s="147"/>
      <c r="R863" s="148"/>
      <c r="S863" s="148"/>
    </row>
    <row r="864">
      <c r="A864" s="143"/>
      <c r="B864" s="143"/>
      <c r="C864" s="182"/>
      <c r="D864" s="147"/>
      <c r="E864" s="147"/>
      <c r="F864" s="183"/>
      <c r="G864" s="171"/>
      <c r="H864" s="171"/>
      <c r="M864" s="143"/>
      <c r="N864" s="147"/>
      <c r="O864" s="147"/>
      <c r="P864" s="147"/>
      <c r="Q864" s="147"/>
      <c r="R864" s="148"/>
      <c r="S864" s="148"/>
    </row>
    <row r="865">
      <c r="A865" s="143"/>
      <c r="B865" s="143"/>
      <c r="C865" s="182"/>
      <c r="D865" s="147"/>
      <c r="E865" s="147"/>
      <c r="F865" s="183"/>
      <c r="G865" s="171"/>
      <c r="H865" s="171"/>
      <c r="M865" s="143"/>
      <c r="N865" s="147"/>
      <c r="O865" s="147"/>
      <c r="P865" s="147"/>
      <c r="Q865" s="147"/>
      <c r="R865" s="148"/>
      <c r="S865" s="148"/>
    </row>
    <row r="866">
      <c r="A866" s="143"/>
      <c r="B866" s="143"/>
      <c r="C866" s="182"/>
      <c r="D866" s="147"/>
      <c r="E866" s="147"/>
      <c r="F866" s="183"/>
      <c r="G866" s="171"/>
      <c r="H866" s="171"/>
      <c r="M866" s="143"/>
      <c r="N866" s="147"/>
      <c r="O866" s="147"/>
      <c r="P866" s="147"/>
      <c r="Q866" s="147"/>
      <c r="R866" s="148"/>
      <c r="S866" s="148"/>
    </row>
    <row r="867">
      <c r="A867" s="143"/>
      <c r="B867" s="143"/>
      <c r="C867" s="182"/>
      <c r="D867" s="147"/>
      <c r="E867" s="147"/>
      <c r="F867" s="183"/>
      <c r="G867" s="171"/>
      <c r="H867" s="171"/>
      <c r="M867" s="143"/>
      <c r="N867" s="147"/>
      <c r="O867" s="147"/>
      <c r="P867" s="147"/>
      <c r="Q867" s="147"/>
      <c r="R867" s="148"/>
      <c r="S867" s="148"/>
    </row>
    <row r="868">
      <c r="A868" s="143"/>
      <c r="B868" s="143"/>
      <c r="C868" s="182"/>
      <c r="D868" s="147"/>
      <c r="E868" s="147"/>
      <c r="F868" s="183"/>
      <c r="G868" s="171"/>
      <c r="H868" s="171"/>
      <c r="M868" s="143"/>
      <c r="N868" s="147"/>
      <c r="O868" s="147"/>
      <c r="P868" s="147"/>
      <c r="Q868" s="147"/>
      <c r="R868" s="148"/>
      <c r="S868" s="148"/>
    </row>
    <row r="869">
      <c r="A869" s="143"/>
      <c r="B869" s="143"/>
      <c r="C869" s="182"/>
      <c r="D869" s="147"/>
      <c r="E869" s="147"/>
      <c r="F869" s="183"/>
      <c r="G869" s="171"/>
      <c r="H869" s="171"/>
      <c r="M869" s="143"/>
      <c r="N869" s="147"/>
      <c r="O869" s="147"/>
      <c r="P869" s="147"/>
      <c r="Q869" s="147"/>
      <c r="R869" s="148"/>
      <c r="S869" s="148"/>
    </row>
    <row r="870">
      <c r="A870" s="143"/>
      <c r="B870" s="143"/>
      <c r="C870" s="182"/>
      <c r="D870" s="147"/>
      <c r="E870" s="147"/>
      <c r="F870" s="183"/>
      <c r="G870" s="171"/>
      <c r="H870" s="171"/>
      <c r="M870" s="143"/>
      <c r="N870" s="147"/>
      <c r="O870" s="147"/>
      <c r="P870" s="147"/>
      <c r="Q870" s="147"/>
      <c r="R870" s="148"/>
      <c r="S870" s="148"/>
    </row>
    <row r="871">
      <c r="A871" s="143"/>
      <c r="B871" s="143"/>
      <c r="C871" s="182"/>
      <c r="D871" s="147"/>
      <c r="E871" s="147"/>
      <c r="F871" s="183"/>
      <c r="G871" s="171"/>
      <c r="H871" s="171"/>
      <c r="M871" s="143"/>
      <c r="N871" s="147"/>
      <c r="O871" s="147"/>
      <c r="P871" s="147"/>
      <c r="Q871" s="147"/>
      <c r="R871" s="148"/>
      <c r="S871" s="148"/>
    </row>
    <row r="872">
      <c r="A872" s="143"/>
      <c r="B872" s="143"/>
      <c r="C872" s="182"/>
      <c r="D872" s="147"/>
      <c r="E872" s="147"/>
      <c r="F872" s="183"/>
      <c r="G872" s="171"/>
      <c r="H872" s="171"/>
      <c r="M872" s="143"/>
      <c r="N872" s="147"/>
      <c r="O872" s="147"/>
      <c r="P872" s="147"/>
      <c r="Q872" s="147"/>
      <c r="R872" s="148"/>
      <c r="S872" s="148"/>
    </row>
    <row r="873">
      <c r="A873" s="143"/>
      <c r="B873" s="143"/>
      <c r="C873" s="182"/>
      <c r="D873" s="147"/>
      <c r="E873" s="147"/>
      <c r="F873" s="183"/>
      <c r="G873" s="171"/>
      <c r="H873" s="171"/>
      <c r="M873" s="143"/>
      <c r="N873" s="147"/>
      <c r="O873" s="147"/>
      <c r="P873" s="147"/>
      <c r="Q873" s="147"/>
      <c r="R873" s="148"/>
      <c r="S873" s="148"/>
    </row>
    <row r="874">
      <c r="A874" s="143"/>
      <c r="B874" s="143"/>
      <c r="C874" s="182"/>
      <c r="D874" s="147"/>
      <c r="E874" s="147"/>
      <c r="F874" s="183"/>
      <c r="G874" s="171"/>
      <c r="H874" s="171"/>
      <c r="M874" s="143"/>
      <c r="N874" s="147"/>
      <c r="O874" s="147"/>
      <c r="P874" s="147"/>
      <c r="Q874" s="147"/>
      <c r="R874" s="148"/>
      <c r="S874" s="148"/>
    </row>
    <row r="875">
      <c r="A875" s="143"/>
      <c r="B875" s="143"/>
      <c r="C875" s="182"/>
      <c r="D875" s="147"/>
      <c r="E875" s="147"/>
      <c r="F875" s="183"/>
      <c r="G875" s="171"/>
      <c r="H875" s="171"/>
      <c r="M875" s="143"/>
      <c r="N875" s="147"/>
      <c r="O875" s="147"/>
      <c r="P875" s="147"/>
      <c r="Q875" s="147"/>
      <c r="R875" s="148"/>
      <c r="S875" s="148"/>
    </row>
    <row r="876">
      <c r="A876" s="143"/>
      <c r="B876" s="143"/>
      <c r="C876" s="182"/>
      <c r="D876" s="147"/>
      <c r="E876" s="147"/>
      <c r="F876" s="183"/>
      <c r="G876" s="171"/>
      <c r="H876" s="171"/>
      <c r="M876" s="143"/>
      <c r="N876" s="147"/>
      <c r="O876" s="147"/>
      <c r="P876" s="147"/>
      <c r="Q876" s="147"/>
      <c r="R876" s="148"/>
      <c r="S876" s="148"/>
    </row>
    <row r="877">
      <c r="A877" s="143"/>
      <c r="B877" s="143"/>
      <c r="C877" s="182"/>
      <c r="D877" s="147"/>
      <c r="E877" s="147"/>
      <c r="F877" s="183"/>
      <c r="G877" s="171"/>
      <c r="H877" s="171"/>
      <c r="M877" s="143"/>
      <c r="N877" s="147"/>
      <c r="O877" s="147"/>
      <c r="P877" s="147"/>
      <c r="Q877" s="147"/>
      <c r="R877" s="148"/>
      <c r="S877" s="148"/>
    </row>
    <row r="878">
      <c r="A878" s="143"/>
      <c r="B878" s="143"/>
      <c r="C878" s="182"/>
      <c r="D878" s="147"/>
      <c r="E878" s="147"/>
      <c r="F878" s="183"/>
      <c r="G878" s="171"/>
      <c r="H878" s="171"/>
      <c r="M878" s="143"/>
      <c r="N878" s="147"/>
      <c r="O878" s="147"/>
      <c r="P878" s="147"/>
      <c r="Q878" s="147"/>
      <c r="R878" s="148"/>
      <c r="S878" s="148"/>
    </row>
    <row r="879">
      <c r="A879" s="143"/>
      <c r="B879" s="143"/>
      <c r="C879" s="182"/>
      <c r="D879" s="147"/>
      <c r="E879" s="147"/>
      <c r="F879" s="183"/>
      <c r="G879" s="171"/>
      <c r="H879" s="171"/>
      <c r="M879" s="143"/>
      <c r="N879" s="147"/>
      <c r="O879" s="147"/>
      <c r="P879" s="147"/>
      <c r="Q879" s="147"/>
      <c r="R879" s="148"/>
      <c r="S879" s="148"/>
    </row>
    <row r="880">
      <c r="A880" s="143"/>
      <c r="B880" s="143"/>
      <c r="C880" s="182"/>
      <c r="D880" s="147"/>
      <c r="E880" s="147"/>
      <c r="F880" s="183"/>
      <c r="G880" s="171"/>
      <c r="H880" s="171"/>
      <c r="M880" s="143"/>
      <c r="N880" s="147"/>
      <c r="O880" s="147"/>
      <c r="P880" s="147"/>
      <c r="Q880" s="147"/>
      <c r="R880" s="148"/>
      <c r="S880" s="148"/>
    </row>
    <row r="881">
      <c r="A881" s="143"/>
      <c r="B881" s="143"/>
      <c r="C881" s="182"/>
      <c r="D881" s="147"/>
      <c r="E881" s="147"/>
      <c r="F881" s="183"/>
      <c r="G881" s="171"/>
      <c r="H881" s="171"/>
      <c r="M881" s="143"/>
      <c r="N881" s="147"/>
      <c r="O881" s="147"/>
      <c r="P881" s="147"/>
      <c r="Q881" s="147"/>
      <c r="R881" s="148"/>
      <c r="S881" s="148"/>
    </row>
    <row r="882">
      <c r="A882" s="143"/>
      <c r="B882" s="143"/>
      <c r="C882" s="182"/>
      <c r="D882" s="147"/>
      <c r="E882" s="147"/>
      <c r="F882" s="183"/>
      <c r="G882" s="171"/>
      <c r="H882" s="171"/>
      <c r="M882" s="143"/>
      <c r="N882" s="147"/>
      <c r="O882" s="147"/>
      <c r="P882" s="147"/>
      <c r="Q882" s="147"/>
      <c r="R882" s="148"/>
      <c r="S882" s="148"/>
    </row>
    <row r="883">
      <c r="A883" s="143"/>
      <c r="B883" s="143"/>
      <c r="C883" s="182"/>
      <c r="D883" s="147"/>
      <c r="E883" s="147"/>
      <c r="F883" s="183"/>
      <c r="G883" s="171"/>
      <c r="H883" s="171"/>
      <c r="M883" s="143"/>
      <c r="N883" s="147"/>
      <c r="O883" s="147"/>
      <c r="P883" s="147"/>
      <c r="Q883" s="147"/>
      <c r="R883" s="148"/>
      <c r="S883" s="148"/>
    </row>
    <row r="884">
      <c r="A884" s="143"/>
      <c r="B884" s="143"/>
      <c r="C884" s="182"/>
      <c r="D884" s="147"/>
      <c r="E884" s="147"/>
      <c r="F884" s="183"/>
      <c r="G884" s="171"/>
      <c r="H884" s="171"/>
      <c r="M884" s="143"/>
      <c r="N884" s="147"/>
      <c r="O884" s="147"/>
      <c r="P884" s="147"/>
      <c r="Q884" s="147"/>
      <c r="R884" s="148"/>
      <c r="S884" s="148"/>
    </row>
    <row r="885">
      <c r="A885" s="143"/>
      <c r="B885" s="143"/>
      <c r="C885" s="182"/>
      <c r="D885" s="147"/>
      <c r="E885" s="147"/>
      <c r="F885" s="183"/>
      <c r="G885" s="171"/>
      <c r="H885" s="171"/>
      <c r="M885" s="143"/>
      <c r="N885" s="147"/>
      <c r="O885" s="147"/>
      <c r="P885" s="147"/>
      <c r="Q885" s="147"/>
      <c r="R885" s="148"/>
      <c r="S885" s="148"/>
    </row>
    <row r="886">
      <c r="A886" s="143"/>
      <c r="B886" s="143"/>
      <c r="C886" s="182"/>
      <c r="D886" s="147"/>
      <c r="E886" s="147"/>
      <c r="F886" s="183"/>
      <c r="G886" s="171"/>
      <c r="H886" s="171"/>
      <c r="M886" s="143"/>
      <c r="N886" s="147"/>
      <c r="O886" s="147"/>
      <c r="P886" s="147"/>
      <c r="Q886" s="147"/>
      <c r="R886" s="148"/>
      <c r="S886" s="148"/>
    </row>
    <row r="887">
      <c r="A887" s="143"/>
      <c r="B887" s="143"/>
      <c r="C887" s="182"/>
      <c r="D887" s="147"/>
      <c r="E887" s="147"/>
      <c r="F887" s="183"/>
      <c r="G887" s="171"/>
      <c r="H887" s="171"/>
      <c r="M887" s="143"/>
      <c r="N887" s="147"/>
      <c r="O887" s="147"/>
      <c r="P887" s="147"/>
      <c r="Q887" s="147"/>
      <c r="R887" s="148"/>
      <c r="S887" s="148"/>
    </row>
    <row r="888">
      <c r="A888" s="143"/>
      <c r="B888" s="143"/>
      <c r="C888" s="182"/>
      <c r="D888" s="147"/>
      <c r="E888" s="147"/>
      <c r="F888" s="183"/>
      <c r="G888" s="171"/>
      <c r="H888" s="171"/>
      <c r="M888" s="143"/>
      <c r="N888" s="147"/>
      <c r="O888" s="147"/>
      <c r="P888" s="147"/>
      <c r="Q888" s="147"/>
      <c r="R888" s="148"/>
      <c r="S888" s="148"/>
    </row>
    <row r="889">
      <c r="A889" s="143"/>
      <c r="B889" s="143"/>
      <c r="C889" s="182"/>
      <c r="D889" s="147"/>
      <c r="E889" s="147"/>
      <c r="F889" s="183"/>
      <c r="G889" s="171"/>
      <c r="H889" s="171"/>
      <c r="M889" s="143"/>
      <c r="N889" s="147"/>
      <c r="O889" s="147"/>
      <c r="P889" s="147"/>
      <c r="Q889" s="147"/>
      <c r="R889" s="148"/>
      <c r="S889" s="148"/>
    </row>
    <row r="890">
      <c r="A890" s="143"/>
      <c r="B890" s="143"/>
      <c r="C890" s="182"/>
      <c r="D890" s="147"/>
      <c r="E890" s="147"/>
      <c r="F890" s="183"/>
      <c r="G890" s="171"/>
      <c r="H890" s="171"/>
      <c r="M890" s="143"/>
      <c r="N890" s="147"/>
      <c r="O890" s="147"/>
      <c r="P890" s="147"/>
      <c r="Q890" s="147"/>
      <c r="R890" s="148"/>
      <c r="S890" s="148"/>
    </row>
    <row r="891">
      <c r="A891" s="143"/>
      <c r="B891" s="143"/>
      <c r="C891" s="182"/>
      <c r="D891" s="147"/>
      <c r="E891" s="147"/>
      <c r="F891" s="183"/>
      <c r="G891" s="171"/>
      <c r="H891" s="171"/>
      <c r="M891" s="143"/>
      <c r="N891" s="147"/>
      <c r="O891" s="147"/>
      <c r="P891" s="147"/>
      <c r="Q891" s="147"/>
      <c r="R891" s="148"/>
      <c r="S891" s="148"/>
    </row>
    <row r="892">
      <c r="A892" s="143"/>
      <c r="B892" s="143"/>
      <c r="C892" s="182"/>
      <c r="D892" s="147"/>
      <c r="E892" s="147"/>
      <c r="F892" s="183"/>
      <c r="G892" s="171"/>
      <c r="H892" s="171"/>
      <c r="M892" s="143"/>
      <c r="N892" s="147"/>
      <c r="O892" s="147"/>
      <c r="P892" s="147"/>
      <c r="Q892" s="147"/>
      <c r="R892" s="148"/>
      <c r="S892" s="148"/>
    </row>
    <row r="893">
      <c r="A893" s="143"/>
      <c r="B893" s="143"/>
      <c r="C893" s="182"/>
      <c r="D893" s="147"/>
      <c r="E893" s="147"/>
      <c r="F893" s="183"/>
      <c r="G893" s="171"/>
      <c r="H893" s="171"/>
      <c r="M893" s="143"/>
      <c r="N893" s="147"/>
      <c r="O893" s="147"/>
      <c r="P893" s="147"/>
      <c r="Q893" s="147"/>
      <c r="R893" s="148"/>
      <c r="S893" s="148"/>
    </row>
    <row r="894">
      <c r="A894" s="143"/>
      <c r="B894" s="143"/>
      <c r="C894" s="182"/>
      <c r="D894" s="147"/>
      <c r="E894" s="147"/>
      <c r="F894" s="183"/>
      <c r="G894" s="171"/>
      <c r="H894" s="171"/>
      <c r="M894" s="143"/>
      <c r="N894" s="147"/>
      <c r="O894" s="147"/>
      <c r="P894" s="147"/>
      <c r="Q894" s="147"/>
      <c r="R894" s="148"/>
      <c r="S894" s="148"/>
    </row>
    <row r="895">
      <c r="A895" s="143"/>
      <c r="B895" s="143"/>
      <c r="C895" s="182"/>
      <c r="D895" s="147"/>
      <c r="E895" s="147"/>
      <c r="F895" s="183"/>
      <c r="G895" s="171"/>
      <c r="H895" s="171"/>
      <c r="M895" s="143"/>
      <c r="N895" s="147"/>
      <c r="O895" s="147"/>
      <c r="P895" s="147"/>
      <c r="Q895" s="147"/>
      <c r="R895" s="148"/>
      <c r="S895" s="148"/>
    </row>
    <row r="896">
      <c r="A896" s="143"/>
      <c r="B896" s="143"/>
      <c r="C896" s="182"/>
      <c r="D896" s="147"/>
      <c r="E896" s="147"/>
      <c r="F896" s="183"/>
      <c r="G896" s="171"/>
      <c r="H896" s="171"/>
      <c r="M896" s="143"/>
      <c r="N896" s="147"/>
      <c r="O896" s="147"/>
      <c r="P896" s="147"/>
      <c r="Q896" s="147"/>
      <c r="R896" s="148"/>
      <c r="S896" s="148"/>
    </row>
    <row r="897">
      <c r="A897" s="143"/>
      <c r="B897" s="143"/>
      <c r="C897" s="182"/>
      <c r="D897" s="147"/>
      <c r="E897" s="147"/>
      <c r="F897" s="183"/>
      <c r="G897" s="171"/>
      <c r="H897" s="171"/>
      <c r="M897" s="143"/>
      <c r="N897" s="147"/>
      <c r="O897" s="147"/>
      <c r="P897" s="147"/>
      <c r="Q897" s="147"/>
      <c r="R897" s="148"/>
      <c r="S897" s="148"/>
    </row>
    <row r="898">
      <c r="A898" s="143"/>
      <c r="B898" s="143"/>
      <c r="C898" s="182"/>
      <c r="D898" s="147"/>
      <c r="E898" s="147"/>
      <c r="F898" s="183"/>
      <c r="G898" s="171"/>
      <c r="H898" s="171"/>
      <c r="M898" s="143"/>
      <c r="N898" s="147"/>
      <c r="O898" s="147"/>
      <c r="P898" s="147"/>
      <c r="Q898" s="147"/>
      <c r="R898" s="148"/>
      <c r="S898" s="148"/>
    </row>
    <row r="899">
      <c r="A899" s="143"/>
      <c r="B899" s="143"/>
      <c r="C899" s="182"/>
      <c r="D899" s="147"/>
      <c r="E899" s="147"/>
      <c r="F899" s="183"/>
      <c r="G899" s="171"/>
      <c r="H899" s="171"/>
      <c r="M899" s="143"/>
      <c r="N899" s="147"/>
      <c r="O899" s="147"/>
      <c r="P899" s="147"/>
      <c r="Q899" s="147"/>
      <c r="R899" s="148"/>
      <c r="S899" s="148"/>
    </row>
    <row r="900">
      <c r="A900" s="143"/>
      <c r="B900" s="143"/>
      <c r="C900" s="182"/>
      <c r="D900" s="147"/>
      <c r="E900" s="147"/>
      <c r="F900" s="183"/>
      <c r="G900" s="171"/>
      <c r="H900" s="171"/>
      <c r="M900" s="143"/>
      <c r="N900" s="147"/>
      <c r="O900" s="147"/>
      <c r="P900" s="147"/>
      <c r="Q900" s="147"/>
      <c r="R900" s="148"/>
      <c r="S900" s="148"/>
    </row>
    <row r="901">
      <c r="A901" s="143"/>
      <c r="B901" s="143"/>
      <c r="C901" s="182"/>
      <c r="D901" s="147"/>
      <c r="E901" s="147"/>
      <c r="F901" s="183"/>
      <c r="G901" s="171"/>
      <c r="H901" s="171"/>
      <c r="M901" s="143"/>
      <c r="N901" s="147"/>
      <c r="O901" s="147"/>
      <c r="P901" s="147"/>
      <c r="Q901" s="147"/>
      <c r="R901" s="148"/>
      <c r="S901" s="148"/>
    </row>
    <row r="902">
      <c r="A902" s="143"/>
      <c r="B902" s="143"/>
      <c r="C902" s="182"/>
      <c r="D902" s="147"/>
      <c r="E902" s="147"/>
      <c r="F902" s="183"/>
      <c r="G902" s="171"/>
      <c r="H902" s="171"/>
      <c r="M902" s="143"/>
      <c r="N902" s="147"/>
      <c r="O902" s="147"/>
      <c r="P902" s="147"/>
      <c r="Q902" s="147"/>
      <c r="R902" s="148"/>
      <c r="S902" s="148"/>
    </row>
    <row r="903">
      <c r="A903" s="143"/>
      <c r="B903" s="143"/>
      <c r="C903" s="182"/>
      <c r="D903" s="147"/>
      <c r="E903" s="147"/>
      <c r="F903" s="183"/>
      <c r="G903" s="171"/>
      <c r="H903" s="171"/>
      <c r="M903" s="143"/>
      <c r="N903" s="147"/>
      <c r="O903" s="147"/>
      <c r="P903" s="147"/>
      <c r="Q903" s="147"/>
      <c r="R903" s="148"/>
      <c r="S903" s="148"/>
    </row>
    <row r="904">
      <c r="A904" s="143"/>
      <c r="B904" s="143"/>
      <c r="C904" s="182"/>
      <c r="D904" s="147"/>
      <c r="E904" s="147"/>
      <c r="F904" s="183"/>
      <c r="G904" s="171"/>
      <c r="H904" s="171"/>
      <c r="M904" s="143"/>
      <c r="N904" s="147"/>
      <c r="O904" s="147"/>
      <c r="P904" s="147"/>
      <c r="Q904" s="147"/>
      <c r="R904" s="148"/>
      <c r="S904" s="148"/>
    </row>
    <row r="905">
      <c r="A905" s="143"/>
      <c r="B905" s="143"/>
      <c r="C905" s="182"/>
      <c r="D905" s="147"/>
      <c r="E905" s="147"/>
      <c r="F905" s="183"/>
      <c r="G905" s="171"/>
      <c r="H905" s="171"/>
      <c r="M905" s="143"/>
      <c r="N905" s="147"/>
      <c r="O905" s="147"/>
      <c r="P905" s="147"/>
      <c r="Q905" s="147"/>
      <c r="R905" s="148"/>
      <c r="S905" s="148"/>
    </row>
    <row r="906">
      <c r="A906" s="143"/>
      <c r="B906" s="143"/>
      <c r="C906" s="182"/>
      <c r="D906" s="147"/>
      <c r="E906" s="147"/>
      <c r="F906" s="183"/>
      <c r="G906" s="171"/>
      <c r="H906" s="171"/>
      <c r="M906" s="143"/>
      <c r="N906" s="147"/>
      <c r="O906" s="147"/>
      <c r="P906" s="147"/>
      <c r="Q906" s="147"/>
      <c r="R906" s="148"/>
      <c r="S906" s="148"/>
    </row>
    <row r="907">
      <c r="A907" s="143"/>
      <c r="B907" s="143"/>
      <c r="C907" s="182"/>
      <c r="D907" s="147"/>
      <c r="E907" s="147"/>
      <c r="F907" s="183"/>
      <c r="G907" s="171"/>
      <c r="H907" s="171"/>
      <c r="M907" s="143"/>
      <c r="N907" s="147"/>
      <c r="O907" s="147"/>
      <c r="P907" s="147"/>
      <c r="Q907" s="147"/>
      <c r="R907" s="148"/>
      <c r="S907" s="148"/>
    </row>
    <row r="908">
      <c r="A908" s="143"/>
      <c r="B908" s="143"/>
      <c r="C908" s="182"/>
      <c r="D908" s="147"/>
      <c r="E908" s="147"/>
      <c r="F908" s="183"/>
      <c r="G908" s="171"/>
      <c r="H908" s="171"/>
      <c r="M908" s="143"/>
      <c r="N908" s="147"/>
      <c r="O908" s="147"/>
      <c r="P908" s="147"/>
      <c r="Q908" s="147"/>
      <c r="R908" s="148"/>
      <c r="S908" s="148"/>
    </row>
    <row r="909">
      <c r="A909" s="143"/>
      <c r="B909" s="143"/>
      <c r="C909" s="182"/>
      <c r="D909" s="147"/>
      <c r="E909" s="147"/>
      <c r="F909" s="183"/>
      <c r="G909" s="171"/>
      <c r="H909" s="171"/>
      <c r="M909" s="143"/>
      <c r="N909" s="147"/>
      <c r="O909" s="147"/>
      <c r="P909" s="147"/>
      <c r="Q909" s="147"/>
      <c r="R909" s="148"/>
      <c r="S909" s="148"/>
    </row>
    <row r="910">
      <c r="A910" s="143"/>
      <c r="B910" s="143"/>
      <c r="C910" s="182"/>
      <c r="D910" s="147"/>
      <c r="E910" s="147"/>
      <c r="F910" s="183"/>
      <c r="G910" s="171"/>
      <c r="H910" s="171"/>
      <c r="M910" s="143"/>
      <c r="N910" s="147"/>
      <c r="O910" s="147"/>
      <c r="P910" s="147"/>
      <c r="Q910" s="147"/>
      <c r="R910" s="148"/>
      <c r="S910" s="148"/>
    </row>
    <row r="911">
      <c r="A911" s="143"/>
      <c r="B911" s="143"/>
      <c r="C911" s="182"/>
      <c r="D911" s="147"/>
      <c r="E911" s="147"/>
      <c r="F911" s="183"/>
      <c r="G911" s="171"/>
      <c r="H911" s="171"/>
      <c r="M911" s="143"/>
      <c r="N911" s="147"/>
      <c r="O911" s="147"/>
      <c r="P911" s="147"/>
      <c r="Q911" s="147"/>
      <c r="R911" s="148"/>
      <c r="S911" s="148"/>
    </row>
    <row r="912">
      <c r="A912" s="143"/>
      <c r="B912" s="143"/>
      <c r="C912" s="182"/>
      <c r="D912" s="147"/>
      <c r="E912" s="147"/>
      <c r="F912" s="183"/>
      <c r="G912" s="171"/>
      <c r="H912" s="171"/>
      <c r="M912" s="143"/>
      <c r="N912" s="147"/>
      <c r="O912" s="147"/>
      <c r="P912" s="147"/>
      <c r="Q912" s="147"/>
      <c r="R912" s="148"/>
      <c r="S912" s="148"/>
    </row>
    <row r="913">
      <c r="A913" s="143"/>
      <c r="B913" s="143"/>
      <c r="C913" s="182"/>
      <c r="D913" s="147"/>
      <c r="E913" s="147"/>
      <c r="F913" s="183"/>
      <c r="G913" s="171"/>
      <c r="H913" s="171"/>
      <c r="M913" s="143"/>
      <c r="N913" s="147"/>
      <c r="O913" s="147"/>
      <c r="P913" s="147"/>
      <c r="Q913" s="147"/>
      <c r="R913" s="148"/>
      <c r="S913" s="148"/>
    </row>
    <row r="914">
      <c r="A914" s="143"/>
      <c r="B914" s="143"/>
      <c r="C914" s="182"/>
      <c r="D914" s="147"/>
      <c r="E914" s="147"/>
      <c r="F914" s="183"/>
      <c r="G914" s="171"/>
      <c r="H914" s="171"/>
      <c r="M914" s="143"/>
      <c r="N914" s="147"/>
      <c r="O914" s="147"/>
      <c r="P914" s="147"/>
      <c r="Q914" s="147"/>
      <c r="R914" s="148"/>
      <c r="S914" s="148"/>
    </row>
    <row r="915">
      <c r="A915" s="143"/>
      <c r="B915" s="143"/>
      <c r="C915" s="182"/>
      <c r="D915" s="147"/>
      <c r="E915" s="147"/>
      <c r="F915" s="183"/>
      <c r="G915" s="171"/>
      <c r="H915" s="171"/>
      <c r="M915" s="143"/>
      <c r="N915" s="147"/>
      <c r="O915" s="147"/>
      <c r="P915" s="147"/>
      <c r="Q915" s="147"/>
      <c r="R915" s="148"/>
      <c r="S915" s="148"/>
    </row>
    <row r="916">
      <c r="A916" s="143"/>
      <c r="B916" s="143"/>
      <c r="C916" s="182"/>
      <c r="D916" s="147"/>
      <c r="E916" s="147"/>
      <c r="F916" s="183"/>
      <c r="G916" s="171"/>
      <c r="H916" s="171"/>
      <c r="M916" s="143"/>
      <c r="N916" s="147"/>
      <c r="O916" s="147"/>
      <c r="P916" s="147"/>
      <c r="Q916" s="147"/>
      <c r="R916" s="148"/>
      <c r="S916" s="148"/>
    </row>
    <row r="917">
      <c r="A917" s="143"/>
      <c r="B917" s="143"/>
      <c r="C917" s="182"/>
      <c r="D917" s="147"/>
      <c r="E917" s="147"/>
      <c r="F917" s="183"/>
      <c r="G917" s="171"/>
      <c r="H917" s="171"/>
      <c r="M917" s="143"/>
      <c r="N917" s="147"/>
      <c r="O917" s="147"/>
      <c r="P917" s="147"/>
      <c r="Q917" s="147"/>
      <c r="R917" s="148"/>
      <c r="S917" s="148"/>
    </row>
    <row r="918">
      <c r="A918" s="143"/>
      <c r="B918" s="143"/>
      <c r="C918" s="182"/>
      <c r="D918" s="147"/>
      <c r="E918" s="147"/>
      <c r="F918" s="183"/>
      <c r="G918" s="171"/>
      <c r="H918" s="171"/>
      <c r="M918" s="143"/>
      <c r="N918" s="147"/>
      <c r="O918" s="147"/>
      <c r="P918" s="147"/>
      <c r="Q918" s="147"/>
      <c r="R918" s="148"/>
      <c r="S918" s="148"/>
    </row>
    <row r="919">
      <c r="A919" s="143"/>
      <c r="B919" s="143"/>
      <c r="C919" s="182"/>
      <c r="D919" s="147"/>
      <c r="E919" s="147"/>
      <c r="F919" s="183"/>
      <c r="G919" s="171"/>
      <c r="H919" s="171"/>
      <c r="M919" s="143"/>
      <c r="N919" s="147"/>
      <c r="O919" s="147"/>
      <c r="P919" s="147"/>
      <c r="Q919" s="147"/>
      <c r="R919" s="148"/>
      <c r="S919" s="148"/>
    </row>
    <row r="920">
      <c r="A920" s="143"/>
      <c r="B920" s="143"/>
      <c r="C920" s="182"/>
      <c r="D920" s="147"/>
      <c r="E920" s="147"/>
      <c r="F920" s="183"/>
      <c r="G920" s="171"/>
      <c r="H920" s="171"/>
      <c r="M920" s="143"/>
      <c r="N920" s="147"/>
      <c r="O920" s="147"/>
      <c r="P920" s="147"/>
      <c r="Q920" s="147"/>
      <c r="R920" s="148"/>
      <c r="S920" s="148"/>
    </row>
    <row r="921">
      <c r="A921" s="143"/>
      <c r="B921" s="143"/>
      <c r="C921" s="182"/>
      <c r="D921" s="147"/>
      <c r="E921" s="147"/>
      <c r="F921" s="183"/>
      <c r="G921" s="171"/>
      <c r="H921" s="171"/>
      <c r="M921" s="143"/>
      <c r="N921" s="147"/>
      <c r="O921" s="147"/>
      <c r="P921" s="147"/>
      <c r="Q921" s="147"/>
      <c r="R921" s="148"/>
      <c r="S921" s="148"/>
    </row>
    <row r="922">
      <c r="A922" s="143"/>
      <c r="B922" s="143"/>
      <c r="C922" s="182"/>
      <c r="D922" s="147"/>
      <c r="E922" s="147"/>
      <c r="F922" s="183"/>
      <c r="G922" s="171"/>
      <c r="H922" s="171"/>
      <c r="M922" s="143"/>
      <c r="N922" s="147"/>
      <c r="O922" s="147"/>
      <c r="P922" s="147"/>
      <c r="Q922" s="147"/>
      <c r="R922" s="148"/>
      <c r="S922" s="148"/>
    </row>
    <row r="923">
      <c r="A923" s="143"/>
      <c r="B923" s="143"/>
      <c r="C923" s="182"/>
      <c r="D923" s="147"/>
      <c r="E923" s="147"/>
      <c r="F923" s="183"/>
      <c r="G923" s="171"/>
      <c r="H923" s="171"/>
      <c r="M923" s="143"/>
      <c r="N923" s="147"/>
      <c r="O923" s="147"/>
      <c r="P923" s="147"/>
      <c r="Q923" s="147"/>
      <c r="R923" s="148"/>
      <c r="S923" s="148"/>
    </row>
    <row r="924">
      <c r="A924" s="143"/>
      <c r="B924" s="143"/>
      <c r="C924" s="182"/>
      <c r="D924" s="147"/>
      <c r="E924" s="147"/>
      <c r="F924" s="183"/>
      <c r="G924" s="171"/>
      <c r="H924" s="171"/>
      <c r="M924" s="143"/>
      <c r="N924" s="147"/>
      <c r="O924" s="147"/>
      <c r="P924" s="147"/>
      <c r="Q924" s="147"/>
      <c r="R924" s="148"/>
      <c r="S924" s="148"/>
    </row>
    <row r="925">
      <c r="A925" s="143"/>
      <c r="B925" s="143"/>
      <c r="C925" s="182"/>
      <c r="D925" s="147"/>
      <c r="E925" s="147"/>
      <c r="F925" s="183"/>
      <c r="G925" s="171"/>
      <c r="H925" s="171"/>
      <c r="M925" s="143"/>
      <c r="N925" s="147"/>
      <c r="O925" s="147"/>
      <c r="P925" s="147"/>
      <c r="Q925" s="147"/>
      <c r="R925" s="148"/>
      <c r="S925" s="148"/>
    </row>
    <row r="926">
      <c r="A926" s="143"/>
      <c r="B926" s="143"/>
      <c r="C926" s="182"/>
      <c r="D926" s="147"/>
      <c r="E926" s="147"/>
      <c r="F926" s="183"/>
      <c r="G926" s="171"/>
      <c r="H926" s="171"/>
      <c r="M926" s="143"/>
      <c r="N926" s="147"/>
      <c r="O926" s="147"/>
      <c r="P926" s="147"/>
      <c r="Q926" s="147"/>
      <c r="R926" s="148"/>
      <c r="S926" s="148"/>
    </row>
    <row r="927">
      <c r="A927" s="143"/>
      <c r="B927" s="143"/>
      <c r="C927" s="182"/>
      <c r="D927" s="147"/>
      <c r="E927" s="147"/>
      <c r="F927" s="183"/>
      <c r="G927" s="171"/>
      <c r="H927" s="171"/>
      <c r="M927" s="143"/>
      <c r="N927" s="147"/>
      <c r="O927" s="147"/>
      <c r="P927" s="147"/>
      <c r="Q927" s="147"/>
      <c r="R927" s="148"/>
      <c r="S927" s="148"/>
    </row>
    <row r="928">
      <c r="A928" s="143"/>
      <c r="B928" s="143"/>
      <c r="C928" s="182"/>
      <c r="D928" s="147"/>
      <c r="E928" s="147"/>
      <c r="F928" s="183"/>
      <c r="G928" s="171"/>
      <c r="H928" s="171"/>
      <c r="M928" s="143"/>
      <c r="N928" s="147"/>
      <c r="O928" s="147"/>
      <c r="P928" s="147"/>
      <c r="Q928" s="147"/>
      <c r="R928" s="148"/>
      <c r="S928" s="148"/>
    </row>
    <row r="929">
      <c r="A929" s="143"/>
      <c r="B929" s="143"/>
      <c r="C929" s="182"/>
      <c r="D929" s="147"/>
      <c r="E929" s="147"/>
      <c r="F929" s="183"/>
      <c r="G929" s="171"/>
      <c r="H929" s="171"/>
      <c r="M929" s="143"/>
      <c r="N929" s="147"/>
      <c r="O929" s="147"/>
      <c r="P929" s="147"/>
      <c r="Q929" s="147"/>
      <c r="R929" s="148"/>
      <c r="S929" s="148"/>
    </row>
    <row r="930">
      <c r="A930" s="143"/>
      <c r="B930" s="143"/>
      <c r="C930" s="182"/>
      <c r="D930" s="147"/>
      <c r="E930" s="147"/>
      <c r="F930" s="183"/>
      <c r="G930" s="171"/>
      <c r="H930" s="171"/>
      <c r="M930" s="143"/>
      <c r="N930" s="147"/>
      <c r="O930" s="147"/>
      <c r="P930" s="147"/>
      <c r="Q930" s="147"/>
      <c r="R930" s="148"/>
      <c r="S930" s="148"/>
    </row>
    <row r="931">
      <c r="A931" s="143"/>
      <c r="B931" s="143"/>
      <c r="C931" s="182"/>
      <c r="D931" s="147"/>
      <c r="E931" s="147"/>
      <c r="F931" s="183"/>
      <c r="G931" s="171"/>
      <c r="H931" s="171"/>
      <c r="M931" s="143"/>
      <c r="N931" s="147"/>
      <c r="O931" s="147"/>
      <c r="P931" s="147"/>
      <c r="Q931" s="147"/>
      <c r="R931" s="148"/>
      <c r="S931" s="148"/>
    </row>
    <row r="932">
      <c r="A932" s="143"/>
      <c r="B932" s="143"/>
      <c r="C932" s="182"/>
      <c r="D932" s="147"/>
      <c r="E932" s="147"/>
      <c r="F932" s="183"/>
      <c r="G932" s="171"/>
      <c r="H932" s="171"/>
      <c r="M932" s="143"/>
      <c r="N932" s="147"/>
      <c r="O932" s="147"/>
      <c r="P932" s="147"/>
      <c r="Q932" s="147"/>
      <c r="R932" s="148"/>
      <c r="S932" s="148"/>
    </row>
    <row r="933">
      <c r="A933" s="143"/>
      <c r="B933" s="143"/>
      <c r="C933" s="182"/>
      <c r="D933" s="147"/>
      <c r="E933" s="147"/>
      <c r="F933" s="183"/>
      <c r="G933" s="171"/>
      <c r="H933" s="171"/>
      <c r="M933" s="143"/>
      <c r="N933" s="147"/>
      <c r="O933" s="147"/>
      <c r="P933" s="147"/>
      <c r="Q933" s="147"/>
      <c r="R933" s="148"/>
      <c r="S933" s="148"/>
    </row>
    <row r="934">
      <c r="A934" s="143"/>
      <c r="B934" s="143"/>
      <c r="C934" s="182"/>
      <c r="D934" s="147"/>
      <c r="E934" s="147"/>
      <c r="F934" s="183"/>
      <c r="G934" s="171"/>
      <c r="H934" s="171"/>
      <c r="M934" s="143"/>
      <c r="N934" s="147"/>
      <c r="O934" s="147"/>
      <c r="P934" s="147"/>
      <c r="Q934" s="147"/>
      <c r="R934" s="148"/>
      <c r="S934" s="148"/>
    </row>
    <row r="935">
      <c r="A935" s="143"/>
      <c r="B935" s="143"/>
      <c r="C935" s="182"/>
      <c r="D935" s="147"/>
      <c r="E935" s="147"/>
      <c r="F935" s="183"/>
      <c r="G935" s="171"/>
      <c r="H935" s="171"/>
      <c r="M935" s="143"/>
      <c r="N935" s="147"/>
      <c r="O935" s="147"/>
      <c r="P935" s="147"/>
      <c r="Q935" s="147"/>
      <c r="R935" s="148"/>
      <c r="S935" s="148"/>
    </row>
    <row r="936">
      <c r="A936" s="143"/>
      <c r="B936" s="143"/>
      <c r="C936" s="182"/>
      <c r="D936" s="147"/>
      <c r="E936" s="147"/>
      <c r="F936" s="183"/>
      <c r="G936" s="171"/>
      <c r="H936" s="171"/>
      <c r="M936" s="143"/>
      <c r="N936" s="147"/>
      <c r="O936" s="147"/>
      <c r="P936" s="147"/>
      <c r="Q936" s="147"/>
      <c r="R936" s="148"/>
      <c r="S936" s="148"/>
    </row>
    <row r="937">
      <c r="A937" s="143"/>
      <c r="B937" s="143"/>
      <c r="C937" s="182"/>
      <c r="D937" s="147"/>
      <c r="E937" s="147"/>
      <c r="F937" s="183"/>
      <c r="G937" s="171"/>
      <c r="H937" s="171"/>
      <c r="M937" s="143"/>
      <c r="N937" s="147"/>
      <c r="O937" s="147"/>
      <c r="P937" s="147"/>
      <c r="Q937" s="147"/>
      <c r="R937" s="148"/>
      <c r="S937" s="148"/>
    </row>
    <row r="938">
      <c r="A938" s="143"/>
      <c r="B938" s="143"/>
      <c r="C938" s="182"/>
      <c r="D938" s="147"/>
      <c r="E938" s="147"/>
      <c r="F938" s="183"/>
      <c r="G938" s="171"/>
      <c r="H938" s="171"/>
      <c r="M938" s="143"/>
      <c r="N938" s="147"/>
      <c r="O938" s="147"/>
      <c r="P938" s="147"/>
      <c r="Q938" s="147"/>
      <c r="R938" s="148"/>
      <c r="S938" s="148"/>
    </row>
    <row r="939">
      <c r="A939" s="143"/>
      <c r="B939" s="143"/>
      <c r="C939" s="182"/>
      <c r="D939" s="147"/>
      <c r="E939" s="147"/>
      <c r="F939" s="183"/>
      <c r="G939" s="171"/>
      <c r="H939" s="171"/>
      <c r="M939" s="143"/>
      <c r="N939" s="147"/>
      <c r="O939" s="147"/>
      <c r="P939" s="147"/>
      <c r="Q939" s="147"/>
      <c r="R939" s="148"/>
      <c r="S939" s="148"/>
    </row>
    <row r="940">
      <c r="A940" s="143"/>
      <c r="B940" s="143"/>
      <c r="C940" s="182"/>
      <c r="D940" s="147"/>
      <c r="E940" s="147"/>
      <c r="F940" s="183"/>
      <c r="G940" s="171"/>
      <c r="H940" s="171"/>
      <c r="M940" s="143"/>
      <c r="N940" s="147"/>
      <c r="O940" s="147"/>
      <c r="P940" s="147"/>
      <c r="Q940" s="147"/>
      <c r="R940" s="148"/>
      <c r="S940" s="148"/>
    </row>
    <row r="941">
      <c r="A941" s="143"/>
      <c r="B941" s="143"/>
      <c r="C941" s="182"/>
      <c r="D941" s="147"/>
      <c r="E941" s="147"/>
      <c r="F941" s="183"/>
      <c r="G941" s="171"/>
      <c r="H941" s="171"/>
      <c r="M941" s="143"/>
      <c r="N941" s="147"/>
      <c r="O941" s="147"/>
      <c r="P941" s="147"/>
      <c r="Q941" s="147"/>
      <c r="R941" s="148"/>
      <c r="S941" s="148"/>
    </row>
    <row r="942">
      <c r="A942" s="143"/>
      <c r="B942" s="143"/>
      <c r="C942" s="182"/>
      <c r="D942" s="147"/>
      <c r="E942" s="147"/>
      <c r="F942" s="183"/>
      <c r="G942" s="171"/>
      <c r="H942" s="171"/>
      <c r="M942" s="143"/>
      <c r="N942" s="147"/>
      <c r="O942" s="147"/>
      <c r="P942" s="147"/>
      <c r="Q942" s="147"/>
      <c r="R942" s="148"/>
      <c r="S942" s="148"/>
    </row>
    <row r="943">
      <c r="A943" s="143"/>
      <c r="B943" s="143"/>
      <c r="C943" s="182"/>
      <c r="D943" s="147"/>
      <c r="E943" s="147"/>
      <c r="F943" s="183"/>
      <c r="G943" s="171"/>
      <c r="H943" s="171"/>
      <c r="M943" s="143"/>
      <c r="N943" s="147"/>
      <c r="O943" s="147"/>
      <c r="P943" s="147"/>
      <c r="Q943" s="147"/>
      <c r="R943" s="148"/>
      <c r="S943" s="148"/>
    </row>
    <row r="944">
      <c r="A944" s="143"/>
      <c r="B944" s="143"/>
      <c r="C944" s="182"/>
      <c r="D944" s="147"/>
      <c r="E944" s="147"/>
      <c r="F944" s="183"/>
      <c r="G944" s="171"/>
      <c r="H944" s="171"/>
      <c r="M944" s="143"/>
      <c r="N944" s="147"/>
      <c r="O944" s="147"/>
      <c r="P944" s="147"/>
      <c r="Q944" s="147"/>
      <c r="R944" s="148"/>
      <c r="S944" s="148"/>
    </row>
    <row r="945">
      <c r="A945" s="143"/>
      <c r="B945" s="143"/>
      <c r="C945" s="182"/>
      <c r="D945" s="147"/>
      <c r="E945" s="147"/>
      <c r="F945" s="183"/>
      <c r="G945" s="171"/>
      <c r="H945" s="171"/>
      <c r="M945" s="143"/>
      <c r="N945" s="147"/>
      <c r="O945" s="147"/>
      <c r="P945" s="147"/>
      <c r="Q945" s="147"/>
      <c r="R945" s="148"/>
      <c r="S945" s="148"/>
    </row>
    <row r="946">
      <c r="A946" s="143"/>
      <c r="B946" s="143"/>
      <c r="C946" s="182"/>
      <c r="D946" s="147"/>
      <c r="E946" s="147"/>
      <c r="F946" s="183"/>
      <c r="G946" s="171"/>
      <c r="H946" s="171"/>
      <c r="M946" s="143"/>
      <c r="N946" s="147"/>
      <c r="O946" s="147"/>
      <c r="P946" s="147"/>
      <c r="Q946" s="147"/>
      <c r="R946" s="148"/>
      <c r="S946" s="148"/>
    </row>
    <row r="947">
      <c r="A947" s="143"/>
      <c r="B947" s="143"/>
      <c r="C947" s="182"/>
      <c r="D947" s="147"/>
      <c r="E947" s="147"/>
      <c r="F947" s="183"/>
      <c r="G947" s="171"/>
      <c r="H947" s="171"/>
      <c r="M947" s="143"/>
      <c r="N947" s="147"/>
      <c r="O947" s="147"/>
      <c r="P947" s="147"/>
      <c r="Q947" s="147"/>
      <c r="R947" s="148"/>
      <c r="S947" s="148"/>
    </row>
    <row r="948">
      <c r="A948" s="143"/>
      <c r="B948" s="143"/>
      <c r="C948" s="182"/>
      <c r="D948" s="147"/>
      <c r="E948" s="147"/>
      <c r="F948" s="183"/>
      <c r="G948" s="171"/>
      <c r="H948" s="171"/>
      <c r="M948" s="143"/>
      <c r="N948" s="147"/>
      <c r="O948" s="147"/>
      <c r="P948" s="147"/>
      <c r="Q948" s="147"/>
      <c r="R948" s="148"/>
      <c r="S948" s="148"/>
    </row>
    <row r="949">
      <c r="A949" s="143"/>
      <c r="B949" s="143"/>
      <c r="C949" s="182"/>
      <c r="D949" s="147"/>
      <c r="E949" s="147"/>
      <c r="F949" s="183"/>
      <c r="G949" s="171"/>
      <c r="H949" s="171"/>
      <c r="M949" s="143"/>
      <c r="N949" s="147"/>
      <c r="O949" s="147"/>
      <c r="P949" s="147"/>
      <c r="Q949" s="147"/>
      <c r="R949" s="148"/>
      <c r="S949" s="148"/>
    </row>
    <row r="950">
      <c r="A950" s="143"/>
      <c r="B950" s="143"/>
      <c r="C950" s="182"/>
      <c r="D950" s="147"/>
      <c r="E950" s="147"/>
      <c r="F950" s="183"/>
      <c r="G950" s="171"/>
      <c r="H950" s="171"/>
      <c r="M950" s="143"/>
      <c r="N950" s="147"/>
      <c r="O950" s="147"/>
      <c r="P950" s="147"/>
      <c r="Q950" s="147"/>
      <c r="R950" s="148"/>
      <c r="S950" s="148"/>
    </row>
    <row r="951">
      <c r="A951" s="143"/>
      <c r="B951" s="143"/>
      <c r="C951" s="182"/>
      <c r="D951" s="147"/>
      <c r="E951" s="147"/>
      <c r="F951" s="183"/>
      <c r="G951" s="171"/>
      <c r="H951" s="171"/>
      <c r="M951" s="143"/>
      <c r="N951" s="147"/>
      <c r="O951" s="147"/>
      <c r="P951" s="147"/>
      <c r="Q951" s="147"/>
      <c r="R951" s="148"/>
      <c r="S951" s="148"/>
    </row>
    <row r="952">
      <c r="A952" s="143"/>
      <c r="B952" s="143"/>
      <c r="C952" s="182"/>
      <c r="D952" s="147"/>
      <c r="E952" s="147"/>
      <c r="F952" s="183"/>
      <c r="G952" s="171"/>
      <c r="H952" s="171"/>
      <c r="M952" s="143"/>
      <c r="N952" s="147"/>
      <c r="O952" s="147"/>
      <c r="P952" s="147"/>
      <c r="Q952" s="147"/>
      <c r="R952" s="148"/>
      <c r="S952" s="148"/>
    </row>
    <row r="953">
      <c r="A953" s="143"/>
      <c r="B953" s="143"/>
      <c r="C953" s="182"/>
      <c r="D953" s="147"/>
      <c r="E953" s="147"/>
      <c r="F953" s="183"/>
      <c r="G953" s="171"/>
      <c r="H953" s="171"/>
      <c r="M953" s="143"/>
      <c r="N953" s="147"/>
      <c r="O953" s="147"/>
      <c r="P953" s="147"/>
      <c r="Q953" s="147"/>
      <c r="R953" s="148"/>
      <c r="S953" s="148"/>
    </row>
    <row r="954">
      <c r="A954" s="143"/>
      <c r="B954" s="143"/>
      <c r="C954" s="182"/>
      <c r="D954" s="147"/>
      <c r="E954" s="147"/>
      <c r="F954" s="183"/>
      <c r="G954" s="171"/>
      <c r="H954" s="171"/>
      <c r="M954" s="143"/>
      <c r="N954" s="147"/>
      <c r="O954" s="147"/>
      <c r="P954" s="147"/>
      <c r="Q954" s="147"/>
      <c r="R954" s="148"/>
      <c r="S954" s="148"/>
    </row>
    <row r="955">
      <c r="A955" s="143"/>
      <c r="B955" s="143"/>
      <c r="C955" s="182"/>
      <c r="D955" s="147"/>
      <c r="E955" s="147"/>
      <c r="F955" s="183"/>
      <c r="G955" s="171"/>
      <c r="H955" s="171"/>
      <c r="M955" s="143"/>
      <c r="N955" s="147"/>
      <c r="O955" s="147"/>
      <c r="P955" s="147"/>
      <c r="Q955" s="147"/>
      <c r="R955" s="148"/>
      <c r="S955" s="148"/>
    </row>
    <row r="956">
      <c r="A956" s="143"/>
      <c r="B956" s="143"/>
      <c r="C956" s="182"/>
      <c r="D956" s="147"/>
      <c r="E956" s="147"/>
      <c r="F956" s="183"/>
      <c r="G956" s="171"/>
      <c r="H956" s="171"/>
      <c r="M956" s="143"/>
      <c r="N956" s="147"/>
      <c r="O956" s="147"/>
      <c r="P956" s="147"/>
      <c r="Q956" s="147"/>
      <c r="R956" s="148"/>
      <c r="S956" s="148"/>
    </row>
    <row r="957">
      <c r="A957" s="143"/>
      <c r="B957" s="143"/>
      <c r="C957" s="182"/>
      <c r="D957" s="147"/>
      <c r="E957" s="147"/>
      <c r="F957" s="183"/>
      <c r="G957" s="171"/>
      <c r="H957" s="171"/>
      <c r="M957" s="143"/>
      <c r="N957" s="147"/>
      <c r="O957" s="147"/>
      <c r="P957" s="147"/>
      <c r="Q957" s="147"/>
      <c r="R957" s="148"/>
      <c r="S957" s="148"/>
    </row>
    <row r="958">
      <c r="A958" s="143"/>
      <c r="B958" s="143"/>
      <c r="C958" s="182"/>
      <c r="D958" s="147"/>
      <c r="E958" s="147"/>
      <c r="F958" s="183"/>
      <c r="G958" s="171"/>
      <c r="H958" s="171"/>
      <c r="M958" s="143"/>
      <c r="N958" s="147"/>
      <c r="O958" s="147"/>
      <c r="P958" s="147"/>
      <c r="Q958" s="147"/>
      <c r="R958" s="148"/>
      <c r="S958" s="148"/>
    </row>
    <row r="959">
      <c r="A959" s="143"/>
      <c r="B959" s="143"/>
      <c r="C959" s="182"/>
      <c r="D959" s="147"/>
      <c r="E959" s="147"/>
      <c r="F959" s="183"/>
      <c r="G959" s="171"/>
      <c r="H959" s="171"/>
      <c r="M959" s="143"/>
      <c r="N959" s="147"/>
      <c r="O959" s="147"/>
      <c r="P959" s="147"/>
      <c r="Q959" s="147"/>
      <c r="R959" s="148"/>
      <c r="S959" s="148"/>
    </row>
    <row r="960">
      <c r="A960" s="143"/>
      <c r="B960" s="143"/>
      <c r="C960" s="182"/>
      <c r="D960" s="147"/>
      <c r="E960" s="147"/>
      <c r="F960" s="183"/>
      <c r="G960" s="171"/>
      <c r="H960" s="171"/>
      <c r="M960" s="143"/>
      <c r="N960" s="147"/>
      <c r="O960" s="147"/>
      <c r="P960" s="147"/>
      <c r="Q960" s="147"/>
      <c r="R960" s="148"/>
      <c r="S960" s="148"/>
    </row>
    <row r="961">
      <c r="A961" s="143"/>
      <c r="B961" s="143"/>
      <c r="C961" s="182"/>
      <c r="D961" s="147"/>
      <c r="E961" s="147"/>
      <c r="F961" s="183"/>
      <c r="G961" s="171"/>
      <c r="H961" s="171"/>
      <c r="M961" s="143"/>
      <c r="N961" s="147"/>
      <c r="O961" s="147"/>
      <c r="P961" s="147"/>
      <c r="Q961" s="147"/>
      <c r="R961" s="148"/>
      <c r="S961" s="148"/>
    </row>
    <row r="962">
      <c r="A962" s="143"/>
      <c r="B962" s="143"/>
      <c r="C962" s="182"/>
      <c r="D962" s="147"/>
      <c r="E962" s="147"/>
      <c r="F962" s="183"/>
      <c r="G962" s="171"/>
      <c r="H962" s="171"/>
      <c r="M962" s="143"/>
      <c r="N962" s="147"/>
      <c r="O962" s="147"/>
      <c r="P962" s="147"/>
      <c r="Q962" s="147"/>
      <c r="R962" s="148"/>
      <c r="S962" s="148"/>
    </row>
    <row r="963">
      <c r="A963" s="143"/>
      <c r="B963" s="143"/>
      <c r="C963" s="182"/>
      <c r="D963" s="147"/>
      <c r="E963" s="147"/>
      <c r="F963" s="183"/>
      <c r="G963" s="171"/>
      <c r="H963" s="171"/>
      <c r="M963" s="143"/>
      <c r="N963" s="147"/>
      <c r="O963" s="147"/>
      <c r="P963" s="147"/>
      <c r="Q963" s="147"/>
      <c r="R963" s="148"/>
      <c r="S963" s="148"/>
    </row>
    <row r="964">
      <c r="A964" s="143"/>
      <c r="B964" s="143"/>
      <c r="C964" s="182"/>
      <c r="D964" s="147"/>
      <c r="E964" s="147"/>
      <c r="F964" s="183"/>
      <c r="G964" s="171"/>
      <c r="H964" s="171"/>
      <c r="M964" s="143"/>
      <c r="N964" s="147"/>
      <c r="O964" s="147"/>
      <c r="P964" s="147"/>
      <c r="Q964" s="147"/>
      <c r="R964" s="148"/>
      <c r="S964" s="148"/>
    </row>
    <row r="965">
      <c r="A965" s="143"/>
      <c r="B965" s="143"/>
      <c r="C965" s="182"/>
      <c r="D965" s="147"/>
      <c r="E965" s="147"/>
      <c r="F965" s="183"/>
      <c r="G965" s="171"/>
      <c r="H965" s="171"/>
      <c r="M965" s="143"/>
      <c r="N965" s="147"/>
      <c r="O965" s="147"/>
      <c r="P965" s="147"/>
      <c r="Q965" s="147"/>
      <c r="R965" s="148"/>
      <c r="S965" s="148"/>
    </row>
    <row r="966">
      <c r="A966" s="143"/>
      <c r="B966" s="143"/>
      <c r="C966" s="182"/>
      <c r="D966" s="147"/>
      <c r="E966" s="147"/>
      <c r="F966" s="183"/>
      <c r="G966" s="171"/>
      <c r="H966" s="171"/>
      <c r="M966" s="143"/>
      <c r="N966" s="147"/>
      <c r="O966" s="147"/>
      <c r="P966" s="147"/>
      <c r="Q966" s="147"/>
      <c r="R966" s="148"/>
      <c r="S966" s="148"/>
    </row>
    <row r="967">
      <c r="A967" s="143"/>
      <c r="B967" s="143"/>
      <c r="C967" s="182"/>
      <c r="D967" s="147"/>
      <c r="E967" s="147"/>
      <c r="F967" s="183"/>
      <c r="G967" s="171"/>
      <c r="H967" s="171"/>
      <c r="M967" s="143"/>
      <c r="N967" s="147"/>
      <c r="O967" s="147"/>
      <c r="P967" s="147"/>
      <c r="Q967" s="147"/>
      <c r="R967" s="148"/>
      <c r="S967" s="148"/>
    </row>
    <row r="968">
      <c r="A968" s="143"/>
      <c r="B968" s="143"/>
      <c r="C968" s="182"/>
      <c r="D968" s="147"/>
      <c r="E968" s="147"/>
      <c r="F968" s="183"/>
      <c r="G968" s="171"/>
      <c r="H968" s="171"/>
      <c r="M968" s="143"/>
      <c r="N968" s="147"/>
      <c r="O968" s="147"/>
      <c r="P968" s="147"/>
      <c r="Q968" s="147"/>
      <c r="R968" s="148"/>
      <c r="S968" s="148"/>
    </row>
    <row r="969">
      <c r="A969" s="143"/>
      <c r="B969" s="143"/>
      <c r="C969" s="182"/>
      <c r="D969" s="147"/>
      <c r="E969" s="147"/>
      <c r="F969" s="183"/>
      <c r="G969" s="171"/>
      <c r="H969" s="171"/>
      <c r="M969" s="143"/>
      <c r="N969" s="147"/>
      <c r="O969" s="147"/>
      <c r="P969" s="147"/>
      <c r="Q969" s="147"/>
      <c r="R969" s="148"/>
      <c r="S969" s="148"/>
    </row>
    <row r="970">
      <c r="A970" s="143"/>
      <c r="B970" s="143"/>
      <c r="C970" s="182"/>
      <c r="D970" s="147"/>
      <c r="E970" s="147"/>
      <c r="F970" s="183"/>
      <c r="G970" s="171"/>
      <c r="H970" s="171"/>
      <c r="M970" s="143"/>
      <c r="N970" s="147"/>
      <c r="O970" s="147"/>
      <c r="P970" s="147"/>
      <c r="Q970" s="147"/>
      <c r="R970" s="148"/>
      <c r="S970" s="148"/>
    </row>
    <row r="971">
      <c r="A971" s="143"/>
      <c r="B971" s="143"/>
      <c r="C971" s="182"/>
      <c r="D971" s="147"/>
      <c r="E971" s="147"/>
      <c r="F971" s="183"/>
      <c r="G971" s="171"/>
      <c r="H971" s="171"/>
      <c r="M971" s="143"/>
      <c r="N971" s="147"/>
      <c r="O971" s="147"/>
      <c r="P971" s="147"/>
      <c r="Q971" s="147"/>
      <c r="R971" s="148"/>
      <c r="S971" s="148"/>
    </row>
    <row r="972">
      <c r="A972" s="143"/>
      <c r="B972" s="143"/>
      <c r="C972" s="182"/>
      <c r="D972" s="147"/>
      <c r="E972" s="147"/>
      <c r="F972" s="183"/>
      <c r="G972" s="171"/>
      <c r="H972" s="171"/>
      <c r="M972" s="143"/>
      <c r="N972" s="147"/>
      <c r="O972" s="147"/>
      <c r="P972" s="147"/>
      <c r="Q972" s="147"/>
      <c r="R972" s="148"/>
      <c r="S972" s="148"/>
    </row>
    <row r="973">
      <c r="A973" s="143"/>
      <c r="B973" s="143"/>
      <c r="C973" s="182"/>
      <c r="D973" s="147"/>
      <c r="E973" s="147"/>
      <c r="F973" s="183"/>
      <c r="G973" s="171"/>
      <c r="H973" s="171"/>
      <c r="M973" s="143"/>
      <c r="N973" s="147"/>
      <c r="O973" s="147"/>
      <c r="P973" s="147"/>
      <c r="Q973" s="147"/>
      <c r="R973" s="148"/>
      <c r="S973" s="148"/>
    </row>
    <row r="974">
      <c r="A974" s="143"/>
      <c r="B974" s="143"/>
      <c r="C974" s="182"/>
      <c r="D974" s="147"/>
      <c r="E974" s="147"/>
      <c r="F974" s="183"/>
      <c r="G974" s="171"/>
      <c r="H974" s="171"/>
      <c r="M974" s="143"/>
      <c r="N974" s="147"/>
      <c r="O974" s="147"/>
      <c r="P974" s="147"/>
      <c r="Q974" s="147"/>
      <c r="R974" s="148"/>
      <c r="S974" s="148"/>
    </row>
    <row r="975">
      <c r="A975" s="143"/>
      <c r="B975" s="143"/>
      <c r="C975" s="182"/>
      <c r="D975" s="147"/>
      <c r="E975" s="147"/>
      <c r="F975" s="183"/>
      <c r="G975" s="171"/>
      <c r="H975" s="171"/>
      <c r="M975" s="143"/>
      <c r="N975" s="147"/>
      <c r="O975" s="147"/>
      <c r="P975" s="147"/>
      <c r="Q975" s="147"/>
      <c r="R975" s="148"/>
      <c r="S975" s="148"/>
    </row>
    <row r="976">
      <c r="A976" s="143"/>
      <c r="B976" s="143"/>
      <c r="C976" s="182"/>
      <c r="D976" s="147"/>
      <c r="E976" s="147"/>
      <c r="F976" s="183"/>
      <c r="G976" s="171"/>
      <c r="H976" s="171"/>
      <c r="M976" s="143"/>
      <c r="N976" s="147"/>
      <c r="O976" s="147"/>
      <c r="P976" s="147"/>
      <c r="Q976" s="147"/>
      <c r="R976" s="148"/>
      <c r="S976" s="148"/>
    </row>
    <row r="977">
      <c r="A977" s="143"/>
      <c r="B977" s="143"/>
      <c r="C977" s="182"/>
      <c r="D977" s="147"/>
      <c r="E977" s="147"/>
      <c r="F977" s="183"/>
      <c r="G977" s="171"/>
      <c r="H977" s="171"/>
      <c r="M977" s="143"/>
      <c r="N977" s="147"/>
      <c r="O977" s="147"/>
      <c r="P977" s="147"/>
      <c r="Q977" s="147"/>
      <c r="R977" s="148"/>
      <c r="S977" s="148"/>
    </row>
    <row r="978">
      <c r="A978" s="143"/>
      <c r="B978" s="143"/>
      <c r="C978" s="182"/>
      <c r="D978" s="147"/>
      <c r="E978" s="147"/>
      <c r="F978" s="183"/>
      <c r="G978" s="171"/>
      <c r="H978" s="171"/>
      <c r="M978" s="143"/>
      <c r="N978" s="147"/>
      <c r="O978" s="147"/>
      <c r="P978" s="147"/>
      <c r="Q978" s="147"/>
      <c r="R978" s="148"/>
      <c r="S978" s="148"/>
    </row>
    <row r="979">
      <c r="A979" s="143"/>
      <c r="B979" s="143"/>
      <c r="C979" s="182"/>
      <c r="D979" s="147"/>
      <c r="E979" s="147"/>
      <c r="F979" s="183"/>
      <c r="G979" s="171"/>
      <c r="H979" s="171"/>
      <c r="M979" s="143"/>
      <c r="N979" s="147"/>
      <c r="O979" s="147"/>
      <c r="P979" s="147"/>
      <c r="Q979" s="147"/>
      <c r="R979" s="148"/>
      <c r="S979" s="148"/>
    </row>
    <row r="980">
      <c r="A980" s="143"/>
      <c r="B980" s="143"/>
      <c r="C980" s="182"/>
      <c r="D980" s="147"/>
      <c r="E980" s="147"/>
      <c r="F980" s="183"/>
      <c r="G980" s="171"/>
      <c r="H980" s="171"/>
      <c r="M980" s="143"/>
      <c r="N980" s="147"/>
      <c r="O980" s="147"/>
      <c r="P980" s="147"/>
      <c r="Q980" s="147"/>
      <c r="R980" s="148"/>
      <c r="S980" s="148"/>
    </row>
    <row r="981">
      <c r="A981" s="143"/>
      <c r="B981" s="143"/>
      <c r="C981" s="182"/>
      <c r="D981" s="147"/>
      <c r="E981" s="147"/>
      <c r="F981" s="183"/>
      <c r="G981" s="171"/>
      <c r="H981" s="171"/>
      <c r="M981" s="143"/>
      <c r="N981" s="147"/>
      <c r="O981" s="147"/>
      <c r="P981" s="147"/>
      <c r="Q981" s="147"/>
      <c r="R981" s="148"/>
      <c r="S981" s="148"/>
    </row>
    <row r="982">
      <c r="A982" s="143"/>
      <c r="B982" s="143"/>
      <c r="C982" s="182"/>
      <c r="D982" s="147"/>
      <c r="E982" s="147"/>
      <c r="F982" s="183"/>
      <c r="G982" s="171"/>
      <c r="H982" s="171"/>
      <c r="M982" s="143"/>
      <c r="N982" s="147"/>
      <c r="O982" s="147"/>
      <c r="P982" s="147"/>
      <c r="Q982" s="147"/>
      <c r="R982" s="148"/>
      <c r="S982" s="148"/>
    </row>
    <row r="983">
      <c r="A983" s="143"/>
      <c r="B983" s="143"/>
      <c r="C983" s="182"/>
      <c r="D983" s="147"/>
      <c r="E983" s="147"/>
      <c r="F983" s="183"/>
      <c r="G983" s="171"/>
      <c r="H983" s="171"/>
      <c r="M983" s="143"/>
      <c r="N983" s="147"/>
      <c r="O983" s="147"/>
      <c r="P983" s="147"/>
      <c r="Q983" s="147"/>
      <c r="R983" s="148"/>
      <c r="S983" s="148"/>
    </row>
    <row r="984">
      <c r="A984" s="143"/>
      <c r="B984" s="143"/>
      <c r="C984" s="182"/>
      <c r="D984" s="147"/>
      <c r="E984" s="147"/>
      <c r="F984" s="183"/>
      <c r="G984" s="171"/>
      <c r="H984" s="171"/>
      <c r="M984" s="143"/>
      <c r="N984" s="147"/>
      <c r="O984" s="147"/>
      <c r="P984" s="147"/>
      <c r="Q984" s="147"/>
      <c r="R984" s="148"/>
      <c r="S984" s="148"/>
    </row>
    <row r="985">
      <c r="A985" s="143"/>
      <c r="B985" s="143"/>
      <c r="C985" s="182"/>
      <c r="D985" s="147"/>
      <c r="E985" s="147"/>
      <c r="F985" s="183"/>
      <c r="G985" s="171"/>
      <c r="H985" s="171"/>
      <c r="M985" s="143"/>
      <c r="N985" s="147"/>
      <c r="O985" s="147"/>
      <c r="P985" s="147"/>
      <c r="Q985" s="147"/>
      <c r="R985" s="148"/>
      <c r="S985" s="148"/>
    </row>
    <row r="986">
      <c r="A986" s="143"/>
      <c r="B986" s="143"/>
      <c r="C986" s="182"/>
      <c r="D986" s="147"/>
      <c r="E986" s="147"/>
      <c r="F986" s="183"/>
      <c r="G986" s="171"/>
      <c r="H986" s="171"/>
      <c r="M986" s="143"/>
      <c r="N986" s="147"/>
      <c r="O986" s="147"/>
      <c r="P986" s="147"/>
      <c r="Q986" s="147"/>
      <c r="R986" s="148"/>
      <c r="S986" s="148"/>
    </row>
    <row r="987">
      <c r="A987" s="143"/>
      <c r="B987" s="143"/>
      <c r="C987" s="182"/>
      <c r="D987" s="147"/>
      <c r="E987" s="147"/>
      <c r="F987" s="183"/>
      <c r="G987" s="171"/>
      <c r="H987" s="171"/>
      <c r="M987" s="143"/>
      <c r="N987" s="147"/>
      <c r="O987" s="147"/>
      <c r="P987" s="147"/>
      <c r="Q987" s="147"/>
      <c r="R987" s="148"/>
      <c r="S987" s="148"/>
    </row>
    <row r="988">
      <c r="A988" s="143"/>
      <c r="B988" s="143"/>
      <c r="C988" s="182"/>
      <c r="D988" s="147"/>
      <c r="E988" s="147"/>
      <c r="F988" s="183"/>
      <c r="G988" s="171"/>
      <c r="H988" s="171"/>
      <c r="M988" s="143"/>
      <c r="N988" s="147"/>
      <c r="O988" s="147"/>
      <c r="P988" s="147"/>
      <c r="Q988" s="147"/>
      <c r="R988" s="148"/>
      <c r="S988" s="148"/>
    </row>
    <row r="989">
      <c r="A989" s="143"/>
      <c r="B989" s="143"/>
      <c r="C989" s="182"/>
      <c r="D989" s="147"/>
      <c r="E989" s="147"/>
      <c r="F989" s="183"/>
      <c r="G989" s="171"/>
      <c r="H989" s="171"/>
      <c r="M989" s="143"/>
      <c r="N989" s="147"/>
      <c r="O989" s="147"/>
      <c r="P989" s="147"/>
      <c r="Q989" s="147"/>
      <c r="R989" s="148"/>
      <c r="S989" s="148"/>
    </row>
    <row r="990">
      <c r="A990" s="143"/>
      <c r="B990" s="143"/>
      <c r="C990" s="182"/>
      <c r="D990" s="147"/>
      <c r="E990" s="147"/>
      <c r="F990" s="183"/>
      <c r="G990" s="171"/>
      <c r="H990" s="171"/>
      <c r="M990" s="143"/>
      <c r="N990" s="147"/>
      <c r="O990" s="147"/>
      <c r="P990" s="147"/>
      <c r="Q990" s="147"/>
      <c r="R990" s="148"/>
      <c r="S990" s="148"/>
    </row>
    <row r="991">
      <c r="A991" s="143"/>
      <c r="B991" s="143"/>
      <c r="C991" s="182"/>
      <c r="D991" s="147"/>
      <c r="E991" s="147"/>
      <c r="F991" s="183"/>
      <c r="G991" s="171"/>
      <c r="H991" s="171"/>
      <c r="M991" s="143"/>
      <c r="N991" s="147"/>
      <c r="O991" s="147"/>
      <c r="P991" s="147"/>
      <c r="Q991" s="147"/>
      <c r="R991" s="148"/>
      <c r="S991" s="148"/>
    </row>
    <row r="992">
      <c r="A992" s="143"/>
      <c r="B992" s="143"/>
      <c r="C992" s="182"/>
      <c r="D992" s="147"/>
      <c r="E992" s="147"/>
      <c r="F992" s="183"/>
      <c r="G992" s="171"/>
      <c r="H992" s="171"/>
      <c r="M992" s="143"/>
      <c r="N992" s="147"/>
      <c r="O992" s="147"/>
      <c r="P992" s="147"/>
      <c r="Q992" s="147"/>
      <c r="R992" s="148"/>
      <c r="S992" s="148"/>
    </row>
    <row r="993">
      <c r="A993" s="143"/>
      <c r="B993" s="143"/>
      <c r="C993" s="182"/>
      <c r="D993" s="147"/>
      <c r="E993" s="147"/>
      <c r="F993" s="183"/>
      <c r="G993" s="171"/>
      <c r="H993" s="171"/>
      <c r="M993" s="143"/>
      <c r="N993" s="147"/>
      <c r="O993" s="147"/>
      <c r="P993" s="147"/>
      <c r="Q993" s="147"/>
      <c r="R993" s="148"/>
      <c r="S993" s="148"/>
    </row>
    <row r="994">
      <c r="A994" s="143"/>
      <c r="B994" s="143"/>
      <c r="C994" s="182"/>
      <c r="D994" s="147"/>
      <c r="E994" s="147"/>
      <c r="F994" s="183"/>
      <c r="G994" s="171"/>
      <c r="H994" s="171"/>
      <c r="M994" s="143"/>
      <c r="N994" s="147"/>
      <c r="O994" s="147"/>
      <c r="P994" s="147"/>
      <c r="Q994" s="147"/>
      <c r="R994" s="148"/>
      <c r="S994" s="148"/>
    </row>
    <row r="995">
      <c r="A995" s="143"/>
      <c r="B995" s="143"/>
      <c r="C995" s="182"/>
      <c r="D995" s="147"/>
      <c r="E995" s="147"/>
      <c r="F995" s="183"/>
      <c r="G995" s="171"/>
      <c r="H995" s="171"/>
      <c r="M995" s="143"/>
      <c r="N995" s="147"/>
      <c r="O995" s="147"/>
      <c r="P995" s="147"/>
      <c r="Q995" s="147"/>
      <c r="R995" s="148"/>
      <c r="S995" s="148"/>
    </row>
    <row r="996">
      <c r="A996" s="143"/>
      <c r="B996" s="143"/>
      <c r="C996" s="182"/>
      <c r="D996" s="147"/>
      <c r="E996" s="147"/>
      <c r="F996" s="183"/>
      <c r="G996" s="171"/>
      <c r="H996" s="171"/>
      <c r="M996" s="143"/>
      <c r="N996" s="147"/>
      <c r="O996" s="147"/>
      <c r="P996" s="147"/>
      <c r="Q996" s="147"/>
      <c r="R996" s="148"/>
      <c r="S996" s="148"/>
    </row>
    <row r="997">
      <c r="A997" s="143"/>
      <c r="B997" s="143"/>
      <c r="C997" s="182"/>
      <c r="D997" s="147"/>
      <c r="E997" s="147"/>
      <c r="F997" s="183"/>
      <c r="G997" s="171"/>
      <c r="H997" s="171"/>
      <c r="M997" s="143"/>
      <c r="N997" s="147"/>
      <c r="O997" s="147"/>
      <c r="P997" s="147"/>
      <c r="Q997" s="147"/>
      <c r="R997" s="148"/>
      <c r="S997" s="148"/>
    </row>
    <row r="998">
      <c r="A998" s="143"/>
      <c r="B998" s="143"/>
      <c r="C998" s="182"/>
      <c r="D998" s="147"/>
      <c r="E998" s="147"/>
      <c r="F998" s="183"/>
      <c r="G998" s="171"/>
      <c r="H998" s="171"/>
      <c r="M998" s="143"/>
      <c r="N998" s="147"/>
      <c r="O998" s="147"/>
      <c r="P998" s="147"/>
      <c r="Q998" s="147"/>
      <c r="R998" s="148"/>
      <c r="S998" s="148"/>
    </row>
    <row r="999">
      <c r="A999" s="143"/>
      <c r="B999" s="143"/>
      <c r="C999" s="182"/>
      <c r="D999" s="147"/>
      <c r="E999" s="147"/>
      <c r="F999" s="183"/>
      <c r="G999" s="171"/>
      <c r="H999" s="171"/>
      <c r="M999" s="143"/>
      <c r="N999" s="147"/>
      <c r="O999" s="147"/>
      <c r="P999" s="147"/>
      <c r="Q999" s="147"/>
      <c r="R999" s="148"/>
      <c r="S999" s="148"/>
    </row>
    <row r="1000">
      <c r="A1000" s="143"/>
      <c r="B1000" s="143"/>
      <c r="C1000" s="182"/>
      <c r="D1000" s="147"/>
      <c r="E1000" s="147"/>
      <c r="F1000" s="183"/>
      <c r="G1000" s="171"/>
      <c r="H1000" s="171"/>
      <c r="M1000" s="143"/>
      <c r="N1000" s="147"/>
      <c r="O1000" s="147"/>
      <c r="P1000" s="147"/>
      <c r="Q1000" s="147"/>
      <c r="R1000" s="148"/>
      <c r="S1000" s="148"/>
    </row>
    <row r="1001">
      <c r="A1001" s="143"/>
      <c r="B1001" s="143"/>
      <c r="C1001" s="182"/>
      <c r="D1001" s="147"/>
      <c r="E1001" s="147"/>
      <c r="F1001" s="183"/>
      <c r="G1001" s="171"/>
      <c r="H1001" s="171"/>
      <c r="M1001" s="143"/>
      <c r="N1001" s="147"/>
      <c r="O1001" s="147"/>
      <c r="P1001" s="147"/>
      <c r="Q1001" s="147"/>
      <c r="R1001" s="148"/>
      <c r="S1001" s="148"/>
    </row>
    <row r="1002">
      <c r="A1002" s="143"/>
      <c r="B1002" s="143"/>
      <c r="C1002" s="182"/>
      <c r="D1002" s="147"/>
      <c r="E1002" s="147"/>
      <c r="F1002" s="183"/>
      <c r="G1002" s="171"/>
      <c r="H1002" s="171"/>
      <c r="M1002" s="143"/>
      <c r="N1002" s="147"/>
      <c r="O1002" s="147"/>
      <c r="P1002" s="147"/>
      <c r="Q1002" s="147"/>
      <c r="R1002" s="148"/>
      <c r="S1002" s="148"/>
    </row>
    <row r="1003">
      <c r="A1003" s="143"/>
      <c r="B1003" s="143"/>
      <c r="C1003" s="182"/>
      <c r="D1003" s="147"/>
      <c r="E1003" s="147"/>
      <c r="F1003" s="183"/>
      <c r="G1003" s="171"/>
      <c r="H1003" s="171"/>
      <c r="M1003" s="143"/>
      <c r="N1003" s="147"/>
      <c r="O1003" s="147"/>
      <c r="P1003" s="147"/>
      <c r="Q1003" s="147"/>
      <c r="R1003" s="148"/>
      <c r="S1003" s="148"/>
    </row>
  </sheetData>
  <customSheetViews>
    <customSheetView guid="{B1A90CEA-F9E7-4DE5-8E9C-CAD6660A6BE2}" filter="1" showAutoFilter="1">
      <autoFilter ref="$B$5:$H$443">
        <sortState ref="B5:H443">
          <sortCondition ref="H5:H443"/>
        </sortState>
      </autoFilter>
    </customSheetView>
  </customSheetViews>
  <mergeCells count="2">
    <mergeCell ref="J5:K5"/>
    <mergeCell ref="U5:V5"/>
  </mergeCells>
  <drawing r:id="rId1"/>
</worksheet>
</file>